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drawings/drawing2.xml" ContentType="application/vnd.openxmlformats-officedocument.drawing+xml"/>
  <Override PartName="/xl/activeX/activeX2.xml" ContentType="application/vnd.ms-office.activeX+xml"/>
  <Override PartName="/xl/activeX/activeX2.bin" ContentType="application/vnd.ms-office.activeX"/>
  <Override PartName="/xl/activeX/activeX3.xml" ContentType="application/vnd.ms-office.activeX+xml"/>
  <Override PartName="/xl/activeX/activeX3.bin" ContentType="application/vnd.ms-office.activeX"/>
  <Override PartName="/xl/drawings/drawing3.xml" ContentType="application/vnd.openxmlformats-officedocument.drawing+xml"/>
  <Override PartName="/xl/activeX/activeX4.xml" ContentType="application/vnd.ms-office.activeX+xml"/>
  <Override PartName="/xl/activeX/activeX4.bin" ContentType="application/vnd.ms-office.activeX"/>
  <Override PartName="/xl/activeX/activeX5.xml" ContentType="application/vnd.ms-office.activeX+xml"/>
  <Override PartName="/xl/activeX/activeX5.bin" ContentType="application/vnd.ms-office.activeX"/>
  <Override PartName="/xl/activeX/activeX6.xml" ContentType="application/vnd.ms-office.activeX+xml"/>
  <Override PartName="/xl/activeX/activeX6.bin" ContentType="application/vnd.ms-office.activeX"/>
  <Override PartName="/xl/activeX/activeX7.xml" ContentType="application/vnd.ms-office.activeX+xml"/>
  <Override PartName="/xl/activeX/activeX7.bin" ContentType="application/vnd.ms-office.activeX"/>
  <Override PartName="/xl/drawings/drawing4.xml" ContentType="application/vnd.openxmlformats-officedocument.drawing+xml"/>
  <Override PartName="/xl/activeX/activeX8.xml" ContentType="application/vnd.ms-office.activeX+xml"/>
  <Override PartName="/xl/activeX/activeX8.bin" ContentType="application/vnd.ms-office.activeX"/>
  <Override PartName="/xl/activeX/activeX9.xml" ContentType="application/vnd.ms-office.activeX+xml"/>
  <Override PartName="/xl/activeX/activeX9.bin" ContentType="application/vnd.ms-office.activeX"/>
  <Override PartName="/xl/activeX/activeX10.xml" ContentType="application/vnd.ms-office.activeX+xml"/>
  <Override PartName="/xl/activeX/activeX10.bin" ContentType="application/vnd.ms-office.activeX"/>
  <Override PartName="/xl/activeX/activeX11.xml" ContentType="application/vnd.ms-office.activeX+xml"/>
  <Override PartName="/xl/activeX/activeX11.bin" ContentType="application/vnd.ms-office.activeX"/>
  <Override PartName="/xl/drawings/drawing5.xml" ContentType="application/vnd.openxmlformats-officedocument.drawing+xml"/>
  <Override PartName="/xl/activeX/activeX12.xml" ContentType="application/vnd.ms-office.activeX+xml"/>
  <Override PartName="/xl/activeX/activeX12.bin" ContentType="application/vnd.ms-office.activeX"/>
  <Override PartName="/xl/activeX/activeX13.xml" ContentType="application/vnd.ms-office.activeX+xml"/>
  <Override PartName="/xl/activeX/activeX13.bin" ContentType="application/vnd.ms-office.activeX"/>
  <Override PartName="/xl/drawings/drawing6.xml" ContentType="application/vnd.openxmlformats-officedocument.drawing+xml"/>
  <Override PartName="/xl/drawings/drawing7.xml" ContentType="application/vnd.openxmlformats-officedocument.drawing+xml"/>
  <Override PartName="/xl/activeX/activeX14.xml" ContentType="application/vnd.ms-office.activeX+xml"/>
  <Override PartName="/xl/activeX/activeX14.bin" ContentType="application/vnd.ms-office.activeX"/>
  <Override PartName="/xl/activeX/activeX15.xml" ContentType="application/vnd.ms-office.activeX+xml"/>
  <Override PartName="/xl/activeX/activeX15.bin" ContentType="application/vnd.ms-office.activeX"/>
  <Override PartName="/xl/activeX/activeX16.xml" ContentType="application/vnd.ms-office.activeX+xml"/>
  <Override PartName="/xl/activeX/activeX16.bin" ContentType="application/vnd.ms-office.activeX"/>
  <Override PartName="/xl/drawings/drawing8.xml" ContentType="application/vnd.openxmlformats-officedocument.drawing+xml"/>
  <Override PartName="/xl/activeX/activeX17.xml" ContentType="application/vnd.ms-office.activeX+xml"/>
  <Override PartName="/xl/activeX/activeX17.bin" ContentType="application/vnd.ms-office.activeX"/>
  <Override PartName="/xl/activeX/activeX18.xml" ContentType="application/vnd.ms-office.activeX+xml"/>
  <Override PartName="/xl/activeX/activeX18.bin" ContentType="application/vnd.ms-office.activeX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120" windowWidth="15315" windowHeight="7500" activeTab="11"/>
  </bookViews>
  <sheets>
    <sheet name="12Power 4 tms" sheetId="10" r:id="rId1"/>
    <sheet name="13 Power  8 tms" sheetId="1" r:id="rId2"/>
    <sheet name="14 Power 19 tms" sheetId="2" r:id="rId3"/>
    <sheet name="15 Power 16 tms" sheetId="6" r:id="rId4"/>
    <sheet name="16 Open  10 Tms" sheetId="3" r:id="rId5"/>
    <sheet name="16 Power  10 tms" sheetId="4" r:id="rId6"/>
    <sheet name="17 Power 14 Teams" sheetId="11" r:id="rId7"/>
    <sheet name="18 Power 8 tms" sheetId="12" r:id="rId8"/>
    <sheet name="RatingResultsSummary" sheetId="13" r:id="rId9"/>
    <sheet name="Initial" sheetId="5" r:id="rId10"/>
    <sheet name="Final" sheetId="14" r:id="rId11"/>
    <sheet name="Final-PM" sheetId="15" r:id="rId12"/>
  </sheets>
  <externalReferences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div" localSheetId="0">#REF!</definedName>
    <definedName name="div" localSheetId="1">#REF!</definedName>
    <definedName name="div" localSheetId="2">#REF!</definedName>
    <definedName name="div" localSheetId="3">#REF!</definedName>
    <definedName name="div" localSheetId="4">#REF!</definedName>
    <definedName name="div" localSheetId="5">#REF!</definedName>
    <definedName name="div" localSheetId="6">#REF!</definedName>
    <definedName name="div" localSheetId="7">#REF!</definedName>
    <definedName name="div" localSheetId="10">#REF!</definedName>
    <definedName name="div" localSheetId="11">#REF!</definedName>
    <definedName name="div" localSheetId="9">#REF!</definedName>
    <definedName name="div">#REF!</definedName>
    <definedName name="DormanTM" localSheetId="0">#REF!</definedName>
    <definedName name="DormanTM" localSheetId="1">#REF!</definedName>
    <definedName name="DormanTM" localSheetId="2">#REF!</definedName>
    <definedName name="DormanTM" localSheetId="3">#REF!</definedName>
    <definedName name="DormanTM" localSheetId="4">#REF!</definedName>
    <definedName name="DormanTM" localSheetId="5">#REF!</definedName>
    <definedName name="DormanTM" localSheetId="6">#REF!</definedName>
    <definedName name="DormanTM" localSheetId="7">#REF!</definedName>
    <definedName name="DormanTM" localSheetId="10">#REF!</definedName>
    <definedName name="DormanTM" localSheetId="11">#REF!</definedName>
    <definedName name="DormanTM" localSheetId="9">#REF!</definedName>
    <definedName name="DormanTM">#REF!</definedName>
    <definedName name="mizuno" localSheetId="0">#REF!</definedName>
    <definedName name="mizuno" localSheetId="1">#REF!</definedName>
    <definedName name="mizuno" localSheetId="2">#REF!</definedName>
    <definedName name="mizuno" localSheetId="3">#REF!</definedName>
    <definedName name="mizuno" localSheetId="4">#REF!</definedName>
    <definedName name="mizuno" localSheetId="5">#REF!</definedName>
    <definedName name="mizuno" localSheetId="6">#REF!</definedName>
    <definedName name="mizuno" localSheetId="7">#REF!</definedName>
    <definedName name="mizuno" localSheetId="10">#REF!</definedName>
    <definedName name="mizuno" localSheetId="11">#REF!</definedName>
    <definedName name="mizuno" localSheetId="9">#REF!</definedName>
    <definedName name="mizuno">#REF!</definedName>
    <definedName name="Playoff_K">[1]Example!$AS$3</definedName>
    <definedName name="Pool_K">[1]Example!$AS$2</definedName>
    <definedName name="_xlnm.Print_Area" localSheetId="0">'12Power 4 tms'!$A$1:$AQ$148</definedName>
    <definedName name="_xlnm.Print_Area" localSheetId="1">'13 Power  8 tms'!$A$1:$AQ$234</definedName>
    <definedName name="_xlnm.Print_Area" localSheetId="2">'14 Power 19 tms'!$A$1:$AQ$454</definedName>
    <definedName name="_xlnm.Print_Area" localSheetId="3">'15 Power 16 tms'!$A$1:$AQ$454</definedName>
    <definedName name="_xlnm.Print_Area" localSheetId="4">'16 Open  10 Tms'!$A$1:$AQ$234</definedName>
    <definedName name="_xlnm.Print_Area" localSheetId="5">'16 Power  10 tms'!$A$1:$AQ$234</definedName>
    <definedName name="_xlnm.Print_Area" localSheetId="6">'17 Power 14 Teams'!$A$1:$AQ$373</definedName>
    <definedName name="_xlnm.Print_Area" localSheetId="7">'18 Power 8 tms'!$A$1:$AQ$234</definedName>
    <definedName name="score" localSheetId="0">#REF!</definedName>
    <definedName name="score" localSheetId="1">#REF!</definedName>
    <definedName name="score" localSheetId="2">#REF!</definedName>
    <definedName name="score" localSheetId="3">#REF!</definedName>
    <definedName name="score" localSheetId="4">#REF!</definedName>
    <definedName name="score" localSheetId="5">#REF!</definedName>
    <definedName name="score" localSheetId="6">#REF!</definedName>
    <definedName name="score" localSheetId="7">#REF!</definedName>
    <definedName name="score" localSheetId="10">#REF!</definedName>
    <definedName name="score" localSheetId="11">#REF!</definedName>
    <definedName name="score" localSheetId="9">#REF!</definedName>
    <definedName name="score">#REF!</definedName>
    <definedName name="sex" localSheetId="0">#REF!</definedName>
    <definedName name="sex" localSheetId="1">#REF!</definedName>
    <definedName name="sex" localSheetId="2">#REF!</definedName>
    <definedName name="sex" localSheetId="3">#REF!</definedName>
    <definedName name="sex" localSheetId="4">#REF!</definedName>
    <definedName name="sex" localSheetId="5">#REF!</definedName>
    <definedName name="sex" localSheetId="6">#REF!</definedName>
    <definedName name="sex" localSheetId="7">#REF!</definedName>
    <definedName name="sex" localSheetId="10">#REF!</definedName>
    <definedName name="sex" localSheetId="11">#REF!</definedName>
    <definedName name="sex" localSheetId="9">#REF!</definedName>
    <definedName name="sex">#REF!</definedName>
    <definedName name="solver_adj" localSheetId="6" hidden="1">'17 Power 14 Teams'!$AW$6,'17 Power 14 Teams'!$AW$7,'17 Power 14 Teams'!$AW$14</definedName>
    <definedName name="solver_cvg" localSheetId="6" hidden="1">0.0001</definedName>
    <definedName name="solver_drv" localSheetId="6" hidden="1">1</definedName>
    <definedName name="solver_eng" localSheetId="6" hidden="1">1</definedName>
    <definedName name="solver_est" localSheetId="6" hidden="1">1</definedName>
    <definedName name="solver_itr" localSheetId="6" hidden="1">2147483647</definedName>
    <definedName name="solver_mip" localSheetId="6" hidden="1">2147483647</definedName>
    <definedName name="solver_mni" localSheetId="6" hidden="1">30</definedName>
    <definedName name="solver_mrt" localSheetId="6" hidden="1">0.075</definedName>
    <definedName name="solver_msl" localSheetId="6" hidden="1">2</definedName>
    <definedName name="solver_neg" localSheetId="6" hidden="1">1</definedName>
    <definedName name="solver_nod" localSheetId="6" hidden="1">2147483647</definedName>
    <definedName name="solver_num" localSheetId="6" hidden="1">0</definedName>
    <definedName name="solver_nwt" localSheetId="6" hidden="1">1</definedName>
    <definedName name="solver_opt" localSheetId="6" hidden="1">'17 Power 14 Teams'!$AZ$22</definedName>
    <definedName name="solver_pre" localSheetId="6" hidden="1">0.000001</definedName>
    <definedName name="solver_rbv" localSheetId="6" hidden="1">1</definedName>
    <definedName name="solver_rlx" localSheetId="6" hidden="1">2</definedName>
    <definedName name="solver_rsd" localSheetId="6" hidden="1">0</definedName>
    <definedName name="solver_scl" localSheetId="6" hidden="1">1</definedName>
    <definedName name="solver_sho" localSheetId="6" hidden="1">2</definedName>
    <definedName name="solver_ssz" localSheetId="6" hidden="1">100</definedName>
    <definedName name="solver_tim" localSheetId="6" hidden="1">2147483647</definedName>
    <definedName name="solver_tol" localSheetId="6" hidden="1">0.01</definedName>
    <definedName name="solver_typ" localSheetId="6" hidden="1">2</definedName>
    <definedName name="solver_val" localSheetId="6" hidden="1">0</definedName>
    <definedName name="solver_ver" localSheetId="6" hidden="1">3</definedName>
    <definedName name="UniformNeeds" localSheetId="0">#REF!</definedName>
    <definedName name="UniformNeeds" localSheetId="1">#REF!</definedName>
    <definedName name="UniformNeeds" localSheetId="2">#REF!</definedName>
    <definedName name="UniformNeeds" localSheetId="3">#REF!</definedName>
    <definedName name="UniformNeeds" localSheetId="4">#REF!</definedName>
    <definedName name="UniformNeeds" localSheetId="5">#REF!</definedName>
    <definedName name="UniformNeeds" localSheetId="6">#REF!</definedName>
    <definedName name="UniformNeeds" localSheetId="7">#REF!</definedName>
    <definedName name="UniformNeeds" localSheetId="10">#REF!</definedName>
    <definedName name="UniformNeeds" localSheetId="11">#REF!</definedName>
    <definedName name="UniformNeeds" localSheetId="9">#REF!</definedName>
    <definedName name="UniformNeeds">#REF!</definedName>
  </definedNames>
  <calcPr calcId="145621" concurrentCalc="0"/>
</workbook>
</file>

<file path=xl/calcChain.xml><?xml version="1.0" encoding="utf-8"?>
<calcChain xmlns="http://schemas.openxmlformats.org/spreadsheetml/2006/main">
  <c r="K301" i="15" l="1"/>
  <c r="F301" i="15"/>
  <c r="E301" i="15"/>
  <c r="E300" i="15"/>
  <c r="E295" i="15"/>
  <c r="E296" i="15"/>
  <c r="E299" i="15"/>
  <c r="E287" i="15"/>
  <c r="E294" i="15"/>
  <c r="E293" i="15"/>
  <c r="E289" i="15"/>
  <c r="E292" i="15"/>
  <c r="E297" i="15"/>
  <c r="E288" i="15"/>
  <c r="E298" i="15"/>
  <c r="E290" i="15"/>
  <c r="E291" i="15"/>
  <c r="E284" i="15"/>
  <c r="E286" i="15"/>
  <c r="C287" i="15"/>
  <c r="C288" i="15"/>
  <c r="C289" i="15"/>
  <c r="C290" i="15"/>
  <c r="C291" i="15"/>
  <c r="C292" i="15"/>
  <c r="C293" i="15"/>
  <c r="C294" i="15"/>
  <c r="C295" i="15"/>
  <c r="C296" i="15"/>
  <c r="C297" i="15"/>
  <c r="C298" i="15"/>
  <c r="C299" i="15"/>
  <c r="C300" i="15"/>
  <c r="E303" i="15"/>
  <c r="E302" i="15"/>
  <c r="C301" i="15"/>
  <c r="C302" i="15"/>
  <c r="C303" i="15"/>
  <c r="D301" i="15"/>
  <c r="D302" i="15"/>
  <c r="D303" i="15"/>
  <c r="D304" i="15"/>
  <c r="D305" i="15"/>
  <c r="E305" i="15"/>
  <c r="E304" i="15"/>
  <c r="C304" i="15"/>
  <c r="C305" i="15"/>
  <c r="K302" i="15"/>
  <c r="F302" i="15"/>
  <c r="K305" i="15"/>
  <c r="F305" i="15"/>
  <c r="K304" i="15"/>
  <c r="F304" i="15"/>
  <c r="K303" i="15"/>
  <c r="F303" i="15"/>
  <c r="K300" i="15"/>
  <c r="F300" i="15"/>
  <c r="D300" i="15"/>
  <c r="K295" i="15"/>
  <c r="F295" i="15"/>
  <c r="D295" i="15"/>
  <c r="K296" i="15"/>
  <c r="F296" i="15"/>
  <c r="D296" i="15"/>
  <c r="K299" i="15"/>
  <c r="F299" i="15"/>
  <c r="D287" i="15"/>
  <c r="D288" i="15"/>
  <c r="D289" i="15"/>
  <c r="D290" i="15"/>
  <c r="D291" i="15"/>
  <c r="D297" i="15"/>
  <c r="D298" i="15"/>
  <c r="D292" i="15"/>
  <c r="D293" i="15"/>
  <c r="D294" i="15"/>
  <c r="D299" i="15"/>
  <c r="K287" i="15"/>
  <c r="F287" i="15"/>
  <c r="K294" i="15"/>
  <c r="F294" i="15"/>
  <c r="K293" i="15"/>
  <c r="F293" i="15"/>
  <c r="K289" i="15"/>
  <c r="F289" i="15"/>
  <c r="K292" i="15"/>
  <c r="F292" i="15"/>
  <c r="K297" i="15"/>
  <c r="F297" i="15"/>
  <c r="K288" i="15"/>
  <c r="F288" i="15"/>
  <c r="K298" i="15"/>
  <c r="F298" i="15"/>
  <c r="K290" i="15"/>
  <c r="F290" i="15"/>
  <c r="K291" i="15"/>
  <c r="F291" i="15"/>
  <c r="K284" i="15"/>
  <c r="F284" i="15"/>
  <c r="E279" i="15"/>
  <c r="E272" i="15"/>
  <c r="E262" i="15"/>
  <c r="E277" i="15"/>
  <c r="E263" i="15"/>
  <c r="E268" i="15"/>
  <c r="E267" i="15"/>
  <c r="E265" i="15"/>
  <c r="E259" i="15"/>
  <c r="E260" i="15"/>
  <c r="E274" i="15"/>
  <c r="E269" i="15"/>
  <c r="E264" i="15"/>
  <c r="E275" i="15"/>
  <c r="E280" i="15"/>
  <c r="E266" i="15"/>
  <c r="E261" i="15"/>
  <c r="E278" i="15"/>
  <c r="E270" i="15"/>
  <c r="E276" i="15"/>
  <c r="E258" i="15"/>
  <c r="E273" i="15"/>
  <c r="E271" i="15"/>
  <c r="E251" i="15"/>
  <c r="E257" i="15"/>
  <c r="C258" i="15"/>
  <c r="C259" i="15"/>
  <c r="C260" i="15"/>
  <c r="C261" i="15"/>
  <c r="C262" i="15"/>
  <c r="C263" i="15"/>
  <c r="C264" i="15"/>
  <c r="C265" i="15"/>
  <c r="C266" i="15"/>
  <c r="C267" i="15"/>
  <c r="C268" i="15"/>
  <c r="C269" i="15"/>
  <c r="C270" i="15"/>
  <c r="C271" i="15"/>
  <c r="C272" i="15"/>
  <c r="C273" i="15"/>
  <c r="C274" i="15"/>
  <c r="C275" i="15"/>
  <c r="C276" i="15"/>
  <c r="C277" i="15"/>
  <c r="C278" i="15"/>
  <c r="C279" i="15"/>
  <c r="C280" i="15"/>
  <c r="D279" i="15"/>
  <c r="E281" i="15"/>
  <c r="C281" i="15"/>
  <c r="D281" i="15"/>
  <c r="D282" i="15"/>
  <c r="D283" i="15"/>
  <c r="D284" i="15"/>
  <c r="D285" i="15"/>
  <c r="D286" i="15"/>
  <c r="E282" i="15"/>
  <c r="E285" i="15"/>
  <c r="E283" i="15"/>
  <c r="C282" i="15"/>
  <c r="C283" i="15"/>
  <c r="C284" i="15"/>
  <c r="C285" i="15"/>
  <c r="C286" i="15"/>
  <c r="K286" i="15"/>
  <c r="F286" i="15"/>
  <c r="K281" i="15"/>
  <c r="F281" i="15"/>
  <c r="K282" i="15"/>
  <c r="F282" i="15"/>
  <c r="K285" i="15"/>
  <c r="F285" i="15"/>
  <c r="K283" i="15"/>
  <c r="F283" i="15"/>
  <c r="K279" i="15"/>
  <c r="F279" i="15"/>
  <c r="K272" i="15"/>
  <c r="F272" i="15"/>
  <c r="D272" i="15"/>
  <c r="K262" i="15"/>
  <c r="F262" i="15"/>
  <c r="D262" i="15"/>
  <c r="K277" i="15"/>
  <c r="F277" i="15"/>
  <c r="D277" i="15"/>
  <c r="K263" i="15"/>
  <c r="F263" i="15"/>
  <c r="D263" i="15"/>
  <c r="D264" i="15"/>
  <c r="D265" i="15"/>
  <c r="D266" i="15"/>
  <c r="D267" i="15"/>
  <c r="D268" i="15"/>
  <c r="D269" i="15"/>
  <c r="D270" i="15"/>
  <c r="D271" i="15"/>
  <c r="D273" i="15"/>
  <c r="D258" i="15"/>
  <c r="D274" i="15"/>
  <c r="D275" i="15"/>
  <c r="D276" i="15"/>
  <c r="D278" i="15"/>
  <c r="D259" i="15"/>
  <c r="D260" i="15"/>
  <c r="D261" i="15"/>
  <c r="D280" i="15"/>
  <c r="K268" i="15"/>
  <c r="F268" i="15"/>
  <c r="K267" i="15"/>
  <c r="F267" i="15"/>
  <c r="K265" i="15"/>
  <c r="F265" i="15"/>
  <c r="K259" i="15"/>
  <c r="F259" i="15"/>
  <c r="K260" i="15"/>
  <c r="F260" i="15"/>
  <c r="K274" i="15"/>
  <c r="F274" i="15"/>
  <c r="K269" i="15"/>
  <c r="F269" i="15"/>
  <c r="K264" i="15"/>
  <c r="F264" i="15"/>
  <c r="K275" i="15"/>
  <c r="F275" i="15"/>
  <c r="K280" i="15"/>
  <c r="F280" i="15"/>
  <c r="K266" i="15"/>
  <c r="F266" i="15"/>
  <c r="K261" i="15"/>
  <c r="F261" i="15"/>
  <c r="K278" i="15"/>
  <c r="F278" i="15"/>
  <c r="K270" i="15"/>
  <c r="F270" i="15"/>
  <c r="K276" i="15"/>
  <c r="F276" i="15"/>
  <c r="K258" i="15"/>
  <c r="F258" i="15"/>
  <c r="K273" i="15"/>
  <c r="F273" i="15"/>
  <c r="K271" i="15"/>
  <c r="F271" i="15"/>
  <c r="K251" i="15"/>
  <c r="F251" i="15"/>
  <c r="E244" i="15"/>
  <c r="E249" i="15"/>
  <c r="E248" i="15"/>
  <c r="E236" i="15"/>
  <c r="E245" i="15"/>
  <c r="E234" i="15"/>
  <c r="E232" i="15"/>
  <c r="E224" i="15"/>
  <c r="E222" i="15"/>
  <c r="E229" i="15"/>
  <c r="E237" i="15"/>
  <c r="E239" i="15"/>
  <c r="E241" i="15"/>
  <c r="E242" i="15"/>
  <c r="E223" i="15"/>
  <c r="E208" i="15"/>
  <c r="E218" i="15"/>
  <c r="E213" i="15"/>
  <c r="E225" i="15"/>
  <c r="E215" i="15"/>
  <c r="E246" i="15"/>
  <c r="E227" i="15"/>
  <c r="E214" i="15"/>
  <c r="E212" i="15"/>
  <c r="E233" i="15"/>
  <c r="E219" i="15"/>
  <c r="E230" i="15"/>
  <c r="E217" i="15"/>
  <c r="E228" i="15"/>
  <c r="E231" i="15"/>
  <c r="E211" i="15"/>
  <c r="E226" i="15"/>
  <c r="E235" i="15"/>
  <c r="E221" i="15"/>
  <c r="E220" i="15"/>
  <c r="E238" i="15"/>
  <c r="E210" i="15"/>
  <c r="E209" i="15"/>
  <c r="E216" i="15"/>
  <c r="E197" i="15"/>
  <c r="E207" i="15"/>
  <c r="C208" i="15"/>
  <c r="C209" i="15"/>
  <c r="C210" i="15"/>
  <c r="C211" i="15"/>
  <c r="C212" i="15"/>
  <c r="C213" i="15"/>
  <c r="C214" i="15"/>
  <c r="C215" i="15"/>
  <c r="C216" i="15"/>
  <c r="C217" i="15"/>
  <c r="C218" i="15"/>
  <c r="C219" i="15"/>
  <c r="C220" i="15"/>
  <c r="C221" i="15"/>
  <c r="C222" i="15"/>
  <c r="C223" i="15"/>
  <c r="C224" i="15"/>
  <c r="C225" i="15"/>
  <c r="C226" i="15"/>
  <c r="C227" i="15"/>
  <c r="C228" i="15"/>
  <c r="C229" i="15"/>
  <c r="C230" i="15"/>
  <c r="C231" i="15"/>
  <c r="C232" i="15"/>
  <c r="C233" i="15"/>
  <c r="C234" i="15"/>
  <c r="C235" i="15"/>
  <c r="C236" i="15"/>
  <c r="C237" i="15"/>
  <c r="C238" i="15"/>
  <c r="E243" i="15"/>
  <c r="E240" i="15"/>
  <c r="C239" i="15"/>
  <c r="C240" i="15"/>
  <c r="C241" i="15"/>
  <c r="C242" i="15"/>
  <c r="C243" i="15"/>
  <c r="C244" i="15"/>
  <c r="C245" i="15"/>
  <c r="C246" i="15"/>
  <c r="E247" i="15"/>
  <c r="C247" i="15"/>
  <c r="C248" i="15"/>
  <c r="C249" i="15"/>
  <c r="D243" i="15"/>
  <c r="D244" i="15"/>
  <c r="E250" i="15"/>
  <c r="C250" i="15"/>
  <c r="D250" i="15"/>
  <c r="D251" i="15"/>
  <c r="D252" i="15"/>
  <c r="D253" i="15"/>
  <c r="D254" i="15"/>
  <c r="D247" i="15"/>
  <c r="D255" i="15"/>
  <c r="D256" i="15"/>
  <c r="D257" i="15"/>
  <c r="D240" i="15"/>
  <c r="E255" i="15"/>
  <c r="E256" i="15"/>
  <c r="E253" i="15"/>
  <c r="E252" i="15"/>
  <c r="E254" i="15"/>
  <c r="C251" i="15"/>
  <c r="C252" i="15"/>
  <c r="C253" i="15"/>
  <c r="C254" i="15"/>
  <c r="C255" i="15"/>
  <c r="C256" i="15"/>
  <c r="C257" i="15"/>
  <c r="K243" i="15"/>
  <c r="F243" i="15"/>
  <c r="K255" i="15"/>
  <c r="F255" i="15"/>
  <c r="K240" i="15"/>
  <c r="F240" i="15"/>
  <c r="K256" i="15"/>
  <c r="F256" i="15"/>
  <c r="K257" i="15"/>
  <c r="F257" i="15"/>
  <c r="K253" i="15"/>
  <c r="F253" i="15"/>
  <c r="K247" i="15"/>
  <c r="F247" i="15"/>
  <c r="K252" i="15"/>
  <c r="F252" i="15"/>
  <c r="K250" i="15"/>
  <c r="F250" i="15"/>
  <c r="K254" i="15"/>
  <c r="F254" i="15"/>
  <c r="K244" i="15"/>
  <c r="F244" i="15"/>
  <c r="K249" i="15"/>
  <c r="F249" i="15"/>
  <c r="D249" i="15"/>
  <c r="K248" i="15"/>
  <c r="F248" i="15"/>
  <c r="D248" i="15"/>
  <c r="K236" i="15"/>
  <c r="F236" i="15"/>
  <c r="D236" i="15"/>
  <c r="K245" i="15"/>
  <c r="F245" i="15"/>
  <c r="D245" i="15"/>
  <c r="K234" i="15"/>
  <c r="F234" i="15"/>
  <c r="D239" i="15"/>
  <c r="D237" i="15"/>
  <c r="D229" i="15"/>
  <c r="D222" i="15"/>
  <c r="D224" i="15"/>
  <c r="D232" i="15"/>
  <c r="D234" i="15"/>
  <c r="K232" i="15"/>
  <c r="F232" i="15"/>
  <c r="K224" i="15"/>
  <c r="F224" i="15"/>
  <c r="K222" i="15"/>
  <c r="F222" i="15"/>
  <c r="K229" i="15"/>
  <c r="F229" i="15"/>
  <c r="K237" i="15"/>
  <c r="F237" i="15"/>
  <c r="K239" i="15"/>
  <c r="F239" i="15"/>
  <c r="K241" i="15"/>
  <c r="F241" i="15"/>
  <c r="D241" i="15"/>
  <c r="K242" i="15"/>
  <c r="F242" i="15"/>
  <c r="D223" i="15"/>
  <c r="D242" i="15"/>
  <c r="K223" i="15"/>
  <c r="F223" i="15"/>
  <c r="K208" i="15"/>
  <c r="F208" i="15"/>
  <c r="D208" i="15"/>
  <c r="K218" i="15"/>
  <c r="F218" i="15"/>
  <c r="D209" i="15"/>
  <c r="D210" i="15"/>
  <c r="D211" i="15"/>
  <c r="D212" i="15"/>
  <c r="D213" i="15"/>
  <c r="D214" i="15"/>
  <c r="D215" i="15"/>
  <c r="D216" i="15"/>
  <c r="D238" i="15"/>
  <c r="D217" i="15"/>
  <c r="D218" i="15"/>
  <c r="D219" i="15"/>
  <c r="D220" i="15"/>
  <c r="D221" i="15"/>
  <c r="D235" i="15"/>
  <c r="D225" i="15"/>
  <c r="D226" i="15"/>
  <c r="D230" i="15"/>
  <c r="D231" i="15"/>
  <c r="D227" i="15"/>
  <c r="D228" i="15"/>
  <c r="D233" i="15"/>
  <c r="D246" i="15"/>
  <c r="K213" i="15"/>
  <c r="F213" i="15"/>
  <c r="K225" i="15"/>
  <c r="F225" i="15"/>
  <c r="K215" i="15"/>
  <c r="F215" i="15"/>
  <c r="K246" i="15"/>
  <c r="F246" i="15"/>
  <c r="K227" i="15"/>
  <c r="F227" i="15"/>
  <c r="K214" i="15"/>
  <c r="F214" i="15"/>
  <c r="K212" i="15"/>
  <c r="F212" i="15"/>
  <c r="K233" i="15"/>
  <c r="F233" i="15"/>
  <c r="K219" i="15"/>
  <c r="F219" i="15"/>
  <c r="K230" i="15"/>
  <c r="F230" i="15"/>
  <c r="K217" i="15"/>
  <c r="F217" i="15"/>
  <c r="K228" i="15"/>
  <c r="F228" i="15"/>
  <c r="K231" i="15"/>
  <c r="F231" i="15"/>
  <c r="K211" i="15"/>
  <c r="F211" i="15"/>
  <c r="K226" i="15"/>
  <c r="F226" i="15"/>
  <c r="K235" i="15"/>
  <c r="F235" i="15"/>
  <c r="K221" i="15"/>
  <c r="F221" i="15"/>
  <c r="K220" i="15"/>
  <c r="F220" i="15"/>
  <c r="K238" i="15"/>
  <c r="F238" i="15"/>
  <c r="K210" i="15"/>
  <c r="F210" i="15"/>
  <c r="K209" i="15"/>
  <c r="F209" i="15"/>
  <c r="K216" i="15"/>
  <c r="F216" i="15"/>
  <c r="K197" i="15"/>
  <c r="F197" i="15"/>
  <c r="E187" i="15"/>
  <c r="E183" i="15"/>
  <c r="E186" i="15"/>
  <c r="E188" i="15"/>
  <c r="E189" i="15"/>
  <c r="E176" i="15"/>
  <c r="E173" i="15"/>
  <c r="E194" i="15"/>
  <c r="E182" i="15"/>
  <c r="E191" i="15"/>
  <c r="E161" i="15"/>
  <c r="E165" i="15"/>
  <c r="E178" i="15"/>
  <c r="E170" i="15"/>
  <c r="E166" i="15"/>
  <c r="E171" i="15"/>
  <c r="E181" i="15"/>
  <c r="E184" i="15"/>
  <c r="E172" i="15"/>
  <c r="E164" i="15"/>
  <c r="E167" i="15"/>
  <c r="E177" i="15"/>
  <c r="E163" i="15"/>
  <c r="E185" i="15"/>
  <c r="E174" i="15"/>
  <c r="E168" i="15"/>
  <c r="E162" i="15"/>
  <c r="E169" i="15"/>
  <c r="E179" i="15"/>
  <c r="E160" i="15"/>
  <c r="E180" i="15"/>
  <c r="E175" i="15"/>
  <c r="E157" i="15"/>
  <c r="E159" i="15"/>
  <c r="C160" i="15"/>
  <c r="C161" i="15"/>
  <c r="C162" i="15"/>
  <c r="C163" i="15"/>
  <c r="C164" i="15"/>
  <c r="C165" i="15"/>
  <c r="C166" i="15"/>
  <c r="C167" i="15"/>
  <c r="C168" i="15"/>
  <c r="C169" i="15"/>
  <c r="C170" i="15"/>
  <c r="C171" i="15"/>
  <c r="C172" i="15"/>
  <c r="C173" i="15"/>
  <c r="C174" i="15"/>
  <c r="C175" i="15"/>
  <c r="C176" i="15"/>
  <c r="C177" i="15"/>
  <c r="C178" i="15"/>
  <c r="C179" i="15"/>
  <c r="C180" i="15"/>
  <c r="C181" i="15"/>
  <c r="C182" i="15"/>
  <c r="C183" i="15"/>
  <c r="C184" i="15"/>
  <c r="C185" i="15"/>
  <c r="E190" i="15"/>
  <c r="C186" i="15"/>
  <c r="C187" i="15"/>
  <c r="C188" i="15"/>
  <c r="C189" i="15"/>
  <c r="C190" i="15"/>
  <c r="C191" i="15"/>
  <c r="E193" i="15"/>
  <c r="E192" i="15"/>
  <c r="C192" i="15"/>
  <c r="C193" i="15"/>
  <c r="C194" i="15"/>
  <c r="D187" i="15"/>
  <c r="E195" i="15"/>
  <c r="C195" i="15"/>
  <c r="D195" i="15"/>
  <c r="D196" i="15"/>
  <c r="D197" i="15"/>
  <c r="D198" i="15"/>
  <c r="D199" i="15"/>
  <c r="D200" i="15"/>
  <c r="D201" i="15"/>
  <c r="D202" i="15"/>
  <c r="D203" i="15"/>
  <c r="D204" i="15"/>
  <c r="D205" i="15"/>
  <c r="D206" i="15"/>
  <c r="D207" i="15"/>
  <c r="D192" i="15"/>
  <c r="D193" i="15"/>
  <c r="D190" i="15"/>
  <c r="E200" i="15"/>
  <c r="E202" i="15"/>
  <c r="E206" i="15"/>
  <c r="E205" i="15"/>
  <c r="E201" i="15"/>
  <c r="E198" i="15"/>
  <c r="E196" i="15"/>
  <c r="E203" i="15"/>
  <c r="E199" i="15"/>
  <c r="E204" i="15"/>
  <c r="C196" i="15"/>
  <c r="C197" i="15"/>
  <c r="C198" i="15"/>
  <c r="C199" i="15"/>
  <c r="C200" i="15"/>
  <c r="C201" i="15"/>
  <c r="C202" i="15"/>
  <c r="C203" i="15"/>
  <c r="C204" i="15"/>
  <c r="C205" i="15"/>
  <c r="C206" i="15"/>
  <c r="C207" i="15"/>
  <c r="K200" i="15"/>
  <c r="F200" i="15"/>
  <c r="K202" i="15"/>
  <c r="F202" i="15"/>
  <c r="K206" i="15"/>
  <c r="F206" i="15"/>
  <c r="K205" i="15"/>
  <c r="F205" i="15"/>
  <c r="K201" i="15"/>
  <c r="F201" i="15"/>
  <c r="K192" i="15"/>
  <c r="F192" i="15"/>
  <c r="K190" i="15"/>
  <c r="F190" i="15"/>
  <c r="K193" i="15"/>
  <c r="F193" i="15"/>
  <c r="K198" i="15"/>
  <c r="F198" i="15"/>
  <c r="K195" i="15"/>
  <c r="F195" i="15"/>
  <c r="K207" i="15"/>
  <c r="F207" i="15"/>
  <c r="K196" i="15"/>
  <c r="F196" i="15"/>
  <c r="K203" i="15"/>
  <c r="F203" i="15"/>
  <c r="K199" i="15"/>
  <c r="F199" i="15"/>
  <c r="K204" i="15"/>
  <c r="F204" i="15"/>
  <c r="K187" i="15"/>
  <c r="F187" i="15"/>
  <c r="K183" i="15"/>
  <c r="F183" i="15"/>
  <c r="D183" i="15"/>
  <c r="K186" i="15"/>
  <c r="F186" i="15"/>
  <c r="D186" i="15"/>
  <c r="K188" i="15"/>
  <c r="F188" i="15"/>
  <c r="D173" i="15"/>
  <c r="D176" i="15"/>
  <c r="D188" i="15"/>
  <c r="D189" i="15"/>
  <c r="K189" i="15"/>
  <c r="F189" i="15"/>
  <c r="K176" i="15"/>
  <c r="F176" i="15"/>
  <c r="K173" i="15"/>
  <c r="F173" i="15"/>
  <c r="K194" i="15"/>
  <c r="F194" i="15"/>
  <c r="D194" i="15"/>
  <c r="K182" i="15"/>
  <c r="F182" i="15"/>
  <c r="D174" i="15"/>
  <c r="D175" i="15"/>
  <c r="D177" i="15"/>
  <c r="D178" i="15"/>
  <c r="D179" i="15"/>
  <c r="D180" i="15"/>
  <c r="D160" i="15"/>
  <c r="D161" i="15"/>
  <c r="D162" i="15"/>
  <c r="D163" i="15"/>
  <c r="D164" i="15"/>
  <c r="D165" i="15"/>
  <c r="D166" i="15"/>
  <c r="D167" i="15"/>
  <c r="D168" i="15"/>
  <c r="D169" i="15"/>
  <c r="D184" i="15"/>
  <c r="D185" i="15"/>
  <c r="D170" i="15"/>
  <c r="D171" i="15"/>
  <c r="D172" i="15"/>
  <c r="D181" i="15"/>
  <c r="D191" i="15"/>
  <c r="D182" i="15"/>
  <c r="K191" i="15"/>
  <c r="F191" i="15"/>
  <c r="K161" i="15"/>
  <c r="F161" i="15"/>
  <c r="K165" i="15"/>
  <c r="F165" i="15"/>
  <c r="K178" i="15"/>
  <c r="F178" i="15"/>
  <c r="K170" i="15"/>
  <c r="F170" i="15"/>
  <c r="K166" i="15"/>
  <c r="F166" i="15"/>
  <c r="K171" i="15"/>
  <c r="F171" i="15"/>
  <c r="K181" i="15"/>
  <c r="F181" i="15"/>
  <c r="K184" i="15"/>
  <c r="F184" i="15"/>
  <c r="K172" i="15"/>
  <c r="F172" i="15"/>
  <c r="K164" i="15"/>
  <c r="F164" i="15"/>
  <c r="K167" i="15"/>
  <c r="F167" i="15"/>
  <c r="K177" i="15"/>
  <c r="F177" i="15"/>
  <c r="K163" i="15"/>
  <c r="F163" i="15"/>
  <c r="K185" i="15"/>
  <c r="F185" i="15"/>
  <c r="K174" i="15"/>
  <c r="F174" i="15"/>
  <c r="K168" i="15"/>
  <c r="F168" i="15"/>
  <c r="K162" i="15"/>
  <c r="F162" i="15"/>
  <c r="K169" i="15"/>
  <c r="F169" i="15"/>
  <c r="K179" i="15"/>
  <c r="F179" i="15"/>
  <c r="K160" i="15"/>
  <c r="F160" i="15"/>
  <c r="K180" i="15"/>
  <c r="F180" i="15"/>
  <c r="K175" i="15"/>
  <c r="F175" i="15"/>
  <c r="K157" i="15"/>
  <c r="F157" i="15"/>
  <c r="E152" i="15"/>
  <c r="E100" i="15"/>
  <c r="E139" i="15"/>
  <c r="E154" i="15"/>
  <c r="E138" i="15"/>
  <c r="E150" i="15"/>
  <c r="E137" i="15"/>
  <c r="E133" i="15"/>
  <c r="E117" i="15"/>
  <c r="E136" i="15"/>
  <c r="E143" i="15"/>
  <c r="E121" i="15"/>
  <c r="E107" i="15"/>
  <c r="E118" i="15"/>
  <c r="E124" i="15"/>
  <c r="E116" i="15"/>
  <c r="E113" i="15"/>
  <c r="E99" i="15"/>
  <c r="E102" i="15"/>
  <c r="E126" i="15"/>
  <c r="E97" i="15"/>
  <c r="E110" i="15"/>
  <c r="E104" i="15"/>
  <c r="E103" i="15"/>
  <c r="E101" i="15"/>
  <c r="E106" i="15"/>
  <c r="E114" i="15"/>
  <c r="E112" i="15"/>
  <c r="E105" i="15"/>
  <c r="E145" i="15"/>
  <c r="E127" i="15"/>
  <c r="E120" i="15"/>
  <c r="E115" i="15"/>
  <c r="E122" i="15"/>
  <c r="E119" i="15"/>
  <c r="E96" i="15"/>
  <c r="E109" i="15"/>
  <c r="E111" i="15"/>
  <c r="E98" i="15"/>
  <c r="E108" i="15"/>
  <c r="E125" i="15"/>
  <c r="E95" i="15"/>
  <c r="E94" i="15"/>
  <c r="C95" i="15"/>
  <c r="E123" i="15"/>
  <c r="C96" i="15"/>
  <c r="C97" i="15"/>
  <c r="C98" i="15"/>
  <c r="C99" i="15"/>
  <c r="C100" i="15"/>
  <c r="C101" i="15"/>
  <c r="C102" i="15"/>
  <c r="C103" i="15"/>
  <c r="C104" i="15"/>
  <c r="C105" i="15"/>
  <c r="C106" i="15"/>
  <c r="C107" i="15"/>
  <c r="C108" i="15"/>
  <c r="C109" i="15"/>
  <c r="C110" i="15"/>
  <c r="C111" i="15"/>
  <c r="C112" i="15"/>
  <c r="C113" i="15"/>
  <c r="C114" i="15"/>
  <c r="C115" i="15"/>
  <c r="C116" i="15"/>
  <c r="C117" i="15"/>
  <c r="C118" i="15"/>
  <c r="C119" i="15"/>
  <c r="C120" i="15"/>
  <c r="C121" i="15"/>
  <c r="C122" i="15"/>
  <c r="C123" i="15"/>
  <c r="C124" i="15"/>
  <c r="C125" i="15"/>
  <c r="C126" i="15"/>
  <c r="C127" i="15"/>
  <c r="E144" i="15"/>
  <c r="E142" i="15"/>
  <c r="E141" i="15"/>
  <c r="E140" i="15"/>
  <c r="E135" i="15"/>
  <c r="E134" i="15"/>
  <c r="E132" i="15"/>
  <c r="E131" i="15"/>
  <c r="E130" i="15"/>
  <c r="E129" i="15"/>
  <c r="E128" i="15"/>
  <c r="C128" i="15"/>
  <c r="C129" i="15"/>
  <c r="C130" i="15"/>
  <c r="C131" i="15"/>
  <c r="C132" i="15"/>
  <c r="C133" i="15"/>
  <c r="C134" i="15"/>
  <c r="C135" i="15"/>
  <c r="C136" i="15"/>
  <c r="C137" i="15"/>
  <c r="C138" i="15"/>
  <c r="C139" i="15"/>
  <c r="C140" i="15"/>
  <c r="C141" i="15"/>
  <c r="C142" i="15"/>
  <c r="C143" i="15"/>
  <c r="C144" i="15"/>
  <c r="C145" i="15"/>
  <c r="E149" i="15"/>
  <c r="E148" i="15"/>
  <c r="E147" i="15"/>
  <c r="E146" i="15"/>
  <c r="C146" i="15"/>
  <c r="C147" i="15"/>
  <c r="C148" i="15"/>
  <c r="C149" i="15"/>
  <c r="C150" i="15"/>
  <c r="E153" i="15"/>
  <c r="E151" i="15"/>
  <c r="C151" i="15"/>
  <c r="C152" i="15"/>
  <c r="C153" i="15"/>
  <c r="C154" i="15"/>
  <c r="D151" i="15"/>
  <c r="D152" i="15"/>
  <c r="D140" i="15"/>
  <c r="D141" i="15"/>
  <c r="D142" i="15"/>
  <c r="D146" i="15"/>
  <c r="D147" i="15"/>
  <c r="D148" i="15"/>
  <c r="D128" i="15"/>
  <c r="D129" i="15"/>
  <c r="D130" i="15"/>
  <c r="D131" i="15"/>
  <c r="D132" i="15"/>
  <c r="E155" i="15"/>
  <c r="C155" i="15"/>
  <c r="D155" i="15"/>
  <c r="D156" i="15"/>
  <c r="D157" i="15"/>
  <c r="D158" i="15"/>
  <c r="D159" i="15"/>
  <c r="D153" i="15"/>
  <c r="D144" i="15"/>
  <c r="D123" i="15"/>
  <c r="D149" i="15"/>
  <c r="D134" i="15"/>
  <c r="D135" i="15"/>
  <c r="E158" i="15"/>
  <c r="E156" i="15"/>
  <c r="C156" i="15"/>
  <c r="C157" i="15"/>
  <c r="C158" i="15"/>
  <c r="C159" i="15"/>
  <c r="K141" i="15"/>
  <c r="F141" i="15"/>
  <c r="K128" i="15"/>
  <c r="F128" i="15"/>
  <c r="K158" i="15"/>
  <c r="F158" i="15"/>
  <c r="K146" i="15"/>
  <c r="F146" i="15"/>
  <c r="K147" i="15"/>
  <c r="F147" i="15"/>
  <c r="K135" i="15"/>
  <c r="F135" i="15"/>
  <c r="K134" i="15"/>
  <c r="F134" i="15"/>
  <c r="K149" i="15"/>
  <c r="F149" i="15"/>
  <c r="K123" i="15"/>
  <c r="F123" i="15"/>
  <c r="K131" i="15"/>
  <c r="F131" i="15"/>
  <c r="K155" i="15"/>
  <c r="F155" i="15"/>
  <c r="K130" i="15"/>
  <c r="F130" i="15"/>
  <c r="K156" i="15"/>
  <c r="F156" i="15"/>
  <c r="K144" i="15"/>
  <c r="F144" i="15"/>
  <c r="K153" i="15"/>
  <c r="F153" i="15"/>
  <c r="K159" i="15"/>
  <c r="F159" i="15"/>
  <c r="K140" i="15"/>
  <c r="F140" i="15"/>
  <c r="K129" i="15"/>
  <c r="F129" i="15"/>
  <c r="K132" i="15"/>
  <c r="F132" i="15"/>
  <c r="K148" i="15"/>
  <c r="F148" i="15"/>
  <c r="K142" i="15"/>
  <c r="F142" i="15"/>
  <c r="K151" i="15"/>
  <c r="F151" i="15"/>
  <c r="K152" i="15"/>
  <c r="F152" i="15"/>
  <c r="K100" i="15"/>
  <c r="F100" i="15"/>
  <c r="D95" i="15"/>
  <c r="D96" i="15"/>
  <c r="D97" i="15"/>
  <c r="D98" i="15"/>
  <c r="D99" i="15"/>
  <c r="D100" i="15"/>
  <c r="K139" i="15"/>
  <c r="F139" i="15"/>
  <c r="D139" i="15"/>
  <c r="K154" i="15"/>
  <c r="F154" i="15"/>
  <c r="D154" i="15"/>
  <c r="K138" i="15"/>
  <c r="F138" i="15"/>
  <c r="D137" i="15"/>
  <c r="D150" i="15"/>
  <c r="D138" i="15"/>
  <c r="K150" i="15"/>
  <c r="F150" i="15"/>
  <c r="K137" i="15"/>
  <c r="F137" i="15"/>
  <c r="K133" i="15"/>
  <c r="F133" i="15"/>
  <c r="D136" i="15"/>
  <c r="D117" i="15"/>
  <c r="D133" i="15"/>
  <c r="K117" i="15"/>
  <c r="F117" i="15"/>
  <c r="K136" i="15"/>
  <c r="F136" i="15"/>
  <c r="K143" i="15"/>
  <c r="F143" i="15"/>
  <c r="D121" i="15"/>
  <c r="D143" i="15"/>
  <c r="K121" i="15"/>
  <c r="F121" i="15"/>
  <c r="K107" i="15"/>
  <c r="F107" i="15"/>
  <c r="D107" i="15"/>
  <c r="K118" i="15"/>
  <c r="F118" i="15"/>
  <c r="D124" i="15"/>
  <c r="D118" i="15"/>
  <c r="K124" i="15"/>
  <c r="F124" i="15"/>
  <c r="K116" i="15"/>
  <c r="F116" i="15"/>
  <c r="D116" i="15"/>
  <c r="D125" i="15"/>
  <c r="D108" i="15"/>
  <c r="D109" i="15"/>
  <c r="D110" i="15"/>
  <c r="D111" i="15"/>
  <c r="D119" i="15"/>
  <c r="D122" i="15"/>
  <c r="D112" i="15"/>
  <c r="D113" i="15"/>
  <c r="D114" i="15"/>
  <c r="D115" i="15"/>
  <c r="D120" i="15"/>
  <c r="D126" i="15"/>
  <c r="D127" i="15"/>
  <c r="D145" i="15"/>
  <c r="D101" i="15"/>
  <c r="D102" i="15"/>
  <c r="D103" i="15"/>
  <c r="D104" i="15"/>
  <c r="D105" i="15"/>
  <c r="D106" i="15"/>
  <c r="K113" i="15"/>
  <c r="F113" i="15"/>
  <c r="K99" i="15"/>
  <c r="F99" i="15"/>
  <c r="K102" i="15"/>
  <c r="F102" i="15"/>
  <c r="K126" i="15"/>
  <c r="F126" i="15"/>
  <c r="K97" i="15"/>
  <c r="F97" i="15"/>
  <c r="K110" i="15"/>
  <c r="F110" i="15"/>
  <c r="K104" i="15"/>
  <c r="F104" i="15"/>
  <c r="K103" i="15"/>
  <c r="F103" i="15"/>
  <c r="K101" i="15"/>
  <c r="F101" i="15"/>
  <c r="K106" i="15"/>
  <c r="F106" i="15"/>
  <c r="K114" i="15"/>
  <c r="F114" i="15"/>
  <c r="K112" i="15"/>
  <c r="F112" i="15"/>
  <c r="K105" i="15"/>
  <c r="F105" i="15"/>
  <c r="K145" i="15"/>
  <c r="F145" i="15"/>
  <c r="K127" i="15"/>
  <c r="F127" i="15"/>
  <c r="K120" i="15"/>
  <c r="F120" i="15"/>
  <c r="K115" i="15"/>
  <c r="F115" i="15"/>
  <c r="K122" i="15"/>
  <c r="F122" i="15"/>
  <c r="K119" i="15"/>
  <c r="F119" i="15"/>
  <c r="K96" i="15"/>
  <c r="F96" i="15"/>
  <c r="K109" i="15"/>
  <c r="F109" i="15"/>
  <c r="K111" i="15"/>
  <c r="F111" i="15"/>
  <c r="K98" i="15"/>
  <c r="F98" i="15"/>
  <c r="K108" i="15"/>
  <c r="F108" i="15"/>
  <c r="K125" i="15"/>
  <c r="F125" i="15"/>
  <c r="K95" i="15"/>
  <c r="F95" i="15"/>
  <c r="K94" i="15"/>
  <c r="F94" i="15"/>
  <c r="E89" i="15"/>
  <c r="E83" i="15"/>
  <c r="E71" i="15"/>
  <c r="E92" i="15"/>
  <c r="E78" i="15"/>
  <c r="E88" i="15"/>
  <c r="E82" i="15"/>
  <c r="E81" i="15"/>
  <c r="E79" i="15"/>
  <c r="E91" i="15"/>
  <c r="E87" i="15"/>
  <c r="E90" i="15"/>
  <c r="E93" i="15"/>
  <c r="E77" i="15"/>
  <c r="E69" i="15"/>
  <c r="E85" i="15"/>
  <c r="E84" i="15"/>
  <c r="E72" i="15"/>
  <c r="E80" i="15"/>
  <c r="E76" i="15"/>
  <c r="E73" i="15"/>
  <c r="E68" i="15"/>
  <c r="E74" i="15"/>
  <c r="E75" i="15"/>
  <c r="E65" i="15"/>
  <c r="E86" i="15"/>
  <c r="E64" i="15"/>
  <c r="E67" i="15"/>
  <c r="E60" i="15"/>
  <c r="E59" i="15"/>
  <c r="E70" i="15"/>
  <c r="E63" i="15"/>
  <c r="E61" i="15"/>
  <c r="E58" i="15"/>
  <c r="E62" i="15"/>
  <c r="E57" i="15"/>
  <c r="E66" i="15"/>
  <c r="E54" i="15"/>
  <c r="E56" i="15"/>
  <c r="C57" i="15"/>
  <c r="C58" i="15"/>
  <c r="C59" i="15"/>
  <c r="C60" i="15"/>
  <c r="C61" i="15"/>
  <c r="C62" i="15"/>
  <c r="C63" i="15"/>
  <c r="C64" i="15"/>
  <c r="C65" i="15"/>
  <c r="C66" i="15"/>
  <c r="C67" i="15"/>
  <c r="C68" i="15"/>
  <c r="C69" i="15"/>
  <c r="C70" i="15"/>
  <c r="C71" i="15"/>
  <c r="C72" i="15"/>
  <c r="C73" i="15"/>
  <c r="C74" i="15"/>
  <c r="C75" i="15"/>
  <c r="C76" i="15"/>
  <c r="C77" i="15"/>
  <c r="C78" i="15"/>
  <c r="C79" i="15"/>
  <c r="C80" i="15"/>
  <c r="C81" i="15"/>
  <c r="C82" i="15"/>
  <c r="C83" i="15"/>
  <c r="C84" i="15"/>
  <c r="C85" i="15"/>
  <c r="C86" i="15"/>
  <c r="C87" i="15"/>
  <c r="C88" i="15"/>
  <c r="C89" i="15"/>
  <c r="C90" i="15"/>
  <c r="C91" i="15"/>
  <c r="C92" i="15"/>
  <c r="C93" i="15"/>
  <c r="C94" i="15"/>
  <c r="D94" i="15"/>
  <c r="K89" i="15"/>
  <c r="F89" i="15"/>
  <c r="D71" i="15"/>
  <c r="D72" i="15"/>
  <c r="D73" i="15"/>
  <c r="D76" i="15"/>
  <c r="D77" i="15"/>
  <c r="D78" i="15"/>
  <c r="D79" i="15"/>
  <c r="D80" i="15"/>
  <c r="D81" i="15"/>
  <c r="D82" i="15"/>
  <c r="D83" i="15"/>
  <c r="D84" i="15"/>
  <c r="D85" i="15"/>
  <c r="D69" i="15"/>
  <c r="D87" i="15"/>
  <c r="D88" i="15"/>
  <c r="D89" i="15"/>
  <c r="D90" i="15"/>
  <c r="D91" i="15"/>
  <c r="D92" i="15"/>
  <c r="D93" i="15"/>
  <c r="K83" i="15"/>
  <c r="F83" i="15"/>
  <c r="K71" i="15"/>
  <c r="F71" i="15"/>
  <c r="K92" i="15"/>
  <c r="F92" i="15"/>
  <c r="K78" i="15"/>
  <c r="F78" i="15"/>
  <c r="K88" i="15"/>
  <c r="F88" i="15"/>
  <c r="K82" i="15"/>
  <c r="F82" i="15"/>
  <c r="K81" i="15"/>
  <c r="F81" i="15"/>
  <c r="K79" i="15"/>
  <c r="F79" i="15"/>
  <c r="K91" i="15"/>
  <c r="F91" i="15"/>
  <c r="K87" i="15"/>
  <c r="F87" i="15"/>
  <c r="K90" i="15"/>
  <c r="F90" i="15"/>
  <c r="K93" i="15"/>
  <c r="F93" i="15"/>
  <c r="K77" i="15"/>
  <c r="F77" i="15"/>
  <c r="K69" i="15"/>
  <c r="F69" i="15"/>
  <c r="K85" i="15"/>
  <c r="F85" i="15"/>
  <c r="K84" i="15"/>
  <c r="F84" i="15"/>
  <c r="K72" i="15"/>
  <c r="F72" i="15"/>
  <c r="K80" i="15"/>
  <c r="F80" i="15"/>
  <c r="K76" i="15"/>
  <c r="F76" i="15"/>
  <c r="K73" i="15"/>
  <c r="F73" i="15"/>
  <c r="K68" i="15"/>
  <c r="F68" i="15"/>
  <c r="D74" i="15"/>
  <c r="D68" i="15"/>
  <c r="K74" i="15"/>
  <c r="F74" i="15"/>
  <c r="K75" i="15"/>
  <c r="F75" i="15"/>
  <c r="D75" i="15"/>
  <c r="K65" i="15"/>
  <c r="F65" i="15"/>
  <c r="D86" i="15"/>
  <c r="D65" i="15"/>
  <c r="K86" i="15"/>
  <c r="F86" i="15"/>
  <c r="K64" i="15"/>
  <c r="F64" i="15"/>
  <c r="D64" i="15"/>
  <c r="K67" i="15"/>
  <c r="F67" i="15"/>
  <c r="D67" i="15"/>
  <c r="K60" i="15"/>
  <c r="F60" i="15"/>
  <c r="D66" i="15"/>
  <c r="D57" i="15"/>
  <c r="D58" i="15"/>
  <c r="D59" i="15"/>
  <c r="D60" i="15"/>
  <c r="D61" i="15"/>
  <c r="D62" i="15"/>
  <c r="D63" i="15"/>
  <c r="D70" i="15"/>
  <c r="K59" i="15"/>
  <c r="F59" i="15"/>
  <c r="K70" i="15"/>
  <c r="F70" i="15"/>
  <c r="K63" i="15"/>
  <c r="F63" i="15"/>
  <c r="K61" i="15"/>
  <c r="F61" i="15"/>
  <c r="K58" i="15"/>
  <c r="F58" i="15"/>
  <c r="K62" i="15"/>
  <c r="F62" i="15"/>
  <c r="K57" i="15"/>
  <c r="F57" i="15"/>
  <c r="K66" i="15"/>
  <c r="F66" i="15"/>
  <c r="K54" i="15"/>
  <c r="F54" i="15"/>
  <c r="E53" i="15"/>
  <c r="E37" i="15"/>
  <c r="E13" i="15"/>
  <c r="E51" i="15"/>
  <c r="E35" i="15"/>
  <c r="E17" i="15"/>
  <c r="E39" i="15"/>
  <c r="E44" i="15"/>
  <c r="E42" i="15"/>
  <c r="E34" i="15"/>
  <c r="E12" i="15"/>
  <c r="E40" i="15"/>
  <c r="E25" i="15"/>
  <c r="E29" i="15"/>
  <c r="E23" i="15"/>
  <c r="E18" i="15"/>
  <c r="E31" i="15"/>
  <c r="E33" i="15"/>
  <c r="E21" i="15"/>
  <c r="E41" i="15"/>
  <c r="E14" i="15"/>
  <c r="E22" i="15"/>
  <c r="E27" i="15"/>
  <c r="E30" i="15"/>
  <c r="E26" i="15"/>
  <c r="E36" i="15"/>
  <c r="E19" i="15"/>
  <c r="E20" i="15"/>
  <c r="E24" i="15"/>
  <c r="E11" i="15"/>
  <c r="E28" i="15"/>
  <c r="E9" i="15"/>
  <c r="E7" i="15"/>
  <c r="E10" i="15"/>
  <c r="E15" i="15"/>
  <c r="E6" i="15"/>
  <c r="E5" i="15"/>
  <c r="E16" i="15"/>
  <c r="E8" i="15"/>
  <c r="E4" i="15"/>
  <c r="C5" i="15"/>
  <c r="C6" i="15"/>
  <c r="C7" i="15"/>
  <c r="C8" i="15"/>
  <c r="C9" i="15"/>
  <c r="C10" i="15"/>
  <c r="C11" i="15"/>
  <c r="C12" i="15"/>
  <c r="C13" i="15"/>
  <c r="C14" i="15"/>
  <c r="C15" i="15"/>
  <c r="C16" i="15"/>
  <c r="C17" i="15"/>
  <c r="C18" i="15"/>
  <c r="C19" i="15"/>
  <c r="C20" i="15"/>
  <c r="C21" i="15"/>
  <c r="C22" i="15"/>
  <c r="C23" i="15"/>
  <c r="C24" i="15"/>
  <c r="C25" i="15"/>
  <c r="C26" i="15"/>
  <c r="C27" i="15"/>
  <c r="C28" i="15"/>
  <c r="E32" i="15"/>
  <c r="C29" i="15"/>
  <c r="C30" i="15"/>
  <c r="C31" i="15"/>
  <c r="C32" i="15"/>
  <c r="C33" i="15"/>
  <c r="C34" i="15"/>
  <c r="C35" i="15"/>
  <c r="C36" i="15"/>
  <c r="E38" i="15"/>
  <c r="C37" i="15"/>
  <c r="C38" i="15"/>
  <c r="C39" i="15"/>
  <c r="C40" i="15"/>
  <c r="C41" i="15"/>
  <c r="C42" i="15"/>
  <c r="E43" i="15"/>
  <c r="C43" i="15"/>
  <c r="C44" i="15"/>
  <c r="E50" i="15"/>
  <c r="E49" i="15"/>
  <c r="E48" i="15"/>
  <c r="E47" i="15"/>
  <c r="E46" i="15"/>
  <c r="E45" i="15"/>
  <c r="C45" i="15"/>
  <c r="C46" i="15"/>
  <c r="C47" i="15"/>
  <c r="C48" i="15"/>
  <c r="C49" i="15"/>
  <c r="C50" i="15"/>
  <c r="C51" i="15"/>
  <c r="E52" i="15"/>
  <c r="C52" i="15"/>
  <c r="C53" i="15"/>
  <c r="D52" i="15"/>
  <c r="D53" i="15"/>
  <c r="D45" i="15"/>
  <c r="D46" i="15"/>
  <c r="D47" i="15"/>
  <c r="D32" i="15"/>
  <c r="D54" i="15"/>
  <c r="D55" i="15"/>
  <c r="D56" i="15"/>
  <c r="D38" i="15"/>
  <c r="D43" i="15"/>
  <c r="D48" i="15"/>
  <c r="D49" i="15"/>
  <c r="D50" i="15"/>
  <c r="E55" i="15"/>
  <c r="C54" i="15"/>
  <c r="C55" i="15"/>
  <c r="C56" i="15"/>
  <c r="K52" i="15"/>
  <c r="F52" i="15"/>
  <c r="K48" i="15"/>
  <c r="F48" i="15"/>
  <c r="K55" i="15"/>
  <c r="F55" i="15"/>
  <c r="K50" i="15"/>
  <c r="F50" i="15"/>
  <c r="K49" i="15"/>
  <c r="F49" i="15"/>
  <c r="K46" i="15"/>
  <c r="F46" i="15"/>
  <c r="K43" i="15"/>
  <c r="F43" i="15"/>
  <c r="K38" i="15"/>
  <c r="F38" i="15"/>
  <c r="K56" i="15"/>
  <c r="F56" i="15"/>
  <c r="K32" i="15"/>
  <c r="F32" i="15"/>
  <c r="K47" i="15"/>
  <c r="F47" i="15"/>
  <c r="K45" i="15"/>
  <c r="F45" i="15"/>
  <c r="K53" i="15"/>
  <c r="F53" i="15"/>
  <c r="K37" i="15"/>
  <c r="F37" i="15"/>
  <c r="D37" i="15"/>
  <c r="K13" i="15"/>
  <c r="F13" i="15"/>
  <c r="D13" i="15"/>
  <c r="K51" i="15"/>
  <c r="F51" i="15"/>
  <c r="D51" i="15"/>
  <c r="K35" i="15"/>
  <c r="F35" i="15"/>
  <c r="D35" i="15"/>
  <c r="K17" i="15"/>
  <c r="F17" i="15"/>
  <c r="D25" i="15"/>
  <c r="D26" i="15"/>
  <c r="D29" i="15"/>
  <c r="D30" i="15"/>
  <c r="D27" i="15"/>
  <c r="D21" i="15"/>
  <c r="D22" i="15"/>
  <c r="D14" i="15"/>
  <c r="D39" i="15"/>
  <c r="D40" i="15"/>
  <c r="D41" i="15"/>
  <c r="D33" i="15"/>
  <c r="D31" i="15"/>
  <c r="D17" i="15"/>
  <c r="D18" i="15"/>
  <c r="D23" i="15"/>
  <c r="D12" i="15"/>
  <c r="D34" i="15"/>
  <c r="D42" i="15"/>
  <c r="D44" i="15"/>
  <c r="K39" i="15"/>
  <c r="F39" i="15"/>
  <c r="K44" i="15"/>
  <c r="F44" i="15"/>
  <c r="K42" i="15"/>
  <c r="F42" i="15"/>
  <c r="K34" i="15"/>
  <c r="F34" i="15"/>
  <c r="K12" i="15"/>
  <c r="F12" i="15"/>
  <c r="K40" i="15"/>
  <c r="F40" i="15"/>
  <c r="K25" i="15"/>
  <c r="F25" i="15"/>
  <c r="K29" i="15"/>
  <c r="F29" i="15"/>
  <c r="K23" i="15"/>
  <c r="F23" i="15"/>
  <c r="K18" i="15"/>
  <c r="F18" i="15"/>
  <c r="K31" i="15"/>
  <c r="F31" i="15"/>
  <c r="K33" i="15"/>
  <c r="F33" i="15"/>
  <c r="K21" i="15"/>
  <c r="F21" i="15"/>
  <c r="K41" i="15"/>
  <c r="F41" i="15"/>
  <c r="K14" i="15"/>
  <c r="F14" i="15"/>
  <c r="K22" i="15"/>
  <c r="F22" i="15"/>
  <c r="K27" i="15"/>
  <c r="F27" i="15"/>
  <c r="K30" i="15"/>
  <c r="F30" i="15"/>
  <c r="K26" i="15"/>
  <c r="F26" i="15"/>
  <c r="K36" i="15"/>
  <c r="F36" i="15"/>
  <c r="D36" i="15"/>
  <c r="K19" i="15"/>
  <c r="F19" i="15"/>
  <c r="D19" i="15"/>
  <c r="K20" i="15"/>
  <c r="F20" i="15"/>
  <c r="D11" i="15"/>
  <c r="D24" i="15"/>
  <c r="D20" i="15"/>
  <c r="K24" i="15"/>
  <c r="F24" i="15"/>
  <c r="K11" i="15"/>
  <c r="F11" i="15"/>
  <c r="K28" i="15"/>
  <c r="F28" i="15"/>
  <c r="D28" i="15"/>
  <c r="K9" i="15"/>
  <c r="F9" i="15"/>
  <c r="D9" i="15"/>
  <c r="K7" i="15"/>
  <c r="F7" i="15"/>
  <c r="D7" i="15"/>
  <c r="D8" i="15"/>
  <c r="D15" i="15"/>
  <c r="D16" i="15"/>
  <c r="D5" i="15"/>
  <c r="D6" i="15"/>
  <c r="D10" i="15"/>
  <c r="K10" i="15"/>
  <c r="F10" i="15"/>
  <c r="K15" i="15"/>
  <c r="F15" i="15"/>
  <c r="K6" i="15"/>
  <c r="F6" i="15"/>
  <c r="K5" i="15"/>
  <c r="F5" i="15"/>
  <c r="K16" i="15"/>
  <c r="F16" i="15"/>
  <c r="K8" i="15"/>
  <c r="F8" i="15"/>
  <c r="K4" i="15"/>
  <c r="F4" i="15"/>
  <c r="E3" i="15"/>
  <c r="E2" i="15"/>
  <c r="C2" i="15"/>
  <c r="C3" i="15"/>
  <c r="C4" i="15"/>
  <c r="D4" i="15"/>
  <c r="K3" i="15"/>
  <c r="F3" i="15"/>
  <c r="D3" i="15"/>
  <c r="K2" i="15"/>
  <c r="F2" i="15"/>
  <c r="D2" i="15"/>
  <c r="R1" i="15"/>
  <c r="S1" i="15"/>
  <c r="T1" i="15"/>
  <c r="U1" i="15"/>
  <c r="V1" i="15"/>
  <c r="W1" i="15"/>
  <c r="X1" i="15"/>
  <c r="Y1" i="15"/>
  <c r="Z1" i="15"/>
  <c r="AA1" i="15"/>
  <c r="AB1" i="15"/>
  <c r="AC1" i="15"/>
  <c r="K411" i="14"/>
  <c r="F411" i="14"/>
  <c r="E411" i="14"/>
  <c r="E410" i="14"/>
  <c r="C411" i="14"/>
  <c r="D411" i="14"/>
  <c r="K410" i="14"/>
  <c r="F410" i="14"/>
  <c r="E409" i="14"/>
  <c r="C409" i="14"/>
  <c r="D409" i="14"/>
  <c r="D410" i="14"/>
  <c r="C410" i="14"/>
  <c r="K409" i="14"/>
  <c r="F409" i="14"/>
  <c r="K407" i="14"/>
  <c r="F407" i="14"/>
  <c r="E407" i="14"/>
  <c r="C407" i="14"/>
  <c r="D407" i="14"/>
  <c r="K405" i="14"/>
  <c r="F405" i="14"/>
  <c r="E405" i="14"/>
  <c r="C405" i="14"/>
  <c r="D405" i="14"/>
  <c r="K403" i="14"/>
  <c r="H403" i="14"/>
  <c r="F403" i="14"/>
  <c r="E403" i="14"/>
  <c r="E402" i="14"/>
  <c r="E401" i="14"/>
  <c r="C402" i="14"/>
  <c r="C403" i="14"/>
  <c r="D403" i="14"/>
  <c r="K402" i="14"/>
  <c r="H402" i="14"/>
  <c r="F402" i="14"/>
  <c r="D402" i="14"/>
  <c r="K401" i="14"/>
  <c r="H401" i="14"/>
  <c r="F401" i="14"/>
  <c r="E400" i="14"/>
  <c r="C401" i="14"/>
  <c r="D401" i="14"/>
  <c r="K400" i="14"/>
  <c r="H400" i="14"/>
  <c r="F400" i="14"/>
  <c r="E399" i="14"/>
  <c r="E398" i="14"/>
  <c r="E397" i="14"/>
  <c r="C398" i="14"/>
  <c r="C399" i="14"/>
  <c r="C400" i="14"/>
  <c r="D400" i="14"/>
  <c r="K399" i="14"/>
  <c r="H399" i="14"/>
  <c r="F399" i="14"/>
  <c r="D399" i="14"/>
  <c r="K398" i="14"/>
  <c r="H398" i="14"/>
  <c r="F398" i="14"/>
  <c r="D398" i="14"/>
  <c r="K397" i="14"/>
  <c r="H397" i="14"/>
  <c r="F397" i="14"/>
  <c r="E396" i="14"/>
  <c r="E395" i="14"/>
  <c r="E394" i="14"/>
  <c r="E393" i="14"/>
  <c r="E392" i="14"/>
  <c r="E391" i="14"/>
  <c r="E390" i="14"/>
  <c r="C391" i="14"/>
  <c r="C392" i="14"/>
  <c r="C393" i="14"/>
  <c r="C394" i="14"/>
  <c r="C395" i="14"/>
  <c r="C396" i="14"/>
  <c r="C397" i="14"/>
  <c r="D397" i="14"/>
  <c r="K396" i="14"/>
  <c r="H396" i="14"/>
  <c r="F396" i="14"/>
  <c r="D396" i="14"/>
  <c r="K395" i="14"/>
  <c r="H395" i="14"/>
  <c r="F395" i="14"/>
  <c r="D395" i="14"/>
  <c r="K394" i="14"/>
  <c r="H394" i="14"/>
  <c r="F394" i="14"/>
  <c r="D394" i="14"/>
  <c r="K393" i="14"/>
  <c r="H393" i="14"/>
  <c r="F393" i="14"/>
  <c r="D393" i="14"/>
  <c r="K392" i="14"/>
  <c r="H392" i="14"/>
  <c r="F392" i="14"/>
  <c r="D392" i="14"/>
  <c r="K391" i="14"/>
  <c r="H391" i="14"/>
  <c r="F391" i="14"/>
  <c r="D391" i="14"/>
  <c r="K390" i="14"/>
  <c r="H390" i="14"/>
  <c r="F390" i="14"/>
  <c r="E389" i="14"/>
  <c r="C390" i="14"/>
  <c r="D390" i="14"/>
  <c r="K389" i="14"/>
  <c r="H389" i="14"/>
  <c r="F389" i="14"/>
  <c r="C389" i="14"/>
  <c r="D389" i="14"/>
  <c r="K387" i="14"/>
  <c r="F387" i="14"/>
  <c r="E387" i="14"/>
  <c r="C387" i="14"/>
  <c r="D387" i="14"/>
  <c r="K385" i="14"/>
  <c r="F385" i="14"/>
  <c r="E385" i="14"/>
  <c r="C385" i="14"/>
  <c r="D385" i="14"/>
  <c r="K382" i="14"/>
  <c r="F382" i="14"/>
  <c r="E382" i="14"/>
  <c r="E381" i="14"/>
  <c r="C382" i="14"/>
  <c r="D382" i="14"/>
  <c r="K381" i="14"/>
  <c r="F381" i="14"/>
  <c r="E378" i="14"/>
  <c r="C378" i="14"/>
  <c r="D378" i="14"/>
  <c r="D379" i="14"/>
  <c r="D380" i="14"/>
  <c r="D381" i="14"/>
  <c r="E380" i="14"/>
  <c r="E379" i="14"/>
  <c r="C379" i="14"/>
  <c r="C380" i="14"/>
  <c r="C381" i="14"/>
  <c r="K380" i="14"/>
  <c r="F380" i="14"/>
  <c r="K379" i="14"/>
  <c r="F379" i="14"/>
  <c r="K378" i="14"/>
  <c r="F378" i="14"/>
  <c r="K375" i="14"/>
  <c r="F375" i="14"/>
  <c r="E375" i="14"/>
  <c r="E374" i="14"/>
  <c r="E373" i="14"/>
  <c r="C374" i="14"/>
  <c r="D374" i="14"/>
  <c r="D375" i="14"/>
  <c r="C375" i="14"/>
  <c r="K374" i="14"/>
  <c r="F374" i="14"/>
  <c r="K373" i="14"/>
  <c r="F373" i="14"/>
  <c r="E372" i="14"/>
  <c r="E371" i="14"/>
  <c r="C372" i="14"/>
  <c r="D372" i="14"/>
  <c r="D373" i="14"/>
  <c r="C373" i="14"/>
  <c r="K372" i="14"/>
  <c r="F372" i="14"/>
  <c r="K371" i="14"/>
  <c r="F371" i="14"/>
  <c r="E370" i="14"/>
  <c r="C370" i="14"/>
  <c r="D370" i="14"/>
  <c r="D371" i="14"/>
  <c r="C371" i="14"/>
  <c r="K370" i="14"/>
  <c r="F370" i="14"/>
  <c r="K367" i="14"/>
  <c r="F367" i="14"/>
  <c r="E367" i="14"/>
  <c r="C367" i="14"/>
  <c r="D367" i="14"/>
  <c r="K365" i="14"/>
  <c r="F365" i="14"/>
  <c r="E365" i="14"/>
  <c r="C365" i="14"/>
  <c r="D365" i="14"/>
  <c r="K363" i="14"/>
  <c r="F363" i="14"/>
  <c r="E363" i="14"/>
  <c r="E362" i="14"/>
  <c r="E361" i="14"/>
  <c r="C362" i="14"/>
  <c r="C363" i="14"/>
  <c r="D363" i="14"/>
  <c r="K362" i="14"/>
  <c r="F362" i="14"/>
  <c r="E360" i="14"/>
  <c r="C360" i="14"/>
  <c r="D360" i="14"/>
  <c r="D361" i="14"/>
  <c r="D362" i="14"/>
  <c r="K361" i="14"/>
  <c r="F361" i="14"/>
  <c r="C361" i="14"/>
  <c r="K360" i="14"/>
  <c r="F360" i="14"/>
  <c r="K358" i="14"/>
  <c r="F358" i="14"/>
  <c r="E358" i="14"/>
  <c r="E357" i="14"/>
  <c r="E356" i="14"/>
  <c r="C357" i="14"/>
  <c r="D357" i="14"/>
  <c r="D358" i="14"/>
  <c r="C358" i="14"/>
  <c r="K357" i="14"/>
  <c r="F357" i="14"/>
  <c r="K356" i="14"/>
  <c r="F356" i="14"/>
  <c r="C356" i="14"/>
  <c r="D356" i="14"/>
  <c r="K354" i="14"/>
  <c r="F354" i="14"/>
  <c r="E354" i="14"/>
  <c r="E353" i="14"/>
  <c r="E352" i="14"/>
  <c r="E351" i="14"/>
  <c r="C352" i="14"/>
  <c r="C353" i="14"/>
  <c r="C354" i="14"/>
  <c r="D354" i="14"/>
  <c r="K353" i="14"/>
  <c r="F353" i="14"/>
  <c r="D352" i="14"/>
  <c r="D353" i="14"/>
  <c r="K352" i="14"/>
  <c r="F352" i="14"/>
  <c r="K351" i="14"/>
  <c r="F351" i="14"/>
  <c r="E344" i="14"/>
  <c r="E343" i="14"/>
  <c r="C344" i="14"/>
  <c r="D344" i="14"/>
  <c r="D345" i="14"/>
  <c r="D346" i="14"/>
  <c r="D347" i="14"/>
  <c r="D348" i="14"/>
  <c r="D349" i="14"/>
  <c r="D350" i="14"/>
  <c r="D351" i="14"/>
  <c r="E350" i="14"/>
  <c r="E349" i="14"/>
  <c r="E348" i="14"/>
  <c r="E347" i="14"/>
  <c r="E346" i="14"/>
  <c r="E345" i="14"/>
  <c r="C345" i="14"/>
  <c r="C346" i="14"/>
  <c r="C347" i="14"/>
  <c r="C348" i="14"/>
  <c r="C349" i="14"/>
  <c r="C350" i="14"/>
  <c r="C351" i="14"/>
  <c r="K350" i="14"/>
  <c r="F350" i="14"/>
  <c r="K349" i="14"/>
  <c r="F349" i="14"/>
  <c r="K348" i="14"/>
  <c r="F348" i="14"/>
  <c r="K347" i="14"/>
  <c r="F347" i="14"/>
  <c r="K346" i="14"/>
  <c r="F346" i="14"/>
  <c r="K345" i="14"/>
  <c r="F345" i="14"/>
  <c r="K344" i="14"/>
  <c r="F344" i="14"/>
  <c r="K343" i="14"/>
  <c r="F343" i="14"/>
  <c r="E342" i="14"/>
  <c r="C342" i="14"/>
  <c r="D342" i="14"/>
  <c r="D343" i="14"/>
  <c r="C343" i="14"/>
  <c r="K342" i="14"/>
  <c r="F342" i="14"/>
  <c r="K340" i="14"/>
  <c r="F340" i="14"/>
  <c r="E340" i="14"/>
  <c r="E334" i="14"/>
  <c r="E333" i="14"/>
  <c r="E332" i="14"/>
  <c r="E331" i="14"/>
  <c r="E330" i="14"/>
  <c r="E329" i="14"/>
  <c r="E328" i="14"/>
  <c r="E327" i="14"/>
  <c r="E326" i="14"/>
  <c r="E325" i="14"/>
  <c r="E324" i="14"/>
  <c r="E323" i="14"/>
  <c r="E322" i="14"/>
  <c r="E321" i="14"/>
  <c r="E320" i="14"/>
  <c r="E319" i="14"/>
  <c r="E318" i="14"/>
  <c r="E317" i="14"/>
  <c r="E316" i="14"/>
  <c r="E315" i="14"/>
  <c r="E314" i="14"/>
  <c r="E313" i="14"/>
  <c r="C314" i="14"/>
  <c r="C315" i="14"/>
  <c r="C316" i="14"/>
  <c r="C317" i="14"/>
  <c r="C318" i="14"/>
  <c r="C319" i="14"/>
  <c r="C320" i="14"/>
  <c r="C321" i="14"/>
  <c r="C322" i="14"/>
  <c r="C323" i="14"/>
  <c r="C324" i="14"/>
  <c r="C325" i="14"/>
  <c r="C326" i="14"/>
  <c r="C327" i="14"/>
  <c r="C328" i="14"/>
  <c r="C329" i="14"/>
  <c r="C330" i="14"/>
  <c r="C331" i="14"/>
  <c r="C332" i="14"/>
  <c r="C333" i="14"/>
  <c r="C334" i="14"/>
  <c r="D334" i="14"/>
  <c r="D335" i="14"/>
  <c r="D336" i="14"/>
  <c r="D337" i="14"/>
  <c r="D338" i="14"/>
  <c r="D339" i="14"/>
  <c r="D340" i="14"/>
  <c r="E339" i="14"/>
  <c r="E338" i="14"/>
  <c r="E337" i="14"/>
  <c r="E336" i="14"/>
  <c r="E335" i="14"/>
  <c r="C335" i="14"/>
  <c r="C336" i="14"/>
  <c r="C337" i="14"/>
  <c r="C338" i="14"/>
  <c r="C339" i="14"/>
  <c r="C340" i="14"/>
  <c r="K339" i="14"/>
  <c r="F339" i="14"/>
  <c r="K338" i="14"/>
  <c r="F338" i="14"/>
  <c r="K337" i="14"/>
  <c r="F337" i="14"/>
  <c r="K336" i="14"/>
  <c r="F336" i="14"/>
  <c r="K335" i="14"/>
  <c r="F335" i="14"/>
  <c r="K334" i="14"/>
  <c r="F334" i="14"/>
  <c r="K333" i="14"/>
  <c r="F333" i="14"/>
  <c r="D333" i="14"/>
  <c r="K332" i="14"/>
  <c r="F332" i="14"/>
  <c r="D332" i="14"/>
  <c r="K331" i="14"/>
  <c r="F331" i="14"/>
  <c r="D331" i="14"/>
  <c r="K330" i="14"/>
  <c r="F330" i="14"/>
  <c r="D314" i="14"/>
  <c r="D315" i="14"/>
  <c r="D316" i="14"/>
  <c r="D317" i="14"/>
  <c r="D318" i="14"/>
  <c r="D319" i="14"/>
  <c r="D320" i="14"/>
  <c r="D321" i="14"/>
  <c r="D322" i="14"/>
  <c r="D323" i="14"/>
  <c r="D324" i="14"/>
  <c r="D325" i="14"/>
  <c r="D326" i="14"/>
  <c r="D327" i="14"/>
  <c r="D328" i="14"/>
  <c r="D329" i="14"/>
  <c r="D330" i="14"/>
  <c r="K329" i="14"/>
  <c r="F329" i="14"/>
  <c r="K328" i="14"/>
  <c r="F328" i="14"/>
  <c r="K327" i="14"/>
  <c r="F327" i="14"/>
  <c r="K326" i="14"/>
  <c r="F326" i="14"/>
  <c r="K325" i="14"/>
  <c r="F325" i="14"/>
  <c r="K324" i="14"/>
  <c r="F324" i="14"/>
  <c r="K323" i="14"/>
  <c r="F323" i="14"/>
  <c r="K322" i="14"/>
  <c r="F322" i="14"/>
  <c r="K321" i="14"/>
  <c r="F321" i="14"/>
  <c r="K320" i="14"/>
  <c r="F320" i="14"/>
  <c r="K319" i="14"/>
  <c r="F319" i="14"/>
  <c r="K318" i="14"/>
  <c r="F318" i="14"/>
  <c r="K317" i="14"/>
  <c r="F317" i="14"/>
  <c r="K316" i="14"/>
  <c r="F316" i="14"/>
  <c r="K315" i="14"/>
  <c r="F315" i="14"/>
  <c r="K314" i="14"/>
  <c r="F314" i="14"/>
  <c r="K313" i="14"/>
  <c r="F313" i="14"/>
  <c r="E307" i="14"/>
  <c r="E306" i="14"/>
  <c r="E305" i="14"/>
  <c r="E304" i="14"/>
  <c r="E303" i="14"/>
  <c r="E302" i="14"/>
  <c r="E301" i="14"/>
  <c r="E300" i="14"/>
  <c r="E299" i="14"/>
  <c r="E298" i="14"/>
  <c r="E297" i="14"/>
  <c r="E296" i="14"/>
  <c r="E295" i="14"/>
  <c r="E294" i="14"/>
  <c r="E293" i="14"/>
  <c r="E292" i="14"/>
  <c r="E291" i="14"/>
  <c r="E290" i="14"/>
  <c r="E289" i="14"/>
  <c r="E288" i="14"/>
  <c r="E287" i="14"/>
  <c r="E286" i="14"/>
  <c r="E285" i="14"/>
  <c r="E284" i="14"/>
  <c r="E283" i="14"/>
  <c r="E282" i="14"/>
  <c r="E281" i="14"/>
  <c r="E280" i="14"/>
  <c r="C281" i="14"/>
  <c r="C282" i="14"/>
  <c r="C283" i="14"/>
  <c r="C284" i="14"/>
  <c r="C285" i="14"/>
  <c r="C286" i="14"/>
  <c r="C287" i="14"/>
  <c r="C288" i="14"/>
  <c r="C289" i="14"/>
  <c r="C290" i="14"/>
  <c r="C291" i="14"/>
  <c r="C292" i="14"/>
  <c r="C293" i="14"/>
  <c r="C294" i="14"/>
  <c r="C295" i="14"/>
  <c r="C296" i="14"/>
  <c r="C297" i="14"/>
  <c r="C298" i="14"/>
  <c r="C299" i="14"/>
  <c r="C300" i="14"/>
  <c r="C301" i="14"/>
  <c r="C302" i="14"/>
  <c r="C303" i="14"/>
  <c r="C304" i="14"/>
  <c r="C305" i="14"/>
  <c r="C306" i="14"/>
  <c r="C307" i="14"/>
  <c r="D307" i="14"/>
  <c r="D308" i="14"/>
  <c r="D309" i="14"/>
  <c r="D310" i="14"/>
  <c r="D311" i="14"/>
  <c r="D312" i="14"/>
  <c r="D313" i="14"/>
  <c r="E312" i="14"/>
  <c r="E311" i="14"/>
  <c r="E310" i="14"/>
  <c r="E309" i="14"/>
  <c r="E308" i="14"/>
  <c r="C308" i="14"/>
  <c r="C309" i="14"/>
  <c r="C310" i="14"/>
  <c r="C311" i="14"/>
  <c r="C312" i="14"/>
  <c r="C313" i="14"/>
  <c r="K312" i="14"/>
  <c r="F312" i="14"/>
  <c r="K311" i="14"/>
  <c r="F311" i="14"/>
  <c r="K310" i="14"/>
  <c r="F310" i="14"/>
  <c r="K309" i="14"/>
  <c r="F309" i="14"/>
  <c r="K308" i="14"/>
  <c r="F308" i="14"/>
  <c r="K307" i="14"/>
  <c r="F307" i="14"/>
  <c r="K306" i="14"/>
  <c r="F306" i="14"/>
  <c r="D306" i="14"/>
  <c r="K305" i="14"/>
  <c r="F305" i="14"/>
  <c r="D305" i="14"/>
  <c r="K304" i="14"/>
  <c r="F304" i="14"/>
  <c r="D304" i="14"/>
  <c r="K303" i="14"/>
  <c r="F303" i="14"/>
  <c r="D281" i="14"/>
  <c r="D282" i="14"/>
  <c r="D283" i="14"/>
  <c r="D284" i="14"/>
  <c r="D285" i="14"/>
  <c r="D286" i="14"/>
  <c r="D287" i="14"/>
  <c r="D288" i="14"/>
  <c r="D289" i="14"/>
  <c r="D290" i="14"/>
  <c r="D291" i="14"/>
  <c r="D292" i="14"/>
  <c r="D293" i="14"/>
  <c r="D294" i="14"/>
  <c r="D295" i="14"/>
  <c r="D296" i="14"/>
  <c r="D297" i="14"/>
  <c r="D298" i="14"/>
  <c r="D299" i="14"/>
  <c r="D300" i="14"/>
  <c r="D301" i="14"/>
  <c r="D302" i="14"/>
  <c r="D303" i="14"/>
  <c r="K302" i="14"/>
  <c r="F302" i="14"/>
  <c r="K301" i="14"/>
  <c r="F301" i="14"/>
  <c r="K300" i="14"/>
  <c r="F300" i="14"/>
  <c r="K299" i="14"/>
  <c r="F299" i="14"/>
  <c r="K298" i="14"/>
  <c r="F298" i="14"/>
  <c r="K297" i="14"/>
  <c r="F297" i="14"/>
  <c r="K296" i="14"/>
  <c r="F296" i="14"/>
  <c r="K295" i="14"/>
  <c r="F295" i="14"/>
  <c r="K294" i="14"/>
  <c r="F294" i="14"/>
  <c r="K293" i="14"/>
  <c r="F293" i="14"/>
  <c r="K292" i="14"/>
  <c r="F292" i="14"/>
  <c r="K291" i="14"/>
  <c r="F291" i="14"/>
  <c r="K290" i="14"/>
  <c r="F290" i="14"/>
  <c r="K289" i="14"/>
  <c r="F289" i="14"/>
  <c r="K288" i="14"/>
  <c r="F288" i="14"/>
  <c r="K287" i="14"/>
  <c r="F287" i="14"/>
  <c r="K286" i="14"/>
  <c r="F286" i="14"/>
  <c r="K285" i="14"/>
  <c r="F285" i="14"/>
  <c r="K284" i="14"/>
  <c r="F284" i="14"/>
  <c r="K283" i="14"/>
  <c r="F283" i="14"/>
  <c r="K282" i="14"/>
  <c r="F282" i="14"/>
  <c r="K281" i="14"/>
  <c r="F281" i="14"/>
  <c r="K280" i="14"/>
  <c r="F280" i="14"/>
  <c r="E269" i="14"/>
  <c r="E268" i="14"/>
  <c r="E267" i="14"/>
  <c r="E266" i="14"/>
  <c r="E265" i="14"/>
  <c r="E264" i="14"/>
  <c r="E263" i="14"/>
  <c r="E262" i="14"/>
  <c r="E261" i="14"/>
  <c r="E260" i="14"/>
  <c r="E259" i="14"/>
  <c r="E258" i="14"/>
  <c r="E257" i="14"/>
  <c r="E256" i="14"/>
  <c r="E255" i="14"/>
  <c r="E254" i="14"/>
  <c r="E253" i="14"/>
  <c r="E252" i="14"/>
  <c r="E251" i="14"/>
  <c r="E250" i="14"/>
  <c r="E249" i="14"/>
  <c r="E248" i="14"/>
  <c r="E247" i="14"/>
  <c r="E246" i="14"/>
  <c r="E245" i="14"/>
  <c r="E244" i="14"/>
  <c r="E243" i="14"/>
  <c r="E242" i="14"/>
  <c r="E241" i="14"/>
  <c r="E240" i="14"/>
  <c r="E239" i="14"/>
  <c r="E238" i="14"/>
  <c r="E237" i="14"/>
  <c r="E236" i="14"/>
  <c r="E235" i="14"/>
  <c r="E234" i="14"/>
  <c r="E233" i="14"/>
  <c r="E232" i="14"/>
  <c r="E231" i="14"/>
  <c r="E230" i="14"/>
  <c r="E229" i="14"/>
  <c r="E228" i="14"/>
  <c r="E227" i="14"/>
  <c r="E226" i="14"/>
  <c r="E225" i="14"/>
  <c r="E224" i="14"/>
  <c r="C225" i="14"/>
  <c r="C226" i="14"/>
  <c r="C227" i="14"/>
  <c r="C228" i="14"/>
  <c r="C229" i="14"/>
  <c r="C230" i="14"/>
  <c r="C231" i="14"/>
  <c r="C232" i="14"/>
  <c r="C233" i="14"/>
  <c r="C234" i="14"/>
  <c r="C235" i="14"/>
  <c r="C236" i="14"/>
  <c r="C237" i="14"/>
  <c r="C238" i="14"/>
  <c r="C239" i="14"/>
  <c r="C240" i="14"/>
  <c r="C241" i="14"/>
  <c r="C242" i="14"/>
  <c r="C243" i="14"/>
  <c r="C244" i="14"/>
  <c r="C245" i="14"/>
  <c r="C246" i="14"/>
  <c r="C247" i="14"/>
  <c r="C248" i="14"/>
  <c r="C249" i="14"/>
  <c r="C250" i="14"/>
  <c r="C251" i="14"/>
  <c r="C252" i="14"/>
  <c r="C253" i="14"/>
  <c r="C254" i="14"/>
  <c r="C255" i="14"/>
  <c r="C256" i="14"/>
  <c r="C257" i="14"/>
  <c r="C258" i="14"/>
  <c r="C259" i="14"/>
  <c r="C260" i="14"/>
  <c r="C261" i="14"/>
  <c r="C262" i="14"/>
  <c r="C263" i="14"/>
  <c r="C264" i="14"/>
  <c r="C265" i="14"/>
  <c r="C266" i="14"/>
  <c r="C267" i="14"/>
  <c r="C268" i="14"/>
  <c r="C269" i="14"/>
  <c r="D269" i="14"/>
  <c r="D270" i="14"/>
  <c r="D271" i="14"/>
  <c r="D272" i="14"/>
  <c r="D273" i="14"/>
  <c r="D274" i="14"/>
  <c r="D275" i="14"/>
  <c r="D276" i="14"/>
  <c r="D277" i="14"/>
  <c r="D278" i="14"/>
  <c r="D279" i="14"/>
  <c r="D280" i="14"/>
  <c r="E279" i="14"/>
  <c r="E278" i="14"/>
  <c r="E277" i="14"/>
  <c r="E276" i="14"/>
  <c r="E275" i="14"/>
  <c r="E274" i="14"/>
  <c r="E273" i="14"/>
  <c r="E272" i="14"/>
  <c r="E271" i="14"/>
  <c r="E270" i="14"/>
  <c r="C270" i="14"/>
  <c r="C271" i="14"/>
  <c r="C272" i="14"/>
  <c r="C273" i="14"/>
  <c r="C274" i="14"/>
  <c r="C275" i="14"/>
  <c r="C276" i="14"/>
  <c r="C277" i="14"/>
  <c r="C278" i="14"/>
  <c r="C279" i="14"/>
  <c r="C280" i="14"/>
  <c r="K279" i="14"/>
  <c r="F279" i="14"/>
  <c r="K278" i="14"/>
  <c r="F278" i="14"/>
  <c r="K277" i="14"/>
  <c r="F277" i="14"/>
  <c r="K276" i="14"/>
  <c r="F276" i="14"/>
  <c r="K275" i="14"/>
  <c r="F275" i="14"/>
  <c r="K274" i="14"/>
  <c r="F274" i="14"/>
  <c r="K273" i="14"/>
  <c r="F273" i="14"/>
  <c r="K272" i="14"/>
  <c r="F272" i="14"/>
  <c r="K271" i="14"/>
  <c r="F271" i="14"/>
  <c r="K270" i="14"/>
  <c r="F270" i="14"/>
  <c r="K269" i="14"/>
  <c r="F269" i="14"/>
  <c r="K268" i="14"/>
  <c r="F268" i="14"/>
  <c r="D268" i="14"/>
  <c r="K267" i="14"/>
  <c r="F267" i="14"/>
  <c r="D267" i="14"/>
  <c r="K266" i="14"/>
  <c r="F266" i="14"/>
  <c r="D266" i="14"/>
  <c r="K265" i="14"/>
  <c r="F265" i="14"/>
  <c r="D265" i="14"/>
  <c r="K264" i="14"/>
  <c r="F264" i="14"/>
  <c r="D258" i="14"/>
  <c r="D259" i="14"/>
  <c r="D260" i="14"/>
  <c r="D261" i="14"/>
  <c r="D262" i="14"/>
  <c r="D263" i="14"/>
  <c r="D264" i="14"/>
  <c r="K263" i="14"/>
  <c r="F263" i="14"/>
  <c r="K262" i="14"/>
  <c r="F262" i="14"/>
  <c r="K261" i="14"/>
  <c r="F261" i="14"/>
  <c r="K260" i="14"/>
  <c r="F260" i="14"/>
  <c r="K259" i="14"/>
  <c r="F259" i="14"/>
  <c r="K258" i="14"/>
  <c r="F258" i="14"/>
  <c r="K257" i="14"/>
  <c r="F257" i="14"/>
  <c r="D257" i="14"/>
  <c r="K256" i="14"/>
  <c r="F256" i="14"/>
  <c r="D255" i="14"/>
  <c r="D256" i="14"/>
  <c r="K255" i="14"/>
  <c r="F255" i="14"/>
  <c r="K254" i="14"/>
  <c r="F254" i="14"/>
  <c r="D254" i="14"/>
  <c r="K253" i="14"/>
  <c r="F253" i="14"/>
  <c r="D225" i="14"/>
  <c r="D226" i="14"/>
  <c r="D227" i="14"/>
  <c r="D228" i="14"/>
  <c r="D229" i="14"/>
  <c r="D230" i="14"/>
  <c r="D231" i="14"/>
  <c r="D232" i="14"/>
  <c r="D233" i="14"/>
  <c r="D234" i="14"/>
  <c r="D235" i="14"/>
  <c r="D236" i="14"/>
  <c r="D237" i="14"/>
  <c r="D238" i="14"/>
  <c r="D239" i="14"/>
  <c r="D240" i="14"/>
  <c r="D241" i="14"/>
  <c r="D242" i="14"/>
  <c r="D243" i="14"/>
  <c r="D244" i="14"/>
  <c r="D245" i="14"/>
  <c r="D246" i="14"/>
  <c r="D247" i="14"/>
  <c r="D248" i="14"/>
  <c r="D249" i="14"/>
  <c r="D250" i="14"/>
  <c r="D251" i="14"/>
  <c r="D252" i="14"/>
  <c r="D253" i="14"/>
  <c r="K252" i="14"/>
  <c r="F252" i="14"/>
  <c r="K251" i="14"/>
  <c r="F251" i="14"/>
  <c r="K250" i="14"/>
  <c r="F250" i="14"/>
  <c r="K249" i="14"/>
  <c r="F249" i="14"/>
  <c r="K248" i="14"/>
  <c r="F248" i="14"/>
  <c r="K247" i="14"/>
  <c r="F247" i="14"/>
  <c r="K246" i="14"/>
  <c r="F246" i="14"/>
  <c r="K245" i="14"/>
  <c r="F245" i="14"/>
  <c r="K244" i="14"/>
  <c r="F244" i="14"/>
  <c r="K243" i="14"/>
  <c r="F243" i="14"/>
  <c r="K242" i="14"/>
  <c r="F242" i="14"/>
  <c r="K241" i="14"/>
  <c r="F241" i="14"/>
  <c r="K240" i="14"/>
  <c r="F240" i="14"/>
  <c r="K239" i="14"/>
  <c r="F239" i="14"/>
  <c r="K238" i="14"/>
  <c r="F238" i="14"/>
  <c r="K237" i="14"/>
  <c r="F237" i="14"/>
  <c r="K236" i="14"/>
  <c r="F236" i="14"/>
  <c r="K235" i="14"/>
  <c r="F235" i="14"/>
  <c r="K234" i="14"/>
  <c r="F234" i="14"/>
  <c r="K233" i="14"/>
  <c r="F233" i="14"/>
  <c r="K232" i="14"/>
  <c r="F232" i="14"/>
  <c r="K231" i="14"/>
  <c r="F231" i="14"/>
  <c r="K230" i="14"/>
  <c r="F230" i="14"/>
  <c r="K229" i="14"/>
  <c r="F229" i="14"/>
  <c r="K228" i="14"/>
  <c r="F228" i="14"/>
  <c r="K227" i="14"/>
  <c r="F227" i="14"/>
  <c r="K226" i="14"/>
  <c r="F226" i="14"/>
  <c r="K225" i="14"/>
  <c r="F225" i="14"/>
  <c r="K224" i="14"/>
  <c r="F224" i="14"/>
  <c r="E208" i="14"/>
  <c r="E207" i="14"/>
  <c r="E206" i="14"/>
  <c r="E205" i="14"/>
  <c r="E204" i="14"/>
  <c r="E203" i="14"/>
  <c r="E202" i="14"/>
  <c r="E201" i="14"/>
  <c r="E200" i="14"/>
  <c r="E199" i="14"/>
  <c r="E198" i="14"/>
  <c r="E197" i="14"/>
  <c r="E196" i="14"/>
  <c r="E195" i="14"/>
  <c r="E194" i="14"/>
  <c r="E193" i="14"/>
  <c r="E192" i="14"/>
  <c r="E191" i="14"/>
  <c r="E190" i="14"/>
  <c r="E189" i="14"/>
  <c r="E188" i="14"/>
  <c r="E187" i="14"/>
  <c r="E186" i="14"/>
  <c r="E185" i="14"/>
  <c r="E184" i="14"/>
  <c r="E183" i="14"/>
  <c r="E182" i="14"/>
  <c r="E181" i="14"/>
  <c r="E180" i="14"/>
  <c r="E179" i="14"/>
  <c r="E178" i="14"/>
  <c r="E177" i="14"/>
  <c r="E176" i="14"/>
  <c r="E175" i="14"/>
  <c r="E174" i="14"/>
  <c r="E173" i="14"/>
  <c r="E172" i="14"/>
  <c r="E171" i="14"/>
  <c r="C172" i="14"/>
  <c r="C173" i="14"/>
  <c r="C174" i="14"/>
  <c r="C175" i="14"/>
  <c r="C176" i="14"/>
  <c r="C177" i="14"/>
  <c r="C178" i="14"/>
  <c r="C179" i="14"/>
  <c r="C180" i="14"/>
  <c r="C181" i="14"/>
  <c r="C182" i="14"/>
  <c r="C183" i="14"/>
  <c r="C184" i="14"/>
  <c r="C185" i="14"/>
  <c r="C186" i="14"/>
  <c r="C187" i="14"/>
  <c r="C188" i="14"/>
  <c r="C189" i="14"/>
  <c r="C190" i="14"/>
  <c r="C191" i="14"/>
  <c r="C192" i="14"/>
  <c r="C193" i="14"/>
  <c r="C194" i="14"/>
  <c r="C195" i="14"/>
  <c r="C196" i="14"/>
  <c r="C197" i="14"/>
  <c r="C198" i="14"/>
  <c r="C199" i="14"/>
  <c r="C200" i="14"/>
  <c r="C201" i="14"/>
  <c r="C202" i="14"/>
  <c r="C203" i="14"/>
  <c r="C204" i="14"/>
  <c r="C205" i="14"/>
  <c r="C206" i="14"/>
  <c r="C207" i="14"/>
  <c r="C208" i="14"/>
  <c r="D208" i="14"/>
  <c r="D209" i="14"/>
  <c r="D210" i="14"/>
  <c r="D211" i="14"/>
  <c r="D212" i="14"/>
  <c r="D213" i="14"/>
  <c r="D214" i="14"/>
  <c r="D215" i="14"/>
  <c r="D216" i="14"/>
  <c r="D217" i="14"/>
  <c r="D218" i="14"/>
  <c r="D219" i="14"/>
  <c r="D220" i="14"/>
  <c r="D221" i="14"/>
  <c r="D222" i="14"/>
  <c r="D223" i="14"/>
  <c r="D224" i="14"/>
  <c r="E223" i="14"/>
  <c r="E222" i="14"/>
  <c r="E221" i="14"/>
  <c r="E220" i="14"/>
  <c r="E219" i="14"/>
  <c r="E218" i="14"/>
  <c r="E217" i="14"/>
  <c r="E216" i="14"/>
  <c r="E215" i="14"/>
  <c r="E214" i="14"/>
  <c r="E213" i="14"/>
  <c r="E212" i="14"/>
  <c r="E211" i="14"/>
  <c r="E210" i="14"/>
  <c r="E209" i="14"/>
  <c r="C209" i="14"/>
  <c r="C210" i="14"/>
  <c r="C211" i="14"/>
  <c r="C212" i="14"/>
  <c r="C213" i="14"/>
  <c r="C214" i="14"/>
  <c r="C215" i="14"/>
  <c r="C216" i="14"/>
  <c r="C217" i="14"/>
  <c r="C218" i="14"/>
  <c r="C219" i="14"/>
  <c r="C220" i="14"/>
  <c r="C221" i="14"/>
  <c r="C222" i="14"/>
  <c r="C223" i="14"/>
  <c r="C224" i="14"/>
  <c r="K223" i="14"/>
  <c r="F223" i="14"/>
  <c r="K222" i="14"/>
  <c r="F222" i="14"/>
  <c r="K221" i="14"/>
  <c r="F221" i="14"/>
  <c r="K220" i="14"/>
  <c r="F220" i="14"/>
  <c r="K219" i="14"/>
  <c r="F219" i="14"/>
  <c r="K218" i="14"/>
  <c r="F218" i="14"/>
  <c r="K217" i="14"/>
  <c r="F217" i="14"/>
  <c r="K216" i="14"/>
  <c r="F216" i="14"/>
  <c r="K215" i="14"/>
  <c r="F215" i="14"/>
  <c r="K214" i="14"/>
  <c r="F214" i="14"/>
  <c r="K213" i="14"/>
  <c r="F213" i="14"/>
  <c r="K212" i="14"/>
  <c r="F212" i="14"/>
  <c r="K211" i="14"/>
  <c r="F211" i="14"/>
  <c r="K210" i="14"/>
  <c r="F210" i="14"/>
  <c r="K209" i="14"/>
  <c r="F209" i="14"/>
  <c r="K208" i="14"/>
  <c r="F208" i="14"/>
  <c r="K207" i="14"/>
  <c r="F207" i="14"/>
  <c r="D207" i="14"/>
  <c r="K206" i="14"/>
  <c r="F206" i="14"/>
  <c r="D206" i="14"/>
  <c r="K205" i="14"/>
  <c r="F205" i="14"/>
  <c r="D202" i="14"/>
  <c r="D203" i="14"/>
  <c r="D204" i="14"/>
  <c r="D205" i="14"/>
  <c r="K204" i="14"/>
  <c r="F204" i="14"/>
  <c r="K203" i="14"/>
  <c r="F203" i="14"/>
  <c r="K202" i="14"/>
  <c r="F202" i="14"/>
  <c r="K201" i="14"/>
  <c r="F201" i="14"/>
  <c r="D201" i="14"/>
  <c r="K200" i="14"/>
  <c r="F200" i="14"/>
  <c r="D172" i="14"/>
  <c r="D173" i="14"/>
  <c r="D174" i="14"/>
  <c r="D175" i="14"/>
  <c r="D176" i="14"/>
  <c r="D177" i="14"/>
  <c r="D178" i="14"/>
  <c r="D179" i="14"/>
  <c r="D180" i="14"/>
  <c r="D181" i="14"/>
  <c r="D182" i="14"/>
  <c r="D183" i="14"/>
  <c r="D184" i="14"/>
  <c r="D185" i="14"/>
  <c r="D186" i="14"/>
  <c r="D187" i="14"/>
  <c r="D188" i="14"/>
  <c r="D189" i="14"/>
  <c r="D190" i="14"/>
  <c r="D191" i="14"/>
  <c r="D192" i="14"/>
  <c r="D193" i="14"/>
  <c r="D194" i="14"/>
  <c r="D195" i="14"/>
  <c r="D196" i="14"/>
  <c r="D197" i="14"/>
  <c r="D198" i="14"/>
  <c r="D199" i="14"/>
  <c r="D200" i="14"/>
  <c r="K199" i="14"/>
  <c r="F199" i="14"/>
  <c r="K198" i="14"/>
  <c r="F198" i="14"/>
  <c r="K197" i="14"/>
  <c r="F197" i="14"/>
  <c r="K196" i="14"/>
  <c r="F196" i="14"/>
  <c r="K195" i="14"/>
  <c r="F195" i="14"/>
  <c r="K194" i="14"/>
  <c r="F194" i="14"/>
  <c r="K193" i="14"/>
  <c r="F193" i="14"/>
  <c r="K192" i="14"/>
  <c r="F192" i="14"/>
  <c r="K191" i="14"/>
  <c r="F191" i="14"/>
  <c r="K190" i="14"/>
  <c r="F190" i="14"/>
  <c r="K189" i="14"/>
  <c r="F189" i="14"/>
  <c r="K188" i="14"/>
  <c r="F188" i="14"/>
  <c r="K187" i="14"/>
  <c r="F187" i="14"/>
  <c r="K186" i="14"/>
  <c r="F186" i="14"/>
  <c r="K185" i="14"/>
  <c r="F185" i="14"/>
  <c r="K184" i="14"/>
  <c r="F184" i="14"/>
  <c r="K183" i="14"/>
  <c r="F183" i="14"/>
  <c r="K182" i="14"/>
  <c r="F182" i="14"/>
  <c r="K181" i="14"/>
  <c r="F181" i="14"/>
  <c r="K180" i="14"/>
  <c r="F180" i="14"/>
  <c r="K179" i="14"/>
  <c r="F179" i="14"/>
  <c r="K178" i="14"/>
  <c r="F178" i="14"/>
  <c r="K177" i="14"/>
  <c r="F177" i="14"/>
  <c r="K176" i="14"/>
  <c r="F176" i="14"/>
  <c r="K175" i="14"/>
  <c r="F175" i="14"/>
  <c r="K174" i="14"/>
  <c r="F174" i="14"/>
  <c r="K173" i="14"/>
  <c r="F173" i="14"/>
  <c r="K172" i="14"/>
  <c r="F172" i="14"/>
  <c r="K171" i="14"/>
  <c r="F171" i="14"/>
  <c r="E148" i="14"/>
  <c r="E147" i="14"/>
  <c r="E146" i="14"/>
  <c r="E145" i="14"/>
  <c r="E144" i="14"/>
  <c r="E143" i="14"/>
  <c r="E142" i="14"/>
  <c r="E141" i="14"/>
  <c r="E140" i="14"/>
  <c r="E139" i="14"/>
  <c r="E138" i="14"/>
  <c r="E137" i="14"/>
  <c r="E136" i="14"/>
  <c r="E135" i="14"/>
  <c r="E134" i="14"/>
  <c r="E133" i="14"/>
  <c r="E132" i="14"/>
  <c r="E131" i="14"/>
  <c r="E130" i="14"/>
  <c r="E129" i="14"/>
  <c r="E128" i="14"/>
  <c r="E127" i="14"/>
  <c r="E126" i="14"/>
  <c r="E125" i="14"/>
  <c r="E124" i="14"/>
  <c r="E123" i="14"/>
  <c r="E122" i="14"/>
  <c r="E121" i="14"/>
  <c r="E120" i="14"/>
  <c r="E119" i="14"/>
  <c r="E118" i="14"/>
  <c r="E117" i="14"/>
  <c r="E116" i="14"/>
  <c r="E115" i="14"/>
  <c r="E114" i="14"/>
  <c r="E113" i="14"/>
  <c r="E112" i="14"/>
  <c r="E111" i="14"/>
  <c r="E110" i="14"/>
  <c r="E109" i="14"/>
  <c r="E108" i="14"/>
  <c r="E107" i="14"/>
  <c r="E106" i="14"/>
  <c r="E105" i="14"/>
  <c r="E104" i="14"/>
  <c r="E103" i="14"/>
  <c r="E102" i="14"/>
  <c r="C103" i="14"/>
  <c r="C104" i="14"/>
  <c r="C105" i="14"/>
  <c r="C106" i="14"/>
  <c r="C107" i="14"/>
  <c r="C108" i="14"/>
  <c r="C109" i="14"/>
  <c r="C110" i="14"/>
  <c r="C111" i="14"/>
  <c r="C112" i="14"/>
  <c r="C113" i="14"/>
  <c r="C114" i="14"/>
  <c r="C115" i="14"/>
  <c r="C116" i="14"/>
  <c r="C117" i="14"/>
  <c r="C118" i="14"/>
  <c r="C119" i="14"/>
  <c r="C120" i="14"/>
  <c r="C121" i="14"/>
  <c r="C122" i="14"/>
  <c r="C123" i="14"/>
  <c r="C124" i="14"/>
  <c r="C125" i="14"/>
  <c r="C126" i="14"/>
  <c r="C127" i="14"/>
  <c r="C128" i="14"/>
  <c r="C129" i="14"/>
  <c r="C130" i="14"/>
  <c r="C131" i="14"/>
  <c r="C132" i="14"/>
  <c r="C133" i="14"/>
  <c r="C134" i="14"/>
  <c r="C135" i="14"/>
  <c r="C136" i="14"/>
  <c r="C137" i="14"/>
  <c r="C138" i="14"/>
  <c r="C139" i="14"/>
  <c r="C140" i="14"/>
  <c r="C141" i="14"/>
  <c r="C142" i="14"/>
  <c r="C143" i="14"/>
  <c r="C144" i="14"/>
  <c r="C145" i="14"/>
  <c r="C146" i="14"/>
  <c r="C147" i="14"/>
  <c r="C148" i="14"/>
  <c r="D148" i="14"/>
  <c r="D149" i="14"/>
  <c r="D150" i="14"/>
  <c r="D151" i="14"/>
  <c r="D152" i="14"/>
  <c r="D153" i="14"/>
  <c r="D154" i="14"/>
  <c r="D155" i="14"/>
  <c r="D156" i="14"/>
  <c r="D157" i="14"/>
  <c r="D158" i="14"/>
  <c r="D159" i="14"/>
  <c r="D160" i="14"/>
  <c r="D161" i="14"/>
  <c r="D162" i="14"/>
  <c r="D163" i="14"/>
  <c r="D164" i="14"/>
  <c r="D165" i="14"/>
  <c r="D166" i="14"/>
  <c r="D167" i="14"/>
  <c r="D168" i="14"/>
  <c r="D169" i="14"/>
  <c r="D170" i="14"/>
  <c r="D171" i="14"/>
  <c r="E170" i="14"/>
  <c r="E169" i="14"/>
  <c r="E168" i="14"/>
  <c r="E167" i="14"/>
  <c r="E166" i="14"/>
  <c r="E165" i="14"/>
  <c r="E164" i="14"/>
  <c r="E163" i="14"/>
  <c r="E162" i="14"/>
  <c r="E161" i="14"/>
  <c r="E160" i="14"/>
  <c r="E159" i="14"/>
  <c r="E158" i="14"/>
  <c r="E157" i="14"/>
  <c r="E156" i="14"/>
  <c r="E155" i="14"/>
  <c r="E154" i="14"/>
  <c r="E153" i="14"/>
  <c r="E152" i="14"/>
  <c r="E151" i="14"/>
  <c r="E150" i="14"/>
  <c r="E149" i="14"/>
  <c r="C149" i="14"/>
  <c r="C150" i="14"/>
  <c r="C151" i="14"/>
  <c r="C152" i="14"/>
  <c r="C153" i="14"/>
  <c r="C154" i="14"/>
  <c r="C155" i="14"/>
  <c r="C156" i="14"/>
  <c r="C157" i="14"/>
  <c r="C158" i="14"/>
  <c r="C159" i="14"/>
  <c r="C160" i="14"/>
  <c r="C161" i="14"/>
  <c r="C162" i="14"/>
  <c r="C163" i="14"/>
  <c r="C164" i="14"/>
  <c r="C165" i="14"/>
  <c r="C166" i="14"/>
  <c r="C167" i="14"/>
  <c r="C168" i="14"/>
  <c r="C169" i="14"/>
  <c r="C170" i="14"/>
  <c r="C171" i="14"/>
  <c r="K170" i="14"/>
  <c r="F170" i="14"/>
  <c r="K169" i="14"/>
  <c r="F169" i="14"/>
  <c r="K168" i="14"/>
  <c r="F168" i="14"/>
  <c r="K167" i="14"/>
  <c r="F167" i="14"/>
  <c r="K166" i="14"/>
  <c r="F166" i="14"/>
  <c r="K165" i="14"/>
  <c r="F165" i="14"/>
  <c r="K164" i="14"/>
  <c r="F164" i="14"/>
  <c r="K163" i="14"/>
  <c r="F163" i="14"/>
  <c r="K162" i="14"/>
  <c r="F162" i="14"/>
  <c r="K161" i="14"/>
  <c r="F161" i="14"/>
  <c r="K160" i="14"/>
  <c r="F160" i="14"/>
  <c r="K159" i="14"/>
  <c r="F159" i="14"/>
  <c r="K158" i="14"/>
  <c r="F158" i="14"/>
  <c r="K157" i="14"/>
  <c r="F157" i="14"/>
  <c r="K156" i="14"/>
  <c r="F156" i="14"/>
  <c r="K155" i="14"/>
  <c r="F155" i="14"/>
  <c r="K154" i="14"/>
  <c r="F154" i="14"/>
  <c r="K153" i="14"/>
  <c r="F153" i="14"/>
  <c r="K152" i="14"/>
  <c r="F152" i="14"/>
  <c r="K151" i="14"/>
  <c r="F151" i="14"/>
  <c r="K150" i="14"/>
  <c r="F150" i="14"/>
  <c r="K149" i="14"/>
  <c r="F149" i="14"/>
  <c r="K148" i="14"/>
  <c r="F148" i="14"/>
  <c r="K147" i="14"/>
  <c r="F147" i="14"/>
  <c r="D147" i="14"/>
  <c r="K146" i="14"/>
  <c r="F146" i="14"/>
  <c r="D146" i="14"/>
  <c r="K145" i="14"/>
  <c r="F145" i="14"/>
  <c r="D145" i="14"/>
  <c r="K144" i="14"/>
  <c r="F144" i="14"/>
  <c r="D142" i="14"/>
  <c r="D143" i="14"/>
  <c r="D144" i="14"/>
  <c r="K143" i="14"/>
  <c r="F143" i="14"/>
  <c r="K142" i="14"/>
  <c r="F142" i="14"/>
  <c r="K141" i="14"/>
  <c r="F141" i="14"/>
  <c r="D139" i="14"/>
  <c r="D140" i="14"/>
  <c r="D141" i="14"/>
  <c r="K140" i="14"/>
  <c r="F140" i="14"/>
  <c r="K139" i="14"/>
  <c r="F139" i="14"/>
  <c r="K138" i="14"/>
  <c r="F138" i="14"/>
  <c r="D137" i="14"/>
  <c r="D138" i="14"/>
  <c r="K137" i="14"/>
  <c r="F137" i="14"/>
  <c r="K136" i="14"/>
  <c r="F136" i="14"/>
  <c r="D136" i="14"/>
  <c r="K135" i="14"/>
  <c r="F135" i="14"/>
  <c r="D134" i="14"/>
  <c r="D135" i="14"/>
  <c r="K134" i="14"/>
  <c r="F134" i="14"/>
  <c r="K133" i="14"/>
  <c r="F133" i="14"/>
  <c r="D133" i="14"/>
  <c r="K132" i="14"/>
  <c r="F132" i="14"/>
  <c r="D103" i="14"/>
  <c r="D104" i="14"/>
  <c r="D105" i="14"/>
  <c r="D106" i="14"/>
  <c r="D107" i="14"/>
  <c r="D108" i="14"/>
  <c r="D109" i="14"/>
  <c r="D110" i="14"/>
  <c r="D111" i="14"/>
  <c r="D112" i="14"/>
  <c r="D113" i="14"/>
  <c r="D114" i="14"/>
  <c r="D115" i="14"/>
  <c r="D116" i="14"/>
  <c r="D117" i="14"/>
  <c r="D118" i="14"/>
  <c r="D119" i="14"/>
  <c r="D120" i="14"/>
  <c r="D121" i="14"/>
  <c r="D122" i="14"/>
  <c r="D123" i="14"/>
  <c r="D124" i="14"/>
  <c r="D125" i="14"/>
  <c r="D126" i="14"/>
  <c r="D127" i="14"/>
  <c r="D128" i="14"/>
  <c r="D129" i="14"/>
  <c r="D130" i="14"/>
  <c r="D131" i="14"/>
  <c r="D132" i="14"/>
  <c r="K131" i="14"/>
  <c r="F131" i="14"/>
  <c r="K130" i="14"/>
  <c r="F130" i="14"/>
  <c r="K129" i="14"/>
  <c r="F129" i="14"/>
  <c r="K128" i="14"/>
  <c r="F128" i="14"/>
  <c r="K127" i="14"/>
  <c r="F127" i="14"/>
  <c r="K126" i="14"/>
  <c r="F126" i="14"/>
  <c r="K125" i="14"/>
  <c r="F125" i="14"/>
  <c r="K124" i="14"/>
  <c r="F124" i="14"/>
  <c r="K123" i="14"/>
  <c r="F123" i="14"/>
  <c r="K122" i="14"/>
  <c r="F122" i="14"/>
  <c r="K121" i="14"/>
  <c r="F121" i="14"/>
  <c r="K120" i="14"/>
  <c r="F120" i="14"/>
  <c r="K119" i="14"/>
  <c r="F119" i="14"/>
  <c r="K118" i="14"/>
  <c r="F118" i="14"/>
  <c r="K117" i="14"/>
  <c r="F117" i="14"/>
  <c r="K116" i="14"/>
  <c r="F116" i="14"/>
  <c r="K115" i="14"/>
  <c r="F115" i="14"/>
  <c r="K114" i="14"/>
  <c r="F114" i="14"/>
  <c r="K113" i="14"/>
  <c r="F113" i="14"/>
  <c r="K112" i="14"/>
  <c r="F112" i="14"/>
  <c r="K111" i="14"/>
  <c r="F111" i="14"/>
  <c r="K110" i="14"/>
  <c r="F110" i="14"/>
  <c r="K109" i="14"/>
  <c r="F109" i="14"/>
  <c r="K108" i="14"/>
  <c r="F108" i="14"/>
  <c r="K107" i="14"/>
  <c r="F107" i="14"/>
  <c r="K106" i="14"/>
  <c r="F106" i="14"/>
  <c r="K105" i="14"/>
  <c r="F105" i="14"/>
  <c r="K104" i="14"/>
  <c r="F104" i="14"/>
  <c r="K103" i="14"/>
  <c r="F103" i="14"/>
  <c r="K102" i="14"/>
  <c r="F102" i="14"/>
  <c r="E101" i="14"/>
  <c r="E100" i="14"/>
  <c r="E99" i="14"/>
  <c r="E98" i="14"/>
  <c r="E97" i="14"/>
  <c r="E96" i="14"/>
  <c r="E95" i="14"/>
  <c r="E94" i="14"/>
  <c r="E93" i="14"/>
  <c r="E92" i="14"/>
  <c r="E91" i="14"/>
  <c r="E90" i="14"/>
  <c r="E89" i="14"/>
  <c r="E88" i="14"/>
  <c r="E87" i="14"/>
  <c r="E86" i="14"/>
  <c r="E85" i="14"/>
  <c r="E84" i="14"/>
  <c r="E83" i="14"/>
  <c r="E82" i="14"/>
  <c r="E81" i="14"/>
  <c r="E80" i="14"/>
  <c r="E79" i="14"/>
  <c r="E78" i="14"/>
  <c r="E77" i="14"/>
  <c r="E76" i="14"/>
  <c r="E75" i="14"/>
  <c r="E74" i="14"/>
  <c r="E73" i="14"/>
  <c r="E72" i="14"/>
  <c r="E71" i="14"/>
  <c r="E70" i="14"/>
  <c r="E69" i="14"/>
  <c r="E68" i="14"/>
  <c r="E67" i="14"/>
  <c r="E66" i="14"/>
  <c r="E65" i="14"/>
  <c r="E64" i="14"/>
  <c r="E63" i="14"/>
  <c r="E62" i="14"/>
  <c r="E61" i="14"/>
  <c r="C62" i="14"/>
  <c r="C63" i="14"/>
  <c r="C64" i="14"/>
  <c r="C65" i="14"/>
  <c r="C66" i="14"/>
  <c r="C67" i="14"/>
  <c r="C68" i="14"/>
  <c r="C69" i="14"/>
  <c r="C70" i="14"/>
  <c r="C71" i="14"/>
  <c r="C72" i="14"/>
  <c r="C73" i="14"/>
  <c r="C74" i="14"/>
  <c r="C75" i="14"/>
  <c r="C76" i="14"/>
  <c r="C77" i="14"/>
  <c r="C78" i="14"/>
  <c r="C79" i="14"/>
  <c r="C80" i="14"/>
  <c r="C81" i="14"/>
  <c r="C82" i="14"/>
  <c r="C83" i="14"/>
  <c r="C84" i="14"/>
  <c r="C85" i="14"/>
  <c r="C86" i="14"/>
  <c r="C87" i="14"/>
  <c r="C88" i="14"/>
  <c r="C89" i="14"/>
  <c r="C90" i="14"/>
  <c r="C91" i="14"/>
  <c r="C92" i="14"/>
  <c r="C93" i="14"/>
  <c r="C94" i="14"/>
  <c r="C95" i="14"/>
  <c r="C96" i="14"/>
  <c r="C97" i="14"/>
  <c r="C98" i="14"/>
  <c r="C99" i="14"/>
  <c r="C100" i="14"/>
  <c r="C101" i="14"/>
  <c r="C102" i="14"/>
  <c r="D102" i="14"/>
  <c r="K101" i="14"/>
  <c r="F101" i="14"/>
  <c r="D81" i="14"/>
  <c r="D82" i="14"/>
  <c r="D83" i="14"/>
  <c r="D84" i="14"/>
  <c r="D85" i="14"/>
  <c r="D86" i="14"/>
  <c r="D87" i="14"/>
  <c r="D88" i="14"/>
  <c r="D89" i="14"/>
  <c r="D90" i="14"/>
  <c r="D91" i="14"/>
  <c r="D92" i="14"/>
  <c r="D93" i="14"/>
  <c r="D94" i="14"/>
  <c r="D95" i="14"/>
  <c r="D96" i="14"/>
  <c r="D97" i="14"/>
  <c r="D98" i="14"/>
  <c r="D99" i="14"/>
  <c r="D100" i="14"/>
  <c r="D101" i="14"/>
  <c r="K100" i="14"/>
  <c r="F100" i="14"/>
  <c r="K99" i="14"/>
  <c r="F99" i="14"/>
  <c r="K98" i="14"/>
  <c r="F98" i="14"/>
  <c r="K97" i="14"/>
  <c r="F97" i="14"/>
  <c r="K96" i="14"/>
  <c r="F96" i="14"/>
  <c r="K95" i="14"/>
  <c r="F95" i="14"/>
  <c r="K94" i="14"/>
  <c r="F94" i="14"/>
  <c r="K93" i="14"/>
  <c r="F93" i="14"/>
  <c r="K92" i="14"/>
  <c r="F92" i="14"/>
  <c r="K91" i="14"/>
  <c r="F91" i="14"/>
  <c r="K90" i="14"/>
  <c r="F90" i="14"/>
  <c r="K89" i="14"/>
  <c r="F89" i="14"/>
  <c r="K88" i="14"/>
  <c r="F88" i="14"/>
  <c r="K87" i="14"/>
  <c r="F87" i="14"/>
  <c r="K86" i="14"/>
  <c r="F86" i="14"/>
  <c r="K85" i="14"/>
  <c r="F85" i="14"/>
  <c r="K84" i="14"/>
  <c r="F84" i="14"/>
  <c r="K83" i="14"/>
  <c r="F83" i="14"/>
  <c r="K82" i="14"/>
  <c r="F82" i="14"/>
  <c r="K81" i="14"/>
  <c r="F81" i="14"/>
  <c r="K80" i="14"/>
  <c r="F80" i="14"/>
  <c r="D79" i="14"/>
  <c r="D80" i="14"/>
  <c r="K79" i="14"/>
  <c r="F79" i="14"/>
  <c r="K78" i="14"/>
  <c r="F78" i="14"/>
  <c r="D78" i="14"/>
  <c r="K77" i="14"/>
  <c r="F77" i="14"/>
  <c r="D76" i="14"/>
  <c r="D77" i="14"/>
  <c r="K76" i="14"/>
  <c r="F76" i="14"/>
  <c r="K75" i="14"/>
  <c r="F75" i="14"/>
  <c r="D75" i="14"/>
  <c r="K74" i="14"/>
  <c r="F74" i="14"/>
  <c r="D74" i="14"/>
  <c r="K73" i="14"/>
  <c r="F73" i="14"/>
  <c r="D62" i="14"/>
  <c r="D63" i="14"/>
  <c r="D64" i="14"/>
  <c r="D65" i="14"/>
  <c r="D66" i="14"/>
  <c r="D67" i="14"/>
  <c r="D68" i="14"/>
  <c r="D69" i="14"/>
  <c r="D70" i="14"/>
  <c r="D71" i="14"/>
  <c r="D72" i="14"/>
  <c r="D73" i="14"/>
  <c r="K72" i="14"/>
  <c r="F72" i="14"/>
  <c r="K71" i="14"/>
  <c r="F71" i="14"/>
  <c r="K70" i="14"/>
  <c r="F70" i="14"/>
  <c r="K69" i="14"/>
  <c r="F69" i="14"/>
  <c r="K68" i="14"/>
  <c r="F68" i="14"/>
  <c r="K67" i="14"/>
  <c r="F67" i="14"/>
  <c r="K66" i="14"/>
  <c r="F66" i="14"/>
  <c r="K65" i="14"/>
  <c r="F65" i="14"/>
  <c r="K64" i="14"/>
  <c r="F64" i="14"/>
  <c r="K63" i="14"/>
  <c r="F63" i="14"/>
  <c r="K62" i="14"/>
  <c r="F62" i="14"/>
  <c r="K61" i="14"/>
  <c r="F61" i="14"/>
  <c r="E46" i="14"/>
  <c r="E45" i="14"/>
  <c r="E44" i="14"/>
  <c r="E43" i="14"/>
  <c r="E42" i="14"/>
  <c r="E41" i="14"/>
  <c r="E40" i="14"/>
  <c r="E39" i="14"/>
  <c r="E38" i="14"/>
  <c r="E37" i="14"/>
  <c r="E36" i="14"/>
  <c r="E35" i="14"/>
  <c r="E34" i="14"/>
  <c r="E33" i="14"/>
  <c r="E32" i="14"/>
  <c r="E31" i="14"/>
  <c r="E30" i="14"/>
  <c r="E29" i="14"/>
  <c r="E28" i="14"/>
  <c r="E27" i="14"/>
  <c r="E26" i="14"/>
  <c r="E25" i="14"/>
  <c r="E24" i="14"/>
  <c r="E23" i="14"/>
  <c r="E22" i="14"/>
  <c r="E21" i="14"/>
  <c r="E20" i="14"/>
  <c r="E19" i="14"/>
  <c r="E18" i="14"/>
  <c r="E17" i="14"/>
  <c r="E16" i="14"/>
  <c r="E15" i="14"/>
  <c r="E14" i="14"/>
  <c r="E13" i="14"/>
  <c r="E12" i="14"/>
  <c r="E11" i="14"/>
  <c r="E10" i="14"/>
  <c r="E9" i="14"/>
  <c r="E8" i="14"/>
  <c r="E7" i="14"/>
  <c r="E6" i="14"/>
  <c r="E5" i="14"/>
  <c r="E4" i="14"/>
  <c r="C5" i="14"/>
  <c r="C6" i="14"/>
  <c r="C7" i="14"/>
  <c r="C8" i="14"/>
  <c r="C9" i="14"/>
  <c r="C10" i="14"/>
  <c r="C11" i="14"/>
  <c r="C12" i="14"/>
  <c r="C13" i="14"/>
  <c r="C14" i="14"/>
  <c r="C15" i="14"/>
  <c r="C16" i="14"/>
  <c r="C17" i="14"/>
  <c r="C18" i="14"/>
  <c r="C19" i="14"/>
  <c r="C20" i="14"/>
  <c r="C21" i="14"/>
  <c r="C22" i="14"/>
  <c r="C23" i="14"/>
  <c r="C24" i="14"/>
  <c r="C25" i="14"/>
  <c r="C26" i="14"/>
  <c r="C27" i="14"/>
  <c r="C28" i="14"/>
  <c r="C29" i="14"/>
  <c r="C30" i="14"/>
  <c r="C31" i="14"/>
  <c r="C32" i="14"/>
  <c r="C33" i="14"/>
  <c r="C34" i="14"/>
  <c r="C35" i="14"/>
  <c r="C36" i="14"/>
  <c r="C37" i="14"/>
  <c r="C38" i="14"/>
  <c r="C39" i="14"/>
  <c r="C40" i="14"/>
  <c r="C41" i="14"/>
  <c r="C42" i="14"/>
  <c r="C43" i="14"/>
  <c r="C44" i="14"/>
  <c r="C45" i="14"/>
  <c r="C46" i="14"/>
  <c r="D46" i="14"/>
  <c r="D47" i="14"/>
  <c r="D48" i="14"/>
  <c r="D49" i="14"/>
  <c r="D50" i="14"/>
  <c r="D51" i="14"/>
  <c r="D52" i="14"/>
  <c r="D53" i="14"/>
  <c r="D54" i="14"/>
  <c r="D55" i="14"/>
  <c r="D56" i="14"/>
  <c r="D57" i="14"/>
  <c r="D58" i="14"/>
  <c r="D59" i="14"/>
  <c r="D60" i="14"/>
  <c r="D61" i="14"/>
  <c r="E60" i="14"/>
  <c r="E59" i="14"/>
  <c r="E58" i="14"/>
  <c r="E57" i="14"/>
  <c r="E56" i="14"/>
  <c r="E55" i="14"/>
  <c r="E54" i="14"/>
  <c r="E53" i="14"/>
  <c r="E52" i="14"/>
  <c r="E51" i="14"/>
  <c r="E50" i="14"/>
  <c r="E49" i="14"/>
  <c r="E48" i="14"/>
  <c r="E47" i="14"/>
  <c r="C47" i="14"/>
  <c r="C48" i="14"/>
  <c r="C49" i="14"/>
  <c r="C50" i="14"/>
  <c r="C51" i="14"/>
  <c r="C52" i="14"/>
  <c r="C53" i="14"/>
  <c r="C54" i="14"/>
  <c r="C55" i="14"/>
  <c r="C56" i="14"/>
  <c r="C57" i="14"/>
  <c r="C58" i="14"/>
  <c r="C59" i="14"/>
  <c r="C60" i="14"/>
  <c r="C61" i="14"/>
  <c r="K60" i="14"/>
  <c r="F60" i="14"/>
  <c r="K59" i="14"/>
  <c r="F59" i="14"/>
  <c r="K58" i="14"/>
  <c r="F58" i="14"/>
  <c r="K57" i="14"/>
  <c r="F57" i="14"/>
  <c r="K56" i="14"/>
  <c r="F56" i="14"/>
  <c r="K55" i="14"/>
  <c r="F55" i="14"/>
  <c r="K54" i="14"/>
  <c r="F54" i="14"/>
  <c r="K53" i="14"/>
  <c r="F53" i="14"/>
  <c r="K52" i="14"/>
  <c r="F52" i="14"/>
  <c r="K51" i="14"/>
  <c r="F51" i="14"/>
  <c r="K50" i="14"/>
  <c r="F50" i="14"/>
  <c r="K49" i="14"/>
  <c r="F49" i="14"/>
  <c r="K48" i="14"/>
  <c r="F48" i="14"/>
  <c r="K47" i="14"/>
  <c r="F47" i="14"/>
  <c r="K46" i="14"/>
  <c r="F46" i="14"/>
  <c r="K45" i="14"/>
  <c r="F45" i="14"/>
  <c r="D45" i="14"/>
  <c r="K44" i="14"/>
  <c r="F44" i="14"/>
  <c r="D44" i="14"/>
  <c r="K43" i="14"/>
  <c r="F43" i="14"/>
  <c r="D43" i="14"/>
  <c r="K42" i="14"/>
  <c r="F42" i="14"/>
  <c r="D42" i="14"/>
  <c r="K41" i="14"/>
  <c r="F41" i="14"/>
  <c r="D21" i="14"/>
  <c r="D22" i="14"/>
  <c r="D23" i="14"/>
  <c r="D24" i="14"/>
  <c r="D25" i="14"/>
  <c r="D26" i="14"/>
  <c r="D27" i="14"/>
  <c r="D28" i="14"/>
  <c r="D29" i="14"/>
  <c r="D30" i="14"/>
  <c r="D31" i="14"/>
  <c r="D32" i="14"/>
  <c r="D33" i="14"/>
  <c r="D34" i="14"/>
  <c r="D35" i="14"/>
  <c r="D36" i="14"/>
  <c r="D37" i="14"/>
  <c r="D38" i="14"/>
  <c r="D39" i="14"/>
  <c r="D40" i="14"/>
  <c r="D41" i="14"/>
  <c r="K40" i="14"/>
  <c r="F40" i="14"/>
  <c r="K39" i="14"/>
  <c r="F39" i="14"/>
  <c r="K38" i="14"/>
  <c r="F38" i="14"/>
  <c r="K37" i="14"/>
  <c r="F37" i="14"/>
  <c r="K36" i="14"/>
  <c r="F36" i="14"/>
  <c r="K35" i="14"/>
  <c r="F35" i="14"/>
  <c r="K34" i="14"/>
  <c r="F34" i="14"/>
  <c r="K33" i="14"/>
  <c r="F33" i="14"/>
  <c r="K32" i="14"/>
  <c r="F32" i="14"/>
  <c r="K31" i="14"/>
  <c r="F31" i="14"/>
  <c r="K30" i="14"/>
  <c r="F30" i="14"/>
  <c r="K29" i="14"/>
  <c r="F29" i="14"/>
  <c r="K28" i="14"/>
  <c r="F28" i="14"/>
  <c r="K27" i="14"/>
  <c r="F27" i="14"/>
  <c r="K26" i="14"/>
  <c r="F26" i="14"/>
  <c r="K25" i="14"/>
  <c r="F25" i="14"/>
  <c r="K24" i="14"/>
  <c r="F24" i="14"/>
  <c r="K23" i="14"/>
  <c r="F23" i="14"/>
  <c r="K22" i="14"/>
  <c r="F22" i="14"/>
  <c r="K21" i="14"/>
  <c r="F21" i="14"/>
  <c r="K20" i="14"/>
  <c r="F20" i="14"/>
  <c r="D20" i="14"/>
  <c r="K19" i="14"/>
  <c r="F19" i="14"/>
  <c r="D19" i="14"/>
  <c r="K18" i="14"/>
  <c r="F18" i="14"/>
  <c r="D16" i="14"/>
  <c r="D17" i="14"/>
  <c r="D18" i="14"/>
  <c r="K17" i="14"/>
  <c r="F17" i="14"/>
  <c r="K16" i="14"/>
  <c r="F16" i="14"/>
  <c r="K15" i="14"/>
  <c r="F15" i="14"/>
  <c r="D15" i="14"/>
  <c r="K14" i="14"/>
  <c r="F14" i="14"/>
  <c r="D14" i="14"/>
  <c r="K13" i="14"/>
  <c r="F13" i="14"/>
  <c r="D13" i="14"/>
  <c r="K12" i="14"/>
  <c r="F12" i="14"/>
  <c r="D5" i="14"/>
  <c r="D6" i="14"/>
  <c r="D7" i="14"/>
  <c r="D8" i="14"/>
  <c r="D9" i="14"/>
  <c r="D10" i="14"/>
  <c r="D11" i="14"/>
  <c r="D12" i="14"/>
  <c r="K11" i="14"/>
  <c r="F11" i="14"/>
  <c r="K10" i="14"/>
  <c r="F10" i="14"/>
  <c r="K9" i="14"/>
  <c r="F9" i="14"/>
  <c r="K8" i="14"/>
  <c r="F8" i="14"/>
  <c r="K7" i="14"/>
  <c r="F7" i="14"/>
  <c r="K6" i="14"/>
  <c r="F6" i="14"/>
  <c r="K5" i="14"/>
  <c r="F5" i="14"/>
  <c r="K4" i="14"/>
  <c r="F4" i="14"/>
  <c r="E3" i="14"/>
  <c r="E2" i="14"/>
  <c r="C2" i="14"/>
  <c r="C3" i="14"/>
  <c r="C4" i="14"/>
  <c r="D4" i="14"/>
  <c r="K3" i="14"/>
  <c r="F3" i="14"/>
  <c r="D3" i="14"/>
  <c r="K2" i="14"/>
  <c r="F2" i="14"/>
  <c r="D2" i="14"/>
  <c r="R1" i="14"/>
  <c r="S1" i="14"/>
  <c r="T1" i="14"/>
  <c r="U1" i="14"/>
  <c r="V1" i="14"/>
  <c r="W1" i="14"/>
  <c r="X1" i="14"/>
  <c r="Y1" i="14"/>
  <c r="Z1" i="14"/>
  <c r="AA1" i="14"/>
  <c r="AB1" i="14"/>
  <c r="AC1" i="14"/>
  <c r="AW10" i="12"/>
  <c r="AW9" i="12"/>
  <c r="AW8" i="12"/>
  <c r="AW7" i="12"/>
  <c r="AW6" i="12"/>
  <c r="AW5" i="12"/>
  <c r="AW4" i="12"/>
  <c r="AW3" i="12"/>
  <c r="W219" i="12"/>
  <c r="W220" i="12"/>
  <c r="W221" i="12"/>
  <c r="W222" i="12"/>
  <c r="Y219" i="12"/>
  <c r="Y220" i="12"/>
  <c r="Y221" i="12"/>
  <c r="Y222" i="12"/>
  <c r="AC218" i="12"/>
  <c r="Z219" i="12"/>
  <c r="Z220" i="12"/>
  <c r="Z221" i="12"/>
  <c r="Z222" i="12"/>
  <c r="AB219" i="12"/>
  <c r="AB220" i="12"/>
  <c r="AB221" i="12"/>
  <c r="AB222" i="12"/>
  <c r="AE218" i="12"/>
  <c r="E95" i="12"/>
  <c r="AF180" i="12"/>
  <c r="X213" i="12"/>
  <c r="W230" i="12"/>
  <c r="E8" i="12"/>
  <c r="B79" i="12"/>
  <c r="AT79" i="12"/>
  <c r="E10" i="12"/>
  <c r="B80" i="12"/>
  <c r="AT80" i="12"/>
  <c r="E12" i="12"/>
  <c r="B81" i="12"/>
  <c r="AT81" i="12"/>
  <c r="E14" i="12"/>
  <c r="B82" i="12"/>
  <c r="AT82" i="12"/>
  <c r="AC31" i="12"/>
  <c r="AC32" i="12"/>
  <c r="AC33" i="12"/>
  <c r="AC34" i="12"/>
  <c r="AC35" i="12"/>
  <c r="AC64" i="12"/>
  <c r="AE64" i="12"/>
  <c r="AC65" i="12"/>
  <c r="AE31" i="12"/>
  <c r="AE32" i="12"/>
  <c r="AE33" i="12"/>
  <c r="AE34" i="12"/>
  <c r="AE35" i="12"/>
  <c r="AE65" i="12"/>
  <c r="AC66" i="12"/>
  <c r="AE66" i="12"/>
  <c r="AC67" i="12"/>
  <c r="AE67" i="12"/>
  <c r="AC68" i="12"/>
  <c r="AE68" i="12"/>
  <c r="AD71" i="12"/>
  <c r="AC72" i="12"/>
  <c r="AE72" i="12"/>
  <c r="Z72" i="12"/>
  <c r="AB72" i="12"/>
  <c r="W31" i="12"/>
  <c r="W32" i="12"/>
  <c r="W33" i="12"/>
  <c r="W34" i="12"/>
  <c r="W35" i="12"/>
  <c r="W64" i="12"/>
  <c r="Y64" i="12"/>
  <c r="W65" i="12"/>
  <c r="Y65" i="12"/>
  <c r="W66" i="12"/>
  <c r="Y66" i="12"/>
  <c r="W67" i="12"/>
  <c r="Y67" i="12"/>
  <c r="W68" i="12"/>
  <c r="Y31" i="12"/>
  <c r="Y32" i="12"/>
  <c r="Y33" i="12"/>
  <c r="Y34" i="12"/>
  <c r="Y35" i="12"/>
  <c r="Y68" i="12"/>
  <c r="X71" i="12"/>
  <c r="W72" i="12"/>
  <c r="Y72" i="12"/>
  <c r="T72" i="12"/>
  <c r="V72" i="12"/>
  <c r="Q31" i="12"/>
  <c r="Q32" i="12"/>
  <c r="Q33" i="12"/>
  <c r="Q34" i="12"/>
  <c r="Q35" i="12"/>
  <c r="Q64" i="12"/>
  <c r="S64" i="12"/>
  <c r="Q65" i="12"/>
  <c r="S31" i="12"/>
  <c r="S32" i="12"/>
  <c r="S33" i="12"/>
  <c r="S34" i="12"/>
  <c r="S35" i="12"/>
  <c r="S65" i="12"/>
  <c r="Q66" i="12"/>
  <c r="S66" i="12"/>
  <c r="Q67" i="12"/>
  <c r="S67" i="12"/>
  <c r="Q68" i="12"/>
  <c r="S68" i="12"/>
  <c r="R71" i="12"/>
  <c r="Q72" i="12"/>
  <c r="N72" i="12"/>
  <c r="P72" i="12"/>
  <c r="K31" i="12"/>
  <c r="K32" i="12"/>
  <c r="K33" i="12"/>
  <c r="K34" i="12"/>
  <c r="K35" i="12"/>
  <c r="K64" i="12"/>
  <c r="M64" i="12"/>
  <c r="K65" i="12"/>
  <c r="M65" i="12"/>
  <c r="K66" i="12"/>
  <c r="M31" i="12"/>
  <c r="M32" i="12"/>
  <c r="M33" i="12"/>
  <c r="M34" i="12"/>
  <c r="M35" i="12"/>
  <c r="M66" i="12"/>
  <c r="K67" i="12"/>
  <c r="M67" i="12"/>
  <c r="K68" i="12"/>
  <c r="M68" i="12"/>
  <c r="L71" i="12"/>
  <c r="K72" i="12"/>
  <c r="H72" i="12"/>
  <c r="J72" i="12"/>
  <c r="E31" i="12"/>
  <c r="E32" i="12"/>
  <c r="E33" i="12"/>
  <c r="E34" i="12"/>
  <c r="E35" i="12"/>
  <c r="E64" i="12"/>
  <c r="G64" i="12"/>
  <c r="E65" i="12"/>
  <c r="G65" i="12"/>
  <c r="E66" i="12"/>
  <c r="G66" i="12"/>
  <c r="E67" i="12"/>
  <c r="G31" i="12"/>
  <c r="G32" i="12"/>
  <c r="G33" i="12"/>
  <c r="G34" i="12"/>
  <c r="G35" i="12"/>
  <c r="G67" i="12"/>
  <c r="E68" i="12"/>
  <c r="G68" i="12"/>
  <c r="F71" i="12"/>
  <c r="E72" i="12"/>
  <c r="B72" i="12"/>
  <c r="D72" i="12"/>
  <c r="C79" i="12"/>
  <c r="D79" i="12"/>
  <c r="E85" i="12"/>
  <c r="E36" i="12"/>
  <c r="B75" i="12"/>
  <c r="D75" i="12"/>
  <c r="C82" i="12"/>
  <c r="D82" i="12"/>
  <c r="G85" i="12"/>
  <c r="G36" i="12"/>
  <c r="E86" i="12"/>
  <c r="E87" i="12"/>
  <c r="G79" i="12"/>
  <c r="J79" i="12"/>
  <c r="K85" i="12"/>
  <c r="K36" i="12"/>
  <c r="H74" i="12"/>
  <c r="J74" i="12"/>
  <c r="E74" i="12"/>
  <c r="G74" i="12"/>
  <c r="B74" i="12"/>
  <c r="B64" i="12"/>
  <c r="D64" i="12"/>
  <c r="B31" i="12"/>
  <c r="B32" i="12"/>
  <c r="B33" i="12"/>
  <c r="B34" i="12"/>
  <c r="B35" i="12"/>
  <c r="B65" i="12"/>
  <c r="D65" i="12"/>
  <c r="B66" i="12"/>
  <c r="D31" i="12"/>
  <c r="D32" i="12"/>
  <c r="D33" i="12"/>
  <c r="D34" i="12"/>
  <c r="D35" i="12"/>
  <c r="D66" i="12"/>
  <c r="B67" i="12"/>
  <c r="D67" i="12"/>
  <c r="B68" i="12"/>
  <c r="D68" i="12"/>
  <c r="C71" i="12"/>
  <c r="D74" i="12"/>
  <c r="C81" i="12"/>
  <c r="D85" i="12"/>
  <c r="D36" i="12"/>
  <c r="C80" i="12"/>
  <c r="B85" i="12"/>
  <c r="B36" i="12"/>
  <c r="D86" i="12"/>
  <c r="D87" i="12"/>
  <c r="D81" i="12"/>
  <c r="G81" i="12"/>
  <c r="J81" i="12"/>
  <c r="M85" i="12"/>
  <c r="M36" i="12"/>
  <c r="K86" i="12"/>
  <c r="K87" i="12"/>
  <c r="M79" i="12"/>
  <c r="P79" i="12"/>
  <c r="Q85" i="12"/>
  <c r="Q36" i="12"/>
  <c r="N73" i="12"/>
  <c r="P73" i="12"/>
  <c r="K73" i="12"/>
  <c r="M73" i="12"/>
  <c r="H64" i="12"/>
  <c r="J64" i="12"/>
  <c r="H31" i="12"/>
  <c r="H32" i="12"/>
  <c r="H33" i="12"/>
  <c r="H34" i="12"/>
  <c r="H35" i="12"/>
  <c r="H65" i="12"/>
  <c r="J65" i="12"/>
  <c r="H66" i="12"/>
  <c r="J66" i="12"/>
  <c r="H67" i="12"/>
  <c r="J31" i="12"/>
  <c r="J32" i="12"/>
  <c r="J33" i="12"/>
  <c r="J34" i="12"/>
  <c r="J35" i="12"/>
  <c r="J67" i="12"/>
  <c r="H68" i="12"/>
  <c r="J68" i="12"/>
  <c r="I71" i="12"/>
  <c r="H73" i="12"/>
  <c r="E73" i="12"/>
  <c r="G73" i="12"/>
  <c r="B73" i="12"/>
  <c r="B86" i="12"/>
  <c r="B87" i="12"/>
  <c r="D80" i="12"/>
  <c r="G80" i="12"/>
  <c r="H85" i="12"/>
  <c r="H36" i="12"/>
  <c r="E75" i="12"/>
  <c r="G75" i="12"/>
  <c r="G86" i="12"/>
  <c r="G87" i="12"/>
  <c r="G82" i="12"/>
  <c r="J85" i="12"/>
  <c r="J36" i="12"/>
  <c r="H86" i="12"/>
  <c r="H87" i="12"/>
  <c r="J80" i="12"/>
  <c r="M80" i="12"/>
  <c r="P80" i="12"/>
  <c r="S85" i="12"/>
  <c r="S36" i="12"/>
  <c r="Q86" i="12"/>
  <c r="Q87" i="12"/>
  <c r="S79" i="12"/>
  <c r="V79" i="12"/>
  <c r="Y79" i="12"/>
  <c r="AB79" i="12"/>
  <c r="AE79" i="12"/>
  <c r="AU79" i="12"/>
  <c r="AC73" i="12"/>
  <c r="AE73" i="12"/>
  <c r="Z73" i="12"/>
  <c r="AB73" i="12"/>
  <c r="W73" i="12"/>
  <c r="Y73" i="12"/>
  <c r="T64" i="12"/>
  <c r="V64" i="12"/>
  <c r="T31" i="12"/>
  <c r="T32" i="12"/>
  <c r="T33" i="12"/>
  <c r="T34" i="12"/>
  <c r="T35" i="12"/>
  <c r="T65" i="12"/>
  <c r="V65" i="12"/>
  <c r="T66" i="12"/>
  <c r="V31" i="12"/>
  <c r="V32" i="12"/>
  <c r="V33" i="12"/>
  <c r="V34" i="12"/>
  <c r="V35" i="12"/>
  <c r="V66" i="12"/>
  <c r="T67" i="12"/>
  <c r="V67" i="12"/>
  <c r="T68" i="12"/>
  <c r="V68" i="12"/>
  <c r="U71" i="12"/>
  <c r="T73" i="12"/>
  <c r="V73" i="12"/>
  <c r="Q73" i="12"/>
  <c r="S73" i="12"/>
  <c r="S86" i="12"/>
  <c r="S87" i="12"/>
  <c r="S80" i="12"/>
  <c r="V80" i="12"/>
  <c r="Y80" i="12"/>
  <c r="AB80" i="12"/>
  <c r="AE80" i="12"/>
  <c r="AU80" i="12"/>
  <c r="AC74" i="12"/>
  <c r="AE74" i="12"/>
  <c r="Z64" i="12"/>
  <c r="AB64" i="12"/>
  <c r="Z65" i="12"/>
  <c r="AB65" i="12"/>
  <c r="Z31" i="12"/>
  <c r="Z32" i="12"/>
  <c r="Z33" i="12"/>
  <c r="Z34" i="12"/>
  <c r="Z35" i="12"/>
  <c r="Z66" i="12"/>
  <c r="AB66" i="12"/>
  <c r="Z67" i="12"/>
  <c r="AB31" i="12"/>
  <c r="AB32" i="12"/>
  <c r="AB33" i="12"/>
  <c r="AB34" i="12"/>
  <c r="AB35" i="12"/>
  <c r="AB67" i="12"/>
  <c r="Z68" i="12"/>
  <c r="AB68" i="12"/>
  <c r="AA71" i="12"/>
  <c r="Z74" i="12"/>
  <c r="AB74" i="12"/>
  <c r="W74" i="12"/>
  <c r="Y74" i="12"/>
  <c r="T74" i="12"/>
  <c r="V74" i="12"/>
  <c r="Q74" i="12"/>
  <c r="S74" i="12"/>
  <c r="N64" i="12"/>
  <c r="P64" i="12"/>
  <c r="N65" i="12"/>
  <c r="P65" i="12"/>
  <c r="N31" i="12"/>
  <c r="N32" i="12"/>
  <c r="N33" i="12"/>
  <c r="N34" i="12"/>
  <c r="N35" i="12"/>
  <c r="N66" i="12"/>
  <c r="P66" i="12"/>
  <c r="N67" i="12"/>
  <c r="P31" i="12"/>
  <c r="P32" i="12"/>
  <c r="P33" i="12"/>
  <c r="P34" i="12"/>
  <c r="P35" i="12"/>
  <c r="P67" i="12"/>
  <c r="N68" i="12"/>
  <c r="P68" i="12"/>
  <c r="O71" i="12"/>
  <c r="N74" i="12"/>
  <c r="K74" i="12"/>
  <c r="M74" i="12"/>
  <c r="M86" i="12"/>
  <c r="M87" i="12"/>
  <c r="M81" i="12"/>
  <c r="N85" i="12"/>
  <c r="N36" i="12"/>
  <c r="K75" i="12"/>
  <c r="M75" i="12"/>
  <c r="H75" i="12"/>
  <c r="J75" i="12"/>
  <c r="J86" i="12"/>
  <c r="J87" i="12"/>
  <c r="J82" i="12"/>
  <c r="M82" i="12"/>
  <c r="P85" i="12"/>
  <c r="P36" i="12"/>
  <c r="N86" i="12"/>
  <c r="N87" i="12"/>
  <c r="P81" i="12"/>
  <c r="S81" i="12"/>
  <c r="V81" i="12"/>
  <c r="Y81" i="12"/>
  <c r="AB81" i="12"/>
  <c r="AE81" i="12"/>
  <c r="AU81" i="12"/>
  <c r="AC75" i="12"/>
  <c r="AE75" i="12"/>
  <c r="Z75" i="12"/>
  <c r="AB75" i="12"/>
  <c r="W75" i="12"/>
  <c r="Y75" i="12"/>
  <c r="T75" i="12"/>
  <c r="V75" i="12"/>
  <c r="Q75" i="12"/>
  <c r="S75" i="12"/>
  <c r="N75" i="12"/>
  <c r="P75" i="12"/>
  <c r="P86" i="12"/>
  <c r="P87" i="12"/>
  <c r="P82" i="12"/>
  <c r="S82" i="12"/>
  <c r="V82" i="12"/>
  <c r="Y82" i="12"/>
  <c r="AB82" i="12"/>
  <c r="AE82" i="12"/>
  <c r="AU82" i="12"/>
  <c r="E16" i="12"/>
  <c r="B83" i="12"/>
  <c r="AT83" i="12"/>
  <c r="AC76" i="12"/>
  <c r="AE76" i="12"/>
  <c r="Z76" i="12"/>
  <c r="AB76" i="12"/>
  <c r="W76" i="12"/>
  <c r="Y76" i="12"/>
  <c r="T76" i="12"/>
  <c r="V76" i="12"/>
  <c r="Q76" i="12"/>
  <c r="S76" i="12"/>
  <c r="N76" i="12"/>
  <c r="P76" i="12"/>
  <c r="K76" i="12"/>
  <c r="M76" i="12"/>
  <c r="H76" i="12"/>
  <c r="J76" i="12"/>
  <c r="E76" i="12"/>
  <c r="G76" i="12"/>
  <c r="B76" i="12"/>
  <c r="D76" i="12"/>
  <c r="C83" i="12"/>
  <c r="D83" i="12"/>
  <c r="G83" i="12"/>
  <c r="J83" i="12"/>
  <c r="M83" i="12"/>
  <c r="P83" i="12"/>
  <c r="S83" i="12"/>
  <c r="V83" i="12"/>
  <c r="Y83" i="12"/>
  <c r="AB83" i="12"/>
  <c r="AE83" i="12"/>
  <c r="AU83" i="12"/>
  <c r="E93" i="12"/>
  <c r="B164" i="12"/>
  <c r="AT164" i="12"/>
  <c r="AC116" i="12"/>
  <c r="AC117" i="12"/>
  <c r="AC118" i="12"/>
  <c r="AC119" i="12"/>
  <c r="AC120" i="12"/>
  <c r="AC149" i="12"/>
  <c r="AE149" i="12"/>
  <c r="AC150" i="12"/>
  <c r="AE116" i="12"/>
  <c r="AE117" i="12"/>
  <c r="AE118" i="12"/>
  <c r="AE119" i="12"/>
  <c r="AE120" i="12"/>
  <c r="AE150" i="12"/>
  <c r="AC151" i="12"/>
  <c r="AE151" i="12"/>
  <c r="AC152" i="12"/>
  <c r="AE152" i="12"/>
  <c r="AC153" i="12"/>
  <c r="AE153" i="12"/>
  <c r="AD156" i="12"/>
  <c r="AC157" i="12"/>
  <c r="AE157" i="12"/>
  <c r="Z157" i="12"/>
  <c r="AB157" i="12"/>
  <c r="W116" i="12"/>
  <c r="W117" i="12"/>
  <c r="W118" i="12"/>
  <c r="W119" i="12"/>
  <c r="W120" i="12"/>
  <c r="W149" i="12"/>
  <c r="Y149" i="12"/>
  <c r="W150" i="12"/>
  <c r="Y150" i="12"/>
  <c r="W151" i="12"/>
  <c r="Y151" i="12"/>
  <c r="W152" i="12"/>
  <c r="Y152" i="12"/>
  <c r="W153" i="12"/>
  <c r="Y116" i="12"/>
  <c r="Y117" i="12"/>
  <c r="Y118" i="12"/>
  <c r="Y119" i="12"/>
  <c r="Y120" i="12"/>
  <c r="Y153" i="12"/>
  <c r="X156" i="12"/>
  <c r="W157" i="12"/>
  <c r="Y157" i="12"/>
  <c r="T157" i="12"/>
  <c r="V157" i="12"/>
  <c r="Q116" i="12"/>
  <c r="Q117" i="12"/>
  <c r="Q118" i="12"/>
  <c r="Q119" i="12"/>
  <c r="Q120" i="12"/>
  <c r="Q149" i="12"/>
  <c r="S149" i="12"/>
  <c r="Q150" i="12"/>
  <c r="S116" i="12"/>
  <c r="S117" i="12"/>
  <c r="S118" i="12"/>
  <c r="S119" i="12"/>
  <c r="S120" i="12"/>
  <c r="S150" i="12"/>
  <c r="Q151" i="12"/>
  <c r="S151" i="12"/>
  <c r="Q152" i="12"/>
  <c r="S152" i="12"/>
  <c r="Q153" i="12"/>
  <c r="S153" i="12"/>
  <c r="R156" i="12"/>
  <c r="Q157" i="12"/>
  <c r="N157" i="12"/>
  <c r="P157" i="12"/>
  <c r="K116" i="12"/>
  <c r="K117" i="12"/>
  <c r="K118" i="12"/>
  <c r="K119" i="12"/>
  <c r="K120" i="12"/>
  <c r="K149" i="12"/>
  <c r="M149" i="12"/>
  <c r="K150" i="12"/>
  <c r="M150" i="12"/>
  <c r="K151" i="12"/>
  <c r="M116" i="12"/>
  <c r="M117" i="12"/>
  <c r="M118" i="12"/>
  <c r="M119" i="12"/>
  <c r="M120" i="12"/>
  <c r="M151" i="12"/>
  <c r="K152" i="12"/>
  <c r="M152" i="12"/>
  <c r="K153" i="12"/>
  <c r="M153" i="12"/>
  <c r="L156" i="12"/>
  <c r="K157" i="12"/>
  <c r="H157" i="12"/>
  <c r="J157" i="12"/>
  <c r="E116" i="12"/>
  <c r="E117" i="12"/>
  <c r="E118" i="12"/>
  <c r="E119" i="12"/>
  <c r="E120" i="12"/>
  <c r="E149" i="12"/>
  <c r="G149" i="12"/>
  <c r="E150" i="12"/>
  <c r="G150" i="12"/>
  <c r="E151" i="12"/>
  <c r="G151" i="12"/>
  <c r="E152" i="12"/>
  <c r="G116" i="12"/>
  <c r="G117" i="12"/>
  <c r="G118" i="12"/>
  <c r="G119" i="12"/>
  <c r="G120" i="12"/>
  <c r="G152" i="12"/>
  <c r="E153" i="12"/>
  <c r="G153" i="12"/>
  <c r="F156" i="12"/>
  <c r="E157" i="12"/>
  <c r="B157" i="12"/>
  <c r="D157" i="12"/>
  <c r="C164" i="12"/>
  <c r="D164" i="12"/>
  <c r="E170" i="12"/>
  <c r="E121" i="12"/>
  <c r="B160" i="12"/>
  <c r="D160" i="12"/>
  <c r="E99" i="12"/>
  <c r="B167" i="12"/>
  <c r="C167" i="12"/>
  <c r="D167" i="12"/>
  <c r="G170" i="12"/>
  <c r="G121" i="12"/>
  <c r="E171" i="12"/>
  <c r="E172" i="12"/>
  <c r="G164" i="12"/>
  <c r="J164" i="12"/>
  <c r="K170" i="12"/>
  <c r="K121" i="12"/>
  <c r="H159" i="12"/>
  <c r="J159" i="12"/>
  <c r="E159" i="12"/>
  <c r="G159" i="12"/>
  <c r="B159" i="12"/>
  <c r="B149" i="12"/>
  <c r="D149" i="12"/>
  <c r="B116" i="12"/>
  <c r="B117" i="12"/>
  <c r="B118" i="12"/>
  <c r="B119" i="12"/>
  <c r="B120" i="12"/>
  <c r="B150" i="12"/>
  <c r="D150" i="12"/>
  <c r="B151" i="12"/>
  <c r="D116" i="12"/>
  <c r="D117" i="12"/>
  <c r="D118" i="12"/>
  <c r="D119" i="12"/>
  <c r="D120" i="12"/>
  <c r="D151" i="12"/>
  <c r="B152" i="12"/>
  <c r="D152" i="12"/>
  <c r="B153" i="12"/>
  <c r="D153" i="12"/>
  <c r="C156" i="12"/>
  <c r="D159" i="12"/>
  <c r="E97" i="12"/>
  <c r="B166" i="12"/>
  <c r="C166" i="12"/>
  <c r="D170" i="12"/>
  <c r="D121" i="12"/>
  <c r="B165" i="12"/>
  <c r="C165" i="12"/>
  <c r="B170" i="12"/>
  <c r="B121" i="12"/>
  <c r="D171" i="12"/>
  <c r="D172" i="12"/>
  <c r="D166" i="12"/>
  <c r="G166" i="12"/>
  <c r="J166" i="12"/>
  <c r="M170" i="12"/>
  <c r="M121" i="12"/>
  <c r="K171" i="12"/>
  <c r="K172" i="12"/>
  <c r="M164" i="12"/>
  <c r="P164" i="12"/>
  <c r="Q170" i="12"/>
  <c r="Q121" i="12"/>
  <c r="N158" i="12"/>
  <c r="P158" i="12"/>
  <c r="K158" i="12"/>
  <c r="M158" i="12"/>
  <c r="H149" i="12"/>
  <c r="J149" i="12"/>
  <c r="H116" i="12"/>
  <c r="H117" i="12"/>
  <c r="H118" i="12"/>
  <c r="H119" i="12"/>
  <c r="H120" i="12"/>
  <c r="H150" i="12"/>
  <c r="J150" i="12"/>
  <c r="H151" i="12"/>
  <c r="J151" i="12"/>
  <c r="H152" i="12"/>
  <c r="J116" i="12"/>
  <c r="J117" i="12"/>
  <c r="J118" i="12"/>
  <c r="J119" i="12"/>
  <c r="J120" i="12"/>
  <c r="J152" i="12"/>
  <c r="H153" i="12"/>
  <c r="J153" i="12"/>
  <c r="I156" i="12"/>
  <c r="H158" i="12"/>
  <c r="E158" i="12"/>
  <c r="G158" i="12"/>
  <c r="B158" i="12"/>
  <c r="B171" i="12"/>
  <c r="B172" i="12"/>
  <c r="D165" i="12"/>
  <c r="G165" i="12"/>
  <c r="H170" i="12"/>
  <c r="H121" i="12"/>
  <c r="E160" i="12"/>
  <c r="G160" i="12"/>
  <c r="G171" i="12"/>
  <c r="G172" i="12"/>
  <c r="G167" i="12"/>
  <c r="J170" i="12"/>
  <c r="J121" i="12"/>
  <c r="H171" i="12"/>
  <c r="H172" i="12"/>
  <c r="J165" i="12"/>
  <c r="M165" i="12"/>
  <c r="P165" i="12"/>
  <c r="S170" i="12"/>
  <c r="S121" i="12"/>
  <c r="Q171" i="12"/>
  <c r="Q172" i="12"/>
  <c r="S164" i="12"/>
  <c r="V164" i="12"/>
  <c r="Y164" i="12"/>
  <c r="AB164" i="12"/>
  <c r="AE164" i="12"/>
  <c r="AU164" i="12"/>
  <c r="AT165" i="12"/>
  <c r="AC158" i="12"/>
  <c r="AE158" i="12"/>
  <c r="Z158" i="12"/>
  <c r="AB158" i="12"/>
  <c r="W158" i="12"/>
  <c r="Y158" i="12"/>
  <c r="T149" i="12"/>
  <c r="V149" i="12"/>
  <c r="T116" i="12"/>
  <c r="T117" i="12"/>
  <c r="T118" i="12"/>
  <c r="T119" i="12"/>
  <c r="T120" i="12"/>
  <c r="T150" i="12"/>
  <c r="V150" i="12"/>
  <c r="T151" i="12"/>
  <c r="V116" i="12"/>
  <c r="V117" i="12"/>
  <c r="V118" i="12"/>
  <c r="V119" i="12"/>
  <c r="V120" i="12"/>
  <c r="V151" i="12"/>
  <c r="T152" i="12"/>
  <c r="V152" i="12"/>
  <c r="T153" i="12"/>
  <c r="V153" i="12"/>
  <c r="U156" i="12"/>
  <c r="T158" i="12"/>
  <c r="V158" i="12"/>
  <c r="Q158" i="12"/>
  <c r="S158" i="12"/>
  <c r="S171" i="12"/>
  <c r="S172" i="12"/>
  <c r="S165" i="12"/>
  <c r="V165" i="12"/>
  <c r="Y165" i="12"/>
  <c r="AB165" i="12"/>
  <c r="AE165" i="12"/>
  <c r="AU165" i="12"/>
  <c r="AT166" i="12"/>
  <c r="AC159" i="12"/>
  <c r="AE159" i="12"/>
  <c r="Z149" i="12"/>
  <c r="AB149" i="12"/>
  <c r="Z150" i="12"/>
  <c r="AB150" i="12"/>
  <c r="Z116" i="12"/>
  <c r="Z117" i="12"/>
  <c r="Z118" i="12"/>
  <c r="Z119" i="12"/>
  <c r="Z120" i="12"/>
  <c r="Z151" i="12"/>
  <c r="AB151" i="12"/>
  <c r="Z152" i="12"/>
  <c r="AB116" i="12"/>
  <c r="AB117" i="12"/>
  <c r="AB118" i="12"/>
  <c r="AB119" i="12"/>
  <c r="AB120" i="12"/>
  <c r="AB152" i="12"/>
  <c r="Z153" i="12"/>
  <c r="AB153" i="12"/>
  <c r="AA156" i="12"/>
  <c r="Z159" i="12"/>
  <c r="AB159" i="12"/>
  <c r="W159" i="12"/>
  <c r="Y159" i="12"/>
  <c r="T159" i="12"/>
  <c r="V159" i="12"/>
  <c r="Q159" i="12"/>
  <c r="S159" i="12"/>
  <c r="N149" i="12"/>
  <c r="P149" i="12"/>
  <c r="N150" i="12"/>
  <c r="P150" i="12"/>
  <c r="N116" i="12"/>
  <c r="N117" i="12"/>
  <c r="N118" i="12"/>
  <c r="N119" i="12"/>
  <c r="N120" i="12"/>
  <c r="N151" i="12"/>
  <c r="P151" i="12"/>
  <c r="N152" i="12"/>
  <c r="P116" i="12"/>
  <c r="P117" i="12"/>
  <c r="P118" i="12"/>
  <c r="P119" i="12"/>
  <c r="P120" i="12"/>
  <c r="P152" i="12"/>
  <c r="N153" i="12"/>
  <c r="P153" i="12"/>
  <c r="O156" i="12"/>
  <c r="N159" i="12"/>
  <c r="K159" i="12"/>
  <c r="M159" i="12"/>
  <c r="M171" i="12"/>
  <c r="M172" i="12"/>
  <c r="M166" i="12"/>
  <c r="N170" i="12"/>
  <c r="N121" i="12"/>
  <c r="K160" i="12"/>
  <c r="M160" i="12"/>
  <c r="H160" i="12"/>
  <c r="J160" i="12"/>
  <c r="J171" i="12"/>
  <c r="J172" i="12"/>
  <c r="J167" i="12"/>
  <c r="M167" i="12"/>
  <c r="P170" i="12"/>
  <c r="P121" i="12"/>
  <c r="N171" i="12"/>
  <c r="N172" i="12"/>
  <c r="P166" i="12"/>
  <c r="S166" i="12"/>
  <c r="V166" i="12"/>
  <c r="Y166" i="12"/>
  <c r="AB166" i="12"/>
  <c r="AE166" i="12"/>
  <c r="AU166" i="12"/>
  <c r="AT167" i="12"/>
  <c r="AC160" i="12"/>
  <c r="AE160" i="12"/>
  <c r="Z160" i="12"/>
  <c r="AB160" i="12"/>
  <c r="W160" i="12"/>
  <c r="Y160" i="12"/>
  <c r="T160" i="12"/>
  <c r="V160" i="12"/>
  <c r="Q160" i="12"/>
  <c r="S160" i="12"/>
  <c r="N160" i="12"/>
  <c r="P160" i="12"/>
  <c r="P171" i="12"/>
  <c r="P172" i="12"/>
  <c r="P167" i="12"/>
  <c r="S167" i="12"/>
  <c r="V167" i="12"/>
  <c r="Y167" i="12"/>
  <c r="AB167" i="12"/>
  <c r="AE167" i="12"/>
  <c r="AU167" i="12"/>
  <c r="E101" i="12"/>
  <c r="B168" i="12"/>
  <c r="AT168" i="12"/>
  <c r="AC161" i="12"/>
  <c r="AE161" i="12"/>
  <c r="Z161" i="12"/>
  <c r="AB161" i="12"/>
  <c r="W161" i="12"/>
  <c r="Y161" i="12"/>
  <c r="T161" i="12"/>
  <c r="V161" i="12"/>
  <c r="Q161" i="12"/>
  <c r="S161" i="12"/>
  <c r="N161" i="12"/>
  <c r="P161" i="12"/>
  <c r="K161" i="12"/>
  <c r="M161" i="12"/>
  <c r="H161" i="12"/>
  <c r="J161" i="12"/>
  <c r="E161" i="12"/>
  <c r="G161" i="12"/>
  <c r="B161" i="12"/>
  <c r="D161" i="12"/>
  <c r="C168" i="12"/>
  <c r="D168" i="12"/>
  <c r="G168" i="12"/>
  <c r="J168" i="12"/>
  <c r="M168" i="12"/>
  <c r="P168" i="12"/>
  <c r="S168" i="12"/>
  <c r="V168" i="12"/>
  <c r="Y168" i="12"/>
  <c r="AB168" i="12"/>
  <c r="AE168" i="12"/>
  <c r="AU168" i="12"/>
  <c r="AX5" i="12"/>
  <c r="X230" i="12"/>
  <c r="Y231" i="12"/>
  <c r="W22" i="12"/>
  <c r="V179" i="12"/>
  <c r="X210" i="12"/>
  <c r="W227" i="12"/>
  <c r="AX6" i="12"/>
  <c r="X227" i="12"/>
  <c r="W231" i="12"/>
  <c r="Y232" i="12"/>
  <c r="Y233" i="12"/>
  <c r="Y230" i="12"/>
  <c r="AB230" i="12"/>
  <c r="AE230" i="12"/>
  <c r="AU233" i="12"/>
  <c r="AT233" i="12"/>
  <c r="AF179" i="12"/>
  <c r="X212" i="12"/>
  <c r="W229" i="12"/>
  <c r="AX7" i="12"/>
  <c r="X229" i="12"/>
  <c r="Y229" i="12"/>
  <c r="AB231" i="12"/>
  <c r="Z22" i="12"/>
  <c r="V180" i="12"/>
  <c r="X211" i="12"/>
  <c r="W228" i="12"/>
  <c r="AX8" i="12"/>
  <c r="X228" i="12"/>
  <c r="Y228" i="12"/>
  <c r="Z231" i="12"/>
  <c r="AB232" i="12"/>
  <c r="AB233" i="12"/>
  <c r="AB229" i="12"/>
  <c r="AE231" i="12"/>
  <c r="AE219" i="12"/>
  <c r="AE220" i="12"/>
  <c r="AE221" i="12"/>
  <c r="AE222" i="12"/>
  <c r="AC22" i="12"/>
  <c r="W232" i="12"/>
  <c r="W233" i="12"/>
  <c r="Y227" i="12"/>
  <c r="AB227" i="12"/>
  <c r="AC231" i="12"/>
  <c r="AC219" i="12"/>
  <c r="AC220" i="12"/>
  <c r="AC221" i="12"/>
  <c r="AC222" i="12"/>
  <c r="AE232" i="12"/>
  <c r="AE233" i="12"/>
  <c r="AC232" i="12"/>
  <c r="AC233" i="12"/>
  <c r="Z232" i="12"/>
  <c r="Z233" i="12"/>
  <c r="E219" i="12"/>
  <c r="E220" i="12"/>
  <c r="E221" i="12"/>
  <c r="E222" i="12"/>
  <c r="G219" i="12"/>
  <c r="G220" i="12"/>
  <c r="G221" i="12"/>
  <c r="G222" i="12"/>
  <c r="J218" i="12"/>
  <c r="B180" i="12"/>
  <c r="B211" i="12"/>
  <c r="B228" i="12"/>
  <c r="AX4" i="12"/>
  <c r="C228" i="12"/>
  <c r="D228" i="12"/>
  <c r="E231" i="12"/>
  <c r="L179" i="12"/>
  <c r="B212" i="12"/>
  <c r="B229" i="12"/>
  <c r="AX10" i="12"/>
  <c r="C229" i="12"/>
  <c r="D229" i="12"/>
  <c r="G231" i="12"/>
  <c r="E232" i="12"/>
  <c r="E233" i="12"/>
  <c r="G228" i="12"/>
  <c r="J231" i="12"/>
  <c r="J219" i="12"/>
  <c r="J220" i="12"/>
  <c r="J221" i="12"/>
  <c r="J222" i="12"/>
  <c r="H22" i="12"/>
  <c r="B219" i="12"/>
  <c r="B220" i="12"/>
  <c r="B221" i="12"/>
  <c r="B222" i="12"/>
  <c r="D219" i="12"/>
  <c r="D220" i="12"/>
  <c r="D221" i="12"/>
  <c r="D222" i="12"/>
  <c r="H218" i="12"/>
  <c r="B179" i="12"/>
  <c r="B210" i="12"/>
  <c r="B227" i="12"/>
  <c r="AX3" i="12"/>
  <c r="C227" i="12"/>
  <c r="B231" i="12"/>
  <c r="L180" i="12"/>
  <c r="B213" i="12"/>
  <c r="B230" i="12"/>
  <c r="AX9" i="12"/>
  <c r="C230" i="12"/>
  <c r="D231" i="12"/>
  <c r="B232" i="12"/>
  <c r="B233" i="12"/>
  <c r="D227" i="12"/>
  <c r="G227" i="12"/>
  <c r="H231" i="12"/>
  <c r="H219" i="12"/>
  <c r="H220" i="12"/>
  <c r="H221" i="12"/>
  <c r="H222" i="12"/>
  <c r="J232" i="12"/>
  <c r="J233" i="12"/>
  <c r="H232" i="12"/>
  <c r="H233" i="12"/>
  <c r="E22" i="12"/>
  <c r="G232" i="12"/>
  <c r="G233" i="12"/>
  <c r="D232" i="12"/>
  <c r="D233" i="12"/>
  <c r="AE229" i="12"/>
  <c r="AU232" i="12"/>
  <c r="AT232" i="12"/>
  <c r="AB228" i="12"/>
  <c r="AE228" i="12"/>
  <c r="AU231" i="12"/>
  <c r="AT231" i="12"/>
  <c r="AE227" i="12"/>
  <c r="AU230" i="12"/>
  <c r="AT230" i="12"/>
  <c r="D230" i="12"/>
  <c r="G230" i="12"/>
  <c r="J230" i="12"/>
  <c r="AU229" i="12"/>
  <c r="AT229" i="12"/>
  <c r="G229" i="12"/>
  <c r="J229" i="12"/>
  <c r="AU228" i="12"/>
  <c r="AT228" i="12"/>
  <c r="J228" i="12"/>
  <c r="AU227" i="12"/>
  <c r="AT227" i="12"/>
  <c r="J227" i="12"/>
  <c r="AU226" i="12"/>
  <c r="AT226" i="12"/>
  <c r="AF223" i="12"/>
  <c r="K223" i="12"/>
  <c r="E96" i="12"/>
  <c r="AL180" i="12"/>
  <c r="AG213" i="12"/>
  <c r="E100" i="12"/>
  <c r="R180" i="12"/>
  <c r="K213" i="12"/>
  <c r="E13" i="12"/>
  <c r="AL179" i="12"/>
  <c r="AG212" i="12"/>
  <c r="E15" i="12"/>
  <c r="R179" i="12"/>
  <c r="K212" i="12"/>
  <c r="E98" i="12"/>
  <c r="AB180" i="12"/>
  <c r="AG211" i="12"/>
  <c r="E94" i="12"/>
  <c r="H180" i="12"/>
  <c r="K211" i="12"/>
  <c r="E11" i="12"/>
  <c r="AB179" i="12"/>
  <c r="AG210" i="12"/>
  <c r="E9" i="12"/>
  <c r="H179" i="12"/>
  <c r="K210" i="12"/>
  <c r="U204" i="12"/>
  <c r="A204" i="12"/>
  <c r="AB203" i="12"/>
  <c r="F203" i="12"/>
  <c r="U199" i="12"/>
  <c r="A199" i="12"/>
  <c r="AF198" i="12"/>
  <c r="J198" i="12"/>
  <c r="U195" i="12"/>
  <c r="A195" i="12"/>
  <c r="AB193" i="12"/>
  <c r="T193" i="12"/>
  <c r="F193" i="12"/>
  <c r="A193" i="12"/>
  <c r="U190" i="12"/>
  <c r="A190" i="12"/>
  <c r="A174" i="12"/>
  <c r="AE170" i="12"/>
  <c r="AE121" i="12"/>
  <c r="AC170" i="12"/>
  <c r="AC121" i="12"/>
  <c r="AE171" i="12"/>
  <c r="AE172" i="12"/>
  <c r="AC171" i="12"/>
  <c r="AC172" i="12"/>
  <c r="AB170" i="12"/>
  <c r="AB121" i="12"/>
  <c r="Z170" i="12"/>
  <c r="Z121" i="12"/>
  <c r="AB171" i="12"/>
  <c r="AB172" i="12"/>
  <c r="Z171" i="12"/>
  <c r="Z172" i="12"/>
  <c r="Y170" i="12"/>
  <c r="Y121" i="12"/>
  <c r="W170" i="12"/>
  <c r="W121" i="12"/>
  <c r="Y171" i="12"/>
  <c r="Y172" i="12"/>
  <c r="W171" i="12"/>
  <c r="W172" i="12"/>
  <c r="V170" i="12"/>
  <c r="V121" i="12"/>
  <c r="T170" i="12"/>
  <c r="T121" i="12"/>
  <c r="V171" i="12"/>
  <c r="V172" i="12"/>
  <c r="T171" i="12"/>
  <c r="T172" i="12"/>
  <c r="AF161" i="12"/>
  <c r="AF160" i="12"/>
  <c r="P159" i="12"/>
  <c r="AF159" i="12"/>
  <c r="D158" i="12"/>
  <c r="J158" i="12"/>
  <c r="AF158" i="12"/>
  <c r="G157" i="12"/>
  <c r="M157" i="12"/>
  <c r="S157" i="12"/>
  <c r="AF157" i="12"/>
  <c r="AF153" i="12"/>
  <c r="AG153" i="12"/>
  <c r="AF152" i="12"/>
  <c r="AG152" i="12"/>
  <c r="AF151" i="12"/>
  <c r="AG151" i="12"/>
  <c r="AF150" i="12"/>
  <c r="AG150" i="12"/>
  <c r="AF149" i="12"/>
  <c r="AG149" i="12"/>
  <c r="B147" i="12"/>
  <c r="D147" i="12"/>
  <c r="E147" i="12"/>
  <c r="G147" i="12"/>
  <c r="H147" i="12"/>
  <c r="J147" i="12"/>
  <c r="K147" i="12"/>
  <c r="M147" i="12"/>
  <c r="N147" i="12"/>
  <c r="P147" i="12"/>
  <c r="Q147" i="12"/>
  <c r="S147" i="12"/>
  <c r="T147" i="12"/>
  <c r="V147" i="12"/>
  <c r="W147" i="12"/>
  <c r="W124" i="12"/>
  <c r="Y124" i="12"/>
  <c r="W125" i="12"/>
  <c r="Y125" i="12"/>
  <c r="W126" i="12"/>
  <c r="Y126" i="12"/>
  <c r="W127" i="12"/>
  <c r="Y127" i="12"/>
  <c r="W128" i="12"/>
  <c r="Y128" i="12"/>
  <c r="W129" i="12"/>
  <c r="Y147" i="12"/>
  <c r="Z147" i="12"/>
  <c r="AB147" i="12"/>
  <c r="AC147" i="12"/>
  <c r="AE147" i="12"/>
  <c r="AF147" i="12"/>
  <c r="B146" i="12"/>
  <c r="D146" i="12"/>
  <c r="E146" i="12"/>
  <c r="E124" i="12"/>
  <c r="G124" i="12"/>
  <c r="E125" i="12"/>
  <c r="G125" i="12"/>
  <c r="E126" i="12"/>
  <c r="G126" i="12"/>
  <c r="E127" i="12"/>
  <c r="G127" i="12"/>
  <c r="E128" i="12"/>
  <c r="G128" i="12"/>
  <c r="E129" i="12"/>
  <c r="G146" i="12"/>
  <c r="H146" i="12"/>
  <c r="H124" i="12"/>
  <c r="J124" i="12"/>
  <c r="H125" i="12"/>
  <c r="J125" i="12"/>
  <c r="H126" i="12"/>
  <c r="J126" i="12"/>
  <c r="H127" i="12"/>
  <c r="J127" i="12"/>
  <c r="H128" i="12"/>
  <c r="J128" i="12"/>
  <c r="H129" i="12"/>
  <c r="J146" i="12"/>
  <c r="K146" i="12"/>
  <c r="M146" i="12"/>
  <c r="N146" i="12"/>
  <c r="N124" i="12"/>
  <c r="P124" i="12"/>
  <c r="N125" i="12"/>
  <c r="P125" i="12"/>
  <c r="N126" i="12"/>
  <c r="P126" i="12"/>
  <c r="N127" i="12"/>
  <c r="P127" i="12"/>
  <c r="N128" i="12"/>
  <c r="P128" i="12"/>
  <c r="N129" i="12"/>
  <c r="P146" i="12"/>
  <c r="Q146" i="12"/>
  <c r="S146" i="12"/>
  <c r="T146" i="12"/>
  <c r="V146" i="12"/>
  <c r="W146" i="12"/>
  <c r="Y146" i="12"/>
  <c r="Z146" i="12"/>
  <c r="Z124" i="12"/>
  <c r="AB124" i="12"/>
  <c r="Z125" i="12"/>
  <c r="AB125" i="12"/>
  <c r="Z126" i="12"/>
  <c r="AB126" i="12"/>
  <c r="Z127" i="12"/>
  <c r="AB127" i="12"/>
  <c r="Z128" i="12"/>
  <c r="AB128" i="12"/>
  <c r="Z129" i="12"/>
  <c r="AB146" i="12"/>
  <c r="AC146" i="12"/>
  <c r="AE146" i="12"/>
  <c r="AF146" i="12"/>
  <c r="B145" i="12"/>
  <c r="B124" i="12"/>
  <c r="D124" i="12"/>
  <c r="B125" i="12"/>
  <c r="D125" i="12"/>
  <c r="B126" i="12"/>
  <c r="D126" i="12"/>
  <c r="B127" i="12"/>
  <c r="D127" i="12"/>
  <c r="B128" i="12"/>
  <c r="D128" i="12"/>
  <c r="B129" i="12"/>
  <c r="D145" i="12"/>
  <c r="E145" i="12"/>
  <c r="G145" i="12"/>
  <c r="H145" i="12"/>
  <c r="J145" i="12"/>
  <c r="K145" i="12"/>
  <c r="K124" i="12"/>
  <c r="M124" i="12"/>
  <c r="K125" i="12"/>
  <c r="M125" i="12"/>
  <c r="K126" i="12"/>
  <c r="M126" i="12"/>
  <c r="K127" i="12"/>
  <c r="M127" i="12"/>
  <c r="K128" i="12"/>
  <c r="M128" i="12"/>
  <c r="K129" i="12"/>
  <c r="M145" i="12"/>
  <c r="N145" i="12"/>
  <c r="P145" i="12"/>
  <c r="Q145" i="12"/>
  <c r="S145" i="12"/>
  <c r="T145" i="12"/>
  <c r="T124" i="12"/>
  <c r="V124" i="12"/>
  <c r="T125" i="12"/>
  <c r="V125" i="12"/>
  <c r="T126" i="12"/>
  <c r="V126" i="12"/>
  <c r="T127" i="12"/>
  <c r="V127" i="12"/>
  <c r="T128" i="12"/>
  <c r="V128" i="12"/>
  <c r="T129" i="12"/>
  <c r="V145" i="12"/>
  <c r="W145" i="12"/>
  <c r="Y145" i="12"/>
  <c r="Z145" i="12"/>
  <c r="AB145" i="12"/>
  <c r="AC145" i="12"/>
  <c r="AE145" i="12"/>
  <c r="AF145" i="12"/>
  <c r="B144" i="12"/>
  <c r="D144" i="12"/>
  <c r="E144" i="12"/>
  <c r="G144" i="12"/>
  <c r="H144" i="12"/>
  <c r="J144" i="12"/>
  <c r="K144" i="12"/>
  <c r="M144" i="12"/>
  <c r="N144" i="12"/>
  <c r="P144" i="12"/>
  <c r="Q144" i="12"/>
  <c r="Q124" i="12"/>
  <c r="S124" i="12"/>
  <c r="Q125" i="12"/>
  <c r="S125" i="12"/>
  <c r="Q126" i="12"/>
  <c r="S126" i="12"/>
  <c r="Q127" i="12"/>
  <c r="S127" i="12"/>
  <c r="Q128" i="12"/>
  <c r="S128" i="12"/>
  <c r="Q129" i="12"/>
  <c r="S144" i="12"/>
  <c r="T144" i="12"/>
  <c r="V144" i="12"/>
  <c r="W144" i="12"/>
  <c r="Y144" i="12"/>
  <c r="Z144" i="12"/>
  <c r="AB144" i="12"/>
  <c r="AC144" i="12"/>
  <c r="AC124" i="12"/>
  <c r="AE124" i="12"/>
  <c r="AC125" i="12"/>
  <c r="AE125" i="12"/>
  <c r="AC126" i="12"/>
  <c r="AE126" i="12"/>
  <c r="AC127" i="12"/>
  <c r="AE127" i="12"/>
  <c r="AC128" i="12"/>
  <c r="AE128" i="12"/>
  <c r="AC129" i="12"/>
  <c r="AE144" i="12"/>
  <c r="AF144" i="12"/>
  <c r="B143" i="12"/>
  <c r="D143" i="12"/>
  <c r="E143" i="12"/>
  <c r="G143" i="12"/>
  <c r="H143" i="12"/>
  <c r="J143" i="12"/>
  <c r="K143" i="12"/>
  <c r="M143" i="12"/>
  <c r="N143" i="12"/>
  <c r="P143" i="12"/>
  <c r="Q143" i="12"/>
  <c r="S143" i="12"/>
  <c r="T143" i="12"/>
  <c r="V143" i="12"/>
  <c r="W143" i="12"/>
  <c r="Y143" i="12"/>
  <c r="Z143" i="12"/>
  <c r="AB143" i="12"/>
  <c r="AC143" i="12"/>
  <c r="AE143" i="12"/>
  <c r="AF143" i="12"/>
  <c r="B141" i="12"/>
  <c r="D141" i="12"/>
  <c r="E141" i="12"/>
  <c r="G141" i="12"/>
  <c r="H141" i="12"/>
  <c r="J141" i="12"/>
  <c r="K141" i="12"/>
  <c r="M141" i="12"/>
  <c r="N141" i="12"/>
  <c r="P141" i="12"/>
  <c r="Q141" i="12"/>
  <c r="S141" i="12"/>
  <c r="T141" i="12"/>
  <c r="V141" i="12"/>
  <c r="W141" i="12"/>
  <c r="W122" i="12"/>
  <c r="Y122" i="12"/>
  <c r="X122" i="12"/>
  <c r="Y141" i="12"/>
  <c r="Z141" i="12"/>
  <c r="AB141" i="12"/>
  <c r="AC141" i="12"/>
  <c r="AE141" i="12"/>
  <c r="AF141" i="12"/>
  <c r="B140" i="12"/>
  <c r="D140" i="12"/>
  <c r="E140" i="12"/>
  <c r="E122" i="12"/>
  <c r="G122" i="12"/>
  <c r="F122" i="12"/>
  <c r="G140" i="12"/>
  <c r="H140" i="12"/>
  <c r="H122" i="12"/>
  <c r="J122" i="12"/>
  <c r="I122" i="12"/>
  <c r="J140" i="12"/>
  <c r="K140" i="12"/>
  <c r="M140" i="12"/>
  <c r="N140" i="12"/>
  <c r="N122" i="12"/>
  <c r="P122" i="12"/>
  <c r="O122" i="12"/>
  <c r="P140" i="12"/>
  <c r="Q140" i="12"/>
  <c r="S140" i="12"/>
  <c r="T140" i="12"/>
  <c r="V140" i="12"/>
  <c r="W140" i="12"/>
  <c r="Y140" i="12"/>
  <c r="Z140" i="12"/>
  <c r="Z122" i="12"/>
  <c r="AB122" i="12"/>
  <c r="AA122" i="12"/>
  <c r="AB140" i="12"/>
  <c r="AC140" i="12"/>
  <c r="AE140" i="12"/>
  <c r="AF140" i="12"/>
  <c r="B139" i="12"/>
  <c r="B122" i="12"/>
  <c r="D122" i="12"/>
  <c r="C122" i="12"/>
  <c r="D139" i="12"/>
  <c r="E139" i="12"/>
  <c r="G139" i="12"/>
  <c r="H139" i="12"/>
  <c r="J139" i="12"/>
  <c r="K139" i="12"/>
  <c r="K122" i="12"/>
  <c r="M122" i="12"/>
  <c r="L122" i="12"/>
  <c r="M139" i="12"/>
  <c r="N139" i="12"/>
  <c r="P139" i="12"/>
  <c r="Q139" i="12"/>
  <c r="S139" i="12"/>
  <c r="T139" i="12"/>
  <c r="T122" i="12"/>
  <c r="V122" i="12"/>
  <c r="U122" i="12"/>
  <c r="V139" i="12"/>
  <c r="W139" i="12"/>
  <c r="Y139" i="12"/>
  <c r="Z139" i="12"/>
  <c r="AB139" i="12"/>
  <c r="AC139" i="12"/>
  <c r="AE139" i="12"/>
  <c r="AF139" i="12"/>
  <c r="B138" i="12"/>
  <c r="D138" i="12"/>
  <c r="E138" i="12"/>
  <c r="G138" i="12"/>
  <c r="H138" i="12"/>
  <c r="J138" i="12"/>
  <c r="K138" i="12"/>
  <c r="M138" i="12"/>
  <c r="N138" i="12"/>
  <c r="P138" i="12"/>
  <c r="Q138" i="12"/>
  <c r="Q122" i="12"/>
  <c r="S122" i="12"/>
  <c r="R122" i="12"/>
  <c r="S138" i="12"/>
  <c r="T138" i="12"/>
  <c r="V138" i="12"/>
  <c r="W138" i="12"/>
  <c r="Y138" i="12"/>
  <c r="Z138" i="12"/>
  <c r="AB138" i="12"/>
  <c r="AC138" i="12"/>
  <c r="AC122" i="12"/>
  <c r="AE122" i="12"/>
  <c r="AD122" i="12"/>
  <c r="AE138" i="12"/>
  <c r="AF138" i="12"/>
  <c r="B137" i="12"/>
  <c r="D137" i="12"/>
  <c r="E137" i="12"/>
  <c r="G137" i="12"/>
  <c r="H137" i="12"/>
  <c r="J137" i="12"/>
  <c r="K137" i="12"/>
  <c r="M137" i="12"/>
  <c r="N137" i="12"/>
  <c r="P137" i="12"/>
  <c r="Q137" i="12"/>
  <c r="S137" i="12"/>
  <c r="T137" i="12"/>
  <c r="V137" i="12"/>
  <c r="W137" i="12"/>
  <c r="Y137" i="12"/>
  <c r="Z137" i="12"/>
  <c r="AB137" i="12"/>
  <c r="AC137" i="12"/>
  <c r="AE137" i="12"/>
  <c r="AF137" i="12"/>
  <c r="B135" i="12"/>
  <c r="D135" i="12"/>
  <c r="E135" i="12"/>
  <c r="G135" i="12"/>
  <c r="H135" i="12"/>
  <c r="J135" i="12"/>
  <c r="K135" i="12"/>
  <c r="M135" i="12"/>
  <c r="N135" i="12"/>
  <c r="P135" i="12"/>
  <c r="Q135" i="12"/>
  <c r="S135" i="12"/>
  <c r="T135" i="12"/>
  <c r="V135" i="12"/>
  <c r="W135" i="12"/>
  <c r="Y135" i="12"/>
  <c r="Z135" i="12"/>
  <c r="AB135" i="12"/>
  <c r="AC135" i="12"/>
  <c r="AE135" i="12"/>
  <c r="AF135" i="12"/>
  <c r="AG135" i="12"/>
  <c r="B134" i="12"/>
  <c r="D134" i="12"/>
  <c r="E134" i="12"/>
  <c r="G134" i="12"/>
  <c r="H134" i="12"/>
  <c r="J134" i="12"/>
  <c r="K134" i="12"/>
  <c r="M134" i="12"/>
  <c r="N134" i="12"/>
  <c r="P134" i="12"/>
  <c r="Q134" i="12"/>
  <c r="S134" i="12"/>
  <c r="T134" i="12"/>
  <c r="V134" i="12"/>
  <c r="W134" i="12"/>
  <c r="Y134" i="12"/>
  <c r="Z134" i="12"/>
  <c r="AB134" i="12"/>
  <c r="AC134" i="12"/>
  <c r="AE134" i="12"/>
  <c r="AF134" i="12"/>
  <c r="AG134" i="12"/>
  <c r="B133" i="12"/>
  <c r="D133" i="12"/>
  <c r="E133" i="12"/>
  <c r="G133" i="12"/>
  <c r="H133" i="12"/>
  <c r="J133" i="12"/>
  <c r="K133" i="12"/>
  <c r="M133" i="12"/>
  <c r="N133" i="12"/>
  <c r="P133" i="12"/>
  <c r="Q133" i="12"/>
  <c r="S133" i="12"/>
  <c r="T133" i="12"/>
  <c r="V133" i="12"/>
  <c r="W133" i="12"/>
  <c r="Y133" i="12"/>
  <c r="Z133" i="12"/>
  <c r="AB133" i="12"/>
  <c r="AC133" i="12"/>
  <c r="AE133" i="12"/>
  <c r="AF133" i="12"/>
  <c r="AG133" i="12"/>
  <c r="B132" i="12"/>
  <c r="D132" i="12"/>
  <c r="E132" i="12"/>
  <c r="G132" i="12"/>
  <c r="H132" i="12"/>
  <c r="J132" i="12"/>
  <c r="K132" i="12"/>
  <c r="M132" i="12"/>
  <c r="N132" i="12"/>
  <c r="P132" i="12"/>
  <c r="Q132" i="12"/>
  <c r="S132" i="12"/>
  <c r="T132" i="12"/>
  <c r="V132" i="12"/>
  <c r="W132" i="12"/>
  <c r="Y132" i="12"/>
  <c r="Z132" i="12"/>
  <c r="AB132" i="12"/>
  <c r="AC132" i="12"/>
  <c r="AE132" i="12"/>
  <c r="AF132" i="12"/>
  <c r="AG132" i="12"/>
  <c r="B131" i="12"/>
  <c r="D131" i="12"/>
  <c r="E131" i="12"/>
  <c r="G131" i="12"/>
  <c r="H131" i="12"/>
  <c r="J131" i="12"/>
  <c r="K131" i="12"/>
  <c r="M131" i="12"/>
  <c r="N131" i="12"/>
  <c r="P131" i="12"/>
  <c r="Q131" i="12"/>
  <c r="S131" i="12"/>
  <c r="T131" i="12"/>
  <c r="V131" i="12"/>
  <c r="W131" i="12"/>
  <c r="Y131" i="12"/>
  <c r="Z131" i="12"/>
  <c r="AB131" i="12"/>
  <c r="AC131" i="12"/>
  <c r="AE131" i="12"/>
  <c r="AF131" i="12"/>
  <c r="AG131" i="12"/>
  <c r="AE115" i="12"/>
  <c r="AC115" i="12"/>
  <c r="AB115" i="12"/>
  <c r="Z115" i="12"/>
  <c r="Y115" i="12"/>
  <c r="W115" i="12"/>
  <c r="V115" i="12"/>
  <c r="T115" i="12"/>
  <c r="S115" i="12"/>
  <c r="Q115" i="12"/>
  <c r="P115" i="12"/>
  <c r="N115" i="12"/>
  <c r="M115" i="12"/>
  <c r="K115" i="12"/>
  <c r="J115" i="12"/>
  <c r="H115" i="12"/>
  <c r="G115" i="12"/>
  <c r="E115" i="12"/>
  <c r="D115" i="12"/>
  <c r="B115" i="12"/>
  <c r="AD114" i="12"/>
  <c r="AA114" i="12"/>
  <c r="X114" i="12"/>
  <c r="U114" i="12"/>
  <c r="R114" i="12"/>
  <c r="O114" i="12"/>
  <c r="L114" i="12"/>
  <c r="I114" i="12"/>
  <c r="F114" i="12"/>
  <c r="A114" i="12"/>
  <c r="AG113" i="12"/>
  <c r="AH113" i="12"/>
  <c r="AI113" i="12"/>
  <c r="AJ113" i="12"/>
  <c r="AK113" i="12"/>
  <c r="AL113" i="12"/>
  <c r="AM113" i="12"/>
  <c r="AN113" i="12"/>
  <c r="AO113" i="12"/>
  <c r="AP113" i="12"/>
  <c r="AQ113" i="12"/>
  <c r="AF113" i="12"/>
  <c r="AD113" i="12"/>
  <c r="AA113" i="12"/>
  <c r="X113" i="12"/>
  <c r="U113" i="12"/>
  <c r="R113" i="12"/>
  <c r="O113" i="12"/>
  <c r="L113" i="12"/>
  <c r="I113" i="12"/>
  <c r="F113" i="12"/>
  <c r="A113" i="12"/>
  <c r="AG112" i="12"/>
  <c r="AH112" i="12"/>
  <c r="AI112" i="12"/>
  <c r="AJ112" i="12"/>
  <c r="AK112" i="12"/>
  <c r="AL112" i="12"/>
  <c r="AM112" i="12"/>
  <c r="AN112" i="12"/>
  <c r="AO112" i="12"/>
  <c r="AP112" i="12"/>
  <c r="AQ112" i="12"/>
  <c r="AF112" i="12"/>
  <c r="AD112" i="12"/>
  <c r="AA112" i="12"/>
  <c r="X112" i="12"/>
  <c r="U112" i="12"/>
  <c r="R112" i="12"/>
  <c r="O112" i="12"/>
  <c r="L112" i="12"/>
  <c r="I112" i="12"/>
  <c r="F112" i="12"/>
  <c r="A112" i="12"/>
  <c r="AG111" i="12"/>
  <c r="AH111" i="12"/>
  <c r="AI111" i="12"/>
  <c r="AJ111" i="12"/>
  <c r="AK111" i="12"/>
  <c r="AL111" i="12"/>
  <c r="AM111" i="12"/>
  <c r="AN111" i="12"/>
  <c r="AO111" i="12"/>
  <c r="AP111" i="12"/>
  <c r="AQ111" i="12"/>
  <c r="AF111" i="12"/>
  <c r="AD111" i="12"/>
  <c r="AA111" i="12"/>
  <c r="X111" i="12"/>
  <c r="U111" i="12"/>
  <c r="R111" i="12"/>
  <c r="O111" i="12"/>
  <c r="L111" i="12"/>
  <c r="I111" i="12"/>
  <c r="F111" i="12"/>
  <c r="A111" i="12"/>
  <c r="AG110" i="12"/>
  <c r="AH110" i="12"/>
  <c r="AI110" i="12"/>
  <c r="AJ110" i="12"/>
  <c r="AK110" i="12"/>
  <c r="AL110" i="12"/>
  <c r="AM110" i="12"/>
  <c r="AN110" i="12"/>
  <c r="AO110" i="12"/>
  <c r="AP110" i="12"/>
  <c r="AQ110" i="12"/>
  <c r="AF110" i="12"/>
  <c r="AD110" i="12"/>
  <c r="AA110" i="12"/>
  <c r="X110" i="12"/>
  <c r="U110" i="12"/>
  <c r="R110" i="12"/>
  <c r="O110" i="12"/>
  <c r="L110" i="12"/>
  <c r="I110" i="12"/>
  <c r="F110" i="12"/>
  <c r="AG109" i="12"/>
  <c r="AH109" i="12"/>
  <c r="AI109" i="12"/>
  <c r="AJ109" i="12"/>
  <c r="AK109" i="12"/>
  <c r="AL109" i="12"/>
  <c r="AM109" i="12"/>
  <c r="AN109" i="12"/>
  <c r="AO109" i="12"/>
  <c r="AP109" i="12"/>
  <c r="AQ109" i="12"/>
  <c r="AF109" i="12"/>
  <c r="AD109" i="12"/>
  <c r="AA109" i="12"/>
  <c r="X109" i="12"/>
  <c r="U109" i="12"/>
  <c r="R109" i="12"/>
  <c r="O109" i="12"/>
  <c r="L109" i="12"/>
  <c r="I109" i="12"/>
  <c r="F109" i="12"/>
  <c r="AC107" i="12"/>
  <c r="Z107" i="12"/>
  <c r="W107" i="12"/>
  <c r="T107" i="12"/>
  <c r="Q107" i="12"/>
  <c r="N107" i="12"/>
  <c r="K107" i="12"/>
  <c r="H107" i="12"/>
  <c r="E107" i="12"/>
  <c r="E102" i="12"/>
  <c r="AC101" i="12"/>
  <c r="Z101" i="12"/>
  <c r="W101" i="12"/>
  <c r="R101" i="12"/>
  <c r="L101" i="12"/>
  <c r="A101" i="12"/>
  <c r="AC99" i="12"/>
  <c r="Z99" i="12"/>
  <c r="W99" i="12"/>
  <c r="R99" i="12"/>
  <c r="L99" i="12"/>
  <c r="A99" i="12"/>
  <c r="AC97" i="12"/>
  <c r="Z97" i="12"/>
  <c r="W97" i="12"/>
  <c r="R97" i="12"/>
  <c r="L97" i="12"/>
  <c r="A97" i="12"/>
  <c r="AC95" i="12"/>
  <c r="Z95" i="12"/>
  <c r="W95" i="12"/>
  <c r="R95" i="12"/>
  <c r="L95" i="12"/>
  <c r="A95" i="12"/>
  <c r="AC93" i="12"/>
  <c r="Z93" i="12"/>
  <c r="W93" i="12"/>
  <c r="R93" i="12"/>
  <c r="L93" i="12"/>
  <c r="A93" i="12"/>
  <c r="R92" i="12"/>
  <c r="L92" i="12"/>
  <c r="K91" i="12"/>
  <c r="A89" i="12"/>
  <c r="AE85" i="12"/>
  <c r="AE36" i="12"/>
  <c r="AC85" i="12"/>
  <c r="AC36" i="12"/>
  <c r="AE86" i="12"/>
  <c r="AE87" i="12"/>
  <c r="AC86" i="12"/>
  <c r="AC87" i="12"/>
  <c r="AB85" i="12"/>
  <c r="AB36" i="12"/>
  <c r="Z85" i="12"/>
  <c r="Z36" i="12"/>
  <c r="AB86" i="12"/>
  <c r="AB87" i="12"/>
  <c r="Z86" i="12"/>
  <c r="Z87" i="12"/>
  <c r="Y85" i="12"/>
  <c r="Y36" i="12"/>
  <c r="W85" i="12"/>
  <c r="W36" i="12"/>
  <c r="Y86" i="12"/>
  <c r="Y87" i="12"/>
  <c r="W86" i="12"/>
  <c r="W87" i="12"/>
  <c r="V85" i="12"/>
  <c r="V36" i="12"/>
  <c r="T85" i="12"/>
  <c r="T36" i="12"/>
  <c r="V86" i="12"/>
  <c r="V87" i="12"/>
  <c r="T86" i="12"/>
  <c r="T87" i="12"/>
  <c r="AF76" i="12"/>
  <c r="AF75" i="12"/>
  <c r="P74" i="12"/>
  <c r="AF74" i="12"/>
  <c r="D73" i="12"/>
  <c r="J73" i="12"/>
  <c r="AF73" i="12"/>
  <c r="G72" i="12"/>
  <c r="M72" i="12"/>
  <c r="S72" i="12"/>
  <c r="AF72" i="12"/>
  <c r="AF68" i="12"/>
  <c r="AG68" i="12"/>
  <c r="AF67" i="12"/>
  <c r="AG67" i="12"/>
  <c r="AF66" i="12"/>
  <c r="AG66" i="12"/>
  <c r="AF65" i="12"/>
  <c r="AG65" i="12"/>
  <c r="AF64" i="12"/>
  <c r="AG64" i="12"/>
  <c r="B62" i="12"/>
  <c r="D62" i="12"/>
  <c r="E62" i="12"/>
  <c r="G62" i="12"/>
  <c r="H62" i="12"/>
  <c r="J62" i="12"/>
  <c r="K62" i="12"/>
  <c r="M62" i="12"/>
  <c r="N62" i="12"/>
  <c r="P62" i="12"/>
  <c r="Q62" i="12"/>
  <c r="S62" i="12"/>
  <c r="T62" i="12"/>
  <c r="V62" i="12"/>
  <c r="W62" i="12"/>
  <c r="W39" i="12"/>
  <c r="Y39" i="12"/>
  <c r="W40" i="12"/>
  <c r="Y40" i="12"/>
  <c r="W41" i="12"/>
  <c r="Y41" i="12"/>
  <c r="W42" i="12"/>
  <c r="Y42" i="12"/>
  <c r="W43" i="12"/>
  <c r="Y43" i="12"/>
  <c r="W44" i="12"/>
  <c r="Y62" i="12"/>
  <c r="Z62" i="12"/>
  <c r="AB62" i="12"/>
  <c r="AC62" i="12"/>
  <c r="AE62" i="12"/>
  <c r="AF62" i="12"/>
  <c r="B61" i="12"/>
  <c r="D61" i="12"/>
  <c r="E61" i="12"/>
  <c r="E39" i="12"/>
  <c r="G39" i="12"/>
  <c r="E40" i="12"/>
  <c r="G40" i="12"/>
  <c r="E41" i="12"/>
  <c r="G41" i="12"/>
  <c r="E42" i="12"/>
  <c r="G42" i="12"/>
  <c r="E43" i="12"/>
  <c r="G43" i="12"/>
  <c r="E44" i="12"/>
  <c r="G61" i="12"/>
  <c r="H61" i="12"/>
  <c r="H39" i="12"/>
  <c r="J39" i="12"/>
  <c r="H40" i="12"/>
  <c r="J40" i="12"/>
  <c r="H41" i="12"/>
  <c r="J41" i="12"/>
  <c r="H42" i="12"/>
  <c r="J42" i="12"/>
  <c r="H43" i="12"/>
  <c r="J43" i="12"/>
  <c r="H44" i="12"/>
  <c r="J61" i="12"/>
  <c r="K61" i="12"/>
  <c r="M61" i="12"/>
  <c r="N61" i="12"/>
  <c r="N39" i="12"/>
  <c r="P39" i="12"/>
  <c r="N40" i="12"/>
  <c r="P40" i="12"/>
  <c r="N41" i="12"/>
  <c r="P41" i="12"/>
  <c r="N42" i="12"/>
  <c r="P42" i="12"/>
  <c r="N43" i="12"/>
  <c r="P43" i="12"/>
  <c r="N44" i="12"/>
  <c r="P61" i="12"/>
  <c r="Q61" i="12"/>
  <c r="S61" i="12"/>
  <c r="T61" i="12"/>
  <c r="V61" i="12"/>
  <c r="W61" i="12"/>
  <c r="Y61" i="12"/>
  <c r="Z61" i="12"/>
  <c r="Z39" i="12"/>
  <c r="AB39" i="12"/>
  <c r="Z40" i="12"/>
  <c r="AB40" i="12"/>
  <c r="Z41" i="12"/>
  <c r="AB41" i="12"/>
  <c r="Z42" i="12"/>
  <c r="AB42" i="12"/>
  <c r="Z43" i="12"/>
  <c r="AB43" i="12"/>
  <c r="Z44" i="12"/>
  <c r="AB61" i="12"/>
  <c r="AC61" i="12"/>
  <c r="AE61" i="12"/>
  <c r="AF61" i="12"/>
  <c r="B60" i="12"/>
  <c r="B39" i="12"/>
  <c r="D39" i="12"/>
  <c r="B40" i="12"/>
  <c r="D40" i="12"/>
  <c r="B41" i="12"/>
  <c r="D41" i="12"/>
  <c r="B42" i="12"/>
  <c r="D42" i="12"/>
  <c r="B43" i="12"/>
  <c r="D43" i="12"/>
  <c r="B44" i="12"/>
  <c r="D60" i="12"/>
  <c r="E60" i="12"/>
  <c r="G60" i="12"/>
  <c r="H60" i="12"/>
  <c r="J60" i="12"/>
  <c r="K60" i="12"/>
  <c r="K39" i="12"/>
  <c r="M39" i="12"/>
  <c r="K40" i="12"/>
  <c r="M40" i="12"/>
  <c r="K41" i="12"/>
  <c r="M41" i="12"/>
  <c r="K42" i="12"/>
  <c r="M42" i="12"/>
  <c r="K43" i="12"/>
  <c r="M43" i="12"/>
  <c r="K44" i="12"/>
  <c r="M60" i="12"/>
  <c r="N60" i="12"/>
  <c r="P60" i="12"/>
  <c r="Q60" i="12"/>
  <c r="S60" i="12"/>
  <c r="T60" i="12"/>
  <c r="T39" i="12"/>
  <c r="V39" i="12"/>
  <c r="T40" i="12"/>
  <c r="V40" i="12"/>
  <c r="T41" i="12"/>
  <c r="V41" i="12"/>
  <c r="T42" i="12"/>
  <c r="V42" i="12"/>
  <c r="T43" i="12"/>
  <c r="V43" i="12"/>
  <c r="T44" i="12"/>
  <c r="V60" i="12"/>
  <c r="W60" i="12"/>
  <c r="Y60" i="12"/>
  <c r="Z60" i="12"/>
  <c r="AB60" i="12"/>
  <c r="AC60" i="12"/>
  <c r="AE60" i="12"/>
  <c r="AF60" i="12"/>
  <c r="B59" i="12"/>
  <c r="D59" i="12"/>
  <c r="E59" i="12"/>
  <c r="G59" i="12"/>
  <c r="H59" i="12"/>
  <c r="J59" i="12"/>
  <c r="K59" i="12"/>
  <c r="M59" i="12"/>
  <c r="N59" i="12"/>
  <c r="P59" i="12"/>
  <c r="Q59" i="12"/>
  <c r="Q39" i="12"/>
  <c r="S39" i="12"/>
  <c r="Q40" i="12"/>
  <c r="S40" i="12"/>
  <c r="Q41" i="12"/>
  <c r="S41" i="12"/>
  <c r="Q42" i="12"/>
  <c r="S42" i="12"/>
  <c r="Q43" i="12"/>
  <c r="S43" i="12"/>
  <c r="Q44" i="12"/>
  <c r="S59" i="12"/>
  <c r="T59" i="12"/>
  <c r="V59" i="12"/>
  <c r="W59" i="12"/>
  <c r="Y59" i="12"/>
  <c r="Z59" i="12"/>
  <c r="AB59" i="12"/>
  <c r="AC59" i="12"/>
  <c r="AC39" i="12"/>
  <c r="AE39" i="12"/>
  <c r="AC40" i="12"/>
  <c r="AE40" i="12"/>
  <c r="AC41" i="12"/>
  <c r="AE41" i="12"/>
  <c r="AC42" i="12"/>
  <c r="AE42" i="12"/>
  <c r="AC43" i="12"/>
  <c r="AE43" i="12"/>
  <c r="AC44" i="12"/>
  <c r="AE59" i="12"/>
  <c r="AF59" i="12"/>
  <c r="B58" i="12"/>
  <c r="D58" i="12"/>
  <c r="E58" i="12"/>
  <c r="G58" i="12"/>
  <c r="H58" i="12"/>
  <c r="J58" i="12"/>
  <c r="K58" i="12"/>
  <c r="M58" i="12"/>
  <c r="N58" i="12"/>
  <c r="P58" i="12"/>
  <c r="Q58" i="12"/>
  <c r="S58" i="12"/>
  <c r="T58" i="12"/>
  <c r="V58" i="12"/>
  <c r="W58" i="12"/>
  <c r="Y58" i="12"/>
  <c r="Z58" i="12"/>
  <c r="AB58" i="12"/>
  <c r="AC58" i="12"/>
  <c r="AE58" i="12"/>
  <c r="AF58" i="12"/>
  <c r="B56" i="12"/>
  <c r="D56" i="12"/>
  <c r="E56" i="12"/>
  <c r="G56" i="12"/>
  <c r="H56" i="12"/>
  <c r="J56" i="12"/>
  <c r="K56" i="12"/>
  <c r="M56" i="12"/>
  <c r="N56" i="12"/>
  <c r="P56" i="12"/>
  <c r="Q56" i="12"/>
  <c r="S56" i="12"/>
  <c r="T56" i="12"/>
  <c r="V56" i="12"/>
  <c r="W56" i="12"/>
  <c r="W37" i="12"/>
  <c r="Y37" i="12"/>
  <c r="X37" i="12"/>
  <c r="Y56" i="12"/>
  <c r="Z56" i="12"/>
  <c r="AB56" i="12"/>
  <c r="AC56" i="12"/>
  <c r="AE56" i="12"/>
  <c r="AF56" i="12"/>
  <c r="B55" i="12"/>
  <c r="D55" i="12"/>
  <c r="E55" i="12"/>
  <c r="E37" i="12"/>
  <c r="G37" i="12"/>
  <c r="F37" i="12"/>
  <c r="G55" i="12"/>
  <c r="H55" i="12"/>
  <c r="H37" i="12"/>
  <c r="J37" i="12"/>
  <c r="I37" i="12"/>
  <c r="J55" i="12"/>
  <c r="K55" i="12"/>
  <c r="M55" i="12"/>
  <c r="N55" i="12"/>
  <c r="N37" i="12"/>
  <c r="P37" i="12"/>
  <c r="O37" i="12"/>
  <c r="P55" i="12"/>
  <c r="Q55" i="12"/>
  <c r="S55" i="12"/>
  <c r="T55" i="12"/>
  <c r="V55" i="12"/>
  <c r="W55" i="12"/>
  <c r="Y55" i="12"/>
  <c r="Z55" i="12"/>
  <c r="Z37" i="12"/>
  <c r="AB37" i="12"/>
  <c r="AA37" i="12"/>
  <c r="AB55" i="12"/>
  <c r="AC55" i="12"/>
  <c r="AE55" i="12"/>
  <c r="AF55" i="12"/>
  <c r="B54" i="12"/>
  <c r="B37" i="12"/>
  <c r="D37" i="12"/>
  <c r="C37" i="12"/>
  <c r="D54" i="12"/>
  <c r="E54" i="12"/>
  <c r="G54" i="12"/>
  <c r="H54" i="12"/>
  <c r="J54" i="12"/>
  <c r="K54" i="12"/>
  <c r="K37" i="12"/>
  <c r="M37" i="12"/>
  <c r="L37" i="12"/>
  <c r="M54" i="12"/>
  <c r="N54" i="12"/>
  <c r="P54" i="12"/>
  <c r="Q54" i="12"/>
  <c r="S54" i="12"/>
  <c r="T54" i="12"/>
  <c r="T37" i="12"/>
  <c r="V37" i="12"/>
  <c r="U37" i="12"/>
  <c r="V54" i="12"/>
  <c r="W54" i="12"/>
  <c r="Y54" i="12"/>
  <c r="Z54" i="12"/>
  <c r="AB54" i="12"/>
  <c r="AC54" i="12"/>
  <c r="AE54" i="12"/>
  <c r="AF54" i="12"/>
  <c r="B53" i="12"/>
  <c r="D53" i="12"/>
  <c r="E53" i="12"/>
  <c r="G53" i="12"/>
  <c r="H53" i="12"/>
  <c r="J53" i="12"/>
  <c r="K53" i="12"/>
  <c r="M53" i="12"/>
  <c r="N53" i="12"/>
  <c r="P53" i="12"/>
  <c r="Q53" i="12"/>
  <c r="Q37" i="12"/>
  <c r="S37" i="12"/>
  <c r="R37" i="12"/>
  <c r="S53" i="12"/>
  <c r="T53" i="12"/>
  <c r="V53" i="12"/>
  <c r="W53" i="12"/>
  <c r="Y53" i="12"/>
  <c r="Z53" i="12"/>
  <c r="AB53" i="12"/>
  <c r="AC53" i="12"/>
  <c r="AC37" i="12"/>
  <c r="AE37" i="12"/>
  <c r="AD37" i="12"/>
  <c r="AE53" i="12"/>
  <c r="AF53" i="12"/>
  <c r="B52" i="12"/>
  <c r="D52" i="12"/>
  <c r="E52" i="12"/>
  <c r="G52" i="12"/>
  <c r="H52" i="12"/>
  <c r="J52" i="12"/>
  <c r="K52" i="12"/>
  <c r="M52" i="12"/>
  <c r="N52" i="12"/>
  <c r="P52" i="12"/>
  <c r="Q52" i="12"/>
  <c r="S52" i="12"/>
  <c r="T52" i="12"/>
  <c r="V52" i="12"/>
  <c r="W52" i="12"/>
  <c r="Y52" i="12"/>
  <c r="Z52" i="12"/>
  <c r="AB52" i="12"/>
  <c r="AC52" i="12"/>
  <c r="AE52" i="12"/>
  <c r="AF52" i="12"/>
  <c r="B50" i="12"/>
  <c r="D50" i="12"/>
  <c r="E50" i="12"/>
  <c r="G50" i="12"/>
  <c r="H50" i="12"/>
  <c r="J50" i="12"/>
  <c r="K50" i="12"/>
  <c r="M50" i="12"/>
  <c r="N50" i="12"/>
  <c r="P50" i="12"/>
  <c r="Q50" i="12"/>
  <c r="S50" i="12"/>
  <c r="T50" i="12"/>
  <c r="V50" i="12"/>
  <c r="W50" i="12"/>
  <c r="Y50" i="12"/>
  <c r="Z50" i="12"/>
  <c r="AB50" i="12"/>
  <c r="AC50" i="12"/>
  <c r="AE50" i="12"/>
  <c r="AF50" i="12"/>
  <c r="AG50" i="12"/>
  <c r="B49" i="12"/>
  <c r="D49" i="12"/>
  <c r="E49" i="12"/>
  <c r="G49" i="12"/>
  <c r="H49" i="12"/>
  <c r="J49" i="12"/>
  <c r="K49" i="12"/>
  <c r="M49" i="12"/>
  <c r="N49" i="12"/>
  <c r="P49" i="12"/>
  <c r="Q49" i="12"/>
  <c r="S49" i="12"/>
  <c r="T49" i="12"/>
  <c r="V49" i="12"/>
  <c r="W49" i="12"/>
  <c r="Y49" i="12"/>
  <c r="Z49" i="12"/>
  <c r="AB49" i="12"/>
  <c r="AC49" i="12"/>
  <c r="AE49" i="12"/>
  <c r="AF49" i="12"/>
  <c r="AG49" i="12"/>
  <c r="B48" i="12"/>
  <c r="D48" i="12"/>
  <c r="E48" i="12"/>
  <c r="G48" i="12"/>
  <c r="H48" i="12"/>
  <c r="J48" i="12"/>
  <c r="K48" i="12"/>
  <c r="M48" i="12"/>
  <c r="N48" i="12"/>
  <c r="P48" i="12"/>
  <c r="Q48" i="12"/>
  <c r="S48" i="12"/>
  <c r="T48" i="12"/>
  <c r="V48" i="12"/>
  <c r="W48" i="12"/>
  <c r="Y48" i="12"/>
  <c r="Z48" i="12"/>
  <c r="AB48" i="12"/>
  <c r="AC48" i="12"/>
  <c r="AE48" i="12"/>
  <c r="AF48" i="12"/>
  <c r="AG48" i="12"/>
  <c r="B47" i="12"/>
  <c r="D47" i="12"/>
  <c r="E47" i="12"/>
  <c r="G47" i="12"/>
  <c r="H47" i="12"/>
  <c r="J47" i="12"/>
  <c r="K47" i="12"/>
  <c r="M47" i="12"/>
  <c r="N47" i="12"/>
  <c r="P47" i="12"/>
  <c r="Q47" i="12"/>
  <c r="S47" i="12"/>
  <c r="T47" i="12"/>
  <c r="V47" i="12"/>
  <c r="W47" i="12"/>
  <c r="Y47" i="12"/>
  <c r="Z47" i="12"/>
  <c r="AB47" i="12"/>
  <c r="AC47" i="12"/>
  <c r="AE47" i="12"/>
  <c r="AF47" i="12"/>
  <c r="AG47" i="12"/>
  <c r="B46" i="12"/>
  <c r="D46" i="12"/>
  <c r="E46" i="12"/>
  <c r="G46" i="12"/>
  <c r="H46" i="12"/>
  <c r="J46" i="12"/>
  <c r="K46" i="12"/>
  <c r="M46" i="12"/>
  <c r="N46" i="12"/>
  <c r="P46" i="12"/>
  <c r="Q46" i="12"/>
  <c r="S46" i="12"/>
  <c r="T46" i="12"/>
  <c r="V46" i="12"/>
  <c r="W46" i="12"/>
  <c r="Y46" i="12"/>
  <c r="Z46" i="12"/>
  <c r="AB46" i="12"/>
  <c r="AC46" i="12"/>
  <c r="AE46" i="12"/>
  <c r="AF46" i="12"/>
  <c r="AG46" i="12"/>
  <c r="AE30" i="12"/>
  <c r="AC30" i="12"/>
  <c r="AB30" i="12"/>
  <c r="Z30" i="12"/>
  <c r="Y30" i="12"/>
  <c r="W30" i="12"/>
  <c r="V30" i="12"/>
  <c r="T30" i="12"/>
  <c r="S30" i="12"/>
  <c r="Q30" i="12"/>
  <c r="P30" i="12"/>
  <c r="N30" i="12"/>
  <c r="M30" i="12"/>
  <c r="K30" i="12"/>
  <c r="J30" i="12"/>
  <c r="H30" i="12"/>
  <c r="G30" i="12"/>
  <c r="E30" i="12"/>
  <c r="D30" i="12"/>
  <c r="B30" i="12"/>
  <c r="AD29" i="12"/>
  <c r="AA29" i="12"/>
  <c r="X29" i="12"/>
  <c r="U29" i="12"/>
  <c r="R29" i="12"/>
  <c r="O29" i="12"/>
  <c r="L29" i="12"/>
  <c r="I29" i="12"/>
  <c r="F29" i="12"/>
  <c r="A29" i="12"/>
  <c r="AG28" i="12"/>
  <c r="AH28" i="12"/>
  <c r="AI28" i="12"/>
  <c r="AJ28" i="12"/>
  <c r="AK28" i="12"/>
  <c r="AL28" i="12"/>
  <c r="AM28" i="12"/>
  <c r="AN28" i="12"/>
  <c r="AO28" i="12"/>
  <c r="AP28" i="12"/>
  <c r="AQ28" i="12"/>
  <c r="AF28" i="12"/>
  <c r="AD28" i="12"/>
  <c r="AA28" i="12"/>
  <c r="X28" i="12"/>
  <c r="U28" i="12"/>
  <c r="R28" i="12"/>
  <c r="O28" i="12"/>
  <c r="L28" i="12"/>
  <c r="I28" i="12"/>
  <c r="F28" i="12"/>
  <c r="A28" i="12"/>
  <c r="AG27" i="12"/>
  <c r="AH27" i="12"/>
  <c r="AI27" i="12"/>
  <c r="AJ27" i="12"/>
  <c r="AK27" i="12"/>
  <c r="AL27" i="12"/>
  <c r="AM27" i="12"/>
  <c r="AN27" i="12"/>
  <c r="AO27" i="12"/>
  <c r="AP27" i="12"/>
  <c r="AQ27" i="12"/>
  <c r="AF27" i="12"/>
  <c r="AD27" i="12"/>
  <c r="AA27" i="12"/>
  <c r="X27" i="12"/>
  <c r="U27" i="12"/>
  <c r="R27" i="12"/>
  <c r="O27" i="12"/>
  <c r="L27" i="12"/>
  <c r="I27" i="12"/>
  <c r="F27" i="12"/>
  <c r="A27" i="12"/>
  <c r="AG26" i="12"/>
  <c r="AH26" i="12"/>
  <c r="AI26" i="12"/>
  <c r="AJ26" i="12"/>
  <c r="AK26" i="12"/>
  <c r="AL26" i="12"/>
  <c r="AM26" i="12"/>
  <c r="AN26" i="12"/>
  <c r="AO26" i="12"/>
  <c r="AP26" i="12"/>
  <c r="AQ26" i="12"/>
  <c r="AF26" i="12"/>
  <c r="AD26" i="12"/>
  <c r="AA26" i="12"/>
  <c r="X26" i="12"/>
  <c r="U26" i="12"/>
  <c r="R26" i="12"/>
  <c r="O26" i="12"/>
  <c r="L26" i="12"/>
  <c r="I26" i="12"/>
  <c r="F26" i="12"/>
  <c r="A26" i="12"/>
  <c r="AG25" i="12"/>
  <c r="AH25" i="12"/>
  <c r="AI25" i="12"/>
  <c r="AJ25" i="12"/>
  <c r="AK25" i="12"/>
  <c r="AL25" i="12"/>
  <c r="AM25" i="12"/>
  <c r="AN25" i="12"/>
  <c r="AO25" i="12"/>
  <c r="AP25" i="12"/>
  <c r="AQ25" i="12"/>
  <c r="AF25" i="12"/>
  <c r="AD25" i="12"/>
  <c r="AA25" i="12"/>
  <c r="X25" i="12"/>
  <c r="U25" i="12"/>
  <c r="R25" i="12"/>
  <c r="O25" i="12"/>
  <c r="L25" i="12"/>
  <c r="I25" i="12"/>
  <c r="F25" i="12"/>
  <c r="AG24" i="12"/>
  <c r="AH24" i="12"/>
  <c r="AI24" i="12"/>
  <c r="AJ24" i="12"/>
  <c r="AK24" i="12"/>
  <c r="AL24" i="12"/>
  <c r="AM24" i="12"/>
  <c r="AN24" i="12"/>
  <c r="AO24" i="12"/>
  <c r="AP24" i="12"/>
  <c r="AQ24" i="12"/>
  <c r="AF24" i="12"/>
  <c r="AD24" i="12"/>
  <c r="AA24" i="12"/>
  <c r="X24" i="12"/>
  <c r="U24" i="12"/>
  <c r="R24" i="12"/>
  <c r="O24" i="12"/>
  <c r="L24" i="12"/>
  <c r="I24" i="12"/>
  <c r="F24" i="12"/>
  <c r="T22" i="12"/>
  <c r="Q22" i="12"/>
  <c r="N22" i="12"/>
  <c r="K22" i="12"/>
  <c r="E17" i="12"/>
  <c r="AC16" i="12"/>
  <c r="Z16" i="12"/>
  <c r="W16" i="12"/>
  <c r="R16" i="12"/>
  <c r="L16" i="12"/>
  <c r="A16" i="12"/>
  <c r="AC14" i="12"/>
  <c r="Z14" i="12"/>
  <c r="W14" i="12"/>
  <c r="R14" i="12"/>
  <c r="L14" i="12"/>
  <c r="A14" i="12"/>
  <c r="AC12" i="12"/>
  <c r="Z12" i="12"/>
  <c r="W12" i="12"/>
  <c r="R12" i="12"/>
  <c r="L12" i="12"/>
  <c r="A12" i="12"/>
  <c r="AY10" i="12"/>
  <c r="AC10" i="12"/>
  <c r="Z10" i="12"/>
  <c r="W10" i="12"/>
  <c r="R10" i="12"/>
  <c r="L10" i="12"/>
  <c r="A10" i="12"/>
  <c r="AY9" i="12"/>
  <c r="AY8" i="12"/>
  <c r="AC8" i="12"/>
  <c r="Z8" i="12"/>
  <c r="W8" i="12"/>
  <c r="R8" i="12"/>
  <c r="L8" i="12"/>
  <c r="A8" i="12"/>
  <c r="AY7" i="12"/>
  <c r="R7" i="12"/>
  <c r="L7" i="12"/>
  <c r="AY6" i="12"/>
  <c r="K6" i="12"/>
  <c r="AY5" i="12"/>
  <c r="AY4" i="12"/>
  <c r="AY3" i="12"/>
  <c r="C250" i="11"/>
  <c r="B255" i="11"/>
  <c r="C251" i="11"/>
  <c r="D255" i="11"/>
  <c r="B256" i="11"/>
  <c r="B257" i="11"/>
  <c r="D250" i="11"/>
  <c r="G250" i="11"/>
  <c r="H255" i="11"/>
  <c r="C252" i="11"/>
  <c r="D252" i="11"/>
  <c r="G255" i="11"/>
  <c r="C249" i="11"/>
  <c r="D249" i="11"/>
  <c r="E255" i="11"/>
  <c r="G256" i="11"/>
  <c r="G257" i="11"/>
  <c r="G252" i="11"/>
  <c r="J255" i="11"/>
  <c r="H256" i="11"/>
  <c r="H257" i="11"/>
  <c r="J250" i="11"/>
  <c r="M250" i="11"/>
  <c r="P250" i="11"/>
  <c r="S255" i="11"/>
  <c r="E256" i="11"/>
  <c r="E257" i="11"/>
  <c r="G249" i="11"/>
  <c r="J249" i="11"/>
  <c r="K255" i="11"/>
  <c r="D256" i="11"/>
  <c r="D257" i="11"/>
  <c r="D251" i="11"/>
  <c r="G251" i="11"/>
  <c r="J251" i="11"/>
  <c r="M255" i="11"/>
  <c r="K256" i="11"/>
  <c r="K257" i="11"/>
  <c r="M249" i="11"/>
  <c r="P249" i="11"/>
  <c r="Q255" i="11"/>
  <c r="S256" i="11"/>
  <c r="S257" i="11"/>
  <c r="S250" i="11"/>
  <c r="V250" i="11"/>
  <c r="Y250" i="11"/>
  <c r="AB250" i="11"/>
  <c r="AE250" i="11"/>
  <c r="AU250" i="11"/>
  <c r="AX6" i="11"/>
  <c r="B143" i="11"/>
  <c r="D143" i="11"/>
  <c r="AF143" i="11"/>
  <c r="AG109" i="11"/>
  <c r="AQ109" i="11"/>
  <c r="Z93" i="11"/>
  <c r="J265" i="11"/>
  <c r="B145" i="11"/>
  <c r="D145" i="11"/>
  <c r="AF145" i="11"/>
  <c r="AG111" i="11"/>
  <c r="AQ111" i="11"/>
  <c r="Z97" i="11"/>
  <c r="AF265" i="11"/>
  <c r="AG264" i="11"/>
  <c r="AG265" i="11"/>
  <c r="AG266" i="11"/>
  <c r="X270" i="11"/>
  <c r="X304" i="11"/>
  <c r="W321" i="11"/>
  <c r="X321" i="11"/>
  <c r="Y322" i="11"/>
  <c r="C79" i="11"/>
  <c r="D79" i="11"/>
  <c r="E85" i="11"/>
  <c r="C82" i="11"/>
  <c r="D82" i="11"/>
  <c r="G85" i="11"/>
  <c r="E86" i="11"/>
  <c r="E87" i="11"/>
  <c r="G79" i="11"/>
  <c r="J79" i="11"/>
  <c r="M79" i="11"/>
  <c r="N85" i="11"/>
  <c r="C81" i="11"/>
  <c r="D81" i="11"/>
  <c r="G81" i="11"/>
  <c r="H85" i="11"/>
  <c r="C83" i="11"/>
  <c r="D85" i="11"/>
  <c r="C80" i="11"/>
  <c r="B85" i="11"/>
  <c r="D86" i="11"/>
  <c r="D87" i="11"/>
  <c r="D83" i="11"/>
  <c r="G83" i="11"/>
  <c r="J85" i="11"/>
  <c r="H86" i="11"/>
  <c r="H87" i="11"/>
  <c r="J81" i="11"/>
  <c r="M81" i="11"/>
  <c r="P85" i="11"/>
  <c r="N86" i="11"/>
  <c r="N87" i="11"/>
  <c r="P79" i="11"/>
  <c r="S79" i="11"/>
  <c r="V79" i="11"/>
  <c r="W85" i="11"/>
  <c r="J86" i="11"/>
  <c r="J87" i="11"/>
  <c r="J83" i="11"/>
  <c r="M83" i="11"/>
  <c r="P83" i="11"/>
  <c r="S85" i="11"/>
  <c r="G86" i="11"/>
  <c r="G87" i="11"/>
  <c r="G82" i="11"/>
  <c r="J82" i="11"/>
  <c r="M85" i="11"/>
  <c r="B86" i="11"/>
  <c r="B87" i="11"/>
  <c r="D80" i="11"/>
  <c r="G80" i="11"/>
  <c r="J80" i="11"/>
  <c r="K85" i="11"/>
  <c r="M86" i="11"/>
  <c r="M87" i="11"/>
  <c r="M82" i="11"/>
  <c r="P82" i="11"/>
  <c r="Q85" i="11"/>
  <c r="S86" i="11"/>
  <c r="S87" i="11"/>
  <c r="S83" i="11"/>
  <c r="V83" i="11"/>
  <c r="Y85" i="11"/>
  <c r="W86" i="11"/>
  <c r="W87" i="11"/>
  <c r="Y79" i="11"/>
  <c r="AB79" i="11"/>
  <c r="AC85" i="11"/>
  <c r="K86" i="11"/>
  <c r="K87" i="11"/>
  <c r="M80" i="11"/>
  <c r="P80" i="11"/>
  <c r="S80" i="11"/>
  <c r="T85" i="11"/>
  <c r="P86" i="11"/>
  <c r="P87" i="11"/>
  <c r="P81" i="11"/>
  <c r="S81" i="11"/>
  <c r="V85" i="11"/>
  <c r="T86" i="11"/>
  <c r="T87" i="11"/>
  <c r="V80" i="11"/>
  <c r="Y80" i="11"/>
  <c r="AB80" i="11"/>
  <c r="AE85" i="11"/>
  <c r="AC86" i="11"/>
  <c r="AC87" i="11"/>
  <c r="AE79" i="11"/>
  <c r="AU79" i="11"/>
  <c r="AX3" i="11"/>
  <c r="B146" i="11"/>
  <c r="D146" i="11"/>
  <c r="AF146" i="11"/>
  <c r="AG112" i="11"/>
  <c r="AQ112" i="11"/>
  <c r="Z99" i="11"/>
  <c r="U265" i="11"/>
  <c r="W264" i="11"/>
  <c r="M270" i="11"/>
  <c r="X301" i="11"/>
  <c r="W318" i="11"/>
  <c r="X318" i="11"/>
  <c r="W322" i="11"/>
  <c r="Y323" i="11"/>
  <c r="Y324" i="11"/>
  <c r="Y321" i="11"/>
  <c r="AB321" i="11"/>
  <c r="AC322" i="11"/>
  <c r="Q256" i="11"/>
  <c r="Q257" i="11"/>
  <c r="S249" i="11"/>
  <c r="V249" i="11"/>
  <c r="Y249" i="11"/>
  <c r="AB249" i="11"/>
  <c r="AE249" i="11"/>
  <c r="AU249" i="11"/>
  <c r="AX5" i="11"/>
  <c r="W265" i="11"/>
  <c r="W266" i="11"/>
  <c r="M271" i="11"/>
  <c r="X302" i="11"/>
  <c r="W319" i="11"/>
  <c r="X319" i="11"/>
  <c r="Y319" i="11"/>
  <c r="Z322" i="11"/>
  <c r="C166" i="11"/>
  <c r="B159" i="11"/>
  <c r="D159" i="11"/>
  <c r="D166" i="11"/>
  <c r="G166" i="11"/>
  <c r="H170" i="11"/>
  <c r="C168" i="11"/>
  <c r="D170" i="11"/>
  <c r="C165" i="11"/>
  <c r="B170" i="11"/>
  <c r="B116" i="11"/>
  <c r="B121" i="11"/>
  <c r="D116" i="11"/>
  <c r="D121" i="11"/>
  <c r="D171" i="11"/>
  <c r="D172" i="11"/>
  <c r="B161" i="11"/>
  <c r="B149" i="11"/>
  <c r="D149" i="11"/>
  <c r="B150" i="11"/>
  <c r="D150" i="11"/>
  <c r="B151" i="11"/>
  <c r="D151" i="11"/>
  <c r="B152" i="11"/>
  <c r="D152" i="11"/>
  <c r="B153" i="11"/>
  <c r="D153" i="11"/>
  <c r="C156" i="11"/>
  <c r="D161" i="11"/>
  <c r="D168" i="11"/>
  <c r="G168" i="11"/>
  <c r="J170" i="11"/>
  <c r="H171" i="11"/>
  <c r="H172" i="11"/>
  <c r="J166" i="11"/>
  <c r="M166" i="11"/>
  <c r="P170" i="11"/>
  <c r="C164" i="11"/>
  <c r="B157" i="11"/>
  <c r="D157" i="11"/>
  <c r="D164" i="11"/>
  <c r="E170" i="11"/>
  <c r="C167" i="11"/>
  <c r="B160" i="11"/>
  <c r="D160" i="11"/>
  <c r="D167" i="11"/>
  <c r="G170" i="11"/>
  <c r="E171" i="11"/>
  <c r="E172" i="11"/>
  <c r="G164" i="11"/>
  <c r="J164" i="11"/>
  <c r="M164" i="11"/>
  <c r="N170" i="11"/>
  <c r="P171" i="11"/>
  <c r="P172" i="11"/>
  <c r="P166" i="11"/>
  <c r="S166" i="11"/>
  <c r="V170" i="11"/>
  <c r="B171" i="11"/>
  <c r="B172" i="11"/>
  <c r="B158" i="11"/>
  <c r="D165" i="11"/>
  <c r="G165" i="11"/>
  <c r="J165" i="11"/>
  <c r="K170" i="11"/>
  <c r="G171" i="11"/>
  <c r="G172" i="11"/>
  <c r="G167" i="11"/>
  <c r="J167" i="11"/>
  <c r="M170" i="11"/>
  <c r="K171" i="11"/>
  <c r="K172" i="11"/>
  <c r="M165" i="11"/>
  <c r="P165" i="11"/>
  <c r="S165" i="11"/>
  <c r="T170" i="11"/>
  <c r="V171" i="11"/>
  <c r="V172" i="11"/>
  <c r="V166" i="11"/>
  <c r="Y166" i="11"/>
  <c r="Z170" i="11"/>
  <c r="M171" i="11"/>
  <c r="M172" i="11"/>
  <c r="M167" i="11"/>
  <c r="P167" i="11"/>
  <c r="Q170" i="11"/>
  <c r="J171" i="11"/>
  <c r="J172" i="11"/>
  <c r="J168" i="11"/>
  <c r="M168" i="11"/>
  <c r="P168" i="11"/>
  <c r="S170" i="11"/>
  <c r="Q171" i="11"/>
  <c r="Q172" i="11"/>
  <c r="S167" i="11"/>
  <c r="V167" i="11"/>
  <c r="Y167" i="11"/>
  <c r="AB170" i="11"/>
  <c r="Z171" i="11"/>
  <c r="Z172" i="11"/>
  <c r="AB166" i="11"/>
  <c r="AE166" i="11"/>
  <c r="AU166" i="11"/>
  <c r="AX10" i="11"/>
  <c r="X265" i="11"/>
  <c r="X269" i="11"/>
  <c r="X303" i="11"/>
  <c r="W320" i="11"/>
  <c r="X320" i="11"/>
  <c r="Y320" i="11"/>
  <c r="AB322" i="11"/>
  <c r="Z323" i="11"/>
  <c r="Z324" i="11"/>
  <c r="AB319" i="11"/>
  <c r="AE322" i="11"/>
  <c r="AC323" i="11"/>
  <c r="AC324" i="11"/>
  <c r="AE321" i="11"/>
  <c r="AU324" i="11"/>
  <c r="M265" i="11"/>
  <c r="M269" i="11"/>
  <c r="B304" i="11"/>
  <c r="B321" i="11"/>
  <c r="AT320" i="11"/>
  <c r="AT321" i="11"/>
  <c r="AT322" i="11"/>
  <c r="AT323" i="11"/>
  <c r="AE86" i="11"/>
  <c r="AE87" i="11"/>
  <c r="AE80" i="11"/>
  <c r="AU80" i="11"/>
  <c r="AX8" i="11"/>
  <c r="C318" i="11"/>
  <c r="B322" i="11"/>
  <c r="AB171" i="11"/>
  <c r="AB172" i="11"/>
  <c r="AB167" i="11"/>
  <c r="AE167" i="11"/>
  <c r="AU167" i="11"/>
  <c r="AX13" i="11"/>
  <c r="C321" i="11"/>
  <c r="D322" i="11"/>
  <c r="B323" i="11"/>
  <c r="B324" i="11"/>
  <c r="D318" i="11"/>
  <c r="G318" i="11"/>
  <c r="H322" i="11"/>
  <c r="N171" i="11"/>
  <c r="N172" i="11"/>
  <c r="P164" i="11"/>
  <c r="S164" i="11"/>
  <c r="V164" i="11"/>
  <c r="W170" i="11"/>
  <c r="S171" i="11"/>
  <c r="S172" i="11"/>
  <c r="S168" i="11"/>
  <c r="V168" i="11"/>
  <c r="Y170" i="11"/>
  <c r="W171" i="11"/>
  <c r="W172" i="11"/>
  <c r="Y164" i="11"/>
  <c r="AB164" i="11"/>
  <c r="AC170" i="11"/>
  <c r="T171" i="11"/>
  <c r="T172" i="11"/>
  <c r="V165" i="11"/>
  <c r="Y165" i="11"/>
  <c r="AB165" i="11"/>
  <c r="AE170" i="11"/>
  <c r="AC171" i="11"/>
  <c r="AC172" i="11"/>
  <c r="AE164" i="11"/>
  <c r="AU164" i="11"/>
  <c r="AX4" i="11"/>
  <c r="B265" i="11"/>
  <c r="B302" i="11"/>
  <c r="B319" i="11"/>
  <c r="C319" i="11"/>
  <c r="D319" i="11"/>
  <c r="E322" i="11"/>
  <c r="J256" i="11"/>
  <c r="J257" i="11"/>
  <c r="J252" i="11"/>
  <c r="M252" i="11"/>
  <c r="P255" i="11"/>
  <c r="M256" i="11"/>
  <c r="M257" i="11"/>
  <c r="M251" i="11"/>
  <c r="N255" i="11"/>
  <c r="P256" i="11"/>
  <c r="P257" i="11"/>
  <c r="P252" i="11"/>
  <c r="S252" i="11"/>
  <c r="V252" i="11"/>
  <c r="Y252" i="11"/>
  <c r="AB252" i="11"/>
  <c r="AE252" i="11"/>
  <c r="AU252" i="11"/>
  <c r="AX12" i="11"/>
  <c r="C320" i="11"/>
  <c r="D320" i="11"/>
  <c r="G322" i="11"/>
  <c r="E323" i="11"/>
  <c r="E324" i="11"/>
  <c r="G319" i="11"/>
  <c r="J322" i="11"/>
  <c r="H323" i="11"/>
  <c r="H324" i="11"/>
  <c r="J318" i="11"/>
  <c r="AU317" i="11"/>
  <c r="J323" i="11"/>
  <c r="J324" i="11"/>
  <c r="J319" i="11"/>
  <c r="AU318" i="11"/>
  <c r="G323" i="11"/>
  <c r="G324" i="11"/>
  <c r="G320" i="11"/>
  <c r="J320" i="11"/>
  <c r="AU319" i="11"/>
  <c r="D323" i="11"/>
  <c r="D324" i="11"/>
  <c r="D321" i="11"/>
  <c r="G321" i="11"/>
  <c r="J321" i="11"/>
  <c r="AU320" i="11"/>
  <c r="W323" i="11"/>
  <c r="W324" i="11"/>
  <c r="Y318" i="11"/>
  <c r="AB318" i="11"/>
  <c r="AE318" i="11"/>
  <c r="AU321" i="11"/>
  <c r="AE323" i="11"/>
  <c r="AE324" i="11"/>
  <c r="AE319" i="11"/>
  <c r="AU322" i="11"/>
  <c r="AB323" i="11"/>
  <c r="AB324" i="11"/>
  <c r="AB320" i="11"/>
  <c r="AE320" i="11"/>
  <c r="AU323" i="11"/>
  <c r="AT324" i="11"/>
  <c r="X271" i="11"/>
  <c r="B349" i="11"/>
  <c r="B366" i="11"/>
  <c r="AT365" i="11"/>
  <c r="V86" i="11"/>
  <c r="V87" i="11"/>
  <c r="V81" i="11"/>
  <c r="Y81" i="11"/>
  <c r="Z85" i="11"/>
  <c r="Q86" i="11"/>
  <c r="Q87" i="11"/>
  <c r="S82" i="11"/>
  <c r="V82" i="11"/>
  <c r="Y82" i="11"/>
  <c r="AB85" i="11"/>
  <c r="Z86" i="11"/>
  <c r="Z87" i="11"/>
  <c r="AB81" i="11"/>
  <c r="AE81" i="11"/>
  <c r="AU81" i="11"/>
  <c r="AX9" i="11"/>
  <c r="C366" i="11"/>
  <c r="B370" i="11"/>
  <c r="N256" i="11"/>
  <c r="N257" i="11"/>
  <c r="P251" i="11"/>
  <c r="S251" i="11"/>
  <c r="V251" i="11"/>
  <c r="Y251" i="11"/>
  <c r="AB251" i="11"/>
  <c r="AE251" i="11"/>
  <c r="AU251" i="11"/>
  <c r="AX11" i="11"/>
  <c r="C369" i="11"/>
  <c r="D370" i="11"/>
  <c r="B371" i="11"/>
  <c r="B372" i="11"/>
  <c r="D366" i="11"/>
  <c r="G366" i="11"/>
  <c r="H370" i="11"/>
  <c r="AB86" i="11"/>
  <c r="AB87" i="11"/>
  <c r="AB82" i="11"/>
  <c r="AE82" i="11"/>
  <c r="AU82" i="11"/>
  <c r="AX14" i="11"/>
  <c r="C367" i="11"/>
  <c r="D367" i="11"/>
  <c r="E370" i="11"/>
  <c r="Y171" i="11"/>
  <c r="Y172" i="11"/>
  <c r="Y168" i="11"/>
  <c r="AB168" i="11"/>
  <c r="AE168" i="11"/>
  <c r="AU168" i="11"/>
  <c r="AX16" i="11"/>
  <c r="AH265" i="11"/>
  <c r="B351" i="11"/>
  <c r="B368" i="11"/>
  <c r="C368" i="11"/>
  <c r="D368" i="11"/>
  <c r="G370" i="11"/>
  <c r="E371" i="11"/>
  <c r="E372" i="11"/>
  <c r="G367" i="11"/>
  <c r="J370" i="11"/>
  <c r="H371" i="11"/>
  <c r="H372" i="11"/>
  <c r="J366" i="11"/>
  <c r="AU365" i="11"/>
  <c r="J371" i="11"/>
  <c r="J372" i="11"/>
  <c r="J367" i="11"/>
  <c r="AU366" i="11"/>
  <c r="G371" i="11"/>
  <c r="G372" i="11"/>
  <c r="G368" i="11"/>
  <c r="J368" i="11"/>
  <c r="AU367" i="11"/>
  <c r="D371" i="11"/>
  <c r="D372" i="11"/>
  <c r="D369" i="11"/>
  <c r="G369" i="11"/>
  <c r="J369" i="11"/>
  <c r="AU368" i="11"/>
  <c r="AT318" i="11"/>
  <c r="AY6" i="11"/>
  <c r="AZ6" i="11"/>
  <c r="AE171" i="11"/>
  <c r="AE172" i="11"/>
  <c r="AE165" i="11"/>
  <c r="AU165" i="11"/>
  <c r="AX7" i="11"/>
  <c r="AT367" i="11"/>
  <c r="AY7" i="11"/>
  <c r="AZ7" i="11"/>
  <c r="AY14" i="11"/>
  <c r="AZ14" i="11"/>
  <c r="AZ22" i="11"/>
  <c r="K411" i="5"/>
  <c r="K410" i="5"/>
  <c r="K409" i="5"/>
  <c r="F411" i="5"/>
  <c r="E411" i="5"/>
  <c r="E409" i="5"/>
  <c r="C409" i="5"/>
  <c r="D409" i="5"/>
  <c r="D410" i="5"/>
  <c r="E410" i="5"/>
  <c r="C411" i="5"/>
  <c r="D411" i="5"/>
  <c r="F410" i="5"/>
  <c r="C410" i="5"/>
  <c r="F409" i="5"/>
  <c r="K293" i="5"/>
  <c r="AW16" i="11"/>
  <c r="K288" i="5"/>
  <c r="AW15" i="11"/>
  <c r="K244" i="5"/>
  <c r="AW13" i="11"/>
  <c r="K236" i="5"/>
  <c r="AW12" i="11"/>
  <c r="K286" i="5"/>
  <c r="AW11" i="11"/>
  <c r="K294" i="5"/>
  <c r="AW10" i="11"/>
  <c r="K297" i="5"/>
  <c r="AW9" i="11"/>
  <c r="K301" i="5"/>
  <c r="AW8" i="11"/>
  <c r="K287" i="5"/>
  <c r="AW5" i="11"/>
  <c r="K305" i="5"/>
  <c r="AW4" i="11"/>
  <c r="K292" i="5"/>
  <c r="AW3" i="11"/>
  <c r="K19" i="5"/>
  <c r="AW6" i="10"/>
  <c r="K15" i="5"/>
  <c r="AW5" i="10"/>
  <c r="K6" i="5"/>
  <c r="AW4" i="10"/>
  <c r="K7" i="5"/>
  <c r="AW3" i="10"/>
  <c r="AU372" i="11"/>
  <c r="AT372" i="11"/>
  <c r="E358" i="11"/>
  <c r="E359" i="11"/>
  <c r="E360" i="11"/>
  <c r="E361" i="11"/>
  <c r="G358" i="11"/>
  <c r="G359" i="11"/>
  <c r="G360" i="11"/>
  <c r="G361" i="11"/>
  <c r="J357" i="11"/>
  <c r="E14" i="11"/>
  <c r="AH264" i="11"/>
  <c r="B350" i="11"/>
  <c r="B367" i="11"/>
  <c r="E8" i="11"/>
  <c r="B79" i="11"/>
  <c r="AT79" i="11"/>
  <c r="E10" i="11"/>
  <c r="B80" i="11"/>
  <c r="AT80" i="11"/>
  <c r="E12" i="11"/>
  <c r="B81" i="11"/>
  <c r="AT81" i="11"/>
  <c r="B82" i="11"/>
  <c r="AT82" i="11"/>
  <c r="AC31" i="11"/>
  <c r="AC32" i="11"/>
  <c r="AC33" i="11"/>
  <c r="AC34" i="11"/>
  <c r="AC35" i="11"/>
  <c r="AC64" i="11"/>
  <c r="AE64" i="11"/>
  <c r="AC65" i="11"/>
  <c r="AE31" i="11"/>
  <c r="AE32" i="11"/>
  <c r="AE33" i="11"/>
  <c r="AE34" i="11"/>
  <c r="AE35" i="11"/>
  <c r="AE65" i="11"/>
  <c r="AC66" i="11"/>
  <c r="AE66" i="11"/>
  <c r="AC67" i="11"/>
  <c r="AE67" i="11"/>
  <c r="AC68" i="11"/>
  <c r="AE68" i="11"/>
  <c r="AD71" i="11"/>
  <c r="AC72" i="11"/>
  <c r="Z72" i="11"/>
  <c r="AB72" i="11"/>
  <c r="W31" i="11"/>
  <c r="W32" i="11"/>
  <c r="W33" i="11"/>
  <c r="W34" i="11"/>
  <c r="W35" i="11"/>
  <c r="W64" i="11"/>
  <c r="Y64" i="11"/>
  <c r="W65" i="11"/>
  <c r="Y65" i="11"/>
  <c r="W66" i="11"/>
  <c r="Y66" i="11"/>
  <c r="W67" i="11"/>
  <c r="Y67" i="11"/>
  <c r="W68" i="11"/>
  <c r="Y31" i="11"/>
  <c r="Y32" i="11"/>
  <c r="Y33" i="11"/>
  <c r="Y34" i="11"/>
  <c r="Y35" i="11"/>
  <c r="Y68" i="11"/>
  <c r="X71" i="11"/>
  <c r="W72" i="11"/>
  <c r="T72" i="11"/>
  <c r="V72" i="11"/>
  <c r="Q72" i="11"/>
  <c r="S72" i="11"/>
  <c r="N31" i="11"/>
  <c r="N32" i="11"/>
  <c r="N33" i="11"/>
  <c r="N34" i="11"/>
  <c r="N35" i="11"/>
  <c r="N64" i="11"/>
  <c r="P64" i="11"/>
  <c r="N65" i="11"/>
  <c r="P65" i="11"/>
  <c r="N66" i="11"/>
  <c r="P31" i="11"/>
  <c r="P32" i="11"/>
  <c r="P33" i="11"/>
  <c r="P34" i="11"/>
  <c r="P35" i="11"/>
  <c r="P66" i="11"/>
  <c r="N67" i="11"/>
  <c r="P67" i="11"/>
  <c r="N68" i="11"/>
  <c r="P68" i="11"/>
  <c r="O71" i="11"/>
  <c r="N72" i="11"/>
  <c r="K72" i="11"/>
  <c r="M72" i="11"/>
  <c r="H72" i="11"/>
  <c r="J72" i="11"/>
  <c r="E31" i="11"/>
  <c r="E32" i="11"/>
  <c r="E33" i="11"/>
  <c r="E34" i="11"/>
  <c r="E35" i="11"/>
  <c r="E64" i="11"/>
  <c r="G64" i="11"/>
  <c r="E65" i="11"/>
  <c r="G65" i="11"/>
  <c r="E66" i="11"/>
  <c r="G66" i="11"/>
  <c r="E67" i="11"/>
  <c r="G31" i="11"/>
  <c r="G32" i="11"/>
  <c r="G33" i="11"/>
  <c r="G34" i="11"/>
  <c r="G35" i="11"/>
  <c r="G67" i="11"/>
  <c r="E68" i="11"/>
  <c r="G68" i="11"/>
  <c r="F71" i="11"/>
  <c r="E72" i="11"/>
  <c r="B72" i="11"/>
  <c r="D72" i="11"/>
  <c r="E36" i="11"/>
  <c r="B75" i="11"/>
  <c r="D75" i="11"/>
  <c r="G36" i="11"/>
  <c r="N36" i="11"/>
  <c r="K74" i="11"/>
  <c r="M74" i="11"/>
  <c r="H64" i="11"/>
  <c r="J64" i="11"/>
  <c r="H65" i="11"/>
  <c r="J65" i="11"/>
  <c r="H31" i="11"/>
  <c r="H32" i="11"/>
  <c r="H33" i="11"/>
  <c r="H34" i="11"/>
  <c r="H35" i="11"/>
  <c r="H66" i="11"/>
  <c r="J66" i="11"/>
  <c r="H67" i="11"/>
  <c r="J67" i="11"/>
  <c r="H68" i="11"/>
  <c r="J31" i="11"/>
  <c r="J32" i="11"/>
  <c r="J33" i="11"/>
  <c r="J34" i="11"/>
  <c r="J35" i="11"/>
  <c r="J68" i="11"/>
  <c r="I71" i="11"/>
  <c r="H74" i="11"/>
  <c r="E74" i="11"/>
  <c r="G74" i="11"/>
  <c r="B74" i="11"/>
  <c r="D74" i="11"/>
  <c r="H36" i="11"/>
  <c r="E76" i="11"/>
  <c r="G76" i="11"/>
  <c r="B76" i="11"/>
  <c r="B64" i="11"/>
  <c r="D64" i="11"/>
  <c r="B31" i="11"/>
  <c r="B32" i="11"/>
  <c r="B33" i="11"/>
  <c r="B34" i="11"/>
  <c r="B35" i="11"/>
  <c r="B65" i="11"/>
  <c r="D65" i="11"/>
  <c r="B66" i="11"/>
  <c r="D66" i="11"/>
  <c r="B67" i="11"/>
  <c r="D67" i="11"/>
  <c r="B68" i="11"/>
  <c r="D31" i="11"/>
  <c r="D32" i="11"/>
  <c r="D33" i="11"/>
  <c r="D34" i="11"/>
  <c r="D35" i="11"/>
  <c r="D68" i="11"/>
  <c r="C71" i="11"/>
  <c r="D76" i="11"/>
  <c r="E16" i="11"/>
  <c r="B83" i="11"/>
  <c r="D36" i="11"/>
  <c r="B36" i="11"/>
  <c r="J36" i="11"/>
  <c r="P36" i="11"/>
  <c r="W36" i="11"/>
  <c r="T76" i="11"/>
  <c r="V76" i="11"/>
  <c r="Q76" i="11"/>
  <c r="Q64" i="11"/>
  <c r="S64" i="11"/>
  <c r="Q65" i="11"/>
  <c r="S65" i="11"/>
  <c r="Q66" i="11"/>
  <c r="S66" i="11"/>
  <c r="Q31" i="11"/>
  <c r="Q32" i="11"/>
  <c r="Q33" i="11"/>
  <c r="Q34" i="11"/>
  <c r="Q35" i="11"/>
  <c r="Q67" i="11"/>
  <c r="S67" i="11"/>
  <c r="Q68" i="11"/>
  <c r="S31" i="11"/>
  <c r="S32" i="11"/>
  <c r="S33" i="11"/>
  <c r="S34" i="11"/>
  <c r="S35" i="11"/>
  <c r="S68" i="11"/>
  <c r="R71" i="11"/>
  <c r="S76" i="11"/>
  <c r="N76" i="11"/>
  <c r="P76" i="11"/>
  <c r="K76" i="11"/>
  <c r="M76" i="11"/>
  <c r="H76" i="11"/>
  <c r="J76" i="11"/>
  <c r="S36" i="11"/>
  <c r="N75" i="11"/>
  <c r="P75" i="11"/>
  <c r="K75" i="11"/>
  <c r="K64" i="11"/>
  <c r="M64" i="11"/>
  <c r="K31" i="11"/>
  <c r="K32" i="11"/>
  <c r="K33" i="11"/>
  <c r="K34" i="11"/>
  <c r="K35" i="11"/>
  <c r="K65" i="11"/>
  <c r="M65" i="11"/>
  <c r="K66" i="11"/>
  <c r="M66" i="11"/>
  <c r="K67" i="11"/>
  <c r="M31" i="11"/>
  <c r="M32" i="11"/>
  <c r="M33" i="11"/>
  <c r="M34" i="11"/>
  <c r="M35" i="11"/>
  <c r="M67" i="11"/>
  <c r="K68" i="11"/>
  <c r="M68" i="11"/>
  <c r="L71" i="11"/>
  <c r="M75" i="11"/>
  <c r="H75" i="11"/>
  <c r="J75" i="11"/>
  <c r="E75" i="11"/>
  <c r="G75" i="11"/>
  <c r="M36" i="11"/>
  <c r="H73" i="11"/>
  <c r="J73" i="11"/>
  <c r="E73" i="11"/>
  <c r="G73" i="11"/>
  <c r="B73" i="11"/>
  <c r="K36" i="11"/>
  <c r="Q36" i="11"/>
  <c r="Y36" i="11"/>
  <c r="AC36" i="11"/>
  <c r="Z73" i="11"/>
  <c r="AB73" i="11"/>
  <c r="W73" i="11"/>
  <c r="Y73" i="11"/>
  <c r="T64" i="11"/>
  <c r="V64" i="11"/>
  <c r="T31" i="11"/>
  <c r="T32" i="11"/>
  <c r="T33" i="11"/>
  <c r="T34" i="11"/>
  <c r="T35" i="11"/>
  <c r="T65" i="11"/>
  <c r="V65" i="11"/>
  <c r="T66" i="11"/>
  <c r="V31" i="11"/>
  <c r="V32" i="11"/>
  <c r="V33" i="11"/>
  <c r="V34" i="11"/>
  <c r="V35" i="11"/>
  <c r="V66" i="11"/>
  <c r="T67" i="11"/>
  <c r="V67" i="11"/>
  <c r="T68" i="11"/>
  <c r="V68" i="11"/>
  <c r="U71" i="11"/>
  <c r="T73" i="11"/>
  <c r="Q73" i="11"/>
  <c r="S73" i="11"/>
  <c r="N73" i="11"/>
  <c r="P73" i="11"/>
  <c r="K73" i="11"/>
  <c r="T36" i="11"/>
  <c r="Q74" i="11"/>
  <c r="S74" i="11"/>
  <c r="N74" i="11"/>
  <c r="P74" i="11"/>
  <c r="V36" i="11"/>
  <c r="AE36" i="11"/>
  <c r="AC73" i="11"/>
  <c r="AE73" i="11"/>
  <c r="AC74" i="11"/>
  <c r="AE74" i="11"/>
  <c r="Z64" i="11"/>
  <c r="AB64" i="11"/>
  <c r="Z65" i="11"/>
  <c r="AB65" i="11"/>
  <c r="Z31" i="11"/>
  <c r="Z32" i="11"/>
  <c r="Z33" i="11"/>
  <c r="Z34" i="11"/>
  <c r="Z35" i="11"/>
  <c r="Z66" i="11"/>
  <c r="AB66" i="11"/>
  <c r="Z67" i="11"/>
  <c r="AB31" i="11"/>
  <c r="AB32" i="11"/>
  <c r="AB33" i="11"/>
  <c r="AB34" i="11"/>
  <c r="AB35" i="11"/>
  <c r="AB67" i="11"/>
  <c r="Z68" i="11"/>
  <c r="AB68" i="11"/>
  <c r="AA71" i="11"/>
  <c r="Z74" i="11"/>
  <c r="W74" i="11"/>
  <c r="Y74" i="11"/>
  <c r="T74" i="11"/>
  <c r="V74" i="11"/>
  <c r="Z36" i="11"/>
  <c r="W75" i="11"/>
  <c r="Y75" i="11"/>
  <c r="T75" i="11"/>
  <c r="V75" i="11"/>
  <c r="Q75" i="11"/>
  <c r="AB36" i="11"/>
  <c r="AC75" i="11"/>
  <c r="AE75" i="11"/>
  <c r="Z75" i="11"/>
  <c r="AB75" i="11"/>
  <c r="AT83" i="11"/>
  <c r="AC76" i="11"/>
  <c r="AE76" i="11"/>
  <c r="Z76" i="11"/>
  <c r="AB76" i="11"/>
  <c r="W76" i="11"/>
  <c r="Y76" i="11"/>
  <c r="Y86" i="11"/>
  <c r="Y87" i="11"/>
  <c r="Y83" i="11"/>
  <c r="AB83" i="11"/>
  <c r="AE83" i="11"/>
  <c r="AU83" i="11"/>
  <c r="E93" i="11"/>
  <c r="B164" i="11"/>
  <c r="AT164" i="11"/>
  <c r="AC116" i="11"/>
  <c r="AC117" i="11"/>
  <c r="AC118" i="11"/>
  <c r="AC119" i="11"/>
  <c r="AC120" i="11"/>
  <c r="AC149" i="11"/>
  <c r="AE149" i="11"/>
  <c r="AC150" i="11"/>
  <c r="AE116" i="11"/>
  <c r="AE117" i="11"/>
  <c r="AE118" i="11"/>
  <c r="AE119" i="11"/>
  <c r="AE120" i="11"/>
  <c r="AE150" i="11"/>
  <c r="AC151" i="11"/>
  <c r="AE151" i="11"/>
  <c r="AC152" i="11"/>
  <c r="AE152" i="11"/>
  <c r="AC153" i="11"/>
  <c r="AE153" i="11"/>
  <c r="AD156" i="11"/>
  <c r="AC157" i="11"/>
  <c r="Z157" i="11"/>
  <c r="AB157" i="11"/>
  <c r="W116" i="11"/>
  <c r="W117" i="11"/>
  <c r="W118" i="11"/>
  <c r="W119" i="11"/>
  <c r="W120" i="11"/>
  <c r="W149" i="11"/>
  <c r="Y149" i="11"/>
  <c r="W150" i="11"/>
  <c r="Y150" i="11"/>
  <c r="W151" i="11"/>
  <c r="Y151" i="11"/>
  <c r="W152" i="11"/>
  <c r="Y152" i="11"/>
  <c r="W153" i="11"/>
  <c r="Y116" i="11"/>
  <c r="Y117" i="11"/>
  <c r="Y118" i="11"/>
  <c r="Y119" i="11"/>
  <c r="Y120" i="11"/>
  <c r="Y153" i="11"/>
  <c r="X156" i="11"/>
  <c r="W157" i="11"/>
  <c r="T157" i="11"/>
  <c r="V157" i="11"/>
  <c r="Q157" i="11"/>
  <c r="S157" i="11"/>
  <c r="N116" i="11"/>
  <c r="N117" i="11"/>
  <c r="N118" i="11"/>
  <c r="N119" i="11"/>
  <c r="N120" i="11"/>
  <c r="N149" i="11"/>
  <c r="P149" i="11"/>
  <c r="N150" i="11"/>
  <c r="P150" i="11"/>
  <c r="N151" i="11"/>
  <c r="P116" i="11"/>
  <c r="P117" i="11"/>
  <c r="P118" i="11"/>
  <c r="P119" i="11"/>
  <c r="P120" i="11"/>
  <c r="P151" i="11"/>
  <c r="N152" i="11"/>
  <c r="P152" i="11"/>
  <c r="N153" i="11"/>
  <c r="P153" i="11"/>
  <c r="O156" i="11"/>
  <c r="N157" i="11"/>
  <c r="K157" i="11"/>
  <c r="M157" i="11"/>
  <c r="H157" i="11"/>
  <c r="J157" i="11"/>
  <c r="E116" i="11"/>
  <c r="E117" i="11"/>
  <c r="E118" i="11"/>
  <c r="E119" i="11"/>
  <c r="E120" i="11"/>
  <c r="E149" i="11"/>
  <c r="G149" i="11"/>
  <c r="E150" i="11"/>
  <c r="G150" i="11"/>
  <c r="E151" i="11"/>
  <c r="G151" i="11"/>
  <c r="E152" i="11"/>
  <c r="G116" i="11"/>
  <c r="G117" i="11"/>
  <c r="G118" i="11"/>
  <c r="G119" i="11"/>
  <c r="G120" i="11"/>
  <c r="G152" i="11"/>
  <c r="E153" i="11"/>
  <c r="G153" i="11"/>
  <c r="F156" i="11"/>
  <c r="E157" i="11"/>
  <c r="E121" i="11"/>
  <c r="E99" i="11"/>
  <c r="B167" i="11"/>
  <c r="G121" i="11"/>
  <c r="N121" i="11"/>
  <c r="K159" i="11"/>
  <c r="M159" i="11"/>
  <c r="H149" i="11"/>
  <c r="J149" i="11"/>
  <c r="H150" i="11"/>
  <c r="J150" i="11"/>
  <c r="H116" i="11"/>
  <c r="H117" i="11"/>
  <c r="H118" i="11"/>
  <c r="H119" i="11"/>
  <c r="H120" i="11"/>
  <c r="H151" i="11"/>
  <c r="J151" i="11"/>
  <c r="H152" i="11"/>
  <c r="J152" i="11"/>
  <c r="H153" i="11"/>
  <c r="J116" i="11"/>
  <c r="J117" i="11"/>
  <c r="J118" i="11"/>
  <c r="J119" i="11"/>
  <c r="J120" i="11"/>
  <c r="J153" i="11"/>
  <c r="I156" i="11"/>
  <c r="H159" i="11"/>
  <c r="E159" i="11"/>
  <c r="G159" i="11"/>
  <c r="E97" i="11"/>
  <c r="B166" i="11"/>
  <c r="H121" i="11"/>
  <c r="E161" i="11"/>
  <c r="G161" i="11"/>
  <c r="B117" i="11"/>
  <c r="B118" i="11"/>
  <c r="B119" i="11"/>
  <c r="B120" i="11"/>
  <c r="D117" i="11"/>
  <c r="D118" i="11"/>
  <c r="D119" i="11"/>
  <c r="D120" i="11"/>
  <c r="E101" i="11"/>
  <c r="B168" i="11"/>
  <c r="E95" i="11"/>
  <c r="B165" i="11"/>
  <c r="J121" i="11"/>
  <c r="P121" i="11"/>
  <c r="W121" i="11"/>
  <c r="T161" i="11"/>
  <c r="V161" i="11"/>
  <c r="Q161" i="11"/>
  <c r="Q149" i="11"/>
  <c r="S149" i="11"/>
  <c r="Q150" i="11"/>
  <c r="S150" i="11"/>
  <c r="Q151" i="11"/>
  <c r="S151" i="11"/>
  <c r="Q116" i="11"/>
  <c r="Q117" i="11"/>
  <c r="Q118" i="11"/>
  <c r="Q119" i="11"/>
  <c r="Q120" i="11"/>
  <c r="Q152" i="11"/>
  <c r="S152" i="11"/>
  <c r="Q153" i="11"/>
  <c r="S116" i="11"/>
  <c r="S117" i="11"/>
  <c r="S118" i="11"/>
  <c r="S119" i="11"/>
  <c r="S120" i="11"/>
  <c r="S153" i="11"/>
  <c r="R156" i="11"/>
  <c r="S161" i="11"/>
  <c r="N161" i="11"/>
  <c r="P161" i="11"/>
  <c r="K161" i="11"/>
  <c r="M161" i="11"/>
  <c r="H161" i="11"/>
  <c r="J161" i="11"/>
  <c r="S121" i="11"/>
  <c r="N160" i="11"/>
  <c r="P160" i="11"/>
  <c r="K160" i="11"/>
  <c r="K149" i="11"/>
  <c r="M149" i="11"/>
  <c r="K116" i="11"/>
  <c r="K117" i="11"/>
  <c r="K118" i="11"/>
  <c r="K119" i="11"/>
  <c r="K120" i="11"/>
  <c r="K150" i="11"/>
  <c r="M150" i="11"/>
  <c r="K151" i="11"/>
  <c r="M151" i="11"/>
  <c r="K152" i="11"/>
  <c r="M116" i="11"/>
  <c r="M117" i="11"/>
  <c r="M118" i="11"/>
  <c r="M119" i="11"/>
  <c r="M120" i="11"/>
  <c r="M152" i="11"/>
  <c r="K153" i="11"/>
  <c r="M153" i="11"/>
  <c r="L156" i="11"/>
  <c r="M160" i="11"/>
  <c r="H160" i="11"/>
  <c r="J160" i="11"/>
  <c r="E160" i="11"/>
  <c r="G160" i="11"/>
  <c r="M121" i="11"/>
  <c r="H158" i="11"/>
  <c r="J158" i="11"/>
  <c r="E158" i="11"/>
  <c r="G158" i="11"/>
  <c r="K121" i="11"/>
  <c r="Q121" i="11"/>
  <c r="Y121" i="11"/>
  <c r="AC121" i="11"/>
  <c r="Z158" i="11"/>
  <c r="AB158" i="11"/>
  <c r="W158" i="11"/>
  <c r="Y158" i="11"/>
  <c r="T149" i="11"/>
  <c r="V149" i="11"/>
  <c r="T116" i="11"/>
  <c r="T117" i="11"/>
  <c r="T118" i="11"/>
  <c r="T119" i="11"/>
  <c r="T120" i="11"/>
  <c r="T150" i="11"/>
  <c r="V150" i="11"/>
  <c r="T151" i="11"/>
  <c r="V116" i="11"/>
  <c r="V117" i="11"/>
  <c r="V118" i="11"/>
  <c r="V119" i="11"/>
  <c r="V120" i="11"/>
  <c r="V151" i="11"/>
  <c r="T152" i="11"/>
  <c r="V152" i="11"/>
  <c r="T153" i="11"/>
  <c r="V153" i="11"/>
  <c r="U156" i="11"/>
  <c r="T158" i="11"/>
  <c r="Q158" i="11"/>
  <c r="S158" i="11"/>
  <c r="N158" i="11"/>
  <c r="P158" i="11"/>
  <c r="K158" i="11"/>
  <c r="T121" i="11"/>
  <c r="Q159" i="11"/>
  <c r="S159" i="11"/>
  <c r="N159" i="11"/>
  <c r="P159" i="11"/>
  <c r="V121" i="11"/>
  <c r="AE121" i="11"/>
  <c r="AT165" i="11"/>
  <c r="AC158" i="11"/>
  <c r="AE158" i="11"/>
  <c r="AT166" i="11"/>
  <c r="AC159" i="11"/>
  <c r="AE159" i="11"/>
  <c r="Z149" i="11"/>
  <c r="AB149" i="11"/>
  <c r="Z150" i="11"/>
  <c r="AB150" i="11"/>
  <c r="Z116" i="11"/>
  <c r="Z117" i="11"/>
  <c r="Z118" i="11"/>
  <c r="Z119" i="11"/>
  <c r="Z120" i="11"/>
  <c r="Z151" i="11"/>
  <c r="AB151" i="11"/>
  <c r="Z152" i="11"/>
  <c r="AB116" i="11"/>
  <c r="AB117" i="11"/>
  <c r="AB118" i="11"/>
  <c r="AB119" i="11"/>
  <c r="AB120" i="11"/>
  <c r="AB152" i="11"/>
  <c r="Z153" i="11"/>
  <c r="AB153" i="11"/>
  <c r="AA156" i="11"/>
  <c r="Z159" i="11"/>
  <c r="W159" i="11"/>
  <c r="Y159" i="11"/>
  <c r="T159" i="11"/>
  <c r="V159" i="11"/>
  <c r="Z121" i="11"/>
  <c r="W160" i="11"/>
  <c r="Y160" i="11"/>
  <c r="T160" i="11"/>
  <c r="V160" i="11"/>
  <c r="Q160" i="11"/>
  <c r="AB121" i="11"/>
  <c r="AT167" i="11"/>
  <c r="AC160" i="11"/>
  <c r="AE160" i="11"/>
  <c r="Z160" i="11"/>
  <c r="AB160" i="11"/>
  <c r="AT168" i="11"/>
  <c r="AC161" i="11"/>
  <c r="AE161" i="11"/>
  <c r="Z161" i="11"/>
  <c r="AB161" i="11"/>
  <c r="W161" i="11"/>
  <c r="Y161" i="11"/>
  <c r="E178" i="11"/>
  <c r="B249" i="11"/>
  <c r="AT249" i="11"/>
  <c r="AC242" i="11"/>
  <c r="AE242" i="11"/>
  <c r="Z242" i="11"/>
  <c r="AB242" i="11"/>
  <c r="W242" i="11"/>
  <c r="Y242" i="11"/>
  <c r="T242" i="11"/>
  <c r="V242" i="11"/>
  <c r="Q201" i="11"/>
  <c r="Q202" i="11"/>
  <c r="Q203" i="11"/>
  <c r="Q204" i="11"/>
  <c r="Q205" i="11"/>
  <c r="Q234" i="11"/>
  <c r="S234" i="11"/>
  <c r="Q235" i="11"/>
  <c r="S201" i="11"/>
  <c r="S202" i="11"/>
  <c r="S203" i="11"/>
  <c r="S204" i="11"/>
  <c r="S205" i="11"/>
  <c r="S235" i="11"/>
  <c r="Q236" i="11"/>
  <c r="S236" i="11"/>
  <c r="Q237" i="11"/>
  <c r="S237" i="11"/>
  <c r="Q238" i="11"/>
  <c r="S238" i="11"/>
  <c r="R241" i="11"/>
  <c r="Q242" i="11"/>
  <c r="N242" i="11"/>
  <c r="P242" i="11"/>
  <c r="K201" i="11"/>
  <c r="K202" i="11"/>
  <c r="K203" i="11"/>
  <c r="K204" i="11"/>
  <c r="K205" i="11"/>
  <c r="K234" i="11"/>
  <c r="M234" i="11"/>
  <c r="K235" i="11"/>
  <c r="M235" i="11"/>
  <c r="K236" i="11"/>
  <c r="M201" i="11"/>
  <c r="M202" i="11"/>
  <c r="M203" i="11"/>
  <c r="M204" i="11"/>
  <c r="M205" i="11"/>
  <c r="M236" i="11"/>
  <c r="K237" i="11"/>
  <c r="M237" i="11"/>
  <c r="K238" i="11"/>
  <c r="M238" i="11"/>
  <c r="L241" i="11"/>
  <c r="K242" i="11"/>
  <c r="H242" i="11"/>
  <c r="J242" i="11"/>
  <c r="E201" i="11"/>
  <c r="E202" i="11"/>
  <c r="E203" i="11"/>
  <c r="E204" i="11"/>
  <c r="E205" i="11"/>
  <c r="E234" i="11"/>
  <c r="G234" i="11"/>
  <c r="E235" i="11"/>
  <c r="G235" i="11"/>
  <c r="E236" i="11"/>
  <c r="G236" i="11"/>
  <c r="E237" i="11"/>
  <c r="G201" i="11"/>
  <c r="G202" i="11"/>
  <c r="G203" i="11"/>
  <c r="G204" i="11"/>
  <c r="G205" i="11"/>
  <c r="G237" i="11"/>
  <c r="E238" i="11"/>
  <c r="G238" i="11"/>
  <c r="F241" i="11"/>
  <c r="E242" i="11"/>
  <c r="B242" i="11"/>
  <c r="D242" i="11"/>
  <c r="E206" i="11"/>
  <c r="B245" i="11"/>
  <c r="D245" i="11"/>
  <c r="E184" i="11"/>
  <c r="B252" i="11"/>
  <c r="G206" i="11"/>
  <c r="K206" i="11"/>
  <c r="H244" i="11"/>
  <c r="J244" i="11"/>
  <c r="E244" i="11"/>
  <c r="G244" i="11"/>
  <c r="B244" i="11"/>
  <c r="B234" i="11"/>
  <c r="D234" i="11"/>
  <c r="B201" i="11"/>
  <c r="B202" i="11"/>
  <c r="B203" i="11"/>
  <c r="B204" i="11"/>
  <c r="B205" i="11"/>
  <c r="B235" i="11"/>
  <c r="D235" i="11"/>
  <c r="B236" i="11"/>
  <c r="D201" i="11"/>
  <c r="D202" i="11"/>
  <c r="D203" i="11"/>
  <c r="D204" i="11"/>
  <c r="D205" i="11"/>
  <c r="D236" i="11"/>
  <c r="B237" i="11"/>
  <c r="D237" i="11"/>
  <c r="B238" i="11"/>
  <c r="D238" i="11"/>
  <c r="C241" i="11"/>
  <c r="D244" i="11"/>
  <c r="E182" i="11"/>
  <c r="B251" i="11"/>
  <c r="D206" i="11"/>
  <c r="E180" i="11"/>
  <c r="B250" i="11"/>
  <c r="B206" i="11"/>
  <c r="M206" i="11"/>
  <c r="Q206" i="11"/>
  <c r="N243" i="11"/>
  <c r="P243" i="11"/>
  <c r="K243" i="11"/>
  <c r="M243" i="11"/>
  <c r="H234" i="11"/>
  <c r="J234" i="11"/>
  <c r="H201" i="11"/>
  <c r="H202" i="11"/>
  <c r="H203" i="11"/>
  <c r="H204" i="11"/>
  <c r="H205" i="11"/>
  <c r="H235" i="11"/>
  <c r="J235" i="11"/>
  <c r="H236" i="11"/>
  <c r="J236" i="11"/>
  <c r="H237" i="11"/>
  <c r="J201" i="11"/>
  <c r="J202" i="11"/>
  <c r="J203" i="11"/>
  <c r="J204" i="11"/>
  <c r="J205" i="11"/>
  <c r="J237" i="11"/>
  <c r="H238" i="11"/>
  <c r="J238" i="11"/>
  <c r="I241" i="11"/>
  <c r="H243" i="11"/>
  <c r="E243" i="11"/>
  <c r="G243" i="11"/>
  <c r="B243" i="11"/>
  <c r="H206" i="11"/>
  <c r="E245" i="11"/>
  <c r="G245" i="11"/>
  <c r="J206" i="11"/>
  <c r="S206" i="11"/>
  <c r="AT250" i="11"/>
  <c r="AC243" i="11"/>
  <c r="AE243" i="11"/>
  <c r="Z243" i="11"/>
  <c r="AB243" i="11"/>
  <c r="W243" i="11"/>
  <c r="Y243" i="11"/>
  <c r="T243" i="11"/>
  <c r="V243" i="11"/>
  <c r="Q243" i="11"/>
  <c r="S243" i="11"/>
  <c r="AT251" i="11"/>
  <c r="AC244" i="11"/>
  <c r="AE244" i="11"/>
  <c r="Z244" i="11"/>
  <c r="AB244" i="11"/>
  <c r="W244" i="11"/>
  <c r="Y244" i="11"/>
  <c r="T244" i="11"/>
  <c r="V244" i="11"/>
  <c r="Q244" i="11"/>
  <c r="S244" i="11"/>
  <c r="N234" i="11"/>
  <c r="P234" i="11"/>
  <c r="N235" i="11"/>
  <c r="P235" i="11"/>
  <c r="N201" i="11"/>
  <c r="N202" i="11"/>
  <c r="N203" i="11"/>
  <c r="N204" i="11"/>
  <c r="N205" i="11"/>
  <c r="N236" i="11"/>
  <c r="P236" i="11"/>
  <c r="N237" i="11"/>
  <c r="P201" i="11"/>
  <c r="P202" i="11"/>
  <c r="P203" i="11"/>
  <c r="P204" i="11"/>
  <c r="P205" i="11"/>
  <c r="P237" i="11"/>
  <c r="N238" i="11"/>
  <c r="P238" i="11"/>
  <c r="O241" i="11"/>
  <c r="N244" i="11"/>
  <c r="K244" i="11"/>
  <c r="M244" i="11"/>
  <c r="N206" i="11"/>
  <c r="K245" i="11"/>
  <c r="M245" i="11"/>
  <c r="H245" i="11"/>
  <c r="J245" i="11"/>
  <c r="P206" i="11"/>
  <c r="AT252" i="11"/>
  <c r="AC245" i="11"/>
  <c r="AE245" i="11"/>
  <c r="Z245" i="11"/>
  <c r="AB245" i="11"/>
  <c r="W245" i="11"/>
  <c r="Y245" i="11"/>
  <c r="T245" i="11"/>
  <c r="V245" i="11"/>
  <c r="Q245" i="11"/>
  <c r="S245" i="11"/>
  <c r="N245" i="11"/>
  <c r="P245" i="11"/>
  <c r="E186" i="11"/>
  <c r="B253" i="11"/>
  <c r="AT253" i="11"/>
  <c r="AC246" i="11"/>
  <c r="AE246" i="11"/>
  <c r="Z246" i="11"/>
  <c r="AB246" i="11"/>
  <c r="W246" i="11"/>
  <c r="Y246" i="11"/>
  <c r="T246" i="11"/>
  <c r="V246" i="11"/>
  <c r="Q246" i="11"/>
  <c r="S246" i="11"/>
  <c r="N246" i="11"/>
  <c r="P246" i="11"/>
  <c r="K246" i="11"/>
  <c r="M246" i="11"/>
  <c r="H246" i="11"/>
  <c r="J246" i="11"/>
  <c r="E246" i="11"/>
  <c r="G246" i="11"/>
  <c r="B246" i="11"/>
  <c r="D246" i="11"/>
  <c r="C253" i="11"/>
  <c r="D253" i="11"/>
  <c r="G253" i="11"/>
  <c r="J253" i="11"/>
  <c r="M253" i="11"/>
  <c r="P253" i="11"/>
  <c r="S253" i="11"/>
  <c r="V253" i="11"/>
  <c r="Y253" i="11"/>
  <c r="AB253" i="11"/>
  <c r="AE253" i="11"/>
  <c r="AU253" i="11"/>
  <c r="J358" i="11"/>
  <c r="J359" i="11"/>
  <c r="J360" i="11"/>
  <c r="J361" i="11"/>
  <c r="B358" i="11"/>
  <c r="B359" i="11"/>
  <c r="B360" i="11"/>
  <c r="B361" i="11"/>
  <c r="D358" i="11"/>
  <c r="D359" i="11"/>
  <c r="D360" i="11"/>
  <c r="D361" i="11"/>
  <c r="H357" i="11"/>
  <c r="B39" i="11"/>
  <c r="D39" i="11"/>
  <c r="B40" i="11"/>
  <c r="D40" i="11"/>
  <c r="B41" i="11"/>
  <c r="D41" i="11"/>
  <c r="B42" i="11"/>
  <c r="D42" i="11"/>
  <c r="B43" i="11"/>
  <c r="D43" i="11"/>
  <c r="B44" i="11"/>
  <c r="B59" i="11"/>
  <c r="D59" i="11"/>
  <c r="E59" i="11"/>
  <c r="G59" i="11"/>
  <c r="H59" i="11"/>
  <c r="J59" i="11"/>
  <c r="K39" i="11"/>
  <c r="M39" i="11"/>
  <c r="K40" i="11"/>
  <c r="M40" i="11"/>
  <c r="K41" i="11"/>
  <c r="M41" i="11"/>
  <c r="K42" i="11"/>
  <c r="M42" i="11"/>
  <c r="K43" i="11"/>
  <c r="M43" i="11"/>
  <c r="K44" i="11"/>
  <c r="K59" i="11"/>
  <c r="M59" i="11"/>
  <c r="N59" i="11"/>
  <c r="P59" i="11"/>
  <c r="Q59" i="11"/>
  <c r="S59" i="11"/>
  <c r="T39" i="11"/>
  <c r="V39" i="11"/>
  <c r="T40" i="11"/>
  <c r="V40" i="11"/>
  <c r="T41" i="11"/>
  <c r="V41" i="11"/>
  <c r="T42" i="11"/>
  <c r="V42" i="11"/>
  <c r="T43" i="11"/>
  <c r="V43" i="11"/>
  <c r="T44" i="11"/>
  <c r="T59" i="11"/>
  <c r="V59" i="11"/>
  <c r="W59" i="11"/>
  <c r="Y59" i="11"/>
  <c r="Z59" i="11"/>
  <c r="AB59" i="11"/>
  <c r="AC59" i="11"/>
  <c r="AC39" i="11"/>
  <c r="AE39" i="11"/>
  <c r="AC40" i="11"/>
  <c r="AE40" i="11"/>
  <c r="AC41" i="11"/>
  <c r="AE41" i="11"/>
  <c r="AC42" i="11"/>
  <c r="AE42" i="11"/>
  <c r="AC43" i="11"/>
  <c r="AE43" i="11"/>
  <c r="AC44" i="11"/>
  <c r="AE59" i="11"/>
  <c r="AF59" i="11"/>
  <c r="B30" i="11"/>
  <c r="D30" i="11"/>
  <c r="AG25" i="11"/>
  <c r="AH25" i="11"/>
  <c r="AI25" i="11"/>
  <c r="K30" i="11"/>
  <c r="M30" i="11"/>
  <c r="AJ25" i="11"/>
  <c r="AK25" i="11"/>
  <c r="AL25" i="11"/>
  <c r="T30" i="11"/>
  <c r="V30" i="11"/>
  <c r="AM25" i="11"/>
  <c r="AN25" i="11"/>
  <c r="AO25" i="11"/>
  <c r="AE30" i="11"/>
  <c r="AC30" i="11"/>
  <c r="AP25" i="11"/>
  <c r="AQ25" i="11"/>
  <c r="Z10" i="11"/>
  <c r="J264" i="11"/>
  <c r="E124" i="11"/>
  <c r="G124" i="11"/>
  <c r="E125" i="11"/>
  <c r="G125" i="11"/>
  <c r="E126" i="11"/>
  <c r="G126" i="11"/>
  <c r="E127" i="11"/>
  <c r="G127" i="11"/>
  <c r="E128" i="11"/>
  <c r="G128" i="11"/>
  <c r="E129" i="11"/>
  <c r="E143" i="11"/>
  <c r="G143" i="11"/>
  <c r="H143" i="11"/>
  <c r="J143" i="11"/>
  <c r="K143" i="11"/>
  <c r="M143" i="11"/>
  <c r="N124" i="11"/>
  <c r="P124" i="11"/>
  <c r="N125" i="11"/>
  <c r="P125" i="11"/>
  <c r="N126" i="11"/>
  <c r="P126" i="11"/>
  <c r="N127" i="11"/>
  <c r="P127" i="11"/>
  <c r="N128" i="11"/>
  <c r="P128" i="11"/>
  <c r="N129" i="11"/>
  <c r="N143" i="11"/>
  <c r="P143" i="11"/>
  <c r="Q143" i="11"/>
  <c r="S143" i="11"/>
  <c r="T143" i="11"/>
  <c r="V143" i="11"/>
  <c r="W124" i="11"/>
  <c r="Y124" i="11"/>
  <c r="W125" i="11"/>
  <c r="Y125" i="11"/>
  <c r="W126" i="11"/>
  <c r="Y126" i="11"/>
  <c r="W127" i="11"/>
  <c r="Y127" i="11"/>
  <c r="W128" i="11"/>
  <c r="Y128" i="11"/>
  <c r="W129" i="11"/>
  <c r="W143" i="11"/>
  <c r="Y143" i="11"/>
  <c r="Z143" i="11"/>
  <c r="AB143" i="11"/>
  <c r="AC124" i="11"/>
  <c r="AE124" i="11"/>
  <c r="AC125" i="11"/>
  <c r="AE125" i="11"/>
  <c r="AC126" i="11"/>
  <c r="AE126" i="11"/>
  <c r="AC127" i="11"/>
  <c r="AE127" i="11"/>
  <c r="AC128" i="11"/>
  <c r="AE128" i="11"/>
  <c r="AC129" i="11"/>
  <c r="AC143" i="11"/>
  <c r="AE143" i="11"/>
  <c r="E115" i="11"/>
  <c r="G115" i="11"/>
  <c r="AH109" i="11"/>
  <c r="AI109" i="11"/>
  <c r="AJ109" i="11"/>
  <c r="N115" i="11"/>
  <c r="P115" i="11"/>
  <c r="AK109" i="11"/>
  <c r="AL109" i="11"/>
  <c r="AM109" i="11"/>
  <c r="W115" i="11"/>
  <c r="Y115" i="11"/>
  <c r="AN109" i="11"/>
  <c r="AO109" i="11"/>
  <c r="AC115" i="11"/>
  <c r="AE115" i="11"/>
  <c r="AP109" i="11"/>
  <c r="B231" i="11"/>
  <c r="D231" i="11"/>
  <c r="E231" i="11"/>
  <c r="E209" i="11"/>
  <c r="G209" i="11"/>
  <c r="E210" i="11"/>
  <c r="G210" i="11"/>
  <c r="E211" i="11"/>
  <c r="G211" i="11"/>
  <c r="E212" i="11"/>
  <c r="G212" i="11"/>
  <c r="E213" i="11"/>
  <c r="G213" i="11"/>
  <c r="E214" i="11"/>
  <c r="G231" i="11"/>
  <c r="H231" i="11"/>
  <c r="H209" i="11"/>
  <c r="J209" i="11"/>
  <c r="H210" i="11"/>
  <c r="J210" i="11"/>
  <c r="H211" i="11"/>
  <c r="J211" i="11"/>
  <c r="H212" i="11"/>
  <c r="J212" i="11"/>
  <c r="H213" i="11"/>
  <c r="J213" i="11"/>
  <c r="H214" i="11"/>
  <c r="J231" i="11"/>
  <c r="K231" i="11"/>
  <c r="M231" i="11"/>
  <c r="N231" i="11"/>
  <c r="N209" i="11"/>
  <c r="P209" i="11"/>
  <c r="N210" i="11"/>
  <c r="P210" i="11"/>
  <c r="N211" i="11"/>
  <c r="P211" i="11"/>
  <c r="N212" i="11"/>
  <c r="P212" i="11"/>
  <c r="N213" i="11"/>
  <c r="P213" i="11"/>
  <c r="N214" i="11"/>
  <c r="P231" i="11"/>
  <c r="Q231" i="11"/>
  <c r="S231" i="11"/>
  <c r="T231" i="11"/>
  <c r="V231" i="11"/>
  <c r="W231" i="11"/>
  <c r="Y231" i="11"/>
  <c r="Z231" i="11"/>
  <c r="AB231" i="11"/>
  <c r="AC231" i="11"/>
  <c r="AE231" i="11"/>
  <c r="AF231" i="11"/>
  <c r="AG197" i="11"/>
  <c r="G200" i="11"/>
  <c r="E200" i="11"/>
  <c r="AH197" i="11"/>
  <c r="J200" i="11"/>
  <c r="H200" i="11"/>
  <c r="AI197" i="11"/>
  <c r="AJ197" i="11"/>
  <c r="P200" i="11"/>
  <c r="N200" i="11"/>
  <c r="AK197" i="11"/>
  <c r="AL197" i="11"/>
  <c r="AM197" i="11"/>
  <c r="AN197" i="11"/>
  <c r="AO197" i="11"/>
  <c r="AP197" i="11"/>
  <c r="AQ197" i="11"/>
  <c r="Z184" i="11"/>
  <c r="J266" i="11"/>
  <c r="B60" i="11"/>
  <c r="D60" i="11"/>
  <c r="E60" i="11"/>
  <c r="G60" i="11"/>
  <c r="H39" i="11"/>
  <c r="J39" i="11"/>
  <c r="H40" i="11"/>
  <c r="J40" i="11"/>
  <c r="H41" i="11"/>
  <c r="J41" i="11"/>
  <c r="H42" i="11"/>
  <c r="J42" i="11"/>
  <c r="H43" i="11"/>
  <c r="J43" i="11"/>
  <c r="H44" i="11"/>
  <c r="H60" i="11"/>
  <c r="J60" i="11"/>
  <c r="K60" i="11"/>
  <c r="M60" i="11"/>
  <c r="N60" i="11"/>
  <c r="N39" i="11"/>
  <c r="P39" i="11"/>
  <c r="N40" i="11"/>
  <c r="P40" i="11"/>
  <c r="N41" i="11"/>
  <c r="P41" i="11"/>
  <c r="N42" i="11"/>
  <c r="P42" i="11"/>
  <c r="N43" i="11"/>
  <c r="P43" i="11"/>
  <c r="N44" i="11"/>
  <c r="P60" i="11"/>
  <c r="Q60" i="11"/>
  <c r="S60" i="11"/>
  <c r="T60" i="11"/>
  <c r="V60" i="11"/>
  <c r="W60" i="11"/>
  <c r="Y60" i="11"/>
  <c r="Z39" i="11"/>
  <c r="AB39" i="11"/>
  <c r="Z40" i="11"/>
  <c r="AB40" i="11"/>
  <c r="Z41" i="11"/>
  <c r="AB41" i="11"/>
  <c r="Z42" i="11"/>
  <c r="AB42" i="11"/>
  <c r="Z43" i="11"/>
  <c r="AB43" i="11"/>
  <c r="Z44" i="11"/>
  <c r="Z60" i="11"/>
  <c r="AB60" i="11"/>
  <c r="AC60" i="11"/>
  <c r="AE60" i="11"/>
  <c r="AF60" i="11"/>
  <c r="AG26" i="11"/>
  <c r="AH26" i="11"/>
  <c r="H30" i="11"/>
  <c r="J30" i="11"/>
  <c r="AI26" i="11"/>
  <c r="AJ26" i="11"/>
  <c r="P30" i="11"/>
  <c r="N30" i="11"/>
  <c r="AK26" i="11"/>
  <c r="AL26" i="11"/>
  <c r="AM26" i="11"/>
  <c r="AN26" i="11"/>
  <c r="Z30" i="11"/>
  <c r="AB30" i="11"/>
  <c r="AO26" i="11"/>
  <c r="AP26" i="11"/>
  <c r="AQ26" i="11"/>
  <c r="Z12" i="11"/>
  <c r="AF264" i="11"/>
  <c r="E145" i="11"/>
  <c r="G145" i="11"/>
  <c r="H124" i="11"/>
  <c r="J124" i="11"/>
  <c r="H125" i="11"/>
  <c r="J125" i="11"/>
  <c r="H126" i="11"/>
  <c r="J126" i="11"/>
  <c r="H127" i="11"/>
  <c r="J127" i="11"/>
  <c r="H128" i="11"/>
  <c r="J128" i="11"/>
  <c r="H129" i="11"/>
  <c r="H145" i="11"/>
  <c r="J145" i="11"/>
  <c r="K145" i="11"/>
  <c r="M145" i="11"/>
  <c r="N145" i="11"/>
  <c r="P145" i="11"/>
  <c r="Q145" i="11"/>
  <c r="S145" i="11"/>
  <c r="T145" i="11"/>
  <c r="T124" i="11"/>
  <c r="V124" i="11"/>
  <c r="T125" i="11"/>
  <c r="V125" i="11"/>
  <c r="T126" i="11"/>
  <c r="V126" i="11"/>
  <c r="T127" i="11"/>
  <c r="V127" i="11"/>
  <c r="T128" i="11"/>
  <c r="V128" i="11"/>
  <c r="T129" i="11"/>
  <c r="V145" i="11"/>
  <c r="W145" i="11"/>
  <c r="Y145" i="11"/>
  <c r="Z124" i="11"/>
  <c r="AB124" i="11"/>
  <c r="Z125" i="11"/>
  <c r="AB125" i="11"/>
  <c r="Z126" i="11"/>
  <c r="AB126" i="11"/>
  <c r="Z127" i="11"/>
  <c r="AB127" i="11"/>
  <c r="Z128" i="11"/>
  <c r="AB128" i="11"/>
  <c r="Z129" i="11"/>
  <c r="Z145" i="11"/>
  <c r="AB145" i="11"/>
  <c r="AC145" i="11"/>
  <c r="AE145" i="11"/>
  <c r="AH111" i="11"/>
  <c r="H115" i="11"/>
  <c r="J115" i="11"/>
  <c r="AI111" i="11"/>
  <c r="AJ111" i="11"/>
  <c r="AK111" i="11"/>
  <c r="AL111" i="11"/>
  <c r="V115" i="11"/>
  <c r="T115" i="11"/>
  <c r="AM111" i="11"/>
  <c r="AN111" i="11"/>
  <c r="Z115" i="11"/>
  <c r="AB115" i="11"/>
  <c r="AO111" i="11"/>
  <c r="AP111" i="11"/>
  <c r="B209" i="11"/>
  <c r="D209" i="11"/>
  <c r="B210" i="11"/>
  <c r="D210" i="11"/>
  <c r="B211" i="11"/>
  <c r="D211" i="11"/>
  <c r="B212" i="11"/>
  <c r="D212" i="11"/>
  <c r="B213" i="11"/>
  <c r="D213" i="11"/>
  <c r="B214" i="11"/>
  <c r="B229" i="11"/>
  <c r="D229" i="11"/>
  <c r="E229" i="11"/>
  <c r="G229" i="11"/>
  <c r="H229" i="11"/>
  <c r="J229" i="11"/>
  <c r="K229" i="11"/>
  <c r="M229" i="11"/>
  <c r="N229" i="11"/>
  <c r="P229" i="11"/>
  <c r="Q229" i="11"/>
  <c r="Q209" i="11"/>
  <c r="S209" i="11"/>
  <c r="Q210" i="11"/>
  <c r="S210" i="11"/>
  <c r="Q211" i="11"/>
  <c r="S211" i="11"/>
  <c r="Q212" i="11"/>
  <c r="S212" i="11"/>
  <c r="Q213" i="11"/>
  <c r="S213" i="11"/>
  <c r="Q214" i="11"/>
  <c r="S229" i="11"/>
  <c r="T229" i="11"/>
  <c r="V229" i="11"/>
  <c r="W229" i="11"/>
  <c r="Y229" i="11"/>
  <c r="Z229" i="11"/>
  <c r="AB229" i="11"/>
  <c r="AC229" i="11"/>
  <c r="AE229" i="11"/>
  <c r="AF229" i="11"/>
  <c r="B200" i="11"/>
  <c r="D200" i="11"/>
  <c r="AG195" i="11"/>
  <c r="AH195" i="11"/>
  <c r="AI195" i="11"/>
  <c r="AJ195" i="11"/>
  <c r="AK195" i="11"/>
  <c r="S200" i="11"/>
  <c r="Q200" i="11"/>
  <c r="AL195" i="11"/>
  <c r="AM195" i="11"/>
  <c r="AN195" i="11"/>
  <c r="AO195" i="11"/>
  <c r="AP195" i="11"/>
  <c r="AQ195" i="11"/>
  <c r="Z180" i="11"/>
  <c r="AF266" i="11"/>
  <c r="X264" i="11"/>
  <c r="AH266" i="11"/>
  <c r="B352" i="11"/>
  <c r="B369" i="11"/>
  <c r="H358" i="11"/>
  <c r="H359" i="11"/>
  <c r="H360" i="11"/>
  <c r="H361" i="11"/>
  <c r="AU371" i="11"/>
  <c r="AT371" i="11"/>
  <c r="AU370" i="11"/>
  <c r="AT370" i="11"/>
  <c r="AU369" i="11"/>
  <c r="AT369" i="11"/>
  <c r="AT368" i="11"/>
  <c r="AT366" i="11"/>
  <c r="K362" i="11"/>
  <c r="E183" i="11"/>
  <c r="AK266" i="11"/>
  <c r="K352" i="11"/>
  <c r="E102" i="11"/>
  <c r="AK265" i="11"/>
  <c r="K351" i="11"/>
  <c r="E15" i="11"/>
  <c r="AK264" i="11"/>
  <c r="K350" i="11"/>
  <c r="E13" i="11"/>
  <c r="AC264" i="11"/>
  <c r="AF271" i="11"/>
  <c r="K349" i="11"/>
  <c r="A343" i="11"/>
  <c r="F342" i="11"/>
  <c r="A338" i="11"/>
  <c r="J337" i="11"/>
  <c r="A334" i="11"/>
  <c r="F332" i="11"/>
  <c r="A332" i="11"/>
  <c r="A329" i="11"/>
  <c r="W310" i="11"/>
  <c r="W311" i="11"/>
  <c r="W312" i="11"/>
  <c r="W313" i="11"/>
  <c r="Y310" i="11"/>
  <c r="Y311" i="11"/>
  <c r="Y312" i="11"/>
  <c r="Y313" i="11"/>
  <c r="AC309" i="11"/>
  <c r="X266" i="11"/>
  <c r="B58" i="11"/>
  <c r="D58" i="11"/>
  <c r="E39" i="11"/>
  <c r="G39" i="11"/>
  <c r="E40" i="11"/>
  <c r="G40" i="11"/>
  <c r="E41" i="11"/>
  <c r="G41" i="11"/>
  <c r="E42" i="11"/>
  <c r="G42" i="11"/>
  <c r="E43" i="11"/>
  <c r="G43" i="11"/>
  <c r="E44" i="11"/>
  <c r="E58" i="11"/>
  <c r="G58" i="11"/>
  <c r="H58" i="11"/>
  <c r="J58" i="11"/>
  <c r="K58" i="11"/>
  <c r="M58" i="11"/>
  <c r="N58" i="11"/>
  <c r="P58" i="11"/>
  <c r="Q58" i="11"/>
  <c r="S58" i="11"/>
  <c r="T58" i="11"/>
  <c r="V58" i="11"/>
  <c r="W39" i="11"/>
  <c r="Y39" i="11"/>
  <c r="W40" i="11"/>
  <c r="Y40" i="11"/>
  <c r="W41" i="11"/>
  <c r="Y41" i="11"/>
  <c r="W42" i="11"/>
  <c r="Y42" i="11"/>
  <c r="W43" i="11"/>
  <c r="Y43" i="11"/>
  <c r="W44" i="11"/>
  <c r="W58" i="11"/>
  <c r="Y58" i="11"/>
  <c r="Z58" i="11"/>
  <c r="AB58" i="11"/>
  <c r="AC58" i="11"/>
  <c r="AE58" i="11"/>
  <c r="AF58" i="11"/>
  <c r="AG24" i="11"/>
  <c r="E30" i="11"/>
  <c r="G30" i="11"/>
  <c r="AH24" i="11"/>
  <c r="AI24" i="11"/>
  <c r="AJ24" i="11"/>
  <c r="AK24" i="11"/>
  <c r="AL24" i="11"/>
  <c r="AM24" i="11"/>
  <c r="W30" i="11"/>
  <c r="Y30" i="11"/>
  <c r="AN24" i="11"/>
  <c r="AO24" i="11"/>
  <c r="AP24" i="11"/>
  <c r="AQ24" i="11"/>
  <c r="Z8" i="11"/>
  <c r="U264" i="11"/>
  <c r="E146" i="11"/>
  <c r="G146" i="11"/>
  <c r="H146" i="11"/>
  <c r="J146" i="11"/>
  <c r="K146" i="11"/>
  <c r="K124" i="11"/>
  <c r="M124" i="11"/>
  <c r="K125" i="11"/>
  <c r="M125" i="11"/>
  <c r="K126" i="11"/>
  <c r="M126" i="11"/>
  <c r="K127" i="11"/>
  <c r="M127" i="11"/>
  <c r="K128" i="11"/>
  <c r="M128" i="11"/>
  <c r="K129" i="11"/>
  <c r="M146" i="11"/>
  <c r="N146" i="11"/>
  <c r="P146" i="11"/>
  <c r="Q124" i="11"/>
  <c r="S124" i="11"/>
  <c r="Q125" i="11"/>
  <c r="S125" i="11"/>
  <c r="Q126" i="11"/>
  <c r="S126" i="11"/>
  <c r="Q127" i="11"/>
  <c r="S127" i="11"/>
  <c r="Q128" i="11"/>
  <c r="S128" i="11"/>
  <c r="Q129" i="11"/>
  <c r="Q146" i="11"/>
  <c r="S146" i="11"/>
  <c r="T146" i="11"/>
  <c r="V146" i="11"/>
  <c r="W146" i="11"/>
  <c r="Y146" i="11"/>
  <c r="Z146" i="11"/>
  <c r="AB146" i="11"/>
  <c r="AC146" i="11"/>
  <c r="AE146" i="11"/>
  <c r="AH112" i="11"/>
  <c r="AI112" i="11"/>
  <c r="M115" i="11"/>
  <c r="K115" i="11"/>
  <c r="AJ112" i="11"/>
  <c r="AK112" i="11"/>
  <c r="Q115" i="11"/>
  <c r="S115" i="11"/>
  <c r="AL112" i="11"/>
  <c r="AM112" i="11"/>
  <c r="AN112" i="11"/>
  <c r="AO112" i="11"/>
  <c r="AP112" i="11"/>
  <c r="B228" i="11"/>
  <c r="D228" i="11"/>
  <c r="E228" i="11"/>
  <c r="G228" i="11"/>
  <c r="H228" i="11"/>
  <c r="J228" i="11"/>
  <c r="K209" i="11"/>
  <c r="M209" i="11"/>
  <c r="K210" i="11"/>
  <c r="M210" i="11"/>
  <c r="K211" i="11"/>
  <c r="M211" i="11"/>
  <c r="K212" i="11"/>
  <c r="M212" i="11"/>
  <c r="K213" i="11"/>
  <c r="M213" i="11"/>
  <c r="K214" i="11"/>
  <c r="K228" i="11"/>
  <c r="M228" i="11"/>
  <c r="N228" i="11"/>
  <c r="P228" i="11"/>
  <c r="Q228" i="11"/>
  <c r="S228" i="11"/>
  <c r="T228" i="11"/>
  <c r="V228" i="11"/>
  <c r="W228" i="11"/>
  <c r="Y228" i="11"/>
  <c r="Z228" i="11"/>
  <c r="AB228" i="11"/>
  <c r="AC228" i="11"/>
  <c r="AE228" i="11"/>
  <c r="AF228" i="11"/>
  <c r="AG194" i="11"/>
  <c r="AH194" i="11"/>
  <c r="AI194" i="11"/>
  <c r="K200" i="11"/>
  <c r="M200" i="11"/>
  <c r="AJ194" i="11"/>
  <c r="AK194" i="11"/>
  <c r="AL194" i="11"/>
  <c r="AM194" i="11"/>
  <c r="AN194" i="11"/>
  <c r="AO194" i="11"/>
  <c r="AP194" i="11"/>
  <c r="AQ194" i="11"/>
  <c r="Z178" i="11"/>
  <c r="U266" i="11"/>
  <c r="M264" i="11"/>
  <c r="AC310" i="11"/>
  <c r="AC311" i="11"/>
  <c r="AC312" i="11"/>
  <c r="AC313" i="11"/>
  <c r="Z310" i="11"/>
  <c r="Z311" i="11"/>
  <c r="Z312" i="11"/>
  <c r="Z313" i="11"/>
  <c r="AB310" i="11"/>
  <c r="AB311" i="11"/>
  <c r="AB312" i="11"/>
  <c r="AB313" i="11"/>
  <c r="AE309" i="11"/>
  <c r="M266" i="11"/>
  <c r="AE310" i="11"/>
  <c r="AE311" i="11"/>
  <c r="AE312" i="11"/>
  <c r="AE313" i="11"/>
  <c r="E310" i="11"/>
  <c r="E311" i="11"/>
  <c r="E312" i="11"/>
  <c r="E313" i="11"/>
  <c r="G310" i="11"/>
  <c r="G311" i="11"/>
  <c r="G312" i="11"/>
  <c r="G313" i="11"/>
  <c r="J309" i="11"/>
  <c r="B266" i="11"/>
  <c r="B303" i="11"/>
  <c r="B320" i="11"/>
  <c r="J310" i="11"/>
  <c r="J311" i="11"/>
  <c r="J312" i="11"/>
  <c r="J313" i="11"/>
  <c r="B310" i="11"/>
  <c r="B311" i="11"/>
  <c r="B312" i="11"/>
  <c r="B313" i="11"/>
  <c r="D310" i="11"/>
  <c r="D311" i="11"/>
  <c r="D312" i="11"/>
  <c r="D313" i="11"/>
  <c r="H309" i="11"/>
  <c r="B264" i="11"/>
  <c r="B301" i="11"/>
  <c r="B318" i="11"/>
  <c r="H310" i="11"/>
  <c r="H311" i="11"/>
  <c r="H312" i="11"/>
  <c r="H313" i="11"/>
  <c r="AT319" i="11"/>
  <c r="AT317" i="11"/>
  <c r="AF314" i="11"/>
  <c r="K314" i="11"/>
  <c r="E181" i="11"/>
  <c r="AC266" i="11"/>
  <c r="AF270" i="11"/>
  <c r="AG304" i="11"/>
  <c r="E100" i="11"/>
  <c r="R265" i="11"/>
  <c r="T269" i="11"/>
  <c r="K304" i="11"/>
  <c r="E98" i="11"/>
  <c r="AC265" i="11"/>
  <c r="AF269" i="11"/>
  <c r="AG303" i="11"/>
  <c r="E185" i="11"/>
  <c r="F266" i="11"/>
  <c r="K303" i="11"/>
  <c r="E179" i="11"/>
  <c r="R266" i="11"/>
  <c r="T271" i="11"/>
  <c r="AG302" i="11"/>
  <c r="E94" i="11"/>
  <c r="F265" i="11"/>
  <c r="K302" i="11"/>
  <c r="E9" i="11"/>
  <c r="R264" i="11"/>
  <c r="T270" i="11"/>
  <c r="AG301" i="11"/>
  <c r="E11" i="11"/>
  <c r="F264" i="11"/>
  <c r="K301" i="11"/>
  <c r="V295" i="11"/>
  <c r="A295" i="11"/>
  <c r="AC294" i="11"/>
  <c r="F294" i="11"/>
  <c r="V290" i="11"/>
  <c r="A290" i="11"/>
  <c r="AG289" i="11"/>
  <c r="J289" i="11"/>
  <c r="V286" i="11"/>
  <c r="A286" i="11"/>
  <c r="AC284" i="11"/>
  <c r="U284" i="11"/>
  <c r="F284" i="11"/>
  <c r="A284" i="11"/>
  <c r="V281" i="11"/>
  <c r="A281" i="11"/>
  <c r="B61" i="11"/>
  <c r="D61" i="11"/>
  <c r="E61" i="11"/>
  <c r="G61" i="11"/>
  <c r="H61" i="11"/>
  <c r="J61" i="11"/>
  <c r="K61" i="11"/>
  <c r="M61" i="11"/>
  <c r="N61" i="11"/>
  <c r="P61" i="11"/>
  <c r="Q39" i="11"/>
  <c r="S39" i="11"/>
  <c r="Q40" i="11"/>
  <c r="S40" i="11"/>
  <c r="Q41" i="11"/>
  <c r="S41" i="11"/>
  <c r="Q42" i="11"/>
  <c r="S42" i="11"/>
  <c r="Q43" i="11"/>
  <c r="S43" i="11"/>
  <c r="Q44" i="11"/>
  <c r="Q61" i="11"/>
  <c r="S61" i="11"/>
  <c r="T61" i="11"/>
  <c r="V61" i="11"/>
  <c r="W61" i="11"/>
  <c r="Y61" i="11"/>
  <c r="Z61" i="11"/>
  <c r="AB61" i="11"/>
  <c r="AC61" i="11"/>
  <c r="AE61" i="11"/>
  <c r="AF61" i="11"/>
  <c r="AG27" i="11"/>
  <c r="AH27" i="11"/>
  <c r="AI27" i="11"/>
  <c r="AJ27" i="11"/>
  <c r="AK27" i="11"/>
  <c r="Q30" i="11"/>
  <c r="S30" i="11"/>
  <c r="AL27" i="11"/>
  <c r="AM27" i="11"/>
  <c r="AN27" i="11"/>
  <c r="AO27" i="11"/>
  <c r="AP27" i="11"/>
  <c r="AQ27" i="11"/>
  <c r="Z14" i="11"/>
  <c r="AN264" i="11"/>
  <c r="B147" i="11"/>
  <c r="B124" i="11"/>
  <c r="D124" i="11"/>
  <c r="B125" i="11"/>
  <c r="D125" i="11"/>
  <c r="B126" i="11"/>
  <c r="D126" i="11"/>
  <c r="B127" i="11"/>
  <c r="D127" i="11"/>
  <c r="B128" i="11"/>
  <c r="D128" i="11"/>
  <c r="B129" i="11"/>
  <c r="D147" i="11"/>
  <c r="E147" i="11"/>
  <c r="G147" i="11"/>
  <c r="H147" i="11"/>
  <c r="J147" i="11"/>
  <c r="K147" i="11"/>
  <c r="M147" i="11"/>
  <c r="N147" i="11"/>
  <c r="P147" i="11"/>
  <c r="Q147" i="11"/>
  <c r="S147" i="11"/>
  <c r="T147" i="11"/>
  <c r="V147" i="11"/>
  <c r="W147" i="11"/>
  <c r="Y147" i="11"/>
  <c r="Z147" i="11"/>
  <c r="AB147" i="11"/>
  <c r="AC147" i="11"/>
  <c r="AE147" i="11"/>
  <c r="AF147" i="11"/>
  <c r="D115" i="11"/>
  <c r="B115" i="11"/>
  <c r="AG113" i="11"/>
  <c r="AH113" i="11"/>
  <c r="AI113" i="11"/>
  <c r="AJ113" i="11"/>
  <c r="AK113" i="11"/>
  <c r="AL113" i="11"/>
  <c r="AM113" i="11"/>
  <c r="AN113" i="11"/>
  <c r="AO113" i="11"/>
  <c r="AP113" i="11"/>
  <c r="AQ113" i="11"/>
  <c r="Z101" i="11"/>
  <c r="AN265" i="11"/>
  <c r="B230" i="11"/>
  <c r="D230" i="11"/>
  <c r="E230" i="11"/>
  <c r="G230" i="11"/>
  <c r="H230" i="11"/>
  <c r="J230" i="11"/>
  <c r="K230" i="11"/>
  <c r="M230" i="11"/>
  <c r="N230" i="11"/>
  <c r="P230" i="11"/>
  <c r="Q230" i="11"/>
  <c r="S230" i="11"/>
  <c r="T230" i="11"/>
  <c r="V230" i="11"/>
  <c r="W230" i="11"/>
  <c r="Y230" i="11"/>
  <c r="Z230" i="11"/>
  <c r="AB230" i="11"/>
  <c r="AC230" i="11"/>
  <c r="AE230" i="11"/>
  <c r="AF230" i="11"/>
  <c r="AG196" i="11"/>
  <c r="AH196" i="11"/>
  <c r="AI196" i="11"/>
  <c r="AJ196" i="11"/>
  <c r="AK196" i="11"/>
  <c r="AL196" i="11"/>
  <c r="AM196" i="11"/>
  <c r="AN196" i="11"/>
  <c r="AO196" i="11"/>
  <c r="AP196" i="11"/>
  <c r="AQ196" i="11"/>
  <c r="Z182" i="11"/>
  <c r="AN266" i="11"/>
  <c r="AP264" i="11"/>
  <c r="AP265" i="11"/>
  <c r="AP266" i="11"/>
  <c r="AN271" i="11"/>
  <c r="AH271" i="11"/>
  <c r="L264" i="11"/>
  <c r="I271" i="11"/>
  <c r="B271" i="11"/>
  <c r="AN270" i="11"/>
  <c r="AH270" i="11"/>
  <c r="L265" i="11"/>
  <c r="L266" i="11"/>
  <c r="I270" i="11"/>
  <c r="B270" i="11"/>
  <c r="AN269" i="11"/>
  <c r="AH269" i="11"/>
  <c r="I269" i="11"/>
  <c r="B269" i="11"/>
  <c r="A259" i="11"/>
  <c r="AE255" i="11"/>
  <c r="AE201" i="11"/>
  <c r="AE202" i="11"/>
  <c r="AE203" i="11"/>
  <c r="AE204" i="11"/>
  <c r="AE205" i="11"/>
  <c r="AE206" i="11"/>
  <c r="AC255" i="11"/>
  <c r="AC201" i="11"/>
  <c r="AC202" i="11"/>
  <c r="AC203" i="11"/>
  <c r="AC204" i="11"/>
  <c r="AC205" i="11"/>
  <c r="AC206" i="11"/>
  <c r="AE256" i="11"/>
  <c r="AE257" i="11"/>
  <c r="AC256" i="11"/>
  <c r="AC257" i="11"/>
  <c r="AB255" i="11"/>
  <c r="AB201" i="11"/>
  <c r="AB202" i="11"/>
  <c r="AB203" i="11"/>
  <c r="AB204" i="11"/>
  <c r="AB205" i="11"/>
  <c r="AB206" i="11"/>
  <c r="Z255" i="11"/>
  <c r="Z201" i="11"/>
  <c r="Z202" i="11"/>
  <c r="Z203" i="11"/>
  <c r="Z204" i="11"/>
  <c r="Z205" i="11"/>
  <c r="Z206" i="11"/>
  <c r="AB256" i="11"/>
  <c r="AB257" i="11"/>
  <c r="Z256" i="11"/>
  <c r="Z257" i="11"/>
  <c r="Y255" i="11"/>
  <c r="Y201" i="11"/>
  <c r="Y202" i="11"/>
  <c r="Y203" i="11"/>
  <c r="Y204" i="11"/>
  <c r="Y205" i="11"/>
  <c r="Y206" i="11"/>
  <c r="W255" i="11"/>
  <c r="W201" i="11"/>
  <c r="W202" i="11"/>
  <c r="W203" i="11"/>
  <c r="W204" i="11"/>
  <c r="W205" i="11"/>
  <c r="W206" i="11"/>
  <c r="Y256" i="11"/>
  <c r="Y257" i="11"/>
  <c r="W256" i="11"/>
  <c r="W257" i="11"/>
  <c r="V255" i="11"/>
  <c r="V201" i="11"/>
  <c r="V202" i="11"/>
  <c r="V203" i="11"/>
  <c r="V204" i="11"/>
  <c r="V205" i="11"/>
  <c r="V206" i="11"/>
  <c r="T255" i="11"/>
  <c r="T201" i="11"/>
  <c r="T202" i="11"/>
  <c r="T203" i="11"/>
  <c r="T204" i="11"/>
  <c r="T205" i="11"/>
  <c r="T206" i="11"/>
  <c r="V256" i="11"/>
  <c r="V257" i="11"/>
  <c r="T256" i="11"/>
  <c r="T257" i="11"/>
  <c r="AF246" i="11"/>
  <c r="AF245" i="11"/>
  <c r="P244" i="11"/>
  <c r="AF244" i="11"/>
  <c r="D243" i="11"/>
  <c r="J243" i="11"/>
  <c r="AF243" i="11"/>
  <c r="G242" i="11"/>
  <c r="M242" i="11"/>
  <c r="S242" i="11"/>
  <c r="AF242" i="11"/>
  <c r="AC234" i="11"/>
  <c r="AE234" i="11"/>
  <c r="AC235" i="11"/>
  <c r="AE235" i="11"/>
  <c r="AC236" i="11"/>
  <c r="AE236" i="11"/>
  <c r="AC237" i="11"/>
  <c r="AE237" i="11"/>
  <c r="AC238" i="11"/>
  <c r="AE238" i="11"/>
  <c r="AD241" i="11"/>
  <c r="Z234" i="11"/>
  <c r="AB234" i="11"/>
  <c r="Z235" i="11"/>
  <c r="AB235" i="11"/>
  <c r="Z236" i="11"/>
  <c r="AB236" i="11"/>
  <c r="Z237" i="11"/>
  <c r="AB237" i="11"/>
  <c r="Z238" i="11"/>
  <c r="AB238" i="11"/>
  <c r="AA241" i="11"/>
  <c r="W234" i="11"/>
  <c r="Y234" i="11"/>
  <c r="W235" i="11"/>
  <c r="Y235" i="11"/>
  <c r="W236" i="11"/>
  <c r="Y236" i="11"/>
  <c r="W237" i="11"/>
  <c r="Y237" i="11"/>
  <c r="W238" i="11"/>
  <c r="Y238" i="11"/>
  <c r="X241" i="11"/>
  <c r="T234" i="11"/>
  <c r="V234" i="11"/>
  <c r="T235" i="11"/>
  <c r="V235" i="11"/>
  <c r="T236" i="11"/>
  <c r="V236" i="11"/>
  <c r="T237" i="11"/>
  <c r="V237" i="11"/>
  <c r="T238" i="11"/>
  <c r="V238" i="11"/>
  <c r="U241" i="11"/>
  <c r="AF238" i="11"/>
  <c r="AG238" i="11"/>
  <c r="AF237" i="11"/>
  <c r="AG237" i="11"/>
  <c r="AF236" i="11"/>
  <c r="AG236" i="11"/>
  <c r="AF235" i="11"/>
  <c r="AG235" i="11"/>
  <c r="AF234" i="11"/>
  <c r="AG234" i="11"/>
  <c r="B232" i="11"/>
  <c r="D232" i="11"/>
  <c r="E232" i="11"/>
  <c r="G232" i="11"/>
  <c r="H232" i="11"/>
  <c r="J232" i="11"/>
  <c r="K232" i="11"/>
  <c r="M232" i="11"/>
  <c r="N232" i="11"/>
  <c r="P232" i="11"/>
  <c r="Q232" i="11"/>
  <c r="S232" i="11"/>
  <c r="T232" i="11"/>
  <c r="V232" i="11"/>
  <c r="W232" i="11"/>
  <c r="Y232" i="11"/>
  <c r="Z232" i="11"/>
  <c r="AB232" i="11"/>
  <c r="AC232" i="11"/>
  <c r="AE232" i="11"/>
  <c r="AF232" i="11"/>
  <c r="B226" i="11"/>
  <c r="D226" i="11"/>
  <c r="E226" i="11"/>
  <c r="G226" i="11"/>
  <c r="H226" i="11"/>
  <c r="J226" i="11"/>
  <c r="K226" i="11"/>
  <c r="M226" i="11"/>
  <c r="N226" i="11"/>
  <c r="P226" i="11"/>
  <c r="Q226" i="11"/>
  <c r="S226" i="11"/>
  <c r="T226" i="11"/>
  <c r="V226" i="11"/>
  <c r="W226" i="11"/>
  <c r="Y226" i="11"/>
  <c r="Z226" i="11"/>
  <c r="AB226" i="11"/>
  <c r="AC226" i="11"/>
  <c r="AE226" i="11"/>
  <c r="AF226" i="11"/>
  <c r="B225" i="11"/>
  <c r="D225" i="11"/>
  <c r="E225" i="11"/>
  <c r="E207" i="11"/>
  <c r="G207" i="11"/>
  <c r="F207" i="11"/>
  <c r="G225" i="11"/>
  <c r="H225" i="11"/>
  <c r="H207" i="11"/>
  <c r="J207" i="11"/>
  <c r="I207" i="11"/>
  <c r="J225" i="11"/>
  <c r="K225" i="11"/>
  <c r="M225" i="11"/>
  <c r="N225" i="11"/>
  <c r="N207" i="11"/>
  <c r="P207" i="11"/>
  <c r="O207" i="11"/>
  <c r="P225" i="11"/>
  <c r="Q225" i="11"/>
  <c r="S225" i="11"/>
  <c r="T225" i="11"/>
  <c r="V225" i="11"/>
  <c r="W225" i="11"/>
  <c r="Y225" i="11"/>
  <c r="Z225" i="11"/>
  <c r="AB225" i="11"/>
  <c r="AC225" i="11"/>
  <c r="AE225" i="11"/>
  <c r="AF225" i="11"/>
  <c r="B224" i="11"/>
  <c r="B207" i="11"/>
  <c r="D207" i="11"/>
  <c r="C207" i="11"/>
  <c r="D224" i="11"/>
  <c r="E224" i="11"/>
  <c r="G224" i="11"/>
  <c r="H224" i="11"/>
  <c r="J224" i="11"/>
  <c r="K224" i="11"/>
  <c r="K207" i="11"/>
  <c r="M207" i="11"/>
  <c r="L207" i="11"/>
  <c r="M224" i="11"/>
  <c r="N224" i="11"/>
  <c r="P224" i="11"/>
  <c r="Q224" i="11"/>
  <c r="S224" i="11"/>
  <c r="T224" i="11"/>
  <c r="V224" i="11"/>
  <c r="W224" i="11"/>
  <c r="Y224" i="11"/>
  <c r="Z224" i="11"/>
  <c r="AB224" i="11"/>
  <c r="AC224" i="11"/>
  <c r="AE224" i="11"/>
  <c r="AF224" i="11"/>
  <c r="B223" i="11"/>
  <c r="D223" i="11"/>
  <c r="E223" i="11"/>
  <c r="G223" i="11"/>
  <c r="H223" i="11"/>
  <c r="J223" i="11"/>
  <c r="K223" i="11"/>
  <c r="M223" i="11"/>
  <c r="N223" i="11"/>
  <c r="P223" i="11"/>
  <c r="Q223" i="11"/>
  <c r="Q207" i="11"/>
  <c r="S207" i="11"/>
  <c r="R207" i="11"/>
  <c r="S223" i="11"/>
  <c r="T223" i="11"/>
  <c r="V223" i="11"/>
  <c r="W223" i="11"/>
  <c r="Y223" i="11"/>
  <c r="Z223" i="11"/>
  <c r="AB223" i="11"/>
  <c r="AC223" i="11"/>
  <c r="AE223" i="11"/>
  <c r="AF223" i="11"/>
  <c r="B222" i="11"/>
  <c r="D222" i="11"/>
  <c r="E222" i="11"/>
  <c r="G222" i="11"/>
  <c r="H222" i="11"/>
  <c r="J222" i="11"/>
  <c r="K222" i="11"/>
  <c r="M222" i="11"/>
  <c r="N222" i="11"/>
  <c r="P222" i="11"/>
  <c r="Q222" i="11"/>
  <c r="S222" i="11"/>
  <c r="T222" i="11"/>
  <c r="V222" i="11"/>
  <c r="W222" i="11"/>
  <c r="Y222" i="11"/>
  <c r="Z222" i="11"/>
  <c r="AB222" i="11"/>
  <c r="AC222" i="11"/>
  <c r="AE222" i="11"/>
  <c r="AF222" i="11"/>
  <c r="B220" i="11"/>
  <c r="D220" i="11"/>
  <c r="E220" i="11"/>
  <c r="G220" i="11"/>
  <c r="H220" i="11"/>
  <c r="J220" i="11"/>
  <c r="K220" i="11"/>
  <c r="M220" i="11"/>
  <c r="N220" i="11"/>
  <c r="P220" i="11"/>
  <c r="Q220" i="11"/>
  <c r="S220" i="11"/>
  <c r="T220" i="11"/>
  <c r="V220" i="11"/>
  <c r="W220" i="11"/>
  <c r="Y220" i="11"/>
  <c r="Z220" i="11"/>
  <c r="AB220" i="11"/>
  <c r="AC220" i="11"/>
  <c r="AE220" i="11"/>
  <c r="AF220" i="11"/>
  <c r="AG220" i="11"/>
  <c r="B219" i="11"/>
  <c r="D219" i="11"/>
  <c r="E219" i="11"/>
  <c r="G219" i="11"/>
  <c r="H219" i="11"/>
  <c r="J219" i="11"/>
  <c r="K219" i="11"/>
  <c r="M219" i="11"/>
  <c r="N219" i="11"/>
  <c r="P219" i="11"/>
  <c r="Q219" i="11"/>
  <c r="S219" i="11"/>
  <c r="T219" i="11"/>
  <c r="V219" i="11"/>
  <c r="W219" i="11"/>
  <c r="Y219" i="11"/>
  <c r="Z219" i="11"/>
  <c r="AB219" i="11"/>
  <c r="AC219" i="11"/>
  <c r="AE219" i="11"/>
  <c r="AF219" i="11"/>
  <c r="AG219" i="11"/>
  <c r="B218" i="11"/>
  <c r="D218" i="11"/>
  <c r="E218" i="11"/>
  <c r="G218" i="11"/>
  <c r="H218" i="11"/>
  <c r="J218" i="11"/>
  <c r="K218" i="11"/>
  <c r="M218" i="11"/>
  <c r="N218" i="11"/>
  <c r="P218" i="11"/>
  <c r="Q218" i="11"/>
  <c r="S218" i="11"/>
  <c r="T218" i="11"/>
  <c r="V218" i="11"/>
  <c r="W218" i="11"/>
  <c r="Y218" i="11"/>
  <c r="Z218" i="11"/>
  <c r="AB218" i="11"/>
  <c r="AC218" i="11"/>
  <c r="AE218" i="11"/>
  <c r="AF218" i="11"/>
  <c r="AG218" i="11"/>
  <c r="B217" i="11"/>
  <c r="D217" i="11"/>
  <c r="E217" i="11"/>
  <c r="G217" i="11"/>
  <c r="H217" i="11"/>
  <c r="J217" i="11"/>
  <c r="K217" i="11"/>
  <c r="M217" i="11"/>
  <c r="N217" i="11"/>
  <c r="P217" i="11"/>
  <c r="Q217" i="11"/>
  <c r="S217" i="11"/>
  <c r="T217" i="11"/>
  <c r="V217" i="11"/>
  <c r="W217" i="11"/>
  <c r="Y217" i="11"/>
  <c r="Z217" i="11"/>
  <c r="AB217" i="11"/>
  <c r="AC217" i="11"/>
  <c r="AE217" i="11"/>
  <c r="AF217" i="11"/>
  <c r="AG217" i="11"/>
  <c r="B216" i="11"/>
  <c r="D216" i="11"/>
  <c r="E216" i="11"/>
  <c r="G216" i="11"/>
  <c r="H216" i="11"/>
  <c r="J216" i="11"/>
  <c r="K216" i="11"/>
  <c r="M216" i="11"/>
  <c r="N216" i="11"/>
  <c r="P216" i="11"/>
  <c r="Q216" i="11"/>
  <c r="S216" i="11"/>
  <c r="T216" i="11"/>
  <c r="V216" i="11"/>
  <c r="W216" i="11"/>
  <c r="Y216" i="11"/>
  <c r="Z216" i="11"/>
  <c r="AB216" i="11"/>
  <c r="AC216" i="11"/>
  <c r="AE216" i="11"/>
  <c r="AF216" i="11"/>
  <c r="AG216" i="11"/>
  <c r="AC209" i="11"/>
  <c r="AE209" i="11"/>
  <c r="AC210" i="11"/>
  <c r="AE210" i="11"/>
  <c r="AC211" i="11"/>
  <c r="AE211" i="11"/>
  <c r="AC212" i="11"/>
  <c r="AE212" i="11"/>
  <c r="AC213" i="11"/>
  <c r="AE213" i="11"/>
  <c r="AC214" i="11"/>
  <c r="Z209" i="11"/>
  <c r="AB209" i="11"/>
  <c r="Z210" i="11"/>
  <c r="AB210" i="11"/>
  <c r="Z211" i="11"/>
  <c r="AB211" i="11"/>
  <c r="Z212" i="11"/>
  <c r="AB212" i="11"/>
  <c r="Z213" i="11"/>
  <c r="AB213" i="11"/>
  <c r="Z214" i="11"/>
  <c r="W209" i="11"/>
  <c r="Y209" i="11"/>
  <c r="W210" i="11"/>
  <c r="Y210" i="11"/>
  <c r="W211" i="11"/>
  <c r="Y211" i="11"/>
  <c r="W212" i="11"/>
  <c r="Y212" i="11"/>
  <c r="W213" i="11"/>
  <c r="Y213" i="11"/>
  <c r="W214" i="11"/>
  <c r="T209" i="11"/>
  <c r="V209" i="11"/>
  <c r="T210" i="11"/>
  <c r="V210" i="11"/>
  <c r="T211" i="11"/>
  <c r="V211" i="11"/>
  <c r="T212" i="11"/>
  <c r="V212" i="11"/>
  <c r="T213" i="11"/>
  <c r="V213" i="11"/>
  <c r="T214" i="11"/>
  <c r="AE207" i="11"/>
  <c r="AC207" i="11"/>
  <c r="AD207" i="11"/>
  <c r="AB207" i="11"/>
  <c r="Z207" i="11"/>
  <c r="AA207" i="11"/>
  <c r="Y207" i="11"/>
  <c r="W207" i="11"/>
  <c r="X207" i="11"/>
  <c r="V207" i="11"/>
  <c r="T207" i="11"/>
  <c r="U207" i="11"/>
  <c r="AE200" i="11"/>
  <c r="AC200" i="11"/>
  <c r="AB200" i="11"/>
  <c r="Z200" i="11"/>
  <c r="Y200" i="11"/>
  <c r="W200" i="11"/>
  <c r="V200" i="11"/>
  <c r="T200" i="11"/>
  <c r="AD199" i="11"/>
  <c r="AA199" i="11"/>
  <c r="X199" i="11"/>
  <c r="U199" i="11"/>
  <c r="R199" i="11"/>
  <c r="O199" i="11"/>
  <c r="L199" i="11"/>
  <c r="I199" i="11"/>
  <c r="F199" i="11"/>
  <c r="A199" i="11"/>
  <c r="AG198" i="11"/>
  <c r="AH198" i="11"/>
  <c r="AI198" i="11"/>
  <c r="AJ198" i="11"/>
  <c r="AK198" i="11"/>
  <c r="AL198" i="11"/>
  <c r="AM198" i="11"/>
  <c r="AN198" i="11"/>
  <c r="AO198" i="11"/>
  <c r="AP198" i="11"/>
  <c r="AQ198" i="11"/>
  <c r="AF198" i="11"/>
  <c r="AD198" i="11"/>
  <c r="AA198" i="11"/>
  <c r="X198" i="11"/>
  <c r="U198" i="11"/>
  <c r="R198" i="11"/>
  <c r="O198" i="11"/>
  <c r="L198" i="11"/>
  <c r="I198" i="11"/>
  <c r="F198" i="11"/>
  <c r="A198" i="11"/>
  <c r="AF197" i="11"/>
  <c r="AD197" i="11"/>
  <c r="AA197" i="11"/>
  <c r="X197" i="11"/>
  <c r="U197" i="11"/>
  <c r="R197" i="11"/>
  <c r="O197" i="11"/>
  <c r="L197" i="11"/>
  <c r="I197" i="11"/>
  <c r="F197" i="11"/>
  <c r="A197" i="11"/>
  <c r="AF196" i="11"/>
  <c r="AD196" i="11"/>
  <c r="AA196" i="11"/>
  <c r="X196" i="11"/>
  <c r="U196" i="11"/>
  <c r="R196" i="11"/>
  <c r="O196" i="11"/>
  <c r="L196" i="11"/>
  <c r="I196" i="11"/>
  <c r="F196" i="11"/>
  <c r="A196" i="11"/>
  <c r="AF195" i="11"/>
  <c r="AD195" i="11"/>
  <c r="AA195" i="11"/>
  <c r="X195" i="11"/>
  <c r="U195" i="11"/>
  <c r="R195" i="11"/>
  <c r="O195" i="11"/>
  <c r="L195" i="11"/>
  <c r="I195" i="11"/>
  <c r="F195" i="11"/>
  <c r="AF194" i="11"/>
  <c r="AD194" i="11"/>
  <c r="AA194" i="11"/>
  <c r="X194" i="11"/>
  <c r="U194" i="11"/>
  <c r="R194" i="11"/>
  <c r="O194" i="11"/>
  <c r="L194" i="11"/>
  <c r="I194" i="11"/>
  <c r="F194" i="11"/>
  <c r="AC192" i="11"/>
  <c r="Z192" i="11"/>
  <c r="W192" i="11"/>
  <c r="T192" i="11"/>
  <c r="Q192" i="11"/>
  <c r="N192" i="11"/>
  <c r="K192" i="11"/>
  <c r="H192" i="11"/>
  <c r="E192" i="11"/>
  <c r="E187" i="11"/>
  <c r="AC186" i="11"/>
  <c r="Z186" i="11"/>
  <c r="W186" i="11"/>
  <c r="R186" i="11"/>
  <c r="L186" i="11"/>
  <c r="A186" i="11"/>
  <c r="AC184" i="11"/>
  <c r="W184" i="11"/>
  <c r="R184" i="11"/>
  <c r="L184" i="11"/>
  <c r="A184" i="11"/>
  <c r="AC182" i="11"/>
  <c r="W182" i="11"/>
  <c r="R182" i="11"/>
  <c r="L182" i="11"/>
  <c r="A182" i="11"/>
  <c r="AC180" i="11"/>
  <c r="W180" i="11"/>
  <c r="R180" i="11"/>
  <c r="L180" i="11"/>
  <c r="A180" i="11"/>
  <c r="AC178" i="11"/>
  <c r="W178" i="11"/>
  <c r="R178" i="11"/>
  <c r="L178" i="11"/>
  <c r="A178" i="11"/>
  <c r="R177" i="11"/>
  <c r="L177" i="11"/>
  <c r="K176" i="11"/>
  <c r="A174" i="11"/>
  <c r="AF161" i="11"/>
  <c r="S160" i="11"/>
  <c r="AF160" i="11"/>
  <c r="J159" i="11"/>
  <c r="AB159" i="11"/>
  <c r="AF159" i="11"/>
  <c r="D158" i="11"/>
  <c r="M158" i="11"/>
  <c r="V158" i="11"/>
  <c r="AF158" i="11"/>
  <c r="G157" i="11"/>
  <c r="P157" i="11"/>
  <c r="Y157" i="11"/>
  <c r="AE157" i="11"/>
  <c r="AF157" i="11"/>
  <c r="AF153" i="11"/>
  <c r="AG153" i="11"/>
  <c r="AF152" i="11"/>
  <c r="AG152" i="11"/>
  <c r="AF151" i="11"/>
  <c r="AG151" i="11"/>
  <c r="AF150" i="11"/>
  <c r="AG150" i="11"/>
  <c r="AF149" i="11"/>
  <c r="AG149" i="11"/>
  <c r="B144" i="11"/>
  <c r="D144" i="11"/>
  <c r="E144" i="11"/>
  <c r="G144" i="11"/>
  <c r="H144" i="11"/>
  <c r="J144" i="11"/>
  <c r="K144" i="11"/>
  <c r="M144" i="11"/>
  <c r="N144" i="11"/>
  <c r="P144" i="11"/>
  <c r="Q144" i="11"/>
  <c r="S144" i="11"/>
  <c r="T144" i="11"/>
  <c r="V144" i="11"/>
  <c r="W144" i="11"/>
  <c r="Y144" i="11"/>
  <c r="Z144" i="11"/>
  <c r="AB144" i="11"/>
  <c r="AC144" i="11"/>
  <c r="AE144" i="11"/>
  <c r="AF144" i="11"/>
  <c r="B141" i="11"/>
  <c r="B122" i="11"/>
  <c r="D122" i="11"/>
  <c r="C122" i="11"/>
  <c r="D141" i="11"/>
  <c r="E141" i="11"/>
  <c r="G141" i="11"/>
  <c r="H141" i="11"/>
  <c r="H122" i="11"/>
  <c r="J122" i="11"/>
  <c r="I122" i="11"/>
  <c r="J141" i="11"/>
  <c r="K141" i="11"/>
  <c r="M141" i="11"/>
  <c r="N141" i="11"/>
  <c r="P141" i="11"/>
  <c r="Q141" i="11"/>
  <c r="Q122" i="11"/>
  <c r="S122" i="11"/>
  <c r="R122" i="11"/>
  <c r="S141" i="11"/>
  <c r="T141" i="11"/>
  <c r="V141" i="11"/>
  <c r="W141" i="11"/>
  <c r="W122" i="11"/>
  <c r="Y122" i="11"/>
  <c r="X122" i="11"/>
  <c r="Y141" i="11"/>
  <c r="Z141" i="11"/>
  <c r="AB141" i="11"/>
  <c r="AC141" i="11"/>
  <c r="AE141" i="11"/>
  <c r="AF141" i="11"/>
  <c r="B140" i="11"/>
  <c r="D140" i="11"/>
  <c r="E140" i="11"/>
  <c r="E122" i="11"/>
  <c r="G122" i="11"/>
  <c r="F122" i="11"/>
  <c r="G140" i="11"/>
  <c r="H140" i="11"/>
  <c r="J140" i="11"/>
  <c r="K140" i="11"/>
  <c r="K122" i="11"/>
  <c r="M122" i="11"/>
  <c r="L122" i="11"/>
  <c r="M140" i="11"/>
  <c r="N140" i="11"/>
  <c r="P140" i="11"/>
  <c r="Q140" i="11"/>
  <c r="S140" i="11"/>
  <c r="T140" i="11"/>
  <c r="V140" i="11"/>
  <c r="W140" i="11"/>
  <c r="Y140" i="11"/>
  <c r="Z140" i="11"/>
  <c r="Z122" i="11"/>
  <c r="AB122" i="11"/>
  <c r="AA122" i="11"/>
  <c r="AB140" i="11"/>
  <c r="AC140" i="11"/>
  <c r="AE140" i="11"/>
  <c r="AF140" i="11"/>
  <c r="B139" i="11"/>
  <c r="D139" i="11"/>
  <c r="E139" i="11"/>
  <c r="G139" i="11"/>
  <c r="H139" i="11"/>
  <c r="J139" i="11"/>
  <c r="K139" i="11"/>
  <c r="M139" i="11"/>
  <c r="N139" i="11"/>
  <c r="N122" i="11"/>
  <c r="P122" i="11"/>
  <c r="O122" i="11"/>
  <c r="P139" i="11"/>
  <c r="Q139" i="11"/>
  <c r="S139" i="11"/>
  <c r="T139" i="11"/>
  <c r="T122" i="11"/>
  <c r="V122" i="11"/>
  <c r="U122" i="11"/>
  <c r="V139" i="11"/>
  <c r="W139" i="11"/>
  <c r="Y139" i="11"/>
  <c r="Z139" i="11"/>
  <c r="AB139" i="11"/>
  <c r="AC139" i="11"/>
  <c r="AE139" i="11"/>
  <c r="AF139" i="11"/>
  <c r="B138" i="11"/>
  <c r="D138" i="11"/>
  <c r="E138" i="11"/>
  <c r="G138" i="11"/>
  <c r="H138" i="11"/>
  <c r="J138" i="11"/>
  <c r="K138" i="11"/>
  <c r="M138" i="11"/>
  <c r="N138" i="11"/>
  <c r="P138" i="11"/>
  <c r="Q138" i="11"/>
  <c r="S138" i="11"/>
  <c r="T138" i="11"/>
  <c r="V138" i="11"/>
  <c r="W138" i="11"/>
  <c r="Y138" i="11"/>
  <c r="Z138" i="11"/>
  <c r="AB138" i="11"/>
  <c r="AC138" i="11"/>
  <c r="AC122" i="11"/>
  <c r="AE122" i="11"/>
  <c r="AD122" i="11"/>
  <c r="AE138" i="11"/>
  <c r="AF138" i="11"/>
  <c r="B137" i="11"/>
  <c r="D137" i="11"/>
  <c r="E137" i="11"/>
  <c r="G137" i="11"/>
  <c r="H137" i="11"/>
  <c r="J137" i="11"/>
  <c r="K137" i="11"/>
  <c r="M137" i="11"/>
  <c r="N137" i="11"/>
  <c r="P137" i="11"/>
  <c r="Q137" i="11"/>
  <c r="S137" i="11"/>
  <c r="T137" i="11"/>
  <c r="V137" i="11"/>
  <c r="W137" i="11"/>
  <c r="Y137" i="11"/>
  <c r="Z137" i="11"/>
  <c r="AB137" i="11"/>
  <c r="AC137" i="11"/>
  <c r="AE137" i="11"/>
  <c r="AF137" i="11"/>
  <c r="B135" i="11"/>
  <c r="D135" i="11"/>
  <c r="E135" i="11"/>
  <c r="G135" i="11"/>
  <c r="H135" i="11"/>
  <c r="J135" i="11"/>
  <c r="K135" i="11"/>
  <c r="M135" i="11"/>
  <c r="N135" i="11"/>
  <c r="P135" i="11"/>
  <c r="Q135" i="11"/>
  <c r="S135" i="11"/>
  <c r="T135" i="11"/>
  <c r="V135" i="11"/>
  <c r="W135" i="11"/>
  <c r="Y135" i="11"/>
  <c r="Z135" i="11"/>
  <c r="AB135" i="11"/>
  <c r="AC135" i="11"/>
  <c r="AE135" i="11"/>
  <c r="AF135" i="11"/>
  <c r="AG135" i="11"/>
  <c r="B134" i="11"/>
  <c r="D134" i="11"/>
  <c r="E134" i="11"/>
  <c r="G134" i="11"/>
  <c r="H134" i="11"/>
  <c r="J134" i="11"/>
  <c r="K134" i="11"/>
  <c r="M134" i="11"/>
  <c r="N134" i="11"/>
  <c r="P134" i="11"/>
  <c r="Q134" i="11"/>
  <c r="S134" i="11"/>
  <c r="T134" i="11"/>
  <c r="V134" i="11"/>
  <c r="W134" i="11"/>
  <c r="Y134" i="11"/>
  <c r="Z134" i="11"/>
  <c r="AB134" i="11"/>
  <c r="AC134" i="11"/>
  <c r="AE134" i="11"/>
  <c r="AF134" i="11"/>
  <c r="AG134" i="11"/>
  <c r="B133" i="11"/>
  <c r="D133" i="11"/>
  <c r="E133" i="11"/>
  <c r="G133" i="11"/>
  <c r="H133" i="11"/>
  <c r="J133" i="11"/>
  <c r="K133" i="11"/>
  <c r="M133" i="11"/>
  <c r="N133" i="11"/>
  <c r="P133" i="11"/>
  <c r="Q133" i="11"/>
  <c r="S133" i="11"/>
  <c r="T133" i="11"/>
  <c r="V133" i="11"/>
  <c r="W133" i="11"/>
  <c r="Y133" i="11"/>
  <c r="Z133" i="11"/>
  <c r="AB133" i="11"/>
  <c r="AC133" i="11"/>
  <c r="AE133" i="11"/>
  <c r="AF133" i="11"/>
  <c r="AG133" i="11"/>
  <c r="B132" i="11"/>
  <c r="D132" i="11"/>
  <c r="E132" i="11"/>
  <c r="G132" i="11"/>
  <c r="H132" i="11"/>
  <c r="J132" i="11"/>
  <c r="K132" i="11"/>
  <c r="M132" i="11"/>
  <c r="N132" i="11"/>
  <c r="P132" i="11"/>
  <c r="Q132" i="11"/>
  <c r="S132" i="11"/>
  <c r="T132" i="11"/>
  <c r="V132" i="11"/>
  <c r="W132" i="11"/>
  <c r="Y132" i="11"/>
  <c r="Z132" i="11"/>
  <c r="AB132" i="11"/>
  <c r="AC132" i="11"/>
  <c r="AE132" i="11"/>
  <c r="AF132" i="11"/>
  <c r="AG132" i="11"/>
  <c r="B131" i="11"/>
  <c r="D131" i="11"/>
  <c r="E131" i="11"/>
  <c r="G131" i="11"/>
  <c r="H131" i="11"/>
  <c r="J131" i="11"/>
  <c r="K131" i="11"/>
  <c r="M131" i="11"/>
  <c r="N131" i="11"/>
  <c r="P131" i="11"/>
  <c r="Q131" i="11"/>
  <c r="S131" i="11"/>
  <c r="T131" i="11"/>
  <c r="V131" i="11"/>
  <c r="W131" i="11"/>
  <c r="Y131" i="11"/>
  <c r="Z131" i="11"/>
  <c r="AB131" i="11"/>
  <c r="AC131" i="11"/>
  <c r="AE131" i="11"/>
  <c r="AF131" i="11"/>
  <c r="AG131" i="11"/>
  <c r="AD114" i="11"/>
  <c r="AA114" i="11"/>
  <c r="X114" i="11"/>
  <c r="U114" i="11"/>
  <c r="R114" i="11"/>
  <c r="O114" i="11"/>
  <c r="L114" i="11"/>
  <c r="I114" i="11"/>
  <c r="F114" i="11"/>
  <c r="A114" i="11"/>
  <c r="AF113" i="11"/>
  <c r="AD113" i="11"/>
  <c r="AA113" i="11"/>
  <c r="X113" i="11"/>
  <c r="U113" i="11"/>
  <c r="R113" i="11"/>
  <c r="O113" i="11"/>
  <c r="L113" i="11"/>
  <c r="I113" i="11"/>
  <c r="F113" i="11"/>
  <c r="A113" i="11"/>
  <c r="AF112" i="11"/>
  <c r="AD112" i="11"/>
  <c r="AA112" i="11"/>
  <c r="X112" i="11"/>
  <c r="U112" i="11"/>
  <c r="R112" i="11"/>
  <c r="O112" i="11"/>
  <c r="L112" i="11"/>
  <c r="I112" i="11"/>
  <c r="F112" i="11"/>
  <c r="A112" i="11"/>
  <c r="AF111" i="11"/>
  <c r="AD111" i="11"/>
  <c r="AA111" i="11"/>
  <c r="X111" i="11"/>
  <c r="U111" i="11"/>
  <c r="R111" i="11"/>
  <c r="O111" i="11"/>
  <c r="L111" i="11"/>
  <c r="I111" i="11"/>
  <c r="F111" i="11"/>
  <c r="A111" i="11"/>
  <c r="AG110" i="11"/>
  <c r="AH110" i="11"/>
  <c r="AI110" i="11"/>
  <c r="AJ110" i="11"/>
  <c r="AK110" i="11"/>
  <c r="AL110" i="11"/>
  <c r="AM110" i="11"/>
  <c r="AN110" i="11"/>
  <c r="AO110" i="11"/>
  <c r="AP110" i="11"/>
  <c r="AQ110" i="11"/>
  <c r="AF110" i="11"/>
  <c r="AD110" i="11"/>
  <c r="AA110" i="11"/>
  <c r="X110" i="11"/>
  <c r="U110" i="11"/>
  <c r="R110" i="11"/>
  <c r="O110" i="11"/>
  <c r="L110" i="11"/>
  <c r="I110" i="11"/>
  <c r="F110" i="11"/>
  <c r="AF109" i="11"/>
  <c r="AD109" i="11"/>
  <c r="AA109" i="11"/>
  <c r="X109" i="11"/>
  <c r="U109" i="11"/>
  <c r="R109" i="11"/>
  <c r="O109" i="11"/>
  <c r="L109" i="11"/>
  <c r="I109" i="11"/>
  <c r="F109" i="11"/>
  <c r="AC107" i="11"/>
  <c r="Z107" i="11"/>
  <c r="W107" i="11"/>
  <c r="T107" i="11"/>
  <c r="Q107" i="11"/>
  <c r="N107" i="11"/>
  <c r="K107" i="11"/>
  <c r="H107" i="11"/>
  <c r="E107" i="11"/>
  <c r="AC101" i="11"/>
  <c r="W101" i="11"/>
  <c r="R101" i="11"/>
  <c r="L101" i="11"/>
  <c r="A101" i="11"/>
  <c r="AC99" i="11"/>
  <c r="W99" i="11"/>
  <c r="R99" i="11"/>
  <c r="L99" i="11"/>
  <c r="A99" i="11"/>
  <c r="AC97" i="11"/>
  <c r="W97" i="11"/>
  <c r="R97" i="11"/>
  <c r="L97" i="11"/>
  <c r="A97" i="11"/>
  <c r="E96" i="11"/>
  <c r="AC95" i="11"/>
  <c r="Z95" i="11"/>
  <c r="W95" i="11"/>
  <c r="R95" i="11"/>
  <c r="L95" i="11"/>
  <c r="A95" i="11"/>
  <c r="AC93" i="11"/>
  <c r="W93" i="11"/>
  <c r="R93" i="11"/>
  <c r="L93" i="11"/>
  <c r="A93" i="11"/>
  <c r="R92" i="11"/>
  <c r="L92" i="11"/>
  <c r="K91" i="11"/>
  <c r="A89" i="11"/>
  <c r="AF76" i="11"/>
  <c r="S75" i="11"/>
  <c r="AF75" i="11"/>
  <c r="J74" i="11"/>
  <c r="AB74" i="11"/>
  <c r="AF74" i="11"/>
  <c r="D73" i="11"/>
  <c r="M73" i="11"/>
  <c r="V73" i="11"/>
  <c r="AF73" i="11"/>
  <c r="G72" i="11"/>
  <c r="P72" i="11"/>
  <c r="Y72" i="11"/>
  <c r="AE72" i="11"/>
  <c r="AF72" i="11"/>
  <c r="AF68" i="11"/>
  <c r="AG68" i="11"/>
  <c r="AF67" i="11"/>
  <c r="AG67" i="11"/>
  <c r="AF66" i="11"/>
  <c r="AG66" i="11"/>
  <c r="AF65" i="11"/>
  <c r="AG65" i="11"/>
  <c r="AF64" i="11"/>
  <c r="AG64" i="11"/>
  <c r="B62" i="11"/>
  <c r="D62" i="11"/>
  <c r="E62" i="11"/>
  <c r="G62" i="11"/>
  <c r="H62" i="11"/>
  <c r="J62" i="11"/>
  <c r="K62" i="11"/>
  <c r="M62" i="11"/>
  <c r="N62" i="11"/>
  <c r="P62" i="11"/>
  <c r="Q62" i="11"/>
  <c r="S62" i="11"/>
  <c r="T62" i="11"/>
  <c r="V62" i="11"/>
  <c r="W62" i="11"/>
  <c r="Y62" i="11"/>
  <c r="Z62" i="11"/>
  <c r="AB62" i="11"/>
  <c r="AC62" i="11"/>
  <c r="AE62" i="11"/>
  <c r="AF62" i="11"/>
  <c r="B56" i="11"/>
  <c r="B37" i="11"/>
  <c r="D37" i="11"/>
  <c r="C37" i="11"/>
  <c r="D56" i="11"/>
  <c r="E56" i="11"/>
  <c r="G56" i="11"/>
  <c r="H56" i="11"/>
  <c r="H37" i="11"/>
  <c r="J37" i="11"/>
  <c r="I37" i="11"/>
  <c r="J56" i="11"/>
  <c r="K56" i="11"/>
  <c r="M56" i="11"/>
  <c r="N56" i="11"/>
  <c r="P56" i="11"/>
  <c r="Q56" i="11"/>
  <c r="Q37" i="11"/>
  <c r="S37" i="11"/>
  <c r="R37" i="11"/>
  <c r="S56" i="11"/>
  <c r="T56" i="11"/>
  <c r="V56" i="11"/>
  <c r="W56" i="11"/>
  <c r="W37" i="11"/>
  <c r="Y37" i="11"/>
  <c r="X37" i="11"/>
  <c r="Y56" i="11"/>
  <c r="Z56" i="11"/>
  <c r="AB56" i="11"/>
  <c r="AC56" i="11"/>
  <c r="AE56" i="11"/>
  <c r="AF56" i="11"/>
  <c r="B55" i="11"/>
  <c r="D55" i="11"/>
  <c r="E55" i="11"/>
  <c r="E37" i="11"/>
  <c r="G37" i="11"/>
  <c r="F37" i="11"/>
  <c r="G55" i="11"/>
  <c r="H55" i="11"/>
  <c r="J55" i="11"/>
  <c r="K55" i="11"/>
  <c r="K37" i="11"/>
  <c r="M37" i="11"/>
  <c r="L37" i="11"/>
  <c r="M55" i="11"/>
  <c r="N55" i="11"/>
  <c r="P55" i="11"/>
  <c r="Q55" i="11"/>
  <c r="S55" i="11"/>
  <c r="T55" i="11"/>
  <c r="V55" i="11"/>
  <c r="W55" i="11"/>
  <c r="Y55" i="11"/>
  <c r="Z55" i="11"/>
  <c r="Z37" i="11"/>
  <c r="AB37" i="11"/>
  <c r="AA37" i="11"/>
  <c r="AB55" i="11"/>
  <c r="AC55" i="11"/>
  <c r="AE55" i="11"/>
  <c r="AF55" i="11"/>
  <c r="B54" i="11"/>
  <c r="D54" i="11"/>
  <c r="E54" i="11"/>
  <c r="G54" i="11"/>
  <c r="H54" i="11"/>
  <c r="J54" i="11"/>
  <c r="K54" i="11"/>
  <c r="M54" i="11"/>
  <c r="N54" i="11"/>
  <c r="N37" i="11"/>
  <c r="P37" i="11"/>
  <c r="O37" i="11"/>
  <c r="P54" i="11"/>
  <c r="Q54" i="11"/>
  <c r="S54" i="11"/>
  <c r="T54" i="11"/>
  <c r="T37" i="11"/>
  <c r="V37" i="11"/>
  <c r="U37" i="11"/>
  <c r="V54" i="11"/>
  <c r="W54" i="11"/>
  <c r="Y54" i="11"/>
  <c r="Z54" i="11"/>
  <c r="AB54" i="11"/>
  <c r="AC54" i="11"/>
  <c r="AE54" i="11"/>
  <c r="AF54" i="11"/>
  <c r="B53" i="11"/>
  <c r="D53" i="11"/>
  <c r="E53" i="11"/>
  <c r="G53" i="11"/>
  <c r="H53" i="11"/>
  <c r="J53" i="11"/>
  <c r="K53" i="11"/>
  <c r="M53" i="11"/>
  <c r="N53" i="11"/>
  <c r="P53" i="11"/>
  <c r="Q53" i="11"/>
  <c r="S53" i="11"/>
  <c r="T53" i="11"/>
  <c r="V53" i="11"/>
  <c r="W53" i="11"/>
  <c r="Y53" i="11"/>
  <c r="Z53" i="11"/>
  <c r="AB53" i="11"/>
  <c r="AC53" i="11"/>
  <c r="AC37" i="11"/>
  <c r="AE37" i="11"/>
  <c r="AD37" i="11"/>
  <c r="AE53" i="11"/>
  <c r="AF53" i="11"/>
  <c r="B52" i="11"/>
  <c r="D52" i="11"/>
  <c r="E52" i="11"/>
  <c r="G52" i="11"/>
  <c r="H52" i="11"/>
  <c r="J52" i="11"/>
  <c r="K52" i="11"/>
  <c r="M52" i="11"/>
  <c r="N52" i="11"/>
  <c r="P52" i="11"/>
  <c r="Q52" i="11"/>
  <c r="S52" i="11"/>
  <c r="T52" i="11"/>
  <c r="V52" i="11"/>
  <c r="W52" i="11"/>
  <c r="Y52" i="11"/>
  <c r="Z52" i="11"/>
  <c r="AB52" i="11"/>
  <c r="AC52" i="11"/>
  <c r="AE52" i="11"/>
  <c r="AF52" i="11"/>
  <c r="B50" i="11"/>
  <c r="D50" i="11"/>
  <c r="E50" i="11"/>
  <c r="G50" i="11"/>
  <c r="H50" i="11"/>
  <c r="J50" i="11"/>
  <c r="K50" i="11"/>
  <c r="M50" i="11"/>
  <c r="N50" i="11"/>
  <c r="P50" i="11"/>
  <c r="Q50" i="11"/>
  <c r="S50" i="11"/>
  <c r="T50" i="11"/>
  <c r="V50" i="11"/>
  <c r="W50" i="11"/>
  <c r="Y50" i="11"/>
  <c r="Z50" i="11"/>
  <c r="AB50" i="11"/>
  <c r="AC50" i="11"/>
  <c r="AE50" i="11"/>
  <c r="AF50" i="11"/>
  <c r="AG50" i="11"/>
  <c r="B49" i="11"/>
  <c r="D49" i="11"/>
  <c r="E49" i="11"/>
  <c r="G49" i="11"/>
  <c r="H49" i="11"/>
  <c r="J49" i="11"/>
  <c r="K49" i="11"/>
  <c r="M49" i="11"/>
  <c r="N49" i="11"/>
  <c r="P49" i="11"/>
  <c r="Q49" i="11"/>
  <c r="S49" i="11"/>
  <c r="T49" i="11"/>
  <c r="V49" i="11"/>
  <c r="W49" i="11"/>
  <c r="Y49" i="11"/>
  <c r="Z49" i="11"/>
  <c r="AB49" i="11"/>
  <c r="AC49" i="11"/>
  <c r="AE49" i="11"/>
  <c r="AF49" i="11"/>
  <c r="AG49" i="11"/>
  <c r="B48" i="11"/>
  <c r="D48" i="11"/>
  <c r="E48" i="11"/>
  <c r="G48" i="11"/>
  <c r="H48" i="11"/>
  <c r="J48" i="11"/>
  <c r="K48" i="11"/>
  <c r="M48" i="11"/>
  <c r="N48" i="11"/>
  <c r="P48" i="11"/>
  <c r="Q48" i="11"/>
  <c r="S48" i="11"/>
  <c r="T48" i="11"/>
  <c r="V48" i="11"/>
  <c r="W48" i="11"/>
  <c r="Y48" i="11"/>
  <c r="Z48" i="11"/>
  <c r="AB48" i="11"/>
  <c r="AC48" i="11"/>
  <c r="AE48" i="11"/>
  <c r="AF48" i="11"/>
  <c r="AG48" i="11"/>
  <c r="B47" i="11"/>
  <c r="D47" i="11"/>
  <c r="E47" i="11"/>
  <c r="G47" i="11"/>
  <c r="H47" i="11"/>
  <c r="J47" i="11"/>
  <c r="K47" i="11"/>
  <c r="M47" i="11"/>
  <c r="N47" i="11"/>
  <c r="P47" i="11"/>
  <c r="Q47" i="11"/>
  <c r="S47" i="11"/>
  <c r="T47" i="11"/>
  <c r="V47" i="11"/>
  <c r="W47" i="11"/>
  <c r="Y47" i="11"/>
  <c r="Z47" i="11"/>
  <c r="AB47" i="11"/>
  <c r="AC47" i="11"/>
  <c r="AE47" i="11"/>
  <c r="AF47" i="11"/>
  <c r="AG47" i="11"/>
  <c r="B46" i="11"/>
  <c r="D46" i="11"/>
  <c r="E46" i="11"/>
  <c r="G46" i="11"/>
  <c r="H46" i="11"/>
  <c r="J46" i="11"/>
  <c r="K46" i="11"/>
  <c r="M46" i="11"/>
  <c r="N46" i="11"/>
  <c r="P46" i="11"/>
  <c r="Q46" i="11"/>
  <c r="S46" i="11"/>
  <c r="T46" i="11"/>
  <c r="V46" i="11"/>
  <c r="W46" i="11"/>
  <c r="Y46" i="11"/>
  <c r="Z46" i="11"/>
  <c r="AB46" i="11"/>
  <c r="AC46" i="11"/>
  <c r="AE46" i="11"/>
  <c r="AF46" i="11"/>
  <c r="AG46" i="11"/>
  <c r="AD29" i="11"/>
  <c r="AA29" i="11"/>
  <c r="X29" i="11"/>
  <c r="U29" i="11"/>
  <c r="R29" i="11"/>
  <c r="O29" i="11"/>
  <c r="L29" i="11"/>
  <c r="I29" i="11"/>
  <c r="F29" i="11"/>
  <c r="A29" i="11"/>
  <c r="AG28" i="11"/>
  <c r="AH28" i="11"/>
  <c r="AI28" i="11"/>
  <c r="AJ28" i="11"/>
  <c r="AK28" i="11"/>
  <c r="AL28" i="11"/>
  <c r="AM28" i="11"/>
  <c r="AN28" i="11"/>
  <c r="AO28" i="11"/>
  <c r="AP28" i="11"/>
  <c r="AQ28" i="11"/>
  <c r="AF28" i="11"/>
  <c r="AD28" i="11"/>
  <c r="AA28" i="11"/>
  <c r="X28" i="11"/>
  <c r="U28" i="11"/>
  <c r="R28" i="11"/>
  <c r="O28" i="11"/>
  <c r="L28" i="11"/>
  <c r="I28" i="11"/>
  <c r="F28" i="11"/>
  <c r="A28" i="11"/>
  <c r="AF27" i="11"/>
  <c r="AD27" i="11"/>
  <c r="AA27" i="11"/>
  <c r="X27" i="11"/>
  <c r="U27" i="11"/>
  <c r="R27" i="11"/>
  <c r="O27" i="11"/>
  <c r="L27" i="11"/>
  <c r="I27" i="11"/>
  <c r="F27" i="11"/>
  <c r="A27" i="11"/>
  <c r="AF26" i="11"/>
  <c r="AD26" i="11"/>
  <c r="AA26" i="11"/>
  <c r="X26" i="11"/>
  <c r="U26" i="11"/>
  <c r="R26" i="11"/>
  <c r="O26" i="11"/>
  <c r="L26" i="11"/>
  <c r="I26" i="11"/>
  <c r="F26" i="11"/>
  <c r="A26" i="11"/>
  <c r="AF25" i="11"/>
  <c r="AD25" i="11"/>
  <c r="AA25" i="11"/>
  <c r="X25" i="11"/>
  <c r="U25" i="11"/>
  <c r="R25" i="11"/>
  <c r="O25" i="11"/>
  <c r="L25" i="11"/>
  <c r="I25" i="11"/>
  <c r="F25" i="11"/>
  <c r="AF24" i="11"/>
  <c r="AD24" i="11"/>
  <c r="AA24" i="11"/>
  <c r="X24" i="11"/>
  <c r="U24" i="11"/>
  <c r="R24" i="11"/>
  <c r="O24" i="11"/>
  <c r="L24" i="11"/>
  <c r="I24" i="11"/>
  <c r="F24" i="11"/>
  <c r="AC22" i="11"/>
  <c r="Z22" i="11"/>
  <c r="W22" i="11"/>
  <c r="T22" i="11"/>
  <c r="Q22" i="11"/>
  <c r="N22" i="11"/>
  <c r="K22" i="11"/>
  <c r="H22" i="11"/>
  <c r="E22" i="11"/>
  <c r="E17" i="11"/>
  <c r="AY16" i="11"/>
  <c r="AC16" i="11"/>
  <c r="Z16" i="11"/>
  <c r="W16" i="11"/>
  <c r="R16" i="11"/>
  <c r="L16" i="11"/>
  <c r="A16" i="11"/>
  <c r="AX15" i="11"/>
  <c r="AY15" i="11"/>
  <c r="AC14" i="11"/>
  <c r="W14" i="11"/>
  <c r="R14" i="11"/>
  <c r="L14" i="11"/>
  <c r="A14" i="11"/>
  <c r="AY13" i="11"/>
  <c r="AY12" i="11"/>
  <c r="AC12" i="11"/>
  <c r="W12" i="11"/>
  <c r="R12" i="11"/>
  <c r="L12" i="11"/>
  <c r="A12" i="11"/>
  <c r="AY11" i="11"/>
  <c r="AY10" i="11"/>
  <c r="AC10" i="11"/>
  <c r="W10" i="11"/>
  <c r="R10" i="11"/>
  <c r="L10" i="11"/>
  <c r="A10" i="11"/>
  <c r="AY9" i="11"/>
  <c r="AY8" i="11"/>
  <c r="AC8" i="11"/>
  <c r="W8" i="11"/>
  <c r="R8" i="11"/>
  <c r="L8" i="11"/>
  <c r="A8" i="11"/>
  <c r="R7" i="11"/>
  <c r="L7" i="11"/>
  <c r="K6" i="11"/>
  <c r="AY5" i="11"/>
  <c r="AY4" i="11"/>
  <c r="AY3" i="11"/>
  <c r="AU147" i="10"/>
  <c r="AT147" i="10"/>
  <c r="E133" i="10"/>
  <c r="E134" i="10"/>
  <c r="E135" i="10"/>
  <c r="E136" i="10"/>
  <c r="G133" i="10"/>
  <c r="G134" i="10"/>
  <c r="G135" i="10"/>
  <c r="G136" i="10"/>
  <c r="J132" i="10"/>
  <c r="E14" i="10"/>
  <c r="L94" i="10"/>
  <c r="B125" i="10"/>
  <c r="B142" i="10"/>
  <c r="E8" i="10"/>
  <c r="B79" i="10"/>
  <c r="AT79" i="10"/>
  <c r="E10" i="10"/>
  <c r="B80" i="10"/>
  <c r="AT80" i="10"/>
  <c r="E12" i="10"/>
  <c r="B81" i="10"/>
  <c r="AT81" i="10"/>
  <c r="B82" i="10"/>
  <c r="AT82" i="10"/>
  <c r="AC72" i="10"/>
  <c r="AE72" i="10"/>
  <c r="Z72" i="10"/>
  <c r="AB72" i="10"/>
  <c r="W72" i="10"/>
  <c r="Y72" i="10"/>
  <c r="T72" i="10"/>
  <c r="V72" i="10"/>
  <c r="Q31" i="10"/>
  <c r="Q32" i="10"/>
  <c r="Q33" i="10"/>
  <c r="Q34" i="10"/>
  <c r="Q35" i="10"/>
  <c r="Q64" i="10"/>
  <c r="S64" i="10"/>
  <c r="Q65" i="10"/>
  <c r="S31" i="10"/>
  <c r="S32" i="10"/>
  <c r="S33" i="10"/>
  <c r="S34" i="10"/>
  <c r="S35" i="10"/>
  <c r="S65" i="10"/>
  <c r="Q66" i="10"/>
  <c r="S66" i="10"/>
  <c r="Q67" i="10"/>
  <c r="S67" i="10"/>
  <c r="Q68" i="10"/>
  <c r="S68" i="10"/>
  <c r="R71" i="10"/>
  <c r="Q72" i="10"/>
  <c r="N72" i="10"/>
  <c r="P72" i="10"/>
  <c r="K31" i="10"/>
  <c r="K32" i="10"/>
  <c r="K33" i="10"/>
  <c r="K34" i="10"/>
  <c r="K35" i="10"/>
  <c r="K64" i="10"/>
  <c r="M64" i="10"/>
  <c r="K65" i="10"/>
  <c r="M65" i="10"/>
  <c r="K66" i="10"/>
  <c r="M31" i="10"/>
  <c r="M32" i="10"/>
  <c r="M33" i="10"/>
  <c r="M34" i="10"/>
  <c r="M35" i="10"/>
  <c r="M66" i="10"/>
  <c r="K67" i="10"/>
  <c r="M67" i="10"/>
  <c r="K68" i="10"/>
  <c r="M68" i="10"/>
  <c r="L71" i="10"/>
  <c r="K72" i="10"/>
  <c r="H72" i="10"/>
  <c r="J72" i="10"/>
  <c r="E31" i="10"/>
  <c r="E32" i="10"/>
  <c r="E33" i="10"/>
  <c r="E34" i="10"/>
  <c r="E35" i="10"/>
  <c r="E64" i="10"/>
  <c r="G64" i="10"/>
  <c r="E65" i="10"/>
  <c r="G65" i="10"/>
  <c r="E66" i="10"/>
  <c r="G66" i="10"/>
  <c r="E67" i="10"/>
  <c r="G31" i="10"/>
  <c r="G32" i="10"/>
  <c r="G33" i="10"/>
  <c r="G34" i="10"/>
  <c r="G35" i="10"/>
  <c r="G67" i="10"/>
  <c r="E68" i="10"/>
  <c r="G68" i="10"/>
  <c r="F71" i="10"/>
  <c r="E72" i="10"/>
  <c r="B72" i="10"/>
  <c r="D72" i="10"/>
  <c r="C79" i="10"/>
  <c r="D79" i="10"/>
  <c r="E85" i="10"/>
  <c r="E36" i="10"/>
  <c r="B75" i="10"/>
  <c r="D75" i="10"/>
  <c r="C82" i="10"/>
  <c r="D82" i="10"/>
  <c r="G85" i="10"/>
  <c r="G36" i="10"/>
  <c r="E86" i="10"/>
  <c r="E87" i="10"/>
  <c r="G79" i="10"/>
  <c r="J79" i="10"/>
  <c r="K85" i="10"/>
  <c r="K36" i="10"/>
  <c r="H74" i="10"/>
  <c r="J74" i="10"/>
  <c r="E74" i="10"/>
  <c r="G74" i="10"/>
  <c r="B74" i="10"/>
  <c r="B64" i="10"/>
  <c r="D64" i="10"/>
  <c r="B31" i="10"/>
  <c r="B32" i="10"/>
  <c r="B33" i="10"/>
  <c r="B34" i="10"/>
  <c r="B35" i="10"/>
  <c r="B65" i="10"/>
  <c r="D65" i="10"/>
  <c r="B66" i="10"/>
  <c r="D31" i="10"/>
  <c r="D32" i="10"/>
  <c r="D33" i="10"/>
  <c r="D34" i="10"/>
  <c r="D35" i="10"/>
  <c r="D66" i="10"/>
  <c r="B67" i="10"/>
  <c r="D67" i="10"/>
  <c r="B68" i="10"/>
  <c r="D68" i="10"/>
  <c r="C71" i="10"/>
  <c r="D74" i="10"/>
  <c r="C81" i="10"/>
  <c r="D85" i="10"/>
  <c r="D36" i="10"/>
  <c r="C80" i="10"/>
  <c r="B85" i="10"/>
  <c r="B36" i="10"/>
  <c r="D86" i="10"/>
  <c r="D87" i="10"/>
  <c r="D81" i="10"/>
  <c r="G81" i="10"/>
  <c r="J81" i="10"/>
  <c r="M85" i="10"/>
  <c r="M36" i="10"/>
  <c r="K86" i="10"/>
  <c r="K87" i="10"/>
  <c r="M79" i="10"/>
  <c r="P79" i="10"/>
  <c r="Q85" i="10"/>
  <c r="Q36" i="10"/>
  <c r="N73" i="10"/>
  <c r="P73" i="10"/>
  <c r="K73" i="10"/>
  <c r="M73" i="10"/>
  <c r="H64" i="10"/>
  <c r="J64" i="10"/>
  <c r="H31" i="10"/>
  <c r="H32" i="10"/>
  <c r="H33" i="10"/>
  <c r="H34" i="10"/>
  <c r="H35" i="10"/>
  <c r="H65" i="10"/>
  <c r="J65" i="10"/>
  <c r="H66" i="10"/>
  <c r="J66" i="10"/>
  <c r="H67" i="10"/>
  <c r="J31" i="10"/>
  <c r="J32" i="10"/>
  <c r="J33" i="10"/>
  <c r="J34" i="10"/>
  <c r="J35" i="10"/>
  <c r="J67" i="10"/>
  <c r="H68" i="10"/>
  <c r="J68" i="10"/>
  <c r="I71" i="10"/>
  <c r="H73" i="10"/>
  <c r="E73" i="10"/>
  <c r="G73" i="10"/>
  <c r="B73" i="10"/>
  <c r="B86" i="10"/>
  <c r="B87" i="10"/>
  <c r="D80" i="10"/>
  <c r="G80" i="10"/>
  <c r="H85" i="10"/>
  <c r="H36" i="10"/>
  <c r="E75" i="10"/>
  <c r="G75" i="10"/>
  <c r="G86" i="10"/>
  <c r="G87" i="10"/>
  <c r="G82" i="10"/>
  <c r="J85" i="10"/>
  <c r="J36" i="10"/>
  <c r="H86" i="10"/>
  <c r="H87" i="10"/>
  <c r="J80" i="10"/>
  <c r="M80" i="10"/>
  <c r="P80" i="10"/>
  <c r="S85" i="10"/>
  <c r="S36" i="10"/>
  <c r="Q86" i="10"/>
  <c r="Q87" i="10"/>
  <c r="S79" i="10"/>
  <c r="V79" i="10"/>
  <c r="Y79" i="10"/>
  <c r="AB79" i="10"/>
  <c r="AE79" i="10"/>
  <c r="AU79" i="10"/>
  <c r="AC73" i="10"/>
  <c r="AE73" i="10"/>
  <c r="Z73" i="10"/>
  <c r="AB73" i="10"/>
  <c r="W73" i="10"/>
  <c r="Y73" i="10"/>
  <c r="T73" i="10"/>
  <c r="V73" i="10"/>
  <c r="Q73" i="10"/>
  <c r="S73" i="10"/>
  <c r="S86" i="10"/>
  <c r="S87" i="10"/>
  <c r="S80" i="10"/>
  <c r="V80" i="10"/>
  <c r="Y80" i="10"/>
  <c r="AB80" i="10"/>
  <c r="AE80" i="10"/>
  <c r="AU80" i="10"/>
  <c r="AC74" i="10"/>
  <c r="AE74" i="10"/>
  <c r="Z74" i="10"/>
  <c r="AB74" i="10"/>
  <c r="W74" i="10"/>
  <c r="Y74" i="10"/>
  <c r="T74" i="10"/>
  <c r="V74" i="10"/>
  <c r="Q74" i="10"/>
  <c r="S74" i="10"/>
  <c r="N64" i="10"/>
  <c r="P64" i="10"/>
  <c r="N65" i="10"/>
  <c r="P65" i="10"/>
  <c r="N31" i="10"/>
  <c r="N32" i="10"/>
  <c r="N33" i="10"/>
  <c r="N34" i="10"/>
  <c r="N35" i="10"/>
  <c r="N66" i="10"/>
  <c r="P66" i="10"/>
  <c r="N67" i="10"/>
  <c r="P31" i="10"/>
  <c r="P32" i="10"/>
  <c r="P33" i="10"/>
  <c r="P34" i="10"/>
  <c r="P35" i="10"/>
  <c r="P67" i="10"/>
  <c r="N68" i="10"/>
  <c r="P68" i="10"/>
  <c r="O71" i="10"/>
  <c r="N74" i="10"/>
  <c r="K74" i="10"/>
  <c r="M74" i="10"/>
  <c r="M86" i="10"/>
  <c r="M87" i="10"/>
  <c r="M81" i="10"/>
  <c r="N85" i="10"/>
  <c r="N36" i="10"/>
  <c r="K75" i="10"/>
  <c r="M75" i="10"/>
  <c r="H75" i="10"/>
  <c r="J75" i="10"/>
  <c r="J86" i="10"/>
  <c r="J87" i="10"/>
  <c r="J82" i="10"/>
  <c r="M82" i="10"/>
  <c r="P85" i="10"/>
  <c r="P36" i="10"/>
  <c r="N86" i="10"/>
  <c r="N87" i="10"/>
  <c r="P81" i="10"/>
  <c r="S81" i="10"/>
  <c r="V81" i="10"/>
  <c r="Y81" i="10"/>
  <c r="AB81" i="10"/>
  <c r="AE81" i="10"/>
  <c r="AU81" i="10"/>
  <c r="AC75" i="10"/>
  <c r="AE75" i="10"/>
  <c r="Z75" i="10"/>
  <c r="AB75" i="10"/>
  <c r="W75" i="10"/>
  <c r="Y75" i="10"/>
  <c r="T75" i="10"/>
  <c r="V75" i="10"/>
  <c r="Q75" i="10"/>
  <c r="S75" i="10"/>
  <c r="N75" i="10"/>
  <c r="P75" i="10"/>
  <c r="P86" i="10"/>
  <c r="P87" i="10"/>
  <c r="P82" i="10"/>
  <c r="S82" i="10"/>
  <c r="V82" i="10"/>
  <c r="Y82" i="10"/>
  <c r="AB82" i="10"/>
  <c r="AE82" i="10"/>
  <c r="AU82" i="10"/>
  <c r="E16" i="10"/>
  <c r="B83" i="10"/>
  <c r="AT83" i="10"/>
  <c r="AC76" i="10"/>
  <c r="AE76" i="10"/>
  <c r="Z76" i="10"/>
  <c r="AB76" i="10"/>
  <c r="W76" i="10"/>
  <c r="Y76" i="10"/>
  <c r="T76" i="10"/>
  <c r="V76" i="10"/>
  <c r="Q76" i="10"/>
  <c r="S76" i="10"/>
  <c r="N76" i="10"/>
  <c r="P76" i="10"/>
  <c r="K76" i="10"/>
  <c r="M76" i="10"/>
  <c r="H76" i="10"/>
  <c r="J76" i="10"/>
  <c r="E76" i="10"/>
  <c r="G76" i="10"/>
  <c r="B76" i="10"/>
  <c r="D76" i="10"/>
  <c r="C83" i="10"/>
  <c r="D83" i="10"/>
  <c r="G83" i="10"/>
  <c r="J83" i="10"/>
  <c r="M83" i="10"/>
  <c r="P83" i="10"/>
  <c r="S83" i="10"/>
  <c r="V83" i="10"/>
  <c r="Y83" i="10"/>
  <c r="AB83" i="10"/>
  <c r="AE83" i="10"/>
  <c r="AU83" i="10"/>
  <c r="AX6" i="10"/>
  <c r="C142" i="10"/>
  <c r="D142" i="10"/>
  <c r="E145" i="10"/>
  <c r="V94" i="10"/>
  <c r="B126" i="10"/>
  <c r="B143" i="10"/>
  <c r="AX5" i="10"/>
  <c r="C143" i="10"/>
  <c r="D143" i="10"/>
  <c r="G145" i="10"/>
  <c r="E146" i="10"/>
  <c r="E147" i="10"/>
  <c r="G142" i="10"/>
  <c r="J145" i="10"/>
  <c r="J133" i="10"/>
  <c r="J134" i="10"/>
  <c r="J135" i="10"/>
  <c r="J136" i="10"/>
  <c r="H133" i="10"/>
  <c r="H134" i="10"/>
  <c r="H135" i="10"/>
  <c r="H136" i="10"/>
  <c r="B133" i="10"/>
  <c r="B134" i="10"/>
  <c r="B135" i="10"/>
  <c r="B136" i="10"/>
  <c r="D133" i="10"/>
  <c r="D134" i="10"/>
  <c r="D135" i="10"/>
  <c r="D136" i="10"/>
  <c r="H132" i="10"/>
  <c r="B94" i="10"/>
  <c r="B124" i="10"/>
  <c r="B141" i="10"/>
  <c r="AX3" i="10"/>
  <c r="C141" i="10"/>
  <c r="B145" i="10"/>
  <c r="AF94" i="10"/>
  <c r="B127" i="10"/>
  <c r="B144" i="10"/>
  <c r="AX4" i="10"/>
  <c r="C144" i="10"/>
  <c r="D145" i="10"/>
  <c r="B146" i="10"/>
  <c r="B147" i="10"/>
  <c r="D141" i="10"/>
  <c r="G141" i="10"/>
  <c r="H145" i="10"/>
  <c r="J146" i="10"/>
  <c r="J147" i="10"/>
  <c r="H146" i="10"/>
  <c r="H147" i="10"/>
  <c r="G146" i="10"/>
  <c r="G147" i="10"/>
  <c r="D146" i="10"/>
  <c r="D147" i="10"/>
  <c r="AU146" i="10"/>
  <c r="AT146" i="10"/>
  <c r="AU145" i="10"/>
  <c r="AT145" i="10"/>
  <c r="AU144" i="10"/>
  <c r="AT144" i="10"/>
  <c r="D144" i="10"/>
  <c r="G144" i="10"/>
  <c r="J144" i="10"/>
  <c r="AU143" i="10"/>
  <c r="AT143" i="10"/>
  <c r="G143" i="10"/>
  <c r="J143" i="10"/>
  <c r="AU142" i="10"/>
  <c r="AT142" i="10"/>
  <c r="J142" i="10"/>
  <c r="AU141" i="10"/>
  <c r="AT141" i="10"/>
  <c r="J141" i="10"/>
  <c r="AU140" i="10"/>
  <c r="AT140" i="10"/>
  <c r="K137" i="10"/>
  <c r="E11" i="10"/>
  <c r="AL94" i="10"/>
  <c r="K127" i="10"/>
  <c r="E13" i="10"/>
  <c r="AB94" i="10"/>
  <c r="K126" i="10"/>
  <c r="E15" i="10"/>
  <c r="R94" i="10"/>
  <c r="K125" i="10"/>
  <c r="E9" i="10"/>
  <c r="H94" i="10"/>
  <c r="K124" i="10"/>
  <c r="A118" i="10"/>
  <c r="F117" i="10"/>
  <c r="A113" i="10"/>
  <c r="J112" i="10"/>
  <c r="A109" i="10"/>
  <c r="F107" i="10"/>
  <c r="A107" i="10"/>
  <c r="A104" i="10"/>
  <c r="A89" i="10"/>
  <c r="AE85" i="10"/>
  <c r="AE31" i="10"/>
  <c r="AE32" i="10"/>
  <c r="AE33" i="10"/>
  <c r="AE34" i="10"/>
  <c r="AE35" i="10"/>
  <c r="AE36" i="10"/>
  <c r="AC85" i="10"/>
  <c r="AC31" i="10"/>
  <c r="AC32" i="10"/>
  <c r="AC33" i="10"/>
  <c r="AC34" i="10"/>
  <c r="AC35" i="10"/>
  <c r="AC36" i="10"/>
  <c r="AE86" i="10"/>
  <c r="AE87" i="10"/>
  <c r="AC86" i="10"/>
  <c r="AC87" i="10"/>
  <c r="AB85" i="10"/>
  <c r="AB31" i="10"/>
  <c r="AB32" i="10"/>
  <c r="AB33" i="10"/>
  <c r="AB34" i="10"/>
  <c r="AB35" i="10"/>
  <c r="AB36" i="10"/>
  <c r="Z85" i="10"/>
  <c r="Z31" i="10"/>
  <c r="Z32" i="10"/>
  <c r="Z33" i="10"/>
  <c r="Z34" i="10"/>
  <c r="Z35" i="10"/>
  <c r="Z36" i="10"/>
  <c r="AB86" i="10"/>
  <c r="AB87" i="10"/>
  <c r="Z86" i="10"/>
  <c r="Z87" i="10"/>
  <c r="Y85" i="10"/>
  <c r="Y31" i="10"/>
  <c r="Y32" i="10"/>
  <c r="Y33" i="10"/>
  <c r="Y34" i="10"/>
  <c r="Y35" i="10"/>
  <c r="Y36" i="10"/>
  <c r="W85" i="10"/>
  <c r="W31" i="10"/>
  <c r="W32" i="10"/>
  <c r="W33" i="10"/>
  <c r="W34" i="10"/>
  <c r="W35" i="10"/>
  <c r="W36" i="10"/>
  <c r="Y86" i="10"/>
  <c r="Y87" i="10"/>
  <c r="W86" i="10"/>
  <c r="W87" i="10"/>
  <c r="V85" i="10"/>
  <c r="V31" i="10"/>
  <c r="V32" i="10"/>
  <c r="V33" i="10"/>
  <c r="V34" i="10"/>
  <c r="V35" i="10"/>
  <c r="V36" i="10"/>
  <c r="T85" i="10"/>
  <c r="T31" i="10"/>
  <c r="T32" i="10"/>
  <c r="T33" i="10"/>
  <c r="T34" i="10"/>
  <c r="T35" i="10"/>
  <c r="T36" i="10"/>
  <c r="V86" i="10"/>
  <c r="V87" i="10"/>
  <c r="T86" i="10"/>
  <c r="T87" i="10"/>
  <c r="AF76" i="10"/>
  <c r="AF75" i="10"/>
  <c r="P74" i="10"/>
  <c r="AF74" i="10"/>
  <c r="D73" i="10"/>
  <c r="J73" i="10"/>
  <c r="AF73" i="10"/>
  <c r="G72" i="10"/>
  <c r="M72" i="10"/>
  <c r="S72" i="10"/>
  <c r="AF72" i="10"/>
  <c r="AC64" i="10"/>
  <c r="AE64" i="10"/>
  <c r="AC65" i="10"/>
  <c r="AE65" i="10"/>
  <c r="AC66" i="10"/>
  <c r="AE66" i="10"/>
  <c r="AC67" i="10"/>
  <c r="AE67" i="10"/>
  <c r="AC68" i="10"/>
  <c r="AE68" i="10"/>
  <c r="AD71" i="10"/>
  <c r="Z64" i="10"/>
  <c r="AB64" i="10"/>
  <c r="Z65" i="10"/>
  <c r="AB65" i="10"/>
  <c r="Z66" i="10"/>
  <c r="AB66" i="10"/>
  <c r="Z67" i="10"/>
  <c r="AB67" i="10"/>
  <c r="Z68" i="10"/>
  <c r="AB68" i="10"/>
  <c r="AA71" i="10"/>
  <c r="W64" i="10"/>
  <c r="Y64" i="10"/>
  <c r="W65" i="10"/>
  <c r="Y65" i="10"/>
  <c r="W66" i="10"/>
  <c r="Y66" i="10"/>
  <c r="W67" i="10"/>
  <c r="Y67" i="10"/>
  <c r="W68" i="10"/>
  <c r="Y68" i="10"/>
  <c r="X71" i="10"/>
  <c r="T64" i="10"/>
  <c r="V64" i="10"/>
  <c r="T65" i="10"/>
  <c r="V65" i="10"/>
  <c r="T66" i="10"/>
  <c r="V66" i="10"/>
  <c r="T67" i="10"/>
  <c r="V67" i="10"/>
  <c r="T68" i="10"/>
  <c r="V68" i="10"/>
  <c r="U71" i="10"/>
  <c r="AF68" i="10"/>
  <c r="AG68" i="10"/>
  <c r="AF67" i="10"/>
  <c r="AG67" i="10"/>
  <c r="AF66" i="10"/>
  <c r="AG66" i="10"/>
  <c r="AF65" i="10"/>
  <c r="AG65" i="10"/>
  <c r="AF64" i="10"/>
  <c r="AG64" i="10"/>
  <c r="B62" i="10"/>
  <c r="D62" i="10"/>
  <c r="E62" i="10"/>
  <c r="G62" i="10"/>
  <c r="H62" i="10"/>
  <c r="J62" i="10"/>
  <c r="K62" i="10"/>
  <c r="M62" i="10"/>
  <c r="N62" i="10"/>
  <c r="P62" i="10"/>
  <c r="Q62" i="10"/>
  <c r="S62" i="10"/>
  <c r="T62" i="10"/>
  <c r="V62" i="10"/>
  <c r="W62" i="10"/>
  <c r="Y62" i="10"/>
  <c r="Z62" i="10"/>
  <c r="AB62" i="10"/>
  <c r="AC62" i="10"/>
  <c r="AE62" i="10"/>
  <c r="AF62" i="10"/>
  <c r="B61" i="10"/>
  <c r="D61" i="10"/>
  <c r="E61" i="10"/>
  <c r="E39" i="10"/>
  <c r="G39" i="10"/>
  <c r="E40" i="10"/>
  <c r="G40" i="10"/>
  <c r="E41" i="10"/>
  <c r="G41" i="10"/>
  <c r="E42" i="10"/>
  <c r="G42" i="10"/>
  <c r="E43" i="10"/>
  <c r="G43" i="10"/>
  <c r="E44" i="10"/>
  <c r="G61" i="10"/>
  <c r="H61" i="10"/>
  <c r="H39" i="10"/>
  <c r="J39" i="10"/>
  <c r="H40" i="10"/>
  <c r="J40" i="10"/>
  <c r="H41" i="10"/>
  <c r="J41" i="10"/>
  <c r="H42" i="10"/>
  <c r="J42" i="10"/>
  <c r="H43" i="10"/>
  <c r="J43" i="10"/>
  <c r="H44" i="10"/>
  <c r="J61" i="10"/>
  <c r="K61" i="10"/>
  <c r="M61" i="10"/>
  <c r="N61" i="10"/>
  <c r="N39" i="10"/>
  <c r="P39" i="10"/>
  <c r="N40" i="10"/>
  <c r="P40" i="10"/>
  <c r="N41" i="10"/>
  <c r="P41" i="10"/>
  <c r="N42" i="10"/>
  <c r="P42" i="10"/>
  <c r="N43" i="10"/>
  <c r="P43" i="10"/>
  <c r="N44" i="10"/>
  <c r="P61" i="10"/>
  <c r="Q61" i="10"/>
  <c r="S61" i="10"/>
  <c r="T61" i="10"/>
  <c r="V61" i="10"/>
  <c r="W61" i="10"/>
  <c r="Y61" i="10"/>
  <c r="Z61" i="10"/>
  <c r="AB61" i="10"/>
  <c r="AC61" i="10"/>
  <c r="AE61" i="10"/>
  <c r="AF61" i="10"/>
  <c r="B60" i="10"/>
  <c r="B39" i="10"/>
  <c r="D39" i="10"/>
  <c r="B40" i="10"/>
  <c r="D40" i="10"/>
  <c r="B41" i="10"/>
  <c r="D41" i="10"/>
  <c r="B42" i="10"/>
  <c r="D42" i="10"/>
  <c r="B43" i="10"/>
  <c r="D43" i="10"/>
  <c r="B44" i="10"/>
  <c r="D60" i="10"/>
  <c r="E60" i="10"/>
  <c r="G60" i="10"/>
  <c r="H60" i="10"/>
  <c r="J60" i="10"/>
  <c r="K60" i="10"/>
  <c r="K39" i="10"/>
  <c r="M39" i="10"/>
  <c r="K40" i="10"/>
  <c r="M40" i="10"/>
  <c r="K41" i="10"/>
  <c r="M41" i="10"/>
  <c r="K42" i="10"/>
  <c r="M42" i="10"/>
  <c r="K43" i="10"/>
  <c r="M43" i="10"/>
  <c r="K44" i="10"/>
  <c r="M60" i="10"/>
  <c r="N60" i="10"/>
  <c r="P60" i="10"/>
  <c r="Q60" i="10"/>
  <c r="S60" i="10"/>
  <c r="T60" i="10"/>
  <c r="V60" i="10"/>
  <c r="W60" i="10"/>
  <c r="Y60" i="10"/>
  <c r="Z60" i="10"/>
  <c r="AB60" i="10"/>
  <c r="AC60" i="10"/>
  <c r="AE60" i="10"/>
  <c r="AF60" i="10"/>
  <c r="B59" i="10"/>
  <c r="D59" i="10"/>
  <c r="E59" i="10"/>
  <c r="G59" i="10"/>
  <c r="H59" i="10"/>
  <c r="J59" i="10"/>
  <c r="K59" i="10"/>
  <c r="M59" i="10"/>
  <c r="N59" i="10"/>
  <c r="P59" i="10"/>
  <c r="Q59" i="10"/>
  <c r="Q39" i="10"/>
  <c r="S39" i="10"/>
  <c r="Q40" i="10"/>
  <c r="S40" i="10"/>
  <c r="Q41" i="10"/>
  <c r="S41" i="10"/>
  <c r="Q42" i="10"/>
  <c r="S42" i="10"/>
  <c r="Q43" i="10"/>
  <c r="S43" i="10"/>
  <c r="Q44" i="10"/>
  <c r="S59" i="10"/>
  <c r="T59" i="10"/>
  <c r="V59" i="10"/>
  <c r="W59" i="10"/>
  <c r="Y59" i="10"/>
  <c r="Z59" i="10"/>
  <c r="AB59" i="10"/>
  <c r="AC59" i="10"/>
  <c r="AE59" i="10"/>
  <c r="AF59" i="10"/>
  <c r="B58" i="10"/>
  <c r="D58" i="10"/>
  <c r="E58" i="10"/>
  <c r="G58" i="10"/>
  <c r="H58" i="10"/>
  <c r="J58" i="10"/>
  <c r="K58" i="10"/>
  <c r="M58" i="10"/>
  <c r="N58" i="10"/>
  <c r="P58" i="10"/>
  <c r="Q58" i="10"/>
  <c r="S58" i="10"/>
  <c r="T58" i="10"/>
  <c r="V58" i="10"/>
  <c r="W58" i="10"/>
  <c r="Y58" i="10"/>
  <c r="Z58" i="10"/>
  <c r="AB58" i="10"/>
  <c r="AC58" i="10"/>
  <c r="AE58" i="10"/>
  <c r="AF58" i="10"/>
  <c r="B56" i="10"/>
  <c r="D56" i="10"/>
  <c r="E56" i="10"/>
  <c r="G56" i="10"/>
  <c r="H56" i="10"/>
  <c r="J56" i="10"/>
  <c r="K56" i="10"/>
  <c r="M56" i="10"/>
  <c r="N56" i="10"/>
  <c r="P56" i="10"/>
  <c r="Q56" i="10"/>
  <c r="S56" i="10"/>
  <c r="T56" i="10"/>
  <c r="V56" i="10"/>
  <c r="W56" i="10"/>
  <c r="Y56" i="10"/>
  <c r="Z56" i="10"/>
  <c r="AB56" i="10"/>
  <c r="AC56" i="10"/>
  <c r="AE56" i="10"/>
  <c r="AF56" i="10"/>
  <c r="B55" i="10"/>
  <c r="D55" i="10"/>
  <c r="E55" i="10"/>
  <c r="E37" i="10"/>
  <c r="G37" i="10"/>
  <c r="F37" i="10"/>
  <c r="G55" i="10"/>
  <c r="H55" i="10"/>
  <c r="H37" i="10"/>
  <c r="J37" i="10"/>
  <c r="I37" i="10"/>
  <c r="J55" i="10"/>
  <c r="K55" i="10"/>
  <c r="M55" i="10"/>
  <c r="N55" i="10"/>
  <c r="N37" i="10"/>
  <c r="P37" i="10"/>
  <c r="O37" i="10"/>
  <c r="P55" i="10"/>
  <c r="Q55" i="10"/>
  <c r="S55" i="10"/>
  <c r="T55" i="10"/>
  <c r="V55" i="10"/>
  <c r="W55" i="10"/>
  <c r="Y55" i="10"/>
  <c r="Z55" i="10"/>
  <c r="AB55" i="10"/>
  <c r="AC55" i="10"/>
  <c r="AE55" i="10"/>
  <c r="AF55" i="10"/>
  <c r="B54" i="10"/>
  <c r="B37" i="10"/>
  <c r="D37" i="10"/>
  <c r="C37" i="10"/>
  <c r="D54" i="10"/>
  <c r="E54" i="10"/>
  <c r="G54" i="10"/>
  <c r="H54" i="10"/>
  <c r="J54" i="10"/>
  <c r="K54" i="10"/>
  <c r="K37" i="10"/>
  <c r="M37" i="10"/>
  <c r="L37" i="10"/>
  <c r="M54" i="10"/>
  <c r="N54" i="10"/>
  <c r="P54" i="10"/>
  <c r="Q54" i="10"/>
  <c r="S54" i="10"/>
  <c r="T54" i="10"/>
  <c r="V54" i="10"/>
  <c r="W54" i="10"/>
  <c r="Y54" i="10"/>
  <c r="Z54" i="10"/>
  <c r="AB54" i="10"/>
  <c r="AC54" i="10"/>
  <c r="AE54" i="10"/>
  <c r="AF54" i="10"/>
  <c r="B53" i="10"/>
  <c r="D53" i="10"/>
  <c r="E53" i="10"/>
  <c r="G53" i="10"/>
  <c r="H53" i="10"/>
  <c r="J53" i="10"/>
  <c r="K53" i="10"/>
  <c r="M53" i="10"/>
  <c r="N53" i="10"/>
  <c r="P53" i="10"/>
  <c r="Q53" i="10"/>
  <c r="Q37" i="10"/>
  <c r="S37" i="10"/>
  <c r="R37" i="10"/>
  <c r="S53" i="10"/>
  <c r="T53" i="10"/>
  <c r="V53" i="10"/>
  <c r="W53" i="10"/>
  <c r="Y53" i="10"/>
  <c r="Z53" i="10"/>
  <c r="AB53" i="10"/>
  <c r="AC53" i="10"/>
  <c r="AE53" i="10"/>
  <c r="AF53" i="10"/>
  <c r="B52" i="10"/>
  <c r="D52" i="10"/>
  <c r="E52" i="10"/>
  <c r="G52" i="10"/>
  <c r="H52" i="10"/>
  <c r="J52" i="10"/>
  <c r="K52" i="10"/>
  <c r="M52" i="10"/>
  <c r="N52" i="10"/>
  <c r="P52" i="10"/>
  <c r="Q52" i="10"/>
  <c r="S52" i="10"/>
  <c r="T52" i="10"/>
  <c r="V52" i="10"/>
  <c r="W52" i="10"/>
  <c r="Y52" i="10"/>
  <c r="Z52" i="10"/>
  <c r="AB52" i="10"/>
  <c r="AC52" i="10"/>
  <c r="AE52" i="10"/>
  <c r="AF52" i="10"/>
  <c r="B50" i="10"/>
  <c r="D50" i="10"/>
  <c r="E50" i="10"/>
  <c r="G50" i="10"/>
  <c r="H50" i="10"/>
  <c r="J50" i="10"/>
  <c r="K50" i="10"/>
  <c r="M50" i="10"/>
  <c r="N50" i="10"/>
  <c r="P50" i="10"/>
  <c r="Q50" i="10"/>
  <c r="S50" i="10"/>
  <c r="T50" i="10"/>
  <c r="V50" i="10"/>
  <c r="W50" i="10"/>
  <c r="Y50" i="10"/>
  <c r="Z50" i="10"/>
  <c r="AB50" i="10"/>
  <c r="AC50" i="10"/>
  <c r="AE50" i="10"/>
  <c r="AF50" i="10"/>
  <c r="AG50" i="10"/>
  <c r="B49" i="10"/>
  <c r="D49" i="10"/>
  <c r="E49" i="10"/>
  <c r="G49" i="10"/>
  <c r="H49" i="10"/>
  <c r="J49" i="10"/>
  <c r="K49" i="10"/>
  <c r="M49" i="10"/>
  <c r="N49" i="10"/>
  <c r="P49" i="10"/>
  <c r="Q49" i="10"/>
  <c r="S49" i="10"/>
  <c r="T49" i="10"/>
  <c r="V49" i="10"/>
  <c r="W49" i="10"/>
  <c r="Y49" i="10"/>
  <c r="Z49" i="10"/>
  <c r="AB49" i="10"/>
  <c r="AC49" i="10"/>
  <c r="AE49" i="10"/>
  <c r="AF49" i="10"/>
  <c r="AG49" i="10"/>
  <c r="B48" i="10"/>
  <c r="D48" i="10"/>
  <c r="E48" i="10"/>
  <c r="G48" i="10"/>
  <c r="H48" i="10"/>
  <c r="J48" i="10"/>
  <c r="K48" i="10"/>
  <c r="M48" i="10"/>
  <c r="N48" i="10"/>
  <c r="P48" i="10"/>
  <c r="Q48" i="10"/>
  <c r="S48" i="10"/>
  <c r="T48" i="10"/>
  <c r="V48" i="10"/>
  <c r="W48" i="10"/>
  <c r="Y48" i="10"/>
  <c r="Z48" i="10"/>
  <c r="AB48" i="10"/>
  <c r="AC48" i="10"/>
  <c r="AE48" i="10"/>
  <c r="AF48" i="10"/>
  <c r="AG48" i="10"/>
  <c r="B47" i="10"/>
  <c r="D47" i="10"/>
  <c r="E47" i="10"/>
  <c r="G47" i="10"/>
  <c r="H47" i="10"/>
  <c r="J47" i="10"/>
  <c r="K47" i="10"/>
  <c r="M47" i="10"/>
  <c r="N47" i="10"/>
  <c r="P47" i="10"/>
  <c r="Q47" i="10"/>
  <c r="S47" i="10"/>
  <c r="T47" i="10"/>
  <c r="V47" i="10"/>
  <c r="W47" i="10"/>
  <c r="Y47" i="10"/>
  <c r="Z47" i="10"/>
  <c r="AB47" i="10"/>
  <c r="AC47" i="10"/>
  <c r="AE47" i="10"/>
  <c r="AF47" i="10"/>
  <c r="AG47" i="10"/>
  <c r="B46" i="10"/>
  <c r="D46" i="10"/>
  <c r="E46" i="10"/>
  <c r="G46" i="10"/>
  <c r="H46" i="10"/>
  <c r="J46" i="10"/>
  <c r="K46" i="10"/>
  <c r="M46" i="10"/>
  <c r="N46" i="10"/>
  <c r="P46" i="10"/>
  <c r="Q46" i="10"/>
  <c r="S46" i="10"/>
  <c r="T46" i="10"/>
  <c r="V46" i="10"/>
  <c r="W46" i="10"/>
  <c r="Y46" i="10"/>
  <c r="Z46" i="10"/>
  <c r="AB46" i="10"/>
  <c r="AC46" i="10"/>
  <c r="AE46" i="10"/>
  <c r="AF46" i="10"/>
  <c r="AG46" i="10"/>
  <c r="AC39" i="10"/>
  <c r="AE39" i="10"/>
  <c r="AC40" i="10"/>
  <c r="AE40" i="10"/>
  <c r="AC41" i="10"/>
  <c r="AE41" i="10"/>
  <c r="AC42" i="10"/>
  <c r="AE42" i="10"/>
  <c r="AC43" i="10"/>
  <c r="AE43" i="10"/>
  <c r="AC44" i="10"/>
  <c r="Z39" i="10"/>
  <c r="AB39" i="10"/>
  <c r="Z40" i="10"/>
  <c r="AB40" i="10"/>
  <c r="Z41" i="10"/>
  <c r="AB41" i="10"/>
  <c r="Z42" i="10"/>
  <c r="AB42" i="10"/>
  <c r="Z43" i="10"/>
  <c r="AB43" i="10"/>
  <c r="Z44" i="10"/>
  <c r="W39" i="10"/>
  <c r="Y39" i="10"/>
  <c r="W40" i="10"/>
  <c r="Y40" i="10"/>
  <c r="W41" i="10"/>
  <c r="Y41" i="10"/>
  <c r="W42" i="10"/>
  <c r="Y42" i="10"/>
  <c r="W43" i="10"/>
  <c r="Y43" i="10"/>
  <c r="W44" i="10"/>
  <c r="T39" i="10"/>
  <c r="V39" i="10"/>
  <c r="T40" i="10"/>
  <c r="V40" i="10"/>
  <c r="T41" i="10"/>
  <c r="V41" i="10"/>
  <c r="T42" i="10"/>
  <c r="V42" i="10"/>
  <c r="T43" i="10"/>
  <c r="V43" i="10"/>
  <c r="T44" i="10"/>
  <c r="AE37" i="10"/>
  <c r="AC37" i="10"/>
  <c r="AD37" i="10"/>
  <c r="AB37" i="10"/>
  <c r="Z37" i="10"/>
  <c r="AA37" i="10"/>
  <c r="Y37" i="10"/>
  <c r="W37" i="10"/>
  <c r="X37" i="10"/>
  <c r="V37" i="10"/>
  <c r="T37" i="10"/>
  <c r="U37" i="10"/>
  <c r="AE30" i="10"/>
  <c r="AC30" i="10"/>
  <c r="AB30" i="10"/>
  <c r="Z30" i="10"/>
  <c r="Y30" i="10"/>
  <c r="W30" i="10"/>
  <c r="V30" i="10"/>
  <c r="T30" i="10"/>
  <c r="S30" i="10"/>
  <c r="Q30" i="10"/>
  <c r="P30" i="10"/>
  <c r="N30" i="10"/>
  <c r="M30" i="10"/>
  <c r="K30" i="10"/>
  <c r="J30" i="10"/>
  <c r="H30" i="10"/>
  <c r="G30" i="10"/>
  <c r="E30" i="10"/>
  <c r="D30" i="10"/>
  <c r="B30" i="10"/>
  <c r="AD29" i="10"/>
  <c r="AA29" i="10"/>
  <c r="X29" i="10"/>
  <c r="U29" i="10"/>
  <c r="R29" i="10"/>
  <c r="O29" i="10"/>
  <c r="L29" i="10"/>
  <c r="I29" i="10"/>
  <c r="F29" i="10"/>
  <c r="A29" i="10"/>
  <c r="AG28" i="10"/>
  <c r="AH28" i="10"/>
  <c r="AI28" i="10"/>
  <c r="AJ28" i="10"/>
  <c r="AK28" i="10"/>
  <c r="AL28" i="10"/>
  <c r="AM28" i="10"/>
  <c r="AN28" i="10"/>
  <c r="AO28" i="10"/>
  <c r="AP28" i="10"/>
  <c r="AQ28" i="10"/>
  <c r="AF28" i="10"/>
  <c r="AD28" i="10"/>
  <c r="AA28" i="10"/>
  <c r="X28" i="10"/>
  <c r="U28" i="10"/>
  <c r="R28" i="10"/>
  <c r="O28" i="10"/>
  <c r="L28" i="10"/>
  <c r="I28" i="10"/>
  <c r="F28" i="10"/>
  <c r="A28" i="10"/>
  <c r="AG27" i="10"/>
  <c r="AH27" i="10"/>
  <c r="AI27" i="10"/>
  <c r="AJ27" i="10"/>
  <c r="AK27" i="10"/>
  <c r="AL27" i="10"/>
  <c r="AM27" i="10"/>
  <c r="AN27" i="10"/>
  <c r="AO27" i="10"/>
  <c r="AP27" i="10"/>
  <c r="AQ27" i="10"/>
  <c r="AF27" i="10"/>
  <c r="AD27" i="10"/>
  <c r="AA27" i="10"/>
  <c r="X27" i="10"/>
  <c r="U27" i="10"/>
  <c r="R27" i="10"/>
  <c r="O27" i="10"/>
  <c r="L27" i="10"/>
  <c r="I27" i="10"/>
  <c r="F27" i="10"/>
  <c r="A27" i="10"/>
  <c r="AG26" i="10"/>
  <c r="AH26" i="10"/>
  <c r="AI26" i="10"/>
  <c r="AJ26" i="10"/>
  <c r="AK26" i="10"/>
  <c r="AL26" i="10"/>
  <c r="AM26" i="10"/>
  <c r="AN26" i="10"/>
  <c r="AO26" i="10"/>
  <c r="AP26" i="10"/>
  <c r="AQ26" i="10"/>
  <c r="AF26" i="10"/>
  <c r="AD26" i="10"/>
  <c r="AA26" i="10"/>
  <c r="X26" i="10"/>
  <c r="U26" i="10"/>
  <c r="R26" i="10"/>
  <c r="O26" i="10"/>
  <c r="L26" i="10"/>
  <c r="I26" i="10"/>
  <c r="F26" i="10"/>
  <c r="A26" i="10"/>
  <c r="AG25" i="10"/>
  <c r="AH25" i="10"/>
  <c r="AI25" i="10"/>
  <c r="AJ25" i="10"/>
  <c r="AK25" i="10"/>
  <c r="AL25" i="10"/>
  <c r="AM25" i="10"/>
  <c r="AN25" i="10"/>
  <c r="AO25" i="10"/>
  <c r="AP25" i="10"/>
  <c r="AQ25" i="10"/>
  <c r="AF25" i="10"/>
  <c r="AD25" i="10"/>
  <c r="AA25" i="10"/>
  <c r="X25" i="10"/>
  <c r="U25" i="10"/>
  <c r="R25" i="10"/>
  <c r="O25" i="10"/>
  <c r="L25" i="10"/>
  <c r="I25" i="10"/>
  <c r="F25" i="10"/>
  <c r="AG24" i="10"/>
  <c r="AH24" i="10"/>
  <c r="AI24" i="10"/>
  <c r="AJ24" i="10"/>
  <c r="AK24" i="10"/>
  <c r="AL24" i="10"/>
  <c r="AM24" i="10"/>
  <c r="AN24" i="10"/>
  <c r="AO24" i="10"/>
  <c r="AP24" i="10"/>
  <c r="AQ24" i="10"/>
  <c r="AF24" i="10"/>
  <c r="AD24" i="10"/>
  <c r="AA24" i="10"/>
  <c r="X24" i="10"/>
  <c r="U24" i="10"/>
  <c r="R24" i="10"/>
  <c r="O24" i="10"/>
  <c r="L24" i="10"/>
  <c r="I24" i="10"/>
  <c r="F24" i="10"/>
  <c r="AC22" i="10"/>
  <c r="Z22" i="10"/>
  <c r="W22" i="10"/>
  <c r="T22" i="10"/>
  <c r="Q22" i="10"/>
  <c r="N22" i="10"/>
  <c r="K22" i="10"/>
  <c r="H22" i="10"/>
  <c r="E22" i="10"/>
  <c r="E17" i="10"/>
  <c r="AC16" i="10"/>
  <c r="Z16" i="10"/>
  <c r="W16" i="10"/>
  <c r="R16" i="10"/>
  <c r="L16" i="10"/>
  <c r="A16" i="10"/>
  <c r="AC14" i="10"/>
  <c r="Z14" i="10"/>
  <c r="W14" i="10"/>
  <c r="R14" i="10"/>
  <c r="L14" i="10"/>
  <c r="A14" i="10"/>
  <c r="AC12" i="10"/>
  <c r="Z12" i="10"/>
  <c r="W12" i="10"/>
  <c r="R12" i="10"/>
  <c r="L12" i="10"/>
  <c r="A12" i="10"/>
  <c r="AC10" i="10"/>
  <c r="Z10" i="10"/>
  <c r="W10" i="10"/>
  <c r="R10" i="10"/>
  <c r="L10" i="10"/>
  <c r="A10" i="10"/>
  <c r="AC8" i="10"/>
  <c r="Z8" i="10"/>
  <c r="W8" i="10"/>
  <c r="R8" i="10"/>
  <c r="L8" i="10"/>
  <c r="A8" i="10"/>
  <c r="R7" i="10"/>
  <c r="L7" i="10"/>
  <c r="AY6" i="10"/>
  <c r="K6" i="10"/>
  <c r="AY5" i="10"/>
  <c r="AY4" i="10"/>
  <c r="AY3" i="10"/>
  <c r="K201" i="5"/>
  <c r="AW18" i="6"/>
  <c r="K198" i="5"/>
  <c r="AW17" i="6"/>
  <c r="K190" i="5"/>
  <c r="AW16" i="6"/>
  <c r="K109" i="5"/>
  <c r="AW15" i="6"/>
  <c r="K183" i="5"/>
  <c r="AW14" i="6"/>
  <c r="K182" i="5"/>
  <c r="AW13" i="6"/>
  <c r="K173" i="5"/>
  <c r="AW12" i="6"/>
  <c r="K185" i="5"/>
  <c r="AW11" i="6"/>
  <c r="K172" i="5"/>
  <c r="AW10" i="6"/>
  <c r="K194" i="5"/>
  <c r="AW9" i="6"/>
  <c r="K191" i="5"/>
  <c r="AW8" i="6"/>
  <c r="K177" i="5"/>
  <c r="AW7" i="6"/>
  <c r="K189" i="5"/>
  <c r="AW6" i="6"/>
  <c r="K192" i="5"/>
  <c r="AW5" i="6"/>
  <c r="K184" i="5"/>
  <c r="AW4" i="6"/>
  <c r="K181" i="5"/>
  <c r="AW3" i="6"/>
  <c r="W439" i="6"/>
  <c r="W440" i="6"/>
  <c r="W441" i="6"/>
  <c r="W442" i="6"/>
  <c r="Y439" i="6"/>
  <c r="Y440" i="6"/>
  <c r="Y441" i="6"/>
  <c r="Y442" i="6"/>
  <c r="AC438" i="6"/>
  <c r="E267" i="6"/>
  <c r="AF352" i="6"/>
  <c r="X433" i="6"/>
  <c r="W450" i="6"/>
  <c r="E8" i="6"/>
  <c r="B79" i="6"/>
  <c r="AT79" i="6"/>
  <c r="E10" i="6"/>
  <c r="B80" i="6"/>
  <c r="AT80" i="6"/>
  <c r="E12" i="6"/>
  <c r="B81" i="6"/>
  <c r="AT81" i="6"/>
  <c r="E14" i="6"/>
  <c r="B82" i="6"/>
  <c r="AT82" i="6"/>
  <c r="AC72" i="6"/>
  <c r="AE72" i="6"/>
  <c r="Z72" i="6"/>
  <c r="AB72" i="6"/>
  <c r="W72" i="6"/>
  <c r="Y72" i="6"/>
  <c r="T72" i="6"/>
  <c r="V72" i="6"/>
  <c r="Q31" i="6"/>
  <c r="Q32" i="6"/>
  <c r="Q33" i="6"/>
  <c r="Q34" i="6"/>
  <c r="Q35" i="6"/>
  <c r="Q64" i="6"/>
  <c r="S64" i="6"/>
  <c r="Q65" i="6"/>
  <c r="S31" i="6"/>
  <c r="S32" i="6"/>
  <c r="S33" i="6"/>
  <c r="S34" i="6"/>
  <c r="S35" i="6"/>
  <c r="S65" i="6"/>
  <c r="Q66" i="6"/>
  <c r="S66" i="6"/>
  <c r="Q67" i="6"/>
  <c r="S67" i="6"/>
  <c r="Q68" i="6"/>
  <c r="S68" i="6"/>
  <c r="R71" i="6"/>
  <c r="Q72" i="6"/>
  <c r="N72" i="6"/>
  <c r="P72" i="6"/>
  <c r="K31" i="6"/>
  <c r="K32" i="6"/>
  <c r="K33" i="6"/>
  <c r="K34" i="6"/>
  <c r="K35" i="6"/>
  <c r="K64" i="6"/>
  <c r="M64" i="6"/>
  <c r="K65" i="6"/>
  <c r="M65" i="6"/>
  <c r="K66" i="6"/>
  <c r="M31" i="6"/>
  <c r="M32" i="6"/>
  <c r="M33" i="6"/>
  <c r="M34" i="6"/>
  <c r="M35" i="6"/>
  <c r="M66" i="6"/>
  <c r="K67" i="6"/>
  <c r="M67" i="6"/>
  <c r="K68" i="6"/>
  <c r="M68" i="6"/>
  <c r="L71" i="6"/>
  <c r="K72" i="6"/>
  <c r="H72" i="6"/>
  <c r="J72" i="6"/>
  <c r="E31" i="6"/>
  <c r="E32" i="6"/>
  <c r="E33" i="6"/>
  <c r="E34" i="6"/>
  <c r="E35" i="6"/>
  <c r="E64" i="6"/>
  <c r="G64" i="6"/>
  <c r="E65" i="6"/>
  <c r="G65" i="6"/>
  <c r="E66" i="6"/>
  <c r="G66" i="6"/>
  <c r="E67" i="6"/>
  <c r="G31" i="6"/>
  <c r="G32" i="6"/>
  <c r="G33" i="6"/>
  <c r="G34" i="6"/>
  <c r="G35" i="6"/>
  <c r="G67" i="6"/>
  <c r="E68" i="6"/>
  <c r="G68" i="6"/>
  <c r="F71" i="6"/>
  <c r="E72" i="6"/>
  <c r="B72" i="6"/>
  <c r="D72" i="6"/>
  <c r="C79" i="6"/>
  <c r="D79" i="6"/>
  <c r="E85" i="6"/>
  <c r="E36" i="6"/>
  <c r="B75" i="6"/>
  <c r="D75" i="6"/>
  <c r="C82" i="6"/>
  <c r="D82" i="6"/>
  <c r="G85" i="6"/>
  <c r="G36" i="6"/>
  <c r="E86" i="6"/>
  <c r="E87" i="6"/>
  <c r="G79" i="6"/>
  <c r="J79" i="6"/>
  <c r="K85" i="6"/>
  <c r="K36" i="6"/>
  <c r="H74" i="6"/>
  <c r="J74" i="6"/>
  <c r="E74" i="6"/>
  <c r="G74" i="6"/>
  <c r="B74" i="6"/>
  <c r="B64" i="6"/>
  <c r="D64" i="6"/>
  <c r="B31" i="6"/>
  <c r="B32" i="6"/>
  <c r="B33" i="6"/>
  <c r="B34" i="6"/>
  <c r="B35" i="6"/>
  <c r="B65" i="6"/>
  <c r="D65" i="6"/>
  <c r="B66" i="6"/>
  <c r="D31" i="6"/>
  <c r="D32" i="6"/>
  <c r="D33" i="6"/>
  <c r="D34" i="6"/>
  <c r="D35" i="6"/>
  <c r="D66" i="6"/>
  <c r="B67" i="6"/>
  <c r="D67" i="6"/>
  <c r="B68" i="6"/>
  <c r="D68" i="6"/>
  <c r="C71" i="6"/>
  <c r="D74" i="6"/>
  <c r="C81" i="6"/>
  <c r="D85" i="6"/>
  <c r="D36" i="6"/>
  <c r="C80" i="6"/>
  <c r="B85" i="6"/>
  <c r="B36" i="6"/>
  <c r="D86" i="6"/>
  <c r="D87" i="6"/>
  <c r="D81" i="6"/>
  <c r="G81" i="6"/>
  <c r="J81" i="6"/>
  <c r="M85" i="6"/>
  <c r="M36" i="6"/>
  <c r="K86" i="6"/>
  <c r="K87" i="6"/>
  <c r="M79" i="6"/>
  <c r="P79" i="6"/>
  <c r="Q85" i="6"/>
  <c r="Q36" i="6"/>
  <c r="N73" i="6"/>
  <c r="P73" i="6"/>
  <c r="K73" i="6"/>
  <c r="M73" i="6"/>
  <c r="H64" i="6"/>
  <c r="J64" i="6"/>
  <c r="H31" i="6"/>
  <c r="H32" i="6"/>
  <c r="H33" i="6"/>
  <c r="H34" i="6"/>
  <c r="H35" i="6"/>
  <c r="H65" i="6"/>
  <c r="J65" i="6"/>
  <c r="H66" i="6"/>
  <c r="J66" i="6"/>
  <c r="H67" i="6"/>
  <c r="J31" i="6"/>
  <c r="J32" i="6"/>
  <c r="J33" i="6"/>
  <c r="J34" i="6"/>
  <c r="J35" i="6"/>
  <c r="J67" i="6"/>
  <c r="H68" i="6"/>
  <c r="J68" i="6"/>
  <c r="I71" i="6"/>
  <c r="H73" i="6"/>
  <c r="E73" i="6"/>
  <c r="G73" i="6"/>
  <c r="B73" i="6"/>
  <c r="B86" i="6"/>
  <c r="B87" i="6"/>
  <c r="D80" i="6"/>
  <c r="G80" i="6"/>
  <c r="H85" i="6"/>
  <c r="H36" i="6"/>
  <c r="E75" i="6"/>
  <c r="G75" i="6"/>
  <c r="G86" i="6"/>
  <c r="G87" i="6"/>
  <c r="G82" i="6"/>
  <c r="J85" i="6"/>
  <c r="J36" i="6"/>
  <c r="H86" i="6"/>
  <c r="H87" i="6"/>
  <c r="J80" i="6"/>
  <c r="M80" i="6"/>
  <c r="P80" i="6"/>
  <c r="S85" i="6"/>
  <c r="S36" i="6"/>
  <c r="Q86" i="6"/>
  <c r="Q87" i="6"/>
  <c r="S79" i="6"/>
  <c r="V79" i="6"/>
  <c r="Y79" i="6"/>
  <c r="AB79" i="6"/>
  <c r="AE79" i="6"/>
  <c r="AU79" i="6"/>
  <c r="AC73" i="6"/>
  <c r="AE73" i="6"/>
  <c r="Z73" i="6"/>
  <c r="AB73" i="6"/>
  <c r="W73" i="6"/>
  <c r="Y73" i="6"/>
  <c r="T73" i="6"/>
  <c r="V73" i="6"/>
  <c r="Q73" i="6"/>
  <c r="S73" i="6"/>
  <c r="S86" i="6"/>
  <c r="S87" i="6"/>
  <c r="S80" i="6"/>
  <c r="V80" i="6"/>
  <c r="Y80" i="6"/>
  <c r="AB80" i="6"/>
  <c r="AE80" i="6"/>
  <c r="AU80" i="6"/>
  <c r="AC74" i="6"/>
  <c r="AE74" i="6"/>
  <c r="Z74" i="6"/>
  <c r="AB74" i="6"/>
  <c r="W74" i="6"/>
  <c r="Y74" i="6"/>
  <c r="T74" i="6"/>
  <c r="V74" i="6"/>
  <c r="Q74" i="6"/>
  <c r="S74" i="6"/>
  <c r="N64" i="6"/>
  <c r="P64" i="6"/>
  <c r="N65" i="6"/>
  <c r="P65" i="6"/>
  <c r="N31" i="6"/>
  <c r="N32" i="6"/>
  <c r="N33" i="6"/>
  <c r="N34" i="6"/>
  <c r="N35" i="6"/>
  <c r="N66" i="6"/>
  <c r="P66" i="6"/>
  <c r="N67" i="6"/>
  <c r="P31" i="6"/>
  <c r="P32" i="6"/>
  <c r="P33" i="6"/>
  <c r="P34" i="6"/>
  <c r="P35" i="6"/>
  <c r="P67" i="6"/>
  <c r="N68" i="6"/>
  <c r="P68" i="6"/>
  <c r="O71" i="6"/>
  <c r="N74" i="6"/>
  <c r="K74" i="6"/>
  <c r="M74" i="6"/>
  <c r="M86" i="6"/>
  <c r="M87" i="6"/>
  <c r="M81" i="6"/>
  <c r="N85" i="6"/>
  <c r="N36" i="6"/>
  <c r="K75" i="6"/>
  <c r="M75" i="6"/>
  <c r="H75" i="6"/>
  <c r="J75" i="6"/>
  <c r="J86" i="6"/>
  <c r="J87" i="6"/>
  <c r="J82" i="6"/>
  <c r="M82" i="6"/>
  <c r="P85" i="6"/>
  <c r="P36" i="6"/>
  <c r="N86" i="6"/>
  <c r="N87" i="6"/>
  <c r="P81" i="6"/>
  <c r="S81" i="6"/>
  <c r="V81" i="6"/>
  <c r="Y81" i="6"/>
  <c r="AB81" i="6"/>
  <c r="AE81" i="6"/>
  <c r="AU81" i="6"/>
  <c r="AC75" i="6"/>
  <c r="AE75" i="6"/>
  <c r="Z75" i="6"/>
  <c r="AB75" i="6"/>
  <c r="W75" i="6"/>
  <c r="Y75" i="6"/>
  <c r="T75" i="6"/>
  <c r="V75" i="6"/>
  <c r="Q75" i="6"/>
  <c r="S75" i="6"/>
  <c r="N75" i="6"/>
  <c r="P75" i="6"/>
  <c r="P86" i="6"/>
  <c r="P87" i="6"/>
  <c r="P82" i="6"/>
  <c r="S82" i="6"/>
  <c r="V82" i="6"/>
  <c r="Y82" i="6"/>
  <c r="AB82" i="6"/>
  <c r="AE82" i="6"/>
  <c r="AU82" i="6"/>
  <c r="E16" i="6"/>
  <c r="B83" i="6"/>
  <c r="AT83" i="6"/>
  <c r="AC76" i="6"/>
  <c r="AE76" i="6"/>
  <c r="Z76" i="6"/>
  <c r="AB76" i="6"/>
  <c r="W76" i="6"/>
  <c r="Y76" i="6"/>
  <c r="T76" i="6"/>
  <c r="V76" i="6"/>
  <c r="Q76" i="6"/>
  <c r="S76" i="6"/>
  <c r="N76" i="6"/>
  <c r="P76" i="6"/>
  <c r="K76" i="6"/>
  <c r="M76" i="6"/>
  <c r="H76" i="6"/>
  <c r="J76" i="6"/>
  <c r="E76" i="6"/>
  <c r="G76" i="6"/>
  <c r="B76" i="6"/>
  <c r="D76" i="6"/>
  <c r="C83" i="6"/>
  <c r="D83" i="6"/>
  <c r="G83" i="6"/>
  <c r="J83" i="6"/>
  <c r="M83" i="6"/>
  <c r="P83" i="6"/>
  <c r="S83" i="6"/>
  <c r="V83" i="6"/>
  <c r="Y83" i="6"/>
  <c r="AB83" i="6"/>
  <c r="AE83" i="6"/>
  <c r="AU83" i="6"/>
  <c r="E93" i="6"/>
  <c r="B164" i="6"/>
  <c r="AT164" i="6"/>
  <c r="AC157" i="6"/>
  <c r="AE157" i="6"/>
  <c r="Z157" i="6"/>
  <c r="AB157" i="6"/>
  <c r="W157" i="6"/>
  <c r="Y157" i="6"/>
  <c r="T157" i="6"/>
  <c r="V157" i="6"/>
  <c r="Q116" i="6"/>
  <c r="Q117" i="6"/>
  <c r="Q118" i="6"/>
  <c r="Q119" i="6"/>
  <c r="Q120" i="6"/>
  <c r="Q149" i="6"/>
  <c r="S149" i="6"/>
  <c r="Q150" i="6"/>
  <c r="S116" i="6"/>
  <c r="S117" i="6"/>
  <c r="S118" i="6"/>
  <c r="S119" i="6"/>
  <c r="S120" i="6"/>
  <c r="S150" i="6"/>
  <c r="Q151" i="6"/>
  <c r="S151" i="6"/>
  <c r="Q152" i="6"/>
  <c r="S152" i="6"/>
  <c r="Q153" i="6"/>
  <c r="S153" i="6"/>
  <c r="R156" i="6"/>
  <c r="Q157" i="6"/>
  <c r="N157" i="6"/>
  <c r="P157" i="6"/>
  <c r="K116" i="6"/>
  <c r="K117" i="6"/>
  <c r="K118" i="6"/>
  <c r="K119" i="6"/>
  <c r="K120" i="6"/>
  <c r="K149" i="6"/>
  <c r="M149" i="6"/>
  <c r="K150" i="6"/>
  <c r="M150" i="6"/>
  <c r="K151" i="6"/>
  <c r="M116" i="6"/>
  <c r="M117" i="6"/>
  <c r="M118" i="6"/>
  <c r="M119" i="6"/>
  <c r="M120" i="6"/>
  <c r="M151" i="6"/>
  <c r="K152" i="6"/>
  <c r="M152" i="6"/>
  <c r="K153" i="6"/>
  <c r="M153" i="6"/>
  <c r="L156" i="6"/>
  <c r="K157" i="6"/>
  <c r="H157" i="6"/>
  <c r="J157" i="6"/>
  <c r="E116" i="6"/>
  <c r="E117" i="6"/>
  <c r="E118" i="6"/>
  <c r="E119" i="6"/>
  <c r="E120" i="6"/>
  <c r="E149" i="6"/>
  <c r="G149" i="6"/>
  <c r="E150" i="6"/>
  <c r="G150" i="6"/>
  <c r="E151" i="6"/>
  <c r="G151" i="6"/>
  <c r="E152" i="6"/>
  <c r="G116" i="6"/>
  <c r="G117" i="6"/>
  <c r="G118" i="6"/>
  <c r="G119" i="6"/>
  <c r="G120" i="6"/>
  <c r="G152" i="6"/>
  <c r="E153" i="6"/>
  <c r="G153" i="6"/>
  <c r="F156" i="6"/>
  <c r="E157" i="6"/>
  <c r="B157" i="6"/>
  <c r="D157" i="6"/>
  <c r="C164" i="6"/>
  <c r="D164" i="6"/>
  <c r="E170" i="6"/>
  <c r="E121" i="6"/>
  <c r="B160" i="6"/>
  <c r="D160" i="6"/>
  <c r="E99" i="6"/>
  <c r="B167" i="6"/>
  <c r="C167" i="6"/>
  <c r="D167" i="6"/>
  <c r="G170" i="6"/>
  <c r="G121" i="6"/>
  <c r="E171" i="6"/>
  <c r="E172" i="6"/>
  <c r="G164" i="6"/>
  <c r="J164" i="6"/>
  <c r="K170" i="6"/>
  <c r="K121" i="6"/>
  <c r="H159" i="6"/>
  <c r="J159" i="6"/>
  <c r="E159" i="6"/>
  <c r="G159" i="6"/>
  <c r="B159" i="6"/>
  <c r="B149" i="6"/>
  <c r="D149" i="6"/>
  <c r="B116" i="6"/>
  <c r="B117" i="6"/>
  <c r="B118" i="6"/>
  <c r="B119" i="6"/>
  <c r="B120" i="6"/>
  <c r="B150" i="6"/>
  <c r="D150" i="6"/>
  <c r="B151" i="6"/>
  <c r="D116" i="6"/>
  <c r="D117" i="6"/>
  <c r="D118" i="6"/>
  <c r="D119" i="6"/>
  <c r="D120" i="6"/>
  <c r="D151" i="6"/>
  <c r="B152" i="6"/>
  <c r="D152" i="6"/>
  <c r="B153" i="6"/>
  <c r="D153" i="6"/>
  <c r="C156" i="6"/>
  <c r="D159" i="6"/>
  <c r="E97" i="6"/>
  <c r="B166" i="6"/>
  <c r="C166" i="6"/>
  <c r="D170" i="6"/>
  <c r="D121" i="6"/>
  <c r="E95" i="6"/>
  <c r="B165" i="6"/>
  <c r="C165" i="6"/>
  <c r="B170" i="6"/>
  <c r="B121" i="6"/>
  <c r="D171" i="6"/>
  <c r="D172" i="6"/>
  <c r="D166" i="6"/>
  <c r="G166" i="6"/>
  <c r="J166" i="6"/>
  <c r="M170" i="6"/>
  <c r="M121" i="6"/>
  <c r="K171" i="6"/>
  <c r="K172" i="6"/>
  <c r="M164" i="6"/>
  <c r="P164" i="6"/>
  <c r="Q170" i="6"/>
  <c r="Q121" i="6"/>
  <c r="N158" i="6"/>
  <c r="P158" i="6"/>
  <c r="K158" i="6"/>
  <c r="M158" i="6"/>
  <c r="H149" i="6"/>
  <c r="J149" i="6"/>
  <c r="H116" i="6"/>
  <c r="H117" i="6"/>
  <c r="H118" i="6"/>
  <c r="H119" i="6"/>
  <c r="H120" i="6"/>
  <c r="H150" i="6"/>
  <c r="J150" i="6"/>
  <c r="H151" i="6"/>
  <c r="J151" i="6"/>
  <c r="H152" i="6"/>
  <c r="J116" i="6"/>
  <c r="J117" i="6"/>
  <c r="J118" i="6"/>
  <c r="J119" i="6"/>
  <c r="J120" i="6"/>
  <c r="J152" i="6"/>
  <c r="H153" i="6"/>
  <c r="J153" i="6"/>
  <c r="I156" i="6"/>
  <c r="H158" i="6"/>
  <c r="E158" i="6"/>
  <c r="G158" i="6"/>
  <c r="B158" i="6"/>
  <c r="B171" i="6"/>
  <c r="B172" i="6"/>
  <c r="D165" i="6"/>
  <c r="G165" i="6"/>
  <c r="H170" i="6"/>
  <c r="H121" i="6"/>
  <c r="E160" i="6"/>
  <c r="G160" i="6"/>
  <c r="G171" i="6"/>
  <c r="G172" i="6"/>
  <c r="G167" i="6"/>
  <c r="J170" i="6"/>
  <c r="J121" i="6"/>
  <c r="H171" i="6"/>
  <c r="H172" i="6"/>
  <c r="J165" i="6"/>
  <c r="M165" i="6"/>
  <c r="P165" i="6"/>
  <c r="S170" i="6"/>
  <c r="S121" i="6"/>
  <c r="Q171" i="6"/>
  <c r="Q172" i="6"/>
  <c r="S164" i="6"/>
  <c r="V164" i="6"/>
  <c r="Y164" i="6"/>
  <c r="AB164" i="6"/>
  <c r="AE164" i="6"/>
  <c r="AU164" i="6"/>
  <c r="AT165" i="6"/>
  <c r="AC158" i="6"/>
  <c r="AE158" i="6"/>
  <c r="Z158" i="6"/>
  <c r="AB158" i="6"/>
  <c r="W158" i="6"/>
  <c r="Y158" i="6"/>
  <c r="T158" i="6"/>
  <c r="V158" i="6"/>
  <c r="Q158" i="6"/>
  <c r="S158" i="6"/>
  <c r="S171" i="6"/>
  <c r="S172" i="6"/>
  <c r="S165" i="6"/>
  <c r="V165" i="6"/>
  <c r="Y165" i="6"/>
  <c r="AB165" i="6"/>
  <c r="AE165" i="6"/>
  <c r="AU165" i="6"/>
  <c r="AT166" i="6"/>
  <c r="AC159" i="6"/>
  <c r="AE159" i="6"/>
  <c r="Z159" i="6"/>
  <c r="AB159" i="6"/>
  <c r="W159" i="6"/>
  <c r="Y159" i="6"/>
  <c r="T159" i="6"/>
  <c r="V159" i="6"/>
  <c r="Q159" i="6"/>
  <c r="S159" i="6"/>
  <c r="N149" i="6"/>
  <c r="P149" i="6"/>
  <c r="N150" i="6"/>
  <c r="P150" i="6"/>
  <c r="N116" i="6"/>
  <c r="N117" i="6"/>
  <c r="N118" i="6"/>
  <c r="N119" i="6"/>
  <c r="N120" i="6"/>
  <c r="N151" i="6"/>
  <c r="P151" i="6"/>
  <c r="N152" i="6"/>
  <c r="P116" i="6"/>
  <c r="P117" i="6"/>
  <c r="P118" i="6"/>
  <c r="P119" i="6"/>
  <c r="P120" i="6"/>
  <c r="P152" i="6"/>
  <c r="N153" i="6"/>
  <c r="P153" i="6"/>
  <c r="O156" i="6"/>
  <c r="N159" i="6"/>
  <c r="K159" i="6"/>
  <c r="M159" i="6"/>
  <c r="M171" i="6"/>
  <c r="M172" i="6"/>
  <c r="M166" i="6"/>
  <c r="N170" i="6"/>
  <c r="N121" i="6"/>
  <c r="K160" i="6"/>
  <c r="M160" i="6"/>
  <c r="H160" i="6"/>
  <c r="J160" i="6"/>
  <c r="J171" i="6"/>
  <c r="J172" i="6"/>
  <c r="J167" i="6"/>
  <c r="M167" i="6"/>
  <c r="P170" i="6"/>
  <c r="P121" i="6"/>
  <c r="N171" i="6"/>
  <c r="N172" i="6"/>
  <c r="P166" i="6"/>
  <c r="S166" i="6"/>
  <c r="V166" i="6"/>
  <c r="Y166" i="6"/>
  <c r="AB166" i="6"/>
  <c r="AE166" i="6"/>
  <c r="AU166" i="6"/>
  <c r="AT167" i="6"/>
  <c r="AC160" i="6"/>
  <c r="AE160" i="6"/>
  <c r="Z160" i="6"/>
  <c r="AB160" i="6"/>
  <c r="W160" i="6"/>
  <c r="Y160" i="6"/>
  <c r="T160" i="6"/>
  <c r="V160" i="6"/>
  <c r="Q160" i="6"/>
  <c r="S160" i="6"/>
  <c r="N160" i="6"/>
  <c r="P160" i="6"/>
  <c r="P171" i="6"/>
  <c r="P172" i="6"/>
  <c r="P167" i="6"/>
  <c r="S167" i="6"/>
  <c r="V167" i="6"/>
  <c r="Y167" i="6"/>
  <c r="AB167" i="6"/>
  <c r="AE167" i="6"/>
  <c r="AU167" i="6"/>
  <c r="E101" i="6"/>
  <c r="B168" i="6"/>
  <c r="AT168" i="6"/>
  <c r="AC161" i="6"/>
  <c r="AE161" i="6"/>
  <c r="Z161" i="6"/>
  <c r="AB161" i="6"/>
  <c r="W161" i="6"/>
  <c r="Y161" i="6"/>
  <c r="T161" i="6"/>
  <c r="V161" i="6"/>
  <c r="Q161" i="6"/>
  <c r="S161" i="6"/>
  <c r="N161" i="6"/>
  <c r="P161" i="6"/>
  <c r="K161" i="6"/>
  <c r="M161" i="6"/>
  <c r="H161" i="6"/>
  <c r="J161" i="6"/>
  <c r="E161" i="6"/>
  <c r="G161" i="6"/>
  <c r="B161" i="6"/>
  <c r="D161" i="6"/>
  <c r="C168" i="6"/>
  <c r="D168" i="6"/>
  <c r="G168" i="6"/>
  <c r="J168" i="6"/>
  <c r="M168" i="6"/>
  <c r="P168" i="6"/>
  <c r="S168" i="6"/>
  <c r="V168" i="6"/>
  <c r="Y168" i="6"/>
  <c r="AB168" i="6"/>
  <c r="AE168" i="6"/>
  <c r="AU168" i="6"/>
  <c r="E178" i="6"/>
  <c r="B249" i="6"/>
  <c r="AT249" i="6"/>
  <c r="AC242" i="6"/>
  <c r="AE242" i="6"/>
  <c r="Z242" i="6"/>
  <c r="AB242" i="6"/>
  <c r="W242" i="6"/>
  <c r="Y242" i="6"/>
  <c r="T242" i="6"/>
  <c r="V242" i="6"/>
  <c r="Q201" i="6"/>
  <c r="Q202" i="6"/>
  <c r="Q203" i="6"/>
  <c r="Q204" i="6"/>
  <c r="Q205" i="6"/>
  <c r="Q234" i="6"/>
  <c r="S234" i="6"/>
  <c r="Q235" i="6"/>
  <c r="S201" i="6"/>
  <c r="S202" i="6"/>
  <c r="S203" i="6"/>
  <c r="S204" i="6"/>
  <c r="S205" i="6"/>
  <c r="S235" i="6"/>
  <c r="Q236" i="6"/>
  <c r="S236" i="6"/>
  <c r="Q237" i="6"/>
  <c r="S237" i="6"/>
  <c r="Q238" i="6"/>
  <c r="S238" i="6"/>
  <c r="R241" i="6"/>
  <c r="Q242" i="6"/>
  <c r="N242" i="6"/>
  <c r="P242" i="6"/>
  <c r="K201" i="6"/>
  <c r="K202" i="6"/>
  <c r="K203" i="6"/>
  <c r="K204" i="6"/>
  <c r="K205" i="6"/>
  <c r="K234" i="6"/>
  <c r="M234" i="6"/>
  <c r="K235" i="6"/>
  <c r="M235" i="6"/>
  <c r="K236" i="6"/>
  <c r="M201" i="6"/>
  <c r="M202" i="6"/>
  <c r="M203" i="6"/>
  <c r="M204" i="6"/>
  <c r="M205" i="6"/>
  <c r="M236" i="6"/>
  <c r="K237" i="6"/>
  <c r="M237" i="6"/>
  <c r="K238" i="6"/>
  <c r="M238" i="6"/>
  <c r="L241" i="6"/>
  <c r="K242" i="6"/>
  <c r="H242" i="6"/>
  <c r="J242" i="6"/>
  <c r="E201" i="6"/>
  <c r="E202" i="6"/>
  <c r="E203" i="6"/>
  <c r="E204" i="6"/>
  <c r="E205" i="6"/>
  <c r="E234" i="6"/>
  <c r="G234" i="6"/>
  <c r="E235" i="6"/>
  <c r="G235" i="6"/>
  <c r="E236" i="6"/>
  <c r="G236" i="6"/>
  <c r="E237" i="6"/>
  <c r="G201" i="6"/>
  <c r="G202" i="6"/>
  <c r="G203" i="6"/>
  <c r="G204" i="6"/>
  <c r="G205" i="6"/>
  <c r="G237" i="6"/>
  <c r="E238" i="6"/>
  <c r="G238" i="6"/>
  <c r="F241" i="6"/>
  <c r="E242" i="6"/>
  <c r="B242" i="6"/>
  <c r="D242" i="6"/>
  <c r="C249" i="6"/>
  <c r="D249" i="6"/>
  <c r="E255" i="6"/>
  <c r="E206" i="6"/>
  <c r="B245" i="6"/>
  <c r="D245" i="6"/>
  <c r="E184" i="6"/>
  <c r="B252" i="6"/>
  <c r="C252" i="6"/>
  <c r="D252" i="6"/>
  <c r="G255" i="6"/>
  <c r="G206" i="6"/>
  <c r="E256" i="6"/>
  <c r="E257" i="6"/>
  <c r="G249" i="6"/>
  <c r="J249" i="6"/>
  <c r="K255" i="6"/>
  <c r="K206" i="6"/>
  <c r="H244" i="6"/>
  <c r="J244" i="6"/>
  <c r="E244" i="6"/>
  <c r="G244" i="6"/>
  <c r="B244" i="6"/>
  <c r="B234" i="6"/>
  <c r="D234" i="6"/>
  <c r="B201" i="6"/>
  <c r="B202" i="6"/>
  <c r="B203" i="6"/>
  <c r="B204" i="6"/>
  <c r="B205" i="6"/>
  <c r="B235" i="6"/>
  <c r="D235" i="6"/>
  <c r="B236" i="6"/>
  <c r="D201" i="6"/>
  <c r="D202" i="6"/>
  <c r="D203" i="6"/>
  <c r="D204" i="6"/>
  <c r="D205" i="6"/>
  <c r="D236" i="6"/>
  <c r="B237" i="6"/>
  <c r="D237" i="6"/>
  <c r="B238" i="6"/>
  <c r="D238" i="6"/>
  <c r="C241" i="6"/>
  <c r="D244" i="6"/>
  <c r="E182" i="6"/>
  <c r="B251" i="6"/>
  <c r="C251" i="6"/>
  <c r="D255" i="6"/>
  <c r="D206" i="6"/>
  <c r="E180" i="6"/>
  <c r="B250" i="6"/>
  <c r="C250" i="6"/>
  <c r="B255" i="6"/>
  <c r="B206" i="6"/>
  <c r="D256" i="6"/>
  <c r="D257" i="6"/>
  <c r="D251" i="6"/>
  <c r="G251" i="6"/>
  <c r="J251" i="6"/>
  <c r="M255" i="6"/>
  <c r="M206" i="6"/>
  <c r="K256" i="6"/>
  <c r="K257" i="6"/>
  <c r="M249" i="6"/>
  <c r="P249" i="6"/>
  <c r="Q255" i="6"/>
  <c r="Q206" i="6"/>
  <c r="N243" i="6"/>
  <c r="P243" i="6"/>
  <c r="K243" i="6"/>
  <c r="M243" i="6"/>
  <c r="H234" i="6"/>
  <c r="J234" i="6"/>
  <c r="H201" i="6"/>
  <c r="H202" i="6"/>
  <c r="H203" i="6"/>
  <c r="H204" i="6"/>
  <c r="H205" i="6"/>
  <c r="H235" i="6"/>
  <c r="J235" i="6"/>
  <c r="H236" i="6"/>
  <c r="J236" i="6"/>
  <c r="H237" i="6"/>
  <c r="J201" i="6"/>
  <c r="J202" i="6"/>
  <c r="J203" i="6"/>
  <c r="J204" i="6"/>
  <c r="J205" i="6"/>
  <c r="J237" i="6"/>
  <c r="H238" i="6"/>
  <c r="J238" i="6"/>
  <c r="I241" i="6"/>
  <c r="H243" i="6"/>
  <c r="E243" i="6"/>
  <c r="G243" i="6"/>
  <c r="B243" i="6"/>
  <c r="B256" i="6"/>
  <c r="B257" i="6"/>
  <c r="D250" i="6"/>
  <c r="G250" i="6"/>
  <c r="H255" i="6"/>
  <c r="H206" i="6"/>
  <c r="E245" i="6"/>
  <c r="G245" i="6"/>
  <c r="G256" i="6"/>
  <c r="G257" i="6"/>
  <c r="G252" i="6"/>
  <c r="J255" i="6"/>
  <c r="J206" i="6"/>
  <c r="H256" i="6"/>
  <c r="H257" i="6"/>
  <c r="J250" i="6"/>
  <c r="M250" i="6"/>
  <c r="P250" i="6"/>
  <c r="S255" i="6"/>
  <c r="S206" i="6"/>
  <c r="Q256" i="6"/>
  <c r="Q257" i="6"/>
  <c r="S249" i="6"/>
  <c r="V249" i="6"/>
  <c r="Y249" i="6"/>
  <c r="AB249" i="6"/>
  <c r="AE249" i="6"/>
  <c r="AU249" i="6"/>
  <c r="AT250" i="6"/>
  <c r="AC243" i="6"/>
  <c r="AE243" i="6"/>
  <c r="Z243" i="6"/>
  <c r="AB243" i="6"/>
  <c r="W243" i="6"/>
  <c r="Y243" i="6"/>
  <c r="T243" i="6"/>
  <c r="V243" i="6"/>
  <c r="Q243" i="6"/>
  <c r="S243" i="6"/>
  <c r="S256" i="6"/>
  <c r="S257" i="6"/>
  <c r="S250" i="6"/>
  <c r="V250" i="6"/>
  <c r="Y250" i="6"/>
  <c r="AB250" i="6"/>
  <c r="AE250" i="6"/>
  <c r="AU250" i="6"/>
  <c r="AT251" i="6"/>
  <c r="AC244" i="6"/>
  <c r="AE244" i="6"/>
  <c r="Z244" i="6"/>
  <c r="AB244" i="6"/>
  <c r="W244" i="6"/>
  <c r="Y244" i="6"/>
  <c r="T244" i="6"/>
  <c r="V244" i="6"/>
  <c r="Q244" i="6"/>
  <c r="S244" i="6"/>
  <c r="N234" i="6"/>
  <c r="P234" i="6"/>
  <c r="N235" i="6"/>
  <c r="P235" i="6"/>
  <c r="N201" i="6"/>
  <c r="N202" i="6"/>
  <c r="N203" i="6"/>
  <c r="N204" i="6"/>
  <c r="N205" i="6"/>
  <c r="N236" i="6"/>
  <c r="P236" i="6"/>
  <c r="N237" i="6"/>
  <c r="P201" i="6"/>
  <c r="P202" i="6"/>
  <c r="P203" i="6"/>
  <c r="P204" i="6"/>
  <c r="P205" i="6"/>
  <c r="P237" i="6"/>
  <c r="N238" i="6"/>
  <c r="P238" i="6"/>
  <c r="O241" i="6"/>
  <c r="N244" i="6"/>
  <c r="K244" i="6"/>
  <c r="M244" i="6"/>
  <c r="M256" i="6"/>
  <c r="M257" i="6"/>
  <c r="M251" i="6"/>
  <c r="N255" i="6"/>
  <c r="N206" i="6"/>
  <c r="K245" i="6"/>
  <c r="M245" i="6"/>
  <c r="H245" i="6"/>
  <c r="J245" i="6"/>
  <c r="J256" i="6"/>
  <c r="J257" i="6"/>
  <c r="J252" i="6"/>
  <c r="M252" i="6"/>
  <c r="P255" i="6"/>
  <c r="P206" i="6"/>
  <c r="N256" i="6"/>
  <c r="N257" i="6"/>
  <c r="P251" i="6"/>
  <c r="S251" i="6"/>
  <c r="V251" i="6"/>
  <c r="Y251" i="6"/>
  <c r="AB251" i="6"/>
  <c r="AE251" i="6"/>
  <c r="AU251" i="6"/>
  <c r="AT252" i="6"/>
  <c r="AC245" i="6"/>
  <c r="AE245" i="6"/>
  <c r="Z245" i="6"/>
  <c r="AB245" i="6"/>
  <c r="W245" i="6"/>
  <c r="Y245" i="6"/>
  <c r="T245" i="6"/>
  <c r="V245" i="6"/>
  <c r="Q245" i="6"/>
  <c r="S245" i="6"/>
  <c r="N245" i="6"/>
  <c r="P245" i="6"/>
  <c r="P256" i="6"/>
  <c r="P257" i="6"/>
  <c r="P252" i="6"/>
  <c r="S252" i="6"/>
  <c r="V252" i="6"/>
  <c r="Y252" i="6"/>
  <c r="AB252" i="6"/>
  <c r="AE252" i="6"/>
  <c r="AU252" i="6"/>
  <c r="E186" i="6"/>
  <c r="B253" i="6"/>
  <c r="AT253" i="6"/>
  <c r="AC246" i="6"/>
  <c r="AE246" i="6"/>
  <c r="Z246" i="6"/>
  <c r="AB246" i="6"/>
  <c r="W246" i="6"/>
  <c r="Y246" i="6"/>
  <c r="T246" i="6"/>
  <c r="V246" i="6"/>
  <c r="Q246" i="6"/>
  <c r="S246" i="6"/>
  <c r="N246" i="6"/>
  <c r="P246" i="6"/>
  <c r="K246" i="6"/>
  <c r="M246" i="6"/>
  <c r="H246" i="6"/>
  <c r="J246" i="6"/>
  <c r="E246" i="6"/>
  <c r="G246" i="6"/>
  <c r="B246" i="6"/>
  <c r="D246" i="6"/>
  <c r="C253" i="6"/>
  <c r="D253" i="6"/>
  <c r="G253" i="6"/>
  <c r="J253" i="6"/>
  <c r="M253" i="6"/>
  <c r="P253" i="6"/>
  <c r="S253" i="6"/>
  <c r="V253" i="6"/>
  <c r="Y253" i="6"/>
  <c r="AB253" i="6"/>
  <c r="AE253" i="6"/>
  <c r="AU253" i="6"/>
  <c r="E263" i="6"/>
  <c r="B334" i="6"/>
  <c r="AT334" i="6"/>
  <c r="AC327" i="6"/>
  <c r="AE327" i="6"/>
  <c r="Z327" i="6"/>
  <c r="AB327" i="6"/>
  <c r="W327" i="6"/>
  <c r="Y327" i="6"/>
  <c r="T327" i="6"/>
  <c r="V327" i="6"/>
  <c r="Q286" i="6"/>
  <c r="Q287" i="6"/>
  <c r="Q288" i="6"/>
  <c r="Q289" i="6"/>
  <c r="Q290" i="6"/>
  <c r="Q319" i="6"/>
  <c r="S319" i="6"/>
  <c r="Q320" i="6"/>
  <c r="S286" i="6"/>
  <c r="S287" i="6"/>
  <c r="S288" i="6"/>
  <c r="S289" i="6"/>
  <c r="S290" i="6"/>
  <c r="S320" i="6"/>
  <c r="Q321" i="6"/>
  <c r="S321" i="6"/>
  <c r="Q322" i="6"/>
  <c r="S322" i="6"/>
  <c r="Q323" i="6"/>
  <c r="S323" i="6"/>
  <c r="R326" i="6"/>
  <c r="Q327" i="6"/>
  <c r="N327" i="6"/>
  <c r="P327" i="6"/>
  <c r="K286" i="6"/>
  <c r="K287" i="6"/>
  <c r="K288" i="6"/>
  <c r="K289" i="6"/>
  <c r="K290" i="6"/>
  <c r="K319" i="6"/>
  <c r="M319" i="6"/>
  <c r="K320" i="6"/>
  <c r="M320" i="6"/>
  <c r="K321" i="6"/>
  <c r="M286" i="6"/>
  <c r="M287" i="6"/>
  <c r="M288" i="6"/>
  <c r="M289" i="6"/>
  <c r="M290" i="6"/>
  <c r="M321" i="6"/>
  <c r="K322" i="6"/>
  <c r="M322" i="6"/>
  <c r="K323" i="6"/>
  <c r="M323" i="6"/>
  <c r="L326" i="6"/>
  <c r="K327" i="6"/>
  <c r="H327" i="6"/>
  <c r="J327" i="6"/>
  <c r="E286" i="6"/>
  <c r="E287" i="6"/>
  <c r="E288" i="6"/>
  <c r="E289" i="6"/>
  <c r="E290" i="6"/>
  <c r="E319" i="6"/>
  <c r="G319" i="6"/>
  <c r="E320" i="6"/>
  <c r="G320" i="6"/>
  <c r="E321" i="6"/>
  <c r="G321" i="6"/>
  <c r="E322" i="6"/>
  <c r="G286" i="6"/>
  <c r="G287" i="6"/>
  <c r="G288" i="6"/>
  <c r="G289" i="6"/>
  <c r="G290" i="6"/>
  <c r="G322" i="6"/>
  <c r="E323" i="6"/>
  <c r="G323" i="6"/>
  <c r="F326" i="6"/>
  <c r="E327" i="6"/>
  <c r="B327" i="6"/>
  <c r="D327" i="6"/>
  <c r="C334" i="6"/>
  <c r="D334" i="6"/>
  <c r="E340" i="6"/>
  <c r="E291" i="6"/>
  <c r="B330" i="6"/>
  <c r="D330" i="6"/>
  <c r="E269" i="6"/>
  <c r="B337" i="6"/>
  <c r="C337" i="6"/>
  <c r="D337" i="6"/>
  <c r="G340" i="6"/>
  <c r="G291" i="6"/>
  <c r="E341" i="6"/>
  <c r="E342" i="6"/>
  <c r="G334" i="6"/>
  <c r="J334" i="6"/>
  <c r="K340" i="6"/>
  <c r="K291" i="6"/>
  <c r="H329" i="6"/>
  <c r="J329" i="6"/>
  <c r="E329" i="6"/>
  <c r="G329" i="6"/>
  <c r="B329" i="6"/>
  <c r="B319" i="6"/>
  <c r="D319" i="6"/>
  <c r="B286" i="6"/>
  <c r="B287" i="6"/>
  <c r="B288" i="6"/>
  <c r="B289" i="6"/>
  <c r="B290" i="6"/>
  <c r="B320" i="6"/>
  <c r="D320" i="6"/>
  <c r="B321" i="6"/>
  <c r="D286" i="6"/>
  <c r="D287" i="6"/>
  <c r="D288" i="6"/>
  <c r="D289" i="6"/>
  <c r="D290" i="6"/>
  <c r="D321" i="6"/>
  <c r="B322" i="6"/>
  <c r="D322" i="6"/>
  <c r="B323" i="6"/>
  <c r="D323" i="6"/>
  <c r="C326" i="6"/>
  <c r="D329" i="6"/>
  <c r="B336" i="6"/>
  <c r="C336" i="6"/>
  <c r="D340" i="6"/>
  <c r="D291" i="6"/>
  <c r="E265" i="6"/>
  <c r="B335" i="6"/>
  <c r="C335" i="6"/>
  <c r="B340" i="6"/>
  <c r="B291" i="6"/>
  <c r="D341" i="6"/>
  <c r="D342" i="6"/>
  <c r="D336" i="6"/>
  <c r="G336" i="6"/>
  <c r="J336" i="6"/>
  <c r="M340" i="6"/>
  <c r="M291" i="6"/>
  <c r="K341" i="6"/>
  <c r="K342" i="6"/>
  <c r="M334" i="6"/>
  <c r="P334" i="6"/>
  <c r="Q340" i="6"/>
  <c r="Q291" i="6"/>
  <c r="N328" i="6"/>
  <c r="P328" i="6"/>
  <c r="K328" i="6"/>
  <c r="M328" i="6"/>
  <c r="H319" i="6"/>
  <c r="J319" i="6"/>
  <c r="H286" i="6"/>
  <c r="H287" i="6"/>
  <c r="H288" i="6"/>
  <c r="H289" i="6"/>
  <c r="H290" i="6"/>
  <c r="H320" i="6"/>
  <c r="J320" i="6"/>
  <c r="H321" i="6"/>
  <c r="J321" i="6"/>
  <c r="H322" i="6"/>
  <c r="J286" i="6"/>
  <c r="J287" i="6"/>
  <c r="J288" i="6"/>
  <c r="J289" i="6"/>
  <c r="J290" i="6"/>
  <c r="J322" i="6"/>
  <c r="H323" i="6"/>
  <c r="J323" i="6"/>
  <c r="I326" i="6"/>
  <c r="H328" i="6"/>
  <c r="E328" i="6"/>
  <c r="G328" i="6"/>
  <c r="B328" i="6"/>
  <c r="B341" i="6"/>
  <c r="B342" i="6"/>
  <c r="D335" i="6"/>
  <c r="G335" i="6"/>
  <c r="H340" i="6"/>
  <c r="H291" i="6"/>
  <c r="E330" i="6"/>
  <c r="G330" i="6"/>
  <c r="G341" i="6"/>
  <c r="G342" i="6"/>
  <c r="G337" i="6"/>
  <c r="J340" i="6"/>
  <c r="J291" i="6"/>
  <c r="H341" i="6"/>
  <c r="H342" i="6"/>
  <c r="J335" i="6"/>
  <c r="M335" i="6"/>
  <c r="P335" i="6"/>
  <c r="S340" i="6"/>
  <c r="S291" i="6"/>
  <c r="Q341" i="6"/>
  <c r="Q342" i="6"/>
  <c r="S334" i="6"/>
  <c r="V334" i="6"/>
  <c r="Y334" i="6"/>
  <c r="AB334" i="6"/>
  <c r="AE334" i="6"/>
  <c r="AU334" i="6"/>
  <c r="AT335" i="6"/>
  <c r="AC328" i="6"/>
  <c r="AE328" i="6"/>
  <c r="Z328" i="6"/>
  <c r="AB328" i="6"/>
  <c r="W328" i="6"/>
  <c r="Y328" i="6"/>
  <c r="T328" i="6"/>
  <c r="V328" i="6"/>
  <c r="Q328" i="6"/>
  <c r="S328" i="6"/>
  <c r="S341" i="6"/>
  <c r="S342" i="6"/>
  <c r="S335" i="6"/>
  <c r="V335" i="6"/>
  <c r="Y335" i="6"/>
  <c r="AB335" i="6"/>
  <c r="AE335" i="6"/>
  <c r="AU335" i="6"/>
  <c r="AT336" i="6"/>
  <c r="AC329" i="6"/>
  <c r="AE329" i="6"/>
  <c r="Z329" i="6"/>
  <c r="AB329" i="6"/>
  <c r="W329" i="6"/>
  <c r="Y329" i="6"/>
  <c r="T329" i="6"/>
  <c r="V329" i="6"/>
  <c r="Q329" i="6"/>
  <c r="S329" i="6"/>
  <c r="N319" i="6"/>
  <c r="P319" i="6"/>
  <c r="N320" i="6"/>
  <c r="P320" i="6"/>
  <c r="N286" i="6"/>
  <c r="N287" i="6"/>
  <c r="N288" i="6"/>
  <c r="N289" i="6"/>
  <c r="N290" i="6"/>
  <c r="N321" i="6"/>
  <c r="P321" i="6"/>
  <c r="N322" i="6"/>
  <c r="P286" i="6"/>
  <c r="P287" i="6"/>
  <c r="P288" i="6"/>
  <c r="P289" i="6"/>
  <c r="P290" i="6"/>
  <c r="P322" i="6"/>
  <c r="N323" i="6"/>
  <c r="P323" i="6"/>
  <c r="O326" i="6"/>
  <c r="N329" i="6"/>
  <c r="K329" i="6"/>
  <c r="M329" i="6"/>
  <c r="M341" i="6"/>
  <c r="M342" i="6"/>
  <c r="M336" i="6"/>
  <c r="N340" i="6"/>
  <c r="N291" i="6"/>
  <c r="K330" i="6"/>
  <c r="M330" i="6"/>
  <c r="H330" i="6"/>
  <c r="J330" i="6"/>
  <c r="J341" i="6"/>
  <c r="J342" i="6"/>
  <c r="J337" i="6"/>
  <c r="M337" i="6"/>
  <c r="P340" i="6"/>
  <c r="P291" i="6"/>
  <c r="N341" i="6"/>
  <c r="N342" i="6"/>
  <c r="P336" i="6"/>
  <c r="S336" i="6"/>
  <c r="V336" i="6"/>
  <c r="Y336" i="6"/>
  <c r="AB336" i="6"/>
  <c r="AE336" i="6"/>
  <c r="AU336" i="6"/>
  <c r="AT337" i="6"/>
  <c r="AC330" i="6"/>
  <c r="AE330" i="6"/>
  <c r="Z330" i="6"/>
  <c r="AB330" i="6"/>
  <c r="W330" i="6"/>
  <c r="Y330" i="6"/>
  <c r="T330" i="6"/>
  <c r="V330" i="6"/>
  <c r="Q330" i="6"/>
  <c r="S330" i="6"/>
  <c r="N330" i="6"/>
  <c r="P330" i="6"/>
  <c r="P341" i="6"/>
  <c r="P342" i="6"/>
  <c r="P337" i="6"/>
  <c r="S337" i="6"/>
  <c r="V337" i="6"/>
  <c r="Y337" i="6"/>
  <c r="AB337" i="6"/>
  <c r="AE337" i="6"/>
  <c r="AU337" i="6"/>
  <c r="E271" i="6"/>
  <c r="B338" i="6"/>
  <c r="AT338" i="6"/>
  <c r="AC331" i="6"/>
  <c r="AE331" i="6"/>
  <c r="Z331" i="6"/>
  <c r="AB331" i="6"/>
  <c r="W331" i="6"/>
  <c r="Y331" i="6"/>
  <c r="T331" i="6"/>
  <c r="V331" i="6"/>
  <c r="Q331" i="6"/>
  <c r="S331" i="6"/>
  <c r="N331" i="6"/>
  <c r="P331" i="6"/>
  <c r="K331" i="6"/>
  <c r="M331" i="6"/>
  <c r="H331" i="6"/>
  <c r="J331" i="6"/>
  <c r="E331" i="6"/>
  <c r="G331" i="6"/>
  <c r="B331" i="6"/>
  <c r="D331" i="6"/>
  <c r="C338" i="6"/>
  <c r="D338" i="6"/>
  <c r="G338" i="6"/>
  <c r="J338" i="6"/>
  <c r="M338" i="6"/>
  <c r="P338" i="6"/>
  <c r="S338" i="6"/>
  <c r="V338" i="6"/>
  <c r="Y338" i="6"/>
  <c r="AB338" i="6"/>
  <c r="AE338" i="6"/>
  <c r="AU338" i="6"/>
  <c r="AX14" i="6"/>
  <c r="X450" i="6"/>
  <c r="Y451" i="6"/>
  <c r="AF349" i="6"/>
  <c r="X430" i="6"/>
  <c r="W447" i="6"/>
  <c r="AX18" i="6"/>
  <c r="X447" i="6"/>
  <c r="W451" i="6"/>
  <c r="Y452" i="6"/>
  <c r="Y453" i="6"/>
  <c r="Y450" i="6"/>
  <c r="AB450" i="6"/>
  <c r="AC451" i="6"/>
  <c r="AC439" i="6"/>
  <c r="AC440" i="6"/>
  <c r="AC441" i="6"/>
  <c r="AC442" i="6"/>
  <c r="Z439" i="6"/>
  <c r="Z440" i="6"/>
  <c r="Z441" i="6"/>
  <c r="Z442" i="6"/>
  <c r="AB439" i="6"/>
  <c r="AB440" i="6"/>
  <c r="AB441" i="6"/>
  <c r="AB442" i="6"/>
  <c r="AE438" i="6"/>
  <c r="AF350" i="6"/>
  <c r="X431" i="6"/>
  <c r="W448" i="6"/>
  <c r="AX17" i="6"/>
  <c r="X448" i="6"/>
  <c r="Y448" i="6"/>
  <c r="Z451" i="6"/>
  <c r="AF351" i="6"/>
  <c r="X432" i="6"/>
  <c r="W449" i="6"/>
  <c r="AX8" i="6"/>
  <c r="X449" i="6"/>
  <c r="Y449" i="6"/>
  <c r="AB451" i="6"/>
  <c r="Z452" i="6"/>
  <c r="Z453" i="6"/>
  <c r="AB448" i="6"/>
  <c r="AE451" i="6"/>
  <c r="AE439" i="6"/>
  <c r="AE440" i="6"/>
  <c r="AE441" i="6"/>
  <c r="AE442" i="6"/>
  <c r="AC452" i="6"/>
  <c r="AC453" i="6"/>
  <c r="AE450" i="6"/>
  <c r="AU453" i="6"/>
  <c r="AT453" i="6"/>
  <c r="AE452" i="6"/>
  <c r="AE453" i="6"/>
  <c r="AB452" i="6"/>
  <c r="AB453" i="6"/>
  <c r="W452" i="6"/>
  <c r="W453" i="6"/>
  <c r="E439" i="6"/>
  <c r="E440" i="6"/>
  <c r="E441" i="6"/>
  <c r="E442" i="6"/>
  <c r="G439" i="6"/>
  <c r="G440" i="6"/>
  <c r="G441" i="6"/>
  <c r="G442" i="6"/>
  <c r="J438" i="6"/>
  <c r="V350" i="6"/>
  <c r="B431" i="6"/>
  <c r="B448" i="6"/>
  <c r="AX12" i="6"/>
  <c r="C448" i="6"/>
  <c r="D448" i="6"/>
  <c r="E451" i="6"/>
  <c r="V351" i="6"/>
  <c r="B432" i="6"/>
  <c r="B449" i="6"/>
  <c r="AX16" i="6"/>
  <c r="C449" i="6"/>
  <c r="D449" i="6"/>
  <c r="G451" i="6"/>
  <c r="E452" i="6"/>
  <c r="E453" i="6"/>
  <c r="G448" i="6"/>
  <c r="J451" i="6"/>
  <c r="J439" i="6"/>
  <c r="J440" i="6"/>
  <c r="J441" i="6"/>
  <c r="J442" i="6"/>
  <c r="B439" i="6"/>
  <c r="B440" i="6"/>
  <c r="B441" i="6"/>
  <c r="B442" i="6"/>
  <c r="D439" i="6"/>
  <c r="D440" i="6"/>
  <c r="D441" i="6"/>
  <c r="D442" i="6"/>
  <c r="H438" i="6"/>
  <c r="V352" i="6"/>
  <c r="B433" i="6"/>
  <c r="B450" i="6"/>
  <c r="AX6" i="6"/>
  <c r="C450" i="6"/>
  <c r="D451" i="6"/>
  <c r="V349" i="6"/>
  <c r="B430" i="6"/>
  <c r="B447" i="6"/>
  <c r="AX11" i="6"/>
  <c r="C447" i="6"/>
  <c r="B451" i="6"/>
  <c r="D452" i="6"/>
  <c r="D453" i="6"/>
  <c r="D450" i="6"/>
  <c r="G450" i="6"/>
  <c r="H451" i="6"/>
  <c r="H439" i="6"/>
  <c r="H440" i="6"/>
  <c r="H441" i="6"/>
  <c r="H442" i="6"/>
  <c r="J452" i="6"/>
  <c r="J453" i="6"/>
  <c r="H452" i="6"/>
  <c r="H453" i="6"/>
  <c r="G452" i="6"/>
  <c r="G453" i="6"/>
  <c r="B452" i="6"/>
  <c r="B453" i="6"/>
  <c r="AB449" i="6"/>
  <c r="AE449" i="6"/>
  <c r="AU452" i="6"/>
  <c r="AT452" i="6"/>
  <c r="AE448" i="6"/>
  <c r="AU451" i="6"/>
  <c r="AT451" i="6"/>
  <c r="Y447" i="6"/>
  <c r="AB447" i="6"/>
  <c r="AE447" i="6"/>
  <c r="AU450" i="6"/>
  <c r="AT450" i="6"/>
  <c r="J450" i="6"/>
  <c r="AU449" i="6"/>
  <c r="AT449" i="6"/>
  <c r="G449" i="6"/>
  <c r="J449" i="6"/>
  <c r="AU448" i="6"/>
  <c r="AT448" i="6"/>
  <c r="J448" i="6"/>
  <c r="AU447" i="6"/>
  <c r="AT447" i="6"/>
  <c r="D447" i="6"/>
  <c r="G447" i="6"/>
  <c r="J447" i="6"/>
  <c r="AU446" i="6"/>
  <c r="AT446" i="6"/>
  <c r="AF443" i="6"/>
  <c r="K443" i="6"/>
  <c r="E268" i="6"/>
  <c r="AL352" i="6"/>
  <c r="AG433" i="6"/>
  <c r="E264" i="6"/>
  <c r="AB352" i="6"/>
  <c r="K433" i="6"/>
  <c r="E181" i="6"/>
  <c r="AL351" i="6"/>
  <c r="AG432" i="6"/>
  <c r="E185" i="6"/>
  <c r="AB351" i="6"/>
  <c r="K432" i="6"/>
  <c r="E100" i="6"/>
  <c r="AL350" i="6"/>
  <c r="AG431" i="6"/>
  <c r="E98" i="6"/>
  <c r="AB350" i="6"/>
  <c r="K431" i="6"/>
  <c r="E15" i="6"/>
  <c r="AL349" i="6"/>
  <c r="AG430" i="6"/>
  <c r="E13" i="6"/>
  <c r="AB349" i="6"/>
  <c r="K430" i="6"/>
  <c r="U424" i="6"/>
  <c r="A424" i="6"/>
  <c r="AB423" i="6"/>
  <c r="F423" i="6"/>
  <c r="U419" i="6"/>
  <c r="A419" i="6"/>
  <c r="AF418" i="6"/>
  <c r="J418" i="6"/>
  <c r="U415" i="6"/>
  <c r="A415" i="6"/>
  <c r="AB413" i="6"/>
  <c r="T413" i="6"/>
  <c r="F413" i="6"/>
  <c r="A413" i="6"/>
  <c r="U410" i="6"/>
  <c r="A410" i="6"/>
  <c r="W391" i="6"/>
  <c r="W392" i="6"/>
  <c r="W393" i="6"/>
  <c r="W394" i="6"/>
  <c r="Y391" i="6"/>
  <c r="Y392" i="6"/>
  <c r="Y393" i="6"/>
  <c r="Y394" i="6"/>
  <c r="AC390" i="6"/>
  <c r="L352" i="6"/>
  <c r="X385" i="6"/>
  <c r="W402" i="6"/>
  <c r="AX15" i="6"/>
  <c r="X402" i="6"/>
  <c r="Y403" i="6"/>
  <c r="L349" i="6"/>
  <c r="X382" i="6"/>
  <c r="W399" i="6"/>
  <c r="AX10" i="6"/>
  <c r="X399" i="6"/>
  <c r="W403" i="6"/>
  <c r="Y404" i="6"/>
  <c r="Y405" i="6"/>
  <c r="Y402" i="6"/>
  <c r="AB402" i="6"/>
  <c r="AC403" i="6"/>
  <c r="AC391" i="6"/>
  <c r="AC392" i="6"/>
  <c r="AC393" i="6"/>
  <c r="AC394" i="6"/>
  <c r="Z391" i="6"/>
  <c r="Z392" i="6"/>
  <c r="Z393" i="6"/>
  <c r="Z394" i="6"/>
  <c r="AB391" i="6"/>
  <c r="AB392" i="6"/>
  <c r="AB393" i="6"/>
  <c r="AB394" i="6"/>
  <c r="AE390" i="6"/>
  <c r="L350" i="6"/>
  <c r="X383" i="6"/>
  <c r="W400" i="6"/>
  <c r="AX9" i="6"/>
  <c r="X400" i="6"/>
  <c r="Y400" i="6"/>
  <c r="Z403" i="6"/>
  <c r="L351" i="6"/>
  <c r="X384" i="6"/>
  <c r="W401" i="6"/>
  <c r="AX5" i="6"/>
  <c r="X401" i="6"/>
  <c r="Y401" i="6"/>
  <c r="AB403" i="6"/>
  <c r="Z404" i="6"/>
  <c r="Z405" i="6"/>
  <c r="AB400" i="6"/>
  <c r="AE403" i="6"/>
  <c r="AE391" i="6"/>
  <c r="AE392" i="6"/>
  <c r="AE393" i="6"/>
  <c r="AE394" i="6"/>
  <c r="AC404" i="6"/>
  <c r="AC405" i="6"/>
  <c r="AE402" i="6"/>
  <c r="AU405" i="6"/>
  <c r="AT405" i="6"/>
  <c r="AE404" i="6"/>
  <c r="AE405" i="6"/>
  <c r="AB404" i="6"/>
  <c r="AB405" i="6"/>
  <c r="W404" i="6"/>
  <c r="W405" i="6"/>
  <c r="E391" i="6"/>
  <c r="E392" i="6"/>
  <c r="E393" i="6"/>
  <c r="E394" i="6"/>
  <c r="G391" i="6"/>
  <c r="G392" i="6"/>
  <c r="G393" i="6"/>
  <c r="G394" i="6"/>
  <c r="J390" i="6"/>
  <c r="B350" i="6"/>
  <c r="B383" i="6"/>
  <c r="B400" i="6"/>
  <c r="AX4" i="6"/>
  <c r="C400" i="6"/>
  <c r="D400" i="6"/>
  <c r="E403" i="6"/>
  <c r="B351" i="6"/>
  <c r="B384" i="6"/>
  <c r="B401" i="6"/>
  <c r="AX13" i="6"/>
  <c r="C401" i="6"/>
  <c r="D401" i="6"/>
  <c r="G403" i="6"/>
  <c r="E404" i="6"/>
  <c r="E405" i="6"/>
  <c r="G400" i="6"/>
  <c r="J403" i="6"/>
  <c r="J391" i="6"/>
  <c r="J392" i="6"/>
  <c r="J393" i="6"/>
  <c r="J394" i="6"/>
  <c r="B391" i="6"/>
  <c r="B392" i="6"/>
  <c r="B393" i="6"/>
  <c r="B394" i="6"/>
  <c r="D391" i="6"/>
  <c r="D392" i="6"/>
  <c r="D393" i="6"/>
  <c r="D394" i="6"/>
  <c r="H390" i="6"/>
  <c r="B349" i="6"/>
  <c r="B382" i="6"/>
  <c r="B399" i="6"/>
  <c r="AX3" i="6"/>
  <c r="C399" i="6"/>
  <c r="B403" i="6"/>
  <c r="B352" i="6"/>
  <c r="B385" i="6"/>
  <c r="B402" i="6"/>
  <c r="AX7" i="6"/>
  <c r="C402" i="6"/>
  <c r="D403" i="6"/>
  <c r="B404" i="6"/>
  <c r="B405" i="6"/>
  <c r="D399" i="6"/>
  <c r="G399" i="6"/>
  <c r="H403" i="6"/>
  <c r="H391" i="6"/>
  <c r="H392" i="6"/>
  <c r="H393" i="6"/>
  <c r="H394" i="6"/>
  <c r="J404" i="6"/>
  <c r="J405" i="6"/>
  <c r="H404" i="6"/>
  <c r="H405" i="6"/>
  <c r="G404" i="6"/>
  <c r="G405" i="6"/>
  <c r="D404" i="6"/>
  <c r="D405" i="6"/>
  <c r="AB401" i="6"/>
  <c r="AE401" i="6"/>
  <c r="AU404" i="6"/>
  <c r="AT404" i="6"/>
  <c r="AE400" i="6"/>
  <c r="AU403" i="6"/>
  <c r="AT403" i="6"/>
  <c r="Y399" i="6"/>
  <c r="AB399" i="6"/>
  <c r="AE399" i="6"/>
  <c r="AU402" i="6"/>
  <c r="AT402" i="6"/>
  <c r="D402" i="6"/>
  <c r="G402" i="6"/>
  <c r="J402" i="6"/>
  <c r="AU401" i="6"/>
  <c r="AT401" i="6"/>
  <c r="G401" i="6"/>
  <c r="J401" i="6"/>
  <c r="AU400" i="6"/>
  <c r="AT400" i="6"/>
  <c r="J400" i="6"/>
  <c r="AU399" i="6"/>
  <c r="AT399" i="6"/>
  <c r="J399" i="6"/>
  <c r="AU398" i="6"/>
  <c r="AT398" i="6"/>
  <c r="AF395" i="6"/>
  <c r="K395" i="6"/>
  <c r="E270" i="6"/>
  <c r="R352" i="6"/>
  <c r="AG385" i="6"/>
  <c r="E266" i="6"/>
  <c r="H352" i="6"/>
  <c r="K385" i="6"/>
  <c r="E179" i="6"/>
  <c r="R351" i="6"/>
  <c r="AG384" i="6"/>
  <c r="E183" i="6"/>
  <c r="H351" i="6"/>
  <c r="K384" i="6"/>
  <c r="E96" i="6"/>
  <c r="R350" i="6"/>
  <c r="AG383" i="6"/>
  <c r="E94" i="6"/>
  <c r="H350" i="6"/>
  <c r="K383" i="6"/>
  <c r="E11" i="6"/>
  <c r="R349" i="6"/>
  <c r="AG382" i="6"/>
  <c r="E9" i="6"/>
  <c r="H349" i="6"/>
  <c r="K382" i="6"/>
  <c r="U376" i="6"/>
  <c r="A376" i="6"/>
  <c r="AB375" i="6"/>
  <c r="F375" i="6"/>
  <c r="U371" i="6"/>
  <c r="A371" i="6"/>
  <c r="AF370" i="6"/>
  <c r="J370" i="6"/>
  <c r="U367" i="6"/>
  <c r="A367" i="6"/>
  <c r="AB365" i="6"/>
  <c r="T365" i="6"/>
  <c r="F365" i="6"/>
  <c r="A365" i="6"/>
  <c r="U362" i="6"/>
  <c r="A362" i="6"/>
  <c r="A344" i="6"/>
  <c r="AE340" i="6"/>
  <c r="AE286" i="6"/>
  <c r="AE287" i="6"/>
  <c r="AE288" i="6"/>
  <c r="AE289" i="6"/>
  <c r="AE290" i="6"/>
  <c r="AE291" i="6"/>
  <c r="AC340" i="6"/>
  <c r="AC286" i="6"/>
  <c r="AC287" i="6"/>
  <c r="AC288" i="6"/>
  <c r="AC289" i="6"/>
  <c r="AC290" i="6"/>
  <c r="AC291" i="6"/>
  <c r="AE341" i="6"/>
  <c r="AE342" i="6"/>
  <c r="AC341" i="6"/>
  <c r="AC342" i="6"/>
  <c r="AB340" i="6"/>
  <c r="AB286" i="6"/>
  <c r="AB287" i="6"/>
  <c r="AB288" i="6"/>
  <c r="AB289" i="6"/>
  <c r="AB290" i="6"/>
  <c r="AB291" i="6"/>
  <c r="Z340" i="6"/>
  <c r="Z286" i="6"/>
  <c r="Z287" i="6"/>
  <c r="Z288" i="6"/>
  <c r="Z289" i="6"/>
  <c r="Z290" i="6"/>
  <c r="Z291" i="6"/>
  <c r="AB341" i="6"/>
  <c r="AB342" i="6"/>
  <c r="Z341" i="6"/>
  <c r="Z342" i="6"/>
  <c r="Y340" i="6"/>
  <c r="Y286" i="6"/>
  <c r="Y287" i="6"/>
  <c r="Y288" i="6"/>
  <c r="Y289" i="6"/>
  <c r="Y290" i="6"/>
  <c r="Y291" i="6"/>
  <c r="W340" i="6"/>
  <c r="W286" i="6"/>
  <c r="W287" i="6"/>
  <c r="W288" i="6"/>
  <c r="W289" i="6"/>
  <c r="W290" i="6"/>
  <c r="W291" i="6"/>
  <c r="Y341" i="6"/>
  <c r="Y342" i="6"/>
  <c r="W341" i="6"/>
  <c r="W342" i="6"/>
  <c r="V340" i="6"/>
  <c r="V286" i="6"/>
  <c r="V287" i="6"/>
  <c r="V288" i="6"/>
  <c r="V289" i="6"/>
  <c r="V290" i="6"/>
  <c r="V291" i="6"/>
  <c r="T340" i="6"/>
  <c r="T286" i="6"/>
  <c r="T287" i="6"/>
  <c r="T288" i="6"/>
  <c r="T289" i="6"/>
  <c r="T290" i="6"/>
  <c r="T291" i="6"/>
  <c r="V341" i="6"/>
  <c r="V342" i="6"/>
  <c r="T341" i="6"/>
  <c r="T342" i="6"/>
  <c r="AF331" i="6"/>
  <c r="AF330" i="6"/>
  <c r="P329" i="6"/>
  <c r="AF329" i="6"/>
  <c r="D328" i="6"/>
  <c r="J328" i="6"/>
  <c r="AF328" i="6"/>
  <c r="G327" i="6"/>
  <c r="M327" i="6"/>
  <c r="S327" i="6"/>
  <c r="AF327" i="6"/>
  <c r="AC319" i="6"/>
  <c r="AE319" i="6"/>
  <c r="AC320" i="6"/>
  <c r="AE320" i="6"/>
  <c r="AC321" i="6"/>
  <c r="AE321" i="6"/>
  <c r="AC322" i="6"/>
  <c r="AE322" i="6"/>
  <c r="AC323" i="6"/>
  <c r="AE323" i="6"/>
  <c r="AD326" i="6"/>
  <c r="Z319" i="6"/>
  <c r="AB319" i="6"/>
  <c r="Z320" i="6"/>
  <c r="AB320" i="6"/>
  <c r="Z321" i="6"/>
  <c r="AB321" i="6"/>
  <c r="Z322" i="6"/>
  <c r="AB322" i="6"/>
  <c r="Z323" i="6"/>
  <c r="AB323" i="6"/>
  <c r="AA326" i="6"/>
  <c r="W319" i="6"/>
  <c r="Y319" i="6"/>
  <c r="W320" i="6"/>
  <c r="Y320" i="6"/>
  <c r="W321" i="6"/>
  <c r="Y321" i="6"/>
  <c r="W322" i="6"/>
  <c r="Y322" i="6"/>
  <c r="W323" i="6"/>
  <c r="Y323" i="6"/>
  <c r="X326" i="6"/>
  <c r="T319" i="6"/>
  <c r="V319" i="6"/>
  <c r="T320" i="6"/>
  <c r="V320" i="6"/>
  <c r="T321" i="6"/>
  <c r="V321" i="6"/>
  <c r="T322" i="6"/>
  <c r="V322" i="6"/>
  <c r="T323" i="6"/>
  <c r="V323" i="6"/>
  <c r="U326" i="6"/>
  <c r="AF323" i="6"/>
  <c r="AG323" i="6"/>
  <c r="AF322" i="6"/>
  <c r="AG322" i="6"/>
  <c r="AF321" i="6"/>
  <c r="AG321" i="6"/>
  <c r="AF320" i="6"/>
  <c r="AG320" i="6"/>
  <c r="AF319" i="6"/>
  <c r="AG319" i="6"/>
  <c r="B317" i="6"/>
  <c r="D317" i="6"/>
  <c r="E317" i="6"/>
  <c r="G317" i="6"/>
  <c r="H317" i="6"/>
  <c r="J317" i="6"/>
  <c r="K317" i="6"/>
  <c r="M317" i="6"/>
  <c r="N317" i="6"/>
  <c r="P317" i="6"/>
  <c r="Q317" i="6"/>
  <c r="S317" i="6"/>
  <c r="T317" i="6"/>
  <c r="V317" i="6"/>
  <c r="W317" i="6"/>
  <c r="Y317" i="6"/>
  <c r="Z317" i="6"/>
  <c r="AB317" i="6"/>
  <c r="AC317" i="6"/>
  <c r="AE317" i="6"/>
  <c r="AF317" i="6"/>
  <c r="B316" i="6"/>
  <c r="D316" i="6"/>
  <c r="E316" i="6"/>
  <c r="E294" i="6"/>
  <c r="G294" i="6"/>
  <c r="E295" i="6"/>
  <c r="G295" i="6"/>
  <c r="E296" i="6"/>
  <c r="G296" i="6"/>
  <c r="E297" i="6"/>
  <c r="G297" i="6"/>
  <c r="E298" i="6"/>
  <c r="G298" i="6"/>
  <c r="E299" i="6"/>
  <c r="G316" i="6"/>
  <c r="H316" i="6"/>
  <c r="H294" i="6"/>
  <c r="J294" i="6"/>
  <c r="H295" i="6"/>
  <c r="J295" i="6"/>
  <c r="H296" i="6"/>
  <c r="J296" i="6"/>
  <c r="H297" i="6"/>
  <c r="J297" i="6"/>
  <c r="H298" i="6"/>
  <c r="J298" i="6"/>
  <c r="H299" i="6"/>
  <c r="J316" i="6"/>
  <c r="K316" i="6"/>
  <c r="M316" i="6"/>
  <c r="N316" i="6"/>
  <c r="N294" i="6"/>
  <c r="P294" i="6"/>
  <c r="N295" i="6"/>
  <c r="P295" i="6"/>
  <c r="N296" i="6"/>
  <c r="P296" i="6"/>
  <c r="N297" i="6"/>
  <c r="P297" i="6"/>
  <c r="N298" i="6"/>
  <c r="P298" i="6"/>
  <c r="N299" i="6"/>
  <c r="P316" i="6"/>
  <c r="Q316" i="6"/>
  <c r="S316" i="6"/>
  <c r="T316" i="6"/>
  <c r="V316" i="6"/>
  <c r="W316" i="6"/>
  <c r="Y316" i="6"/>
  <c r="Z316" i="6"/>
  <c r="AB316" i="6"/>
  <c r="AC316" i="6"/>
  <c r="AE316" i="6"/>
  <c r="AF316" i="6"/>
  <c r="B315" i="6"/>
  <c r="B294" i="6"/>
  <c r="D294" i="6"/>
  <c r="B295" i="6"/>
  <c r="D295" i="6"/>
  <c r="B296" i="6"/>
  <c r="D296" i="6"/>
  <c r="B297" i="6"/>
  <c r="D297" i="6"/>
  <c r="B298" i="6"/>
  <c r="D298" i="6"/>
  <c r="B299" i="6"/>
  <c r="D315" i="6"/>
  <c r="E315" i="6"/>
  <c r="G315" i="6"/>
  <c r="H315" i="6"/>
  <c r="J315" i="6"/>
  <c r="K315" i="6"/>
  <c r="K294" i="6"/>
  <c r="M294" i="6"/>
  <c r="K295" i="6"/>
  <c r="M295" i="6"/>
  <c r="K296" i="6"/>
  <c r="M296" i="6"/>
  <c r="K297" i="6"/>
  <c r="M297" i="6"/>
  <c r="K298" i="6"/>
  <c r="M298" i="6"/>
  <c r="K299" i="6"/>
  <c r="M315" i="6"/>
  <c r="N315" i="6"/>
  <c r="P315" i="6"/>
  <c r="Q315" i="6"/>
  <c r="S315" i="6"/>
  <c r="T315" i="6"/>
  <c r="V315" i="6"/>
  <c r="W315" i="6"/>
  <c r="Y315" i="6"/>
  <c r="Z315" i="6"/>
  <c r="AB315" i="6"/>
  <c r="AC315" i="6"/>
  <c r="AE315" i="6"/>
  <c r="AF315" i="6"/>
  <c r="B314" i="6"/>
  <c r="D314" i="6"/>
  <c r="E314" i="6"/>
  <c r="G314" i="6"/>
  <c r="H314" i="6"/>
  <c r="J314" i="6"/>
  <c r="K314" i="6"/>
  <c r="M314" i="6"/>
  <c r="N314" i="6"/>
  <c r="P314" i="6"/>
  <c r="Q314" i="6"/>
  <c r="Q294" i="6"/>
  <c r="S294" i="6"/>
  <c r="Q295" i="6"/>
  <c r="S295" i="6"/>
  <c r="Q296" i="6"/>
  <c r="S296" i="6"/>
  <c r="Q297" i="6"/>
  <c r="S297" i="6"/>
  <c r="Q298" i="6"/>
  <c r="S298" i="6"/>
  <c r="Q299" i="6"/>
  <c r="S314" i="6"/>
  <c r="T314" i="6"/>
  <c r="V314" i="6"/>
  <c r="W314" i="6"/>
  <c r="Y314" i="6"/>
  <c r="Z314" i="6"/>
  <c r="AB314" i="6"/>
  <c r="AC314" i="6"/>
  <c r="AE314" i="6"/>
  <c r="AF314" i="6"/>
  <c r="B313" i="6"/>
  <c r="D313" i="6"/>
  <c r="E313" i="6"/>
  <c r="G313" i="6"/>
  <c r="H313" i="6"/>
  <c r="J313" i="6"/>
  <c r="K313" i="6"/>
  <c r="M313" i="6"/>
  <c r="N313" i="6"/>
  <c r="P313" i="6"/>
  <c r="Q313" i="6"/>
  <c r="S313" i="6"/>
  <c r="T313" i="6"/>
  <c r="V313" i="6"/>
  <c r="W313" i="6"/>
  <c r="Y313" i="6"/>
  <c r="Z313" i="6"/>
  <c r="AB313" i="6"/>
  <c r="AC313" i="6"/>
  <c r="AE313" i="6"/>
  <c r="AF313" i="6"/>
  <c r="B311" i="6"/>
  <c r="D311" i="6"/>
  <c r="E311" i="6"/>
  <c r="G311" i="6"/>
  <c r="H311" i="6"/>
  <c r="J311" i="6"/>
  <c r="K311" i="6"/>
  <c r="M311" i="6"/>
  <c r="N311" i="6"/>
  <c r="P311" i="6"/>
  <c r="Q311" i="6"/>
  <c r="S311" i="6"/>
  <c r="T311" i="6"/>
  <c r="V311" i="6"/>
  <c r="W311" i="6"/>
  <c r="Y311" i="6"/>
  <c r="Z311" i="6"/>
  <c r="AB311" i="6"/>
  <c r="AC311" i="6"/>
  <c r="AE311" i="6"/>
  <c r="AF311" i="6"/>
  <c r="B310" i="6"/>
  <c r="D310" i="6"/>
  <c r="E310" i="6"/>
  <c r="E292" i="6"/>
  <c r="G292" i="6"/>
  <c r="F292" i="6"/>
  <c r="G310" i="6"/>
  <c r="H310" i="6"/>
  <c r="H292" i="6"/>
  <c r="J292" i="6"/>
  <c r="I292" i="6"/>
  <c r="J310" i="6"/>
  <c r="K310" i="6"/>
  <c r="M310" i="6"/>
  <c r="N310" i="6"/>
  <c r="N292" i="6"/>
  <c r="P292" i="6"/>
  <c r="O292" i="6"/>
  <c r="P310" i="6"/>
  <c r="Q310" i="6"/>
  <c r="S310" i="6"/>
  <c r="T310" i="6"/>
  <c r="V310" i="6"/>
  <c r="W310" i="6"/>
  <c r="Y310" i="6"/>
  <c r="Z310" i="6"/>
  <c r="AB310" i="6"/>
  <c r="AC310" i="6"/>
  <c r="AE310" i="6"/>
  <c r="AF310" i="6"/>
  <c r="B309" i="6"/>
  <c r="B292" i="6"/>
  <c r="D292" i="6"/>
  <c r="C292" i="6"/>
  <c r="D309" i="6"/>
  <c r="E309" i="6"/>
  <c r="G309" i="6"/>
  <c r="H309" i="6"/>
  <c r="J309" i="6"/>
  <c r="K309" i="6"/>
  <c r="K292" i="6"/>
  <c r="M292" i="6"/>
  <c r="L292" i="6"/>
  <c r="M309" i="6"/>
  <c r="N309" i="6"/>
  <c r="P309" i="6"/>
  <c r="Q309" i="6"/>
  <c r="S309" i="6"/>
  <c r="T309" i="6"/>
  <c r="V309" i="6"/>
  <c r="W309" i="6"/>
  <c r="Y309" i="6"/>
  <c r="Z309" i="6"/>
  <c r="AB309" i="6"/>
  <c r="AC309" i="6"/>
  <c r="AE309" i="6"/>
  <c r="AF309" i="6"/>
  <c r="B308" i="6"/>
  <c r="D308" i="6"/>
  <c r="E308" i="6"/>
  <c r="G308" i="6"/>
  <c r="H308" i="6"/>
  <c r="J308" i="6"/>
  <c r="K308" i="6"/>
  <c r="M308" i="6"/>
  <c r="N308" i="6"/>
  <c r="P308" i="6"/>
  <c r="Q308" i="6"/>
  <c r="Q292" i="6"/>
  <c r="S292" i="6"/>
  <c r="R292" i="6"/>
  <c r="S308" i="6"/>
  <c r="T308" i="6"/>
  <c r="V308" i="6"/>
  <c r="W308" i="6"/>
  <c r="Y308" i="6"/>
  <c r="Z308" i="6"/>
  <c r="AB308" i="6"/>
  <c r="AC308" i="6"/>
  <c r="AE308" i="6"/>
  <c r="AF308" i="6"/>
  <c r="B307" i="6"/>
  <c r="D307" i="6"/>
  <c r="E307" i="6"/>
  <c r="G307" i="6"/>
  <c r="H307" i="6"/>
  <c r="J307" i="6"/>
  <c r="K307" i="6"/>
  <c r="M307" i="6"/>
  <c r="N307" i="6"/>
  <c r="P307" i="6"/>
  <c r="Q307" i="6"/>
  <c r="S307" i="6"/>
  <c r="T307" i="6"/>
  <c r="V307" i="6"/>
  <c r="W307" i="6"/>
  <c r="Y307" i="6"/>
  <c r="Z307" i="6"/>
  <c r="AB307" i="6"/>
  <c r="AC307" i="6"/>
  <c r="AE307" i="6"/>
  <c r="AF307" i="6"/>
  <c r="B305" i="6"/>
  <c r="D305" i="6"/>
  <c r="E305" i="6"/>
  <c r="G305" i="6"/>
  <c r="H305" i="6"/>
  <c r="J305" i="6"/>
  <c r="K305" i="6"/>
  <c r="M305" i="6"/>
  <c r="N305" i="6"/>
  <c r="P305" i="6"/>
  <c r="Q305" i="6"/>
  <c r="S305" i="6"/>
  <c r="T305" i="6"/>
  <c r="V305" i="6"/>
  <c r="W305" i="6"/>
  <c r="Y305" i="6"/>
  <c r="Z305" i="6"/>
  <c r="AB305" i="6"/>
  <c r="AC305" i="6"/>
  <c r="AE305" i="6"/>
  <c r="AF305" i="6"/>
  <c r="AG305" i="6"/>
  <c r="B304" i="6"/>
  <c r="D304" i="6"/>
  <c r="E304" i="6"/>
  <c r="G304" i="6"/>
  <c r="H304" i="6"/>
  <c r="J304" i="6"/>
  <c r="K304" i="6"/>
  <c r="M304" i="6"/>
  <c r="N304" i="6"/>
  <c r="P304" i="6"/>
  <c r="Q304" i="6"/>
  <c r="S304" i="6"/>
  <c r="T304" i="6"/>
  <c r="V304" i="6"/>
  <c r="W304" i="6"/>
  <c r="Y304" i="6"/>
  <c r="Z304" i="6"/>
  <c r="AB304" i="6"/>
  <c r="AC304" i="6"/>
  <c r="AE304" i="6"/>
  <c r="AF304" i="6"/>
  <c r="AG304" i="6"/>
  <c r="B303" i="6"/>
  <c r="D303" i="6"/>
  <c r="E303" i="6"/>
  <c r="G303" i="6"/>
  <c r="H303" i="6"/>
  <c r="J303" i="6"/>
  <c r="K303" i="6"/>
  <c r="M303" i="6"/>
  <c r="N303" i="6"/>
  <c r="P303" i="6"/>
  <c r="Q303" i="6"/>
  <c r="S303" i="6"/>
  <c r="T303" i="6"/>
  <c r="V303" i="6"/>
  <c r="W303" i="6"/>
  <c r="Y303" i="6"/>
  <c r="Z303" i="6"/>
  <c r="AB303" i="6"/>
  <c r="AC303" i="6"/>
  <c r="AE303" i="6"/>
  <c r="AF303" i="6"/>
  <c r="AG303" i="6"/>
  <c r="B302" i="6"/>
  <c r="D302" i="6"/>
  <c r="E302" i="6"/>
  <c r="G302" i="6"/>
  <c r="H302" i="6"/>
  <c r="J302" i="6"/>
  <c r="K302" i="6"/>
  <c r="M302" i="6"/>
  <c r="N302" i="6"/>
  <c r="P302" i="6"/>
  <c r="Q302" i="6"/>
  <c r="S302" i="6"/>
  <c r="T302" i="6"/>
  <c r="V302" i="6"/>
  <c r="W302" i="6"/>
  <c r="Y302" i="6"/>
  <c r="Z302" i="6"/>
  <c r="AB302" i="6"/>
  <c r="AC302" i="6"/>
  <c r="AE302" i="6"/>
  <c r="AF302" i="6"/>
  <c r="AG302" i="6"/>
  <c r="B301" i="6"/>
  <c r="D301" i="6"/>
  <c r="E301" i="6"/>
  <c r="G301" i="6"/>
  <c r="H301" i="6"/>
  <c r="J301" i="6"/>
  <c r="K301" i="6"/>
  <c r="M301" i="6"/>
  <c r="N301" i="6"/>
  <c r="P301" i="6"/>
  <c r="Q301" i="6"/>
  <c r="S301" i="6"/>
  <c r="T301" i="6"/>
  <c r="V301" i="6"/>
  <c r="W301" i="6"/>
  <c r="Y301" i="6"/>
  <c r="Z301" i="6"/>
  <c r="AB301" i="6"/>
  <c r="AC301" i="6"/>
  <c r="AE301" i="6"/>
  <c r="AF301" i="6"/>
  <c r="AG301" i="6"/>
  <c r="AC294" i="6"/>
  <c r="AE294" i="6"/>
  <c r="AC295" i="6"/>
  <c r="AE295" i="6"/>
  <c r="AC296" i="6"/>
  <c r="AE296" i="6"/>
  <c r="AC297" i="6"/>
  <c r="AE297" i="6"/>
  <c r="AC298" i="6"/>
  <c r="AE298" i="6"/>
  <c r="AC299" i="6"/>
  <c r="Z294" i="6"/>
  <c r="AB294" i="6"/>
  <c r="Z295" i="6"/>
  <c r="AB295" i="6"/>
  <c r="Z296" i="6"/>
  <c r="AB296" i="6"/>
  <c r="Z297" i="6"/>
  <c r="AB297" i="6"/>
  <c r="Z298" i="6"/>
  <c r="AB298" i="6"/>
  <c r="Z299" i="6"/>
  <c r="W294" i="6"/>
  <c r="Y294" i="6"/>
  <c r="W295" i="6"/>
  <c r="Y295" i="6"/>
  <c r="W296" i="6"/>
  <c r="Y296" i="6"/>
  <c r="W297" i="6"/>
  <c r="Y297" i="6"/>
  <c r="W298" i="6"/>
  <c r="Y298" i="6"/>
  <c r="W299" i="6"/>
  <c r="T294" i="6"/>
  <c r="V294" i="6"/>
  <c r="T295" i="6"/>
  <c r="V295" i="6"/>
  <c r="T296" i="6"/>
  <c r="V296" i="6"/>
  <c r="T297" i="6"/>
  <c r="V297" i="6"/>
  <c r="T298" i="6"/>
  <c r="V298" i="6"/>
  <c r="T299" i="6"/>
  <c r="AE292" i="6"/>
  <c r="AC292" i="6"/>
  <c r="AD292" i="6"/>
  <c r="AB292" i="6"/>
  <c r="Z292" i="6"/>
  <c r="AA292" i="6"/>
  <c r="Y292" i="6"/>
  <c r="W292" i="6"/>
  <c r="X292" i="6"/>
  <c r="V292" i="6"/>
  <c r="T292" i="6"/>
  <c r="U292" i="6"/>
  <c r="AE285" i="6"/>
  <c r="AC285" i="6"/>
  <c r="AB285" i="6"/>
  <c r="Z285" i="6"/>
  <c r="Y285" i="6"/>
  <c r="W285" i="6"/>
  <c r="V285" i="6"/>
  <c r="T285" i="6"/>
  <c r="S285" i="6"/>
  <c r="Q285" i="6"/>
  <c r="P285" i="6"/>
  <c r="N285" i="6"/>
  <c r="M285" i="6"/>
  <c r="K285" i="6"/>
  <c r="J285" i="6"/>
  <c r="H285" i="6"/>
  <c r="G285" i="6"/>
  <c r="E285" i="6"/>
  <c r="D285" i="6"/>
  <c r="B285" i="6"/>
  <c r="AD284" i="6"/>
  <c r="AA284" i="6"/>
  <c r="X284" i="6"/>
  <c r="U284" i="6"/>
  <c r="R284" i="6"/>
  <c r="O284" i="6"/>
  <c r="L284" i="6"/>
  <c r="I284" i="6"/>
  <c r="F284" i="6"/>
  <c r="A284" i="6"/>
  <c r="AG283" i="6"/>
  <c r="AH283" i="6"/>
  <c r="AI283" i="6"/>
  <c r="AJ283" i="6"/>
  <c r="AK283" i="6"/>
  <c r="AL283" i="6"/>
  <c r="AM283" i="6"/>
  <c r="AN283" i="6"/>
  <c r="AO283" i="6"/>
  <c r="AP283" i="6"/>
  <c r="AQ283" i="6"/>
  <c r="AF283" i="6"/>
  <c r="AD283" i="6"/>
  <c r="AA283" i="6"/>
  <c r="X283" i="6"/>
  <c r="U283" i="6"/>
  <c r="R283" i="6"/>
  <c r="O283" i="6"/>
  <c r="L283" i="6"/>
  <c r="I283" i="6"/>
  <c r="F283" i="6"/>
  <c r="A283" i="6"/>
  <c r="AG282" i="6"/>
  <c r="AH282" i="6"/>
  <c r="AI282" i="6"/>
  <c r="AJ282" i="6"/>
  <c r="AK282" i="6"/>
  <c r="AL282" i="6"/>
  <c r="AM282" i="6"/>
  <c r="AN282" i="6"/>
  <c r="AO282" i="6"/>
  <c r="AP282" i="6"/>
  <c r="AQ282" i="6"/>
  <c r="AF282" i="6"/>
  <c r="AD282" i="6"/>
  <c r="AA282" i="6"/>
  <c r="X282" i="6"/>
  <c r="U282" i="6"/>
  <c r="R282" i="6"/>
  <c r="O282" i="6"/>
  <c r="L282" i="6"/>
  <c r="I282" i="6"/>
  <c r="F282" i="6"/>
  <c r="A282" i="6"/>
  <c r="AG281" i="6"/>
  <c r="AH281" i="6"/>
  <c r="AI281" i="6"/>
  <c r="AJ281" i="6"/>
  <c r="AK281" i="6"/>
  <c r="AL281" i="6"/>
  <c r="AM281" i="6"/>
  <c r="AN281" i="6"/>
  <c r="AO281" i="6"/>
  <c r="AP281" i="6"/>
  <c r="AQ281" i="6"/>
  <c r="AF281" i="6"/>
  <c r="AD281" i="6"/>
  <c r="AA281" i="6"/>
  <c r="X281" i="6"/>
  <c r="U281" i="6"/>
  <c r="R281" i="6"/>
  <c r="O281" i="6"/>
  <c r="L281" i="6"/>
  <c r="I281" i="6"/>
  <c r="F281" i="6"/>
  <c r="A281" i="6"/>
  <c r="AG280" i="6"/>
  <c r="AH280" i="6"/>
  <c r="AI280" i="6"/>
  <c r="AJ280" i="6"/>
  <c r="AK280" i="6"/>
  <c r="AL280" i="6"/>
  <c r="AM280" i="6"/>
  <c r="AN280" i="6"/>
  <c r="AO280" i="6"/>
  <c r="AP280" i="6"/>
  <c r="AQ280" i="6"/>
  <c r="AF280" i="6"/>
  <c r="AD280" i="6"/>
  <c r="AA280" i="6"/>
  <c r="X280" i="6"/>
  <c r="U280" i="6"/>
  <c r="R280" i="6"/>
  <c r="O280" i="6"/>
  <c r="L280" i="6"/>
  <c r="I280" i="6"/>
  <c r="F280" i="6"/>
  <c r="AG279" i="6"/>
  <c r="AH279" i="6"/>
  <c r="AI279" i="6"/>
  <c r="AJ279" i="6"/>
  <c r="AK279" i="6"/>
  <c r="AL279" i="6"/>
  <c r="AM279" i="6"/>
  <c r="AN279" i="6"/>
  <c r="AO279" i="6"/>
  <c r="AP279" i="6"/>
  <c r="AQ279" i="6"/>
  <c r="AF279" i="6"/>
  <c r="AD279" i="6"/>
  <c r="AA279" i="6"/>
  <c r="X279" i="6"/>
  <c r="U279" i="6"/>
  <c r="R279" i="6"/>
  <c r="O279" i="6"/>
  <c r="L279" i="6"/>
  <c r="I279" i="6"/>
  <c r="F279" i="6"/>
  <c r="AC277" i="6"/>
  <c r="Z277" i="6"/>
  <c r="W277" i="6"/>
  <c r="T277" i="6"/>
  <c r="Q277" i="6"/>
  <c r="N277" i="6"/>
  <c r="K277" i="6"/>
  <c r="H277" i="6"/>
  <c r="E277" i="6"/>
  <c r="E272" i="6"/>
  <c r="AC271" i="6"/>
  <c r="Z271" i="6"/>
  <c r="W271" i="6"/>
  <c r="R271" i="6"/>
  <c r="L271" i="6"/>
  <c r="A271" i="6"/>
  <c r="AC269" i="6"/>
  <c r="Z269" i="6"/>
  <c r="W269" i="6"/>
  <c r="R269" i="6"/>
  <c r="L269" i="6"/>
  <c r="A269" i="6"/>
  <c r="AC267" i="6"/>
  <c r="Z267" i="6"/>
  <c r="W267" i="6"/>
  <c r="R267" i="6"/>
  <c r="L267" i="6"/>
  <c r="A267" i="6"/>
  <c r="AC265" i="6"/>
  <c r="Z265" i="6"/>
  <c r="W265" i="6"/>
  <c r="R265" i="6"/>
  <c r="L265" i="6"/>
  <c r="A265" i="6"/>
  <c r="AC263" i="6"/>
  <c r="Z263" i="6"/>
  <c r="W263" i="6"/>
  <c r="R263" i="6"/>
  <c r="L263" i="6"/>
  <c r="A263" i="6"/>
  <c r="R262" i="6"/>
  <c r="L262" i="6"/>
  <c r="K261" i="6"/>
  <c r="A259" i="6"/>
  <c r="AE255" i="6"/>
  <c r="AE201" i="6"/>
  <c r="AE202" i="6"/>
  <c r="AE203" i="6"/>
  <c r="AE204" i="6"/>
  <c r="AE205" i="6"/>
  <c r="AE206" i="6"/>
  <c r="AC255" i="6"/>
  <c r="AC201" i="6"/>
  <c r="AC202" i="6"/>
  <c r="AC203" i="6"/>
  <c r="AC204" i="6"/>
  <c r="AC205" i="6"/>
  <c r="AC206" i="6"/>
  <c r="AE256" i="6"/>
  <c r="AE257" i="6"/>
  <c r="AC256" i="6"/>
  <c r="AC257" i="6"/>
  <c r="AB255" i="6"/>
  <c r="AB201" i="6"/>
  <c r="AB202" i="6"/>
  <c r="AB203" i="6"/>
  <c r="AB204" i="6"/>
  <c r="AB205" i="6"/>
  <c r="AB206" i="6"/>
  <c r="Z255" i="6"/>
  <c r="Z201" i="6"/>
  <c r="Z202" i="6"/>
  <c r="Z203" i="6"/>
  <c r="Z204" i="6"/>
  <c r="Z205" i="6"/>
  <c r="Z206" i="6"/>
  <c r="AB256" i="6"/>
  <c r="AB257" i="6"/>
  <c r="Z256" i="6"/>
  <c r="Z257" i="6"/>
  <c r="Y255" i="6"/>
  <c r="Y201" i="6"/>
  <c r="Y202" i="6"/>
  <c r="Y203" i="6"/>
  <c r="Y204" i="6"/>
  <c r="Y205" i="6"/>
  <c r="Y206" i="6"/>
  <c r="W255" i="6"/>
  <c r="W201" i="6"/>
  <c r="W202" i="6"/>
  <c r="W203" i="6"/>
  <c r="W204" i="6"/>
  <c r="W205" i="6"/>
  <c r="W206" i="6"/>
  <c r="Y256" i="6"/>
  <c r="Y257" i="6"/>
  <c r="W256" i="6"/>
  <c r="W257" i="6"/>
  <c r="V255" i="6"/>
  <c r="V201" i="6"/>
  <c r="V202" i="6"/>
  <c r="V203" i="6"/>
  <c r="V204" i="6"/>
  <c r="V205" i="6"/>
  <c r="V206" i="6"/>
  <c r="T255" i="6"/>
  <c r="T201" i="6"/>
  <c r="T202" i="6"/>
  <c r="T203" i="6"/>
  <c r="T204" i="6"/>
  <c r="T205" i="6"/>
  <c r="T206" i="6"/>
  <c r="V256" i="6"/>
  <c r="V257" i="6"/>
  <c r="T256" i="6"/>
  <c r="T257" i="6"/>
  <c r="AF246" i="6"/>
  <c r="AF245" i="6"/>
  <c r="P244" i="6"/>
  <c r="AF244" i="6"/>
  <c r="D243" i="6"/>
  <c r="J243" i="6"/>
  <c r="AF243" i="6"/>
  <c r="G242" i="6"/>
  <c r="M242" i="6"/>
  <c r="S242" i="6"/>
  <c r="AF242" i="6"/>
  <c r="AC234" i="6"/>
  <c r="AE234" i="6"/>
  <c r="AC235" i="6"/>
  <c r="AE235" i="6"/>
  <c r="AC236" i="6"/>
  <c r="AE236" i="6"/>
  <c r="AC237" i="6"/>
  <c r="AE237" i="6"/>
  <c r="AC238" i="6"/>
  <c r="AE238" i="6"/>
  <c r="AD241" i="6"/>
  <c r="Z234" i="6"/>
  <c r="AB234" i="6"/>
  <c r="Z235" i="6"/>
  <c r="AB235" i="6"/>
  <c r="Z236" i="6"/>
  <c r="AB236" i="6"/>
  <c r="Z237" i="6"/>
  <c r="AB237" i="6"/>
  <c r="Z238" i="6"/>
  <c r="AB238" i="6"/>
  <c r="AA241" i="6"/>
  <c r="W234" i="6"/>
  <c r="Y234" i="6"/>
  <c r="W235" i="6"/>
  <c r="Y235" i="6"/>
  <c r="W236" i="6"/>
  <c r="Y236" i="6"/>
  <c r="W237" i="6"/>
  <c r="Y237" i="6"/>
  <c r="W238" i="6"/>
  <c r="Y238" i="6"/>
  <c r="X241" i="6"/>
  <c r="T234" i="6"/>
  <c r="V234" i="6"/>
  <c r="T235" i="6"/>
  <c r="V235" i="6"/>
  <c r="T236" i="6"/>
  <c r="V236" i="6"/>
  <c r="T237" i="6"/>
  <c r="V237" i="6"/>
  <c r="T238" i="6"/>
  <c r="V238" i="6"/>
  <c r="U241" i="6"/>
  <c r="AF238" i="6"/>
  <c r="AG238" i="6"/>
  <c r="AF237" i="6"/>
  <c r="AG237" i="6"/>
  <c r="AF236" i="6"/>
  <c r="AG236" i="6"/>
  <c r="AF235" i="6"/>
  <c r="AG235" i="6"/>
  <c r="AF234" i="6"/>
  <c r="AG234" i="6"/>
  <c r="B232" i="6"/>
  <c r="D232" i="6"/>
  <c r="E232" i="6"/>
  <c r="G232" i="6"/>
  <c r="H232" i="6"/>
  <c r="J232" i="6"/>
  <c r="K232" i="6"/>
  <c r="M232" i="6"/>
  <c r="N232" i="6"/>
  <c r="P232" i="6"/>
  <c r="Q232" i="6"/>
  <c r="S232" i="6"/>
  <c r="T232" i="6"/>
  <c r="V232" i="6"/>
  <c r="W232" i="6"/>
  <c r="Y232" i="6"/>
  <c r="Z232" i="6"/>
  <c r="AB232" i="6"/>
  <c r="AC232" i="6"/>
  <c r="AE232" i="6"/>
  <c r="AF232" i="6"/>
  <c r="B231" i="6"/>
  <c r="D231" i="6"/>
  <c r="E231" i="6"/>
  <c r="E209" i="6"/>
  <c r="G209" i="6"/>
  <c r="E210" i="6"/>
  <c r="G210" i="6"/>
  <c r="E211" i="6"/>
  <c r="G211" i="6"/>
  <c r="E212" i="6"/>
  <c r="G212" i="6"/>
  <c r="E213" i="6"/>
  <c r="G213" i="6"/>
  <c r="E214" i="6"/>
  <c r="G231" i="6"/>
  <c r="H231" i="6"/>
  <c r="H209" i="6"/>
  <c r="J209" i="6"/>
  <c r="H210" i="6"/>
  <c r="J210" i="6"/>
  <c r="H211" i="6"/>
  <c r="J211" i="6"/>
  <c r="H212" i="6"/>
  <c r="J212" i="6"/>
  <c r="H213" i="6"/>
  <c r="J213" i="6"/>
  <c r="H214" i="6"/>
  <c r="J231" i="6"/>
  <c r="K231" i="6"/>
  <c r="M231" i="6"/>
  <c r="N231" i="6"/>
  <c r="N209" i="6"/>
  <c r="P209" i="6"/>
  <c r="N210" i="6"/>
  <c r="P210" i="6"/>
  <c r="N211" i="6"/>
  <c r="P211" i="6"/>
  <c r="N212" i="6"/>
  <c r="P212" i="6"/>
  <c r="N213" i="6"/>
  <c r="P213" i="6"/>
  <c r="N214" i="6"/>
  <c r="P231" i="6"/>
  <c r="Q231" i="6"/>
  <c r="S231" i="6"/>
  <c r="T231" i="6"/>
  <c r="V231" i="6"/>
  <c r="W231" i="6"/>
  <c r="Y231" i="6"/>
  <c r="Z231" i="6"/>
  <c r="AB231" i="6"/>
  <c r="AC231" i="6"/>
  <c r="AE231" i="6"/>
  <c r="AF231" i="6"/>
  <c r="B230" i="6"/>
  <c r="B209" i="6"/>
  <c r="D209" i="6"/>
  <c r="B210" i="6"/>
  <c r="D210" i="6"/>
  <c r="B211" i="6"/>
  <c r="D211" i="6"/>
  <c r="B212" i="6"/>
  <c r="D212" i="6"/>
  <c r="B213" i="6"/>
  <c r="D213" i="6"/>
  <c r="B214" i="6"/>
  <c r="D230" i="6"/>
  <c r="E230" i="6"/>
  <c r="G230" i="6"/>
  <c r="H230" i="6"/>
  <c r="J230" i="6"/>
  <c r="K230" i="6"/>
  <c r="K209" i="6"/>
  <c r="M209" i="6"/>
  <c r="K210" i="6"/>
  <c r="M210" i="6"/>
  <c r="K211" i="6"/>
  <c r="M211" i="6"/>
  <c r="K212" i="6"/>
  <c r="M212" i="6"/>
  <c r="K213" i="6"/>
  <c r="M213" i="6"/>
  <c r="K214" i="6"/>
  <c r="M230" i="6"/>
  <c r="N230" i="6"/>
  <c r="P230" i="6"/>
  <c r="Q230" i="6"/>
  <c r="S230" i="6"/>
  <c r="T230" i="6"/>
  <c r="V230" i="6"/>
  <c r="W230" i="6"/>
  <c r="Y230" i="6"/>
  <c r="Z230" i="6"/>
  <c r="AB230" i="6"/>
  <c r="AC230" i="6"/>
  <c r="AE230" i="6"/>
  <c r="AF230" i="6"/>
  <c r="B229" i="6"/>
  <c r="D229" i="6"/>
  <c r="E229" i="6"/>
  <c r="G229" i="6"/>
  <c r="H229" i="6"/>
  <c r="J229" i="6"/>
  <c r="K229" i="6"/>
  <c r="M229" i="6"/>
  <c r="N229" i="6"/>
  <c r="P229" i="6"/>
  <c r="Q229" i="6"/>
  <c r="Q209" i="6"/>
  <c r="S209" i="6"/>
  <c r="Q210" i="6"/>
  <c r="S210" i="6"/>
  <c r="Q211" i="6"/>
  <c r="S211" i="6"/>
  <c r="Q212" i="6"/>
  <c r="S212" i="6"/>
  <c r="Q213" i="6"/>
  <c r="S213" i="6"/>
  <c r="Q214" i="6"/>
  <c r="S229" i="6"/>
  <c r="T229" i="6"/>
  <c r="V229" i="6"/>
  <c r="W229" i="6"/>
  <c r="Y229" i="6"/>
  <c r="Z229" i="6"/>
  <c r="AB229" i="6"/>
  <c r="AC229" i="6"/>
  <c r="AE229" i="6"/>
  <c r="AF229" i="6"/>
  <c r="B228" i="6"/>
  <c r="D228" i="6"/>
  <c r="E228" i="6"/>
  <c r="G228" i="6"/>
  <c r="H228" i="6"/>
  <c r="J228" i="6"/>
  <c r="K228" i="6"/>
  <c r="M228" i="6"/>
  <c r="N228" i="6"/>
  <c r="P228" i="6"/>
  <c r="Q228" i="6"/>
  <c r="S228" i="6"/>
  <c r="T228" i="6"/>
  <c r="V228" i="6"/>
  <c r="W228" i="6"/>
  <c r="Y228" i="6"/>
  <c r="Z228" i="6"/>
  <c r="AB228" i="6"/>
  <c r="AC228" i="6"/>
  <c r="AE228" i="6"/>
  <c r="AF228" i="6"/>
  <c r="B226" i="6"/>
  <c r="D226" i="6"/>
  <c r="E226" i="6"/>
  <c r="G226" i="6"/>
  <c r="H226" i="6"/>
  <c r="J226" i="6"/>
  <c r="K226" i="6"/>
  <c r="M226" i="6"/>
  <c r="N226" i="6"/>
  <c r="P226" i="6"/>
  <c r="Q226" i="6"/>
  <c r="S226" i="6"/>
  <c r="T226" i="6"/>
  <c r="V226" i="6"/>
  <c r="W226" i="6"/>
  <c r="Y226" i="6"/>
  <c r="Z226" i="6"/>
  <c r="AB226" i="6"/>
  <c r="AC226" i="6"/>
  <c r="AE226" i="6"/>
  <c r="AF226" i="6"/>
  <c r="B225" i="6"/>
  <c r="D225" i="6"/>
  <c r="E225" i="6"/>
  <c r="E207" i="6"/>
  <c r="G207" i="6"/>
  <c r="F207" i="6"/>
  <c r="G225" i="6"/>
  <c r="H225" i="6"/>
  <c r="H207" i="6"/>
  <c r="J207" i="6"/>
  <c r="I207" i="6"/>
  <c r="J225" i="6"/>
  <c r="K225" i="6"/>
  <c r="M225" i="6"/>
  <c r="N225" i="6"/>
  <c r="N207" i="6"/>
  <c r="P207" i="6"/>
  <c r="O207" i="6"/>
  <c r="P225" i="6"/>
  <c r="Q225" i="6"/>
  <c r="S225" i="6"/>
  <c r="T225" i="6"/>
  <c r="V225" i="6"/>
  <c r="W225" i="6"/>
  <c r="Y225" i="6"/>
  <c r="Z225" i="6"/>
  <c r="AB225" i="6"/>
  <c r="AC225" i="6"/>
  <c r="AE225" i="6"/>
  <c r="AF225" i="6"/>
  <c r="B224" i="6"/>
  <c r="B207" i="6"/>
  <c r="D207" i="6"/>
  <c r="C207" i="6"/>
  <c r="D224" i="6"/>
  <c r="E224" i="6"/>
  <c r="G224" i="6"/>
  <c r="H224" i="6"/>
  <c r="J224" i="6"/>
  <c r="K224" i="6"/>
  <c r="K207" i="6"/>
  <c r="M207" i="6"/>
  <c r="L207" i="6"/>
  <c r="M224" i="6"/>
  <c r="N224" i="6"/>
  <c r="P224" i="6"/>
  <c r="Q224" i="6"/>
  <c r="S224" i="6"/>
  <c r="T224" i="6"/>
  <c r="V224" i="6"/>
  <c r="W224" i="6"/>
  <c r="Y224" i="6"/>
  <c r="Z224" i="6"/>
  <c r="AB224" i="6"/>
  <c r="AC224" i="6"/>
  <c r="AE224" i="6"/>
  <c r="AF224" i="6"/>
  <c r="B223" i="6"/>
  <c r="D223" i="6"/>
  <c r="E223" i="6"/>
  <c r="G223" i="6"/>
  <c r="H223" i="6"/>
  <c r="J223" i="6"/>
  <c r="K223" i="6"/>
  <c r="M223" i="6"/>
  <c r="N223" i="6"/>
  <c r="P223" i="6"/>
  <c r="Q223" i="6"/>
  <c r="Q207" i="6"/>
  <c r="S207" i="6"/>
  <c r="R207" i="6"/>
  <c r="S223" i="6"/>
  <c r="T223" i="6"/>
  <c r="V223" i="6"/>
  <c r="W223" i="6"/>
  <c r="Y223" i="6"/>
  <c r="Z223" i="6"/>
  <c r="AB223" i="6"/>
  <c r="AC223" i="6"/>
  <c r="AE223" i="6"/>
  <c r="AF223" i="6"/>
  <c r="B222" i="6"/>
  <c r="D222" i="6"/>
  <c r="E222" i="6"/>
  <c r="G222" i="6"/>
  <c r="H222" i="6"/>
  <c r="J222" i="6"/>
  <c r="K222" i="6"/>
  <c r="M222" i="6"/>
  <c r="N222" i="6"/>
  <c r="P222" i="6"/>
  <c r="Q222" i="6"/>
  <c r="S222" i="6"/>
  <c r="T222" i="6"/>
  <c r="V222" i="6"/>
  <c r="W222" i="6"/>
  <c r="Y222" i="6"/>
  <c r="Z222" i="6"/>
  <c r="AB222" i="6"/>
  <c r="AC222" i="6"/>
  <c r="AE222" i="6"/>
  <c r="AF222" i="6"/>
  <c r="B220" i="6"/>
  <c r="D220" i="6"/>
  <c r="E220" i="6"/>
  <c r="G220" i="6"/>
  <c r="H220" i="6"/>
  <c r="J220" i="6"/>
  <c r="K220" i="6"/>
  <c r="M220" i="6"/>
  <c r="N220" i="6"/>
  <c r="P220" i="6"/>
  <c r="Q220" i="6"/>
  <c r="S220" i="6"/>
  <c r="T220" i="6"/>
  <c r="V220" i="6"/>
  <c r="W220" i="6"/>
  <c r="Y220" i="6"/>
  <c r="Z220" i="6"/>
  <c r="AB220" i="6"/>
  <c r="AC220" i="6"/>
  <c r="AE220" i="6"/>
  <c r="AF220" i="6"/>
  <c r="AG220" i="6"/>
  <c r="B219" i="6"/>
  <c r="D219" i="6"/>
  <c r="E219" i="6"/>
  <c r="G219" i="6"/>
  <c r="H219" i="6"/>
  <c r="J219" i="6"/>
  <c r="K219" i="6"/>
  <c r="M219" i="6"/>
  <c r="N219" i="6"/>
  <c r="P219" i="6"/>
  <c r="Q219" i="6"/>
  <c r="S219" i="6"/>
  <c r="T219" i="6"/>
  <c r="V219" i="6"/>
  <c r="W219" i="6"/>
  <c r="Y219" i="6"/>
  <c r="Z219" i="6"/>
  <c r="AB219" i="6"/>
  <c r="AC219" i="6"/>
  <c r="AE219" i="6"/>
  <c r="AF219" i="6"/>
  <c r="AG219" i="6"/>
  <c r="B218" i="6"/>
  <c r="D218" i="6"/>
  <c r="E218" i="6"/>
  <c r="G218" i="6"/>
  <c r="H218" i="6"/>
  <c r="J218" i="6"/>
  <c r="K218" i="6"/>
  <c r="M218" i="6"/>
  <c r="N218" i="6"/>
  <c r="P218" i="6"/>
  <c r="Q218" i="6"/>
  <c r="S218" i="6"/>
  <c r="T218" i="6"/>
  <c r="V218" i="6"/>
  <c r="W218" i="6"/>
  <c r="Y218" i="6"/>
  <c r="Z218" i="6"/>
  <c r="AB218" i="6"/>
  <c r="AC218" i="6"/>
  <c r="AE218" i="6"/>
  <c r="AF218" i="6"/>
  <c r="AG218" i="6"/>
  <c r="B217" i="6"/>
  <c r="D217" i="6"/>
  <c r="E217" i="6"/>
  <c r="G217" i="6"/>
  <c r="H217" i="6"/>
  <c r="J217" i="6"/>
  <c r="K217" i="6"/>
  <c r="M217" i="6"/>
  <c r="N217" i="6"/>
  <c r="P217" i="6"/>
  <c r="Q217" i="6"/>
  <c r="S217" i="6"/>
  <c r="T217" i="6"/>
  <c r="V217" i="6"/>
  <c r="W217" i="6"/>
  <c r="Y217" i="6"/>
  <c r="Z217" i="6"/>
  <c r="AB217" i="6"/>
  <c r="AC217" i="6"/>
  <c r="AE217" i="6"/>
  <c r="AF217" i="6"/>
  <c r="AG217" i="6"/>
  <c r="B216" i="6"/>
  <c r="D216" i="6"/>
  <c r="E216" i="6"/>
  <c r="G216" i="6"/>
  <c r="H216" i="6"/>
  <c r="J216" i="6"/>
  <c r="K216" i="6"/>
  <c r="M216" i="6"/>
  <c r="N216" i="6"/>
  <c r="P216" i="6"/>
  <c r="Q216" i="6"/>
  <c r="S216" i="6"/>
  <c r="T216" i="6"/>
  <c r="V216" i="6"/>
  <c r="W216" i="6"/>
  <c r="Y216" i="6"/>
  <c r="Z216" i="6"/>
  <c r="AB216" i="6"/>
  <c r="AC216" i="6"/>
  <c r="AE216" i="6"/>
  <c r="AF216" i="6"/>
  <c r="AG216" i="6"/>
  <c r="AC209" i="6"/>
  <c r="AE209" i="6"/>
  <c r="AC210" i="6"/>
  <c r="AE210" i="6"/>
  <c r="AC211" i="6"/>
  <c r="AE211" i="6"/>
  <c r="AC212" i="6"/>
  <c r="AE212" i="6"/>
  <c r="AC213" i="6"/>
  <c r="AE213" i="6"/>
  <c r="AC214" i="6"/>
  <c r="Z209" i="6"/>
  <c r="AB209" i="6"/>
  <c r="Z210" i="6"/>
  <c r="AB210" i="6"/>
  <c r="Z211" i="6"/>
  <c r="AB211" i="6"/>
  <c r="Z212" i="6"/>
  <c r="AB212" i="6"/>
  <c r="Z213" i="6"/>
  <c r="AB213" i="6"/>
  <c r="Z214" i="6"/>
  <c r="W209" i="6"/>
  <c r="Y209" i="6"/>
  <c r="W210" i="6"/>
  <c r="Y210" i="6"/>
  <c r="W211" i="6"/>
  <c r="Y211" i="6"/>
  <c r="W212" i="6"/>
  <c r="Y212" i="6"/>
  <c r="W213" i="6"/>
  <c r="Y213" i="6"/>
  <c r="W214" i="6"/>
  <c r="T209" i="6"/>
  <c r="V209" i="6"/>
  <c r="T210" i="6"/>
  <c r="V210" i="6"/>
  <c r="T211" i="6"/>
  <c r="V211" i="6"/>
  <c r="T212" i="6"/>
  <c r="V212" i="6"/>
  <c r="T213" i="6"/>
  <c r="V213" i="6"/>
  <c r="T214" i="6"/>
  <c r="AE207" i="6"/>
  <c r="AC207" i="6"/>
  <c r="AD207" i="6"/>
  <c r="AB207" i="6"/>
  <c r="Z207" i="6"/>
  <c r="AA207" i="6"/>
  <c r="Y207" i="6"/>
  <c r="W207" i="6"/>
  <c r="X207" i="6"/>
  <c r="V207" i="6"/>
  <c r="T207" i="6"/>
  <c r="U207" i="6"/>
  <c r="AE200" i="6"/>
  <c r="AC200" i="6"/>
  <c r="AB200" i="6"/>
  <c r="Z200" i="6"/>
  <c r="Y200" i="6"/>
  <c r="W200" i="6"/>
  <c r="V200" i="6"/>
  <c r="T200" i="6"/>
  <c r="S200" i="6"/>
  <c r="Q200" i="6"/>
  <c r="P200" i="6"/>
  <c r="N200" i="6"/>
  <c r="M200" i="6"/>
  <c r="K200" i="6"/>
  <c r="J200" i="6"/>
  <c r="H200" i="6"/>
  <c r="G200" i="6"/>
  <c r="E200" i="6"/>
  <c r="D200" i="6"/>
  <c r="B200" i="6"/>
  <c r="AD199" i="6"/>
  <c r="AA199" i="6"/>
  <c r="X199" i="6"/>
  <c r="U199" i="6"/>
  <c r="R199" i="6"/>
  <c r="O199" i="6"/>
  <c r="L199" i="6"/>
  <c r="I199" i="6"/>
  <c r="F199" i="6"/>
  <c r="A199" i="6"/>
  <c r="AG198" i="6"/>
  <c r="AH198" i="6"/>
  <c r="AI198" i="6"/>
  <c r="AJ198" i="6"/>
  <c r="AK198" i="6"/>
  <c r="AL198" i="6"/>
  <c r="AM198" i="6"/>
  <c r="AN198" i="6"/>
  <c r="AO198" i="6"/>
  <c r="AP198" i="6"/>
  <c r="AQ198" i="6"/>
  <c r="AF198" i="6"/>
  <c r="AD198" i="6"/>
  <c r="AA198" i="6"/>
  <c r="X198" i="6"/>
  <c r="U198" i="6"/>
  <c r="R198" i="6"/>
  <c r="O198" i="6"/>
  <c r="L198" i="6"/>
  <c r="I198" i="6"/>
  <c r="F198" i="6"/>
  <c r="A198" i="6"/>
  <c r="AG197" i="6"/>
  <c r="AH197" i="6"/>
  <c r="AI197" i="6"/>
  <c r="AJ197" i="6"/>
  <c r="AK197" i="6"/>
  <c r="AL197" i="6"/>
  <c r="AM197" i="6"/>
  <c r="AN197" i="6"/>
  <c r="AO197" i="6"/>
  <c r="AP197" i="6"/>
  <c r="AQ197" i="6"/>
  <c r="AF197" i="6"/>
  <c r="AD197" i="6"/>
  <c r="AA197" i="6"/>
  <c r="X197" i="6"/>
  <c r="U197" i="6"/>
  <c r="R197" i="6"/>
  <c r="O197" i="6"/>
  <c r="L197" i="6"/>
  <c r="I197" i="6"/>
  <c r="F197" i="6"/>
  <c r="A197" i="6"/>
  <c r="AG196" i="6"/>
  <c r="AH196" i="6"/>
  <c r="AI196" i="6"/>
  <c r="AJ196" i="6"/>
  <c r="AK196" i="6"/>
  <c r="AL196" i="6"/>
  <c r="AM196" i="6"/>
  <c r="AN196" i="6"/>
  <c r="AO196" i="6"/>
  <c r="AP196" i="6"/>
  <c r="AQ196" i="6"/>
  <c r="AF196" i="6"/>
  <c r="AD196" i="6"/>
  <c r="AA196" i="6"/>
  <c r="X196" i="6"/>
  <c r="U196" i="6"/>
  <c r="R196" i="6"/>
  <c r="O196" i="6"/>
  <c r="L196" i="6"/>
  <c r="I196" i="6"/>
  <c r="F196" i="6"/>
  <c r="A196" i="6"/>
  <c r="AG195" i="6"/>
  <c r="AH195" i="6"/>
  <c r="AI195" i="6"/>
  <c r="AJ195" i="6"/>
  <c r="AK195" i="6"/>
  <c r="AL195" i="6"/>
  <c r="AM195" i="6"/>
  <c r="AN195" i="6"/>
  <c r="AO195" i="6"/>
  <c r="AP195" i="6"/>
  <c r="AQ195" i="6"/>
  <c r="AF195" i="6"/>
  <c r="AD195" i="6"/>
  <c r="AA195" i="6"/>
  <c r="X195" i="6"/>
  <c r="U195" i="6"/>
  <c r="R195" i="6"/>
  <c r="O195" i="6"/>
  <c r="L195" i="6"/>
  <c r="I195" i="6"/>
  <c r="F195" i="6"/>
  <c r="AG194" i="6"/>
  <c r="AH194" i="6"/>
  <c r="AI194" i="6"/>
  <c r="AJ194" i="6"/>
  <c r="AK194" i="6"/>
  <c r="AL194" i="6"/>
  <c r="AM194" i="6"/>
  <c r="AN194" i="6"/>
  <c r="AO194" i="6"/>
  <c r="AP194" i="6"/>
  <c r="AQ194" i="6"/>
  <c r="AF194" i="6"/>
  <c r="AD194" i="6"/>
  <c r="AA194" i="6"/>
  <c r="X194" i="6"/>
  <c r="U194" i="6"/>
  <c r="R194" i="6"/>
  <c r="O194" i="6"/>
  <c r="L194" i="6"/>
  <c r="I194" i="6"/>
  <c r="F194" i="6"/>
  <c r="AC192" i="6"/>
  <c r="Z192" i="6"/>
  <c r="W192" i="6"/>
  <c r="T192" i="6"/>
  <c r="Q192" i="6"/>
  <c r="N192" i="6"/>
  <c r="K192" i="6"/>
  <c r="H192" i="6"/>
  <c r="E192" i="6"/>
  <c r="E187" i="6"/>
  <c r="AC186" i="6"/>
  <c r="Z186" i="6"/>
  <c r="W186" i="6"/>
  <c r="R186" i="6"/>
  <c r="L186" i="6"/>
  <c r="A186" i="6"/>
  <c r="AC184" i="6"/>
  <c r="Z184" i="6"/>
  <c r="W184" i="6"/>
  <c r="R184" i="6"/>
  <c r="L184" i="6"/>
  <c r="A184" i="6"/>
  <c r="AC182" i="6"/>
  <c r="Z182" i="6"/>
  <c r="W182" i="6"/>
  <c r="R182" i="6"/>
  <c r="L182" i="6"/>
  <c r="A182" i="6"/>
  <c r="AC180" i="6"/>
  <c r="Z180" i="6"/>
  <c r="W180" i="6"/>
  <c r="R180" i="6"/>
  <c r="L180" i="6"/>
  <c r="A180" i="6"/>
  <c r="AC178" i="6"/>
  <c r="Z178" i="6"/>
  <c r="W178" i="6"/>
  <c r="R178" i="6"/>
  <c r="L178" i="6"/>
  <c r="A178" i="6"/>
  <c r="R177" i="6"/>
  <c r="L177" i="6"/>
  <c r="K176" i="6"/>
  <c r="A174" i="6"/>
  <c r="AE170" i="6"/>
  <c r="AE116" i="6"/>
  <c r="AE117" i="6"/>
  <c r="AE118" i="6"/>
  <c r="AE119" i="6"/>
  <c r="AE120" i="6"/>
  <c r="AE121" i="6"/>
  <c r="AC170" i="6"/>
  <c r="AC116" i="6"/>
  <c r="AC117" i="6"/>
  <c r="AC118" i="6"/>
  <c r="AC119" i="6"/>
  <c r="AC120" i="6"/>
  <c r="AC121" i="6"/>
  <c r="AE171" i="6"/>
  <c r="AE172" i="6"/>
  <c r="AC171" i="6"/>
  <c r="AC172" i="6"/>
  <c r="AB170" i="6"/>
  <c r="AB116" i="6"/>
  <c r="AB117" i="6"/>
  <c r="AB118" i="6"/>
  <c r="AB119" i="6"/>
  <c r="AB120" i="6"/>
  <c r="AB121" i="6"/>
  <c r="Z170" i="6"/>
  <c r="Z116" i="6"/>
  <c r="Z117" i="6"/>
  <c r="Z118" i="6"/>
  <c r="Z119" i="6"/>
  <c r="Z120" i="6"/>
  <c r="Z121" i="6"/>
  <c r="AB171" i="6"/>
  <c r="AB172" i="6"/>
  <c r="Z171" i="6"/>
  <c r="Z172" i="6"/>
  <c r="Y170" i="6"/>
  <c r="Y116" i="6"/>
  <c r="Y117" i="6"/>
  <c r="Y118" i="6"/>
  <c r="Y119" i="6"/>
  <c r="Y120" i="6"/>
  <c r="Y121" i="6"/>
  <c r="W170" i="6"/>
  <c r="W116" i="6"/>
  <c r="W117" i="6"/>
  <c r="W118" i="6"/>
  <c r="W119" i="6"/>
  <c r="W120" i="6"/>
  <c r="W121" i="6"/>
  <c r="Y171" i="6"/>
  <c r="Y172" i="6"/>
  <c r="W171" i="6"/>
  <c r="W172" i="6"/>
  <c r="V170" i="6"/>
  <c r="V116" i="6"/>
  <c r="V117" i="6"/>
  <c r="V118" i="6"/>
  <c r="V119" i="6"/>
  <c r="V120" i="6"/>
  <c r="V121" i="6"/>
  <c r="T170" i="6"/>
  <c r="T116" i="6"/>
  <c r="T117" i="6"/>
  <c r="T118" i="6"/>
  <c r="T119" i="6"/>
  <c r="T120" i="6"/>
  <c r="T121" i="6"/>
  <c r="V171" i="6"/>
  <c r="V172" i="6"/>
  <c r="T171" i="6"/>
  <c r="T172" i="6"/>
  <c r="AF161" i="6"/>
  <c r="AF160" i="6"/>
  <c r="P159" i="6"/>
  <c r="AF159" i="6"/>
  <c r="D158" i="6"/>
  <c r="J158" i="6"/>
  <c r="AF158" i="6"/>
  <c r="G157" i="6"/>
  <c r="M157" i="6"/>
  <c r="S157" i="6"/>
  <c r="AF157" i="6"/>
  <c r="AC149" i="6"/>
  <c r="AE149" i="6"/>
  <c r="AC150" i="6"/>
  <c r="AE150" i="6"/>
  <c r="AC151" i="6"/>
  <c r="AE151" i="6"/>
  <c r="AC152" i="6"/>
  <c r="AE152" i="6"/>
  <c r="AC153" i="6"/>
  <c r="AE153" i="6"/>
  <c r="AD156" i="6"/>
  <c r="Z149" i="6"/>
  <c r="AB149" i="6"/>
  <c r="Z150" i="6"/>
  <c r="AB150" i="6"/>
  <c r="Z151" i="6"/>
  <c r="AB151" i="6"/>
  <c r="Z152" i="6"/>
  <c r="AB152" i="6"/>
  <c r="Z153" i="6"/>
  <c r="AB153" i="6"/>
  <c r="AA156" i="6"/>
  <c r="W149" i="6"/>
  <c r="Y149" i="6"/>
  <c r="W150" i="6"/>
  <c r="Y150" i="6"/>
  <c r="W151" i="6"/>
  <c r="Y151" i="6"/>
  <c r="W152" i="6"/>
  <c r="Y152" i="6"/>
  <c r="W153" i="6"/>
  <c r="Y153" i="6"/>
  <c r="X156" i="6"/>
  <c r="T149" i="6"/>
  <c r="V149" i="6"/>
  <c r="T150" i="6"/>
  <c r="V150" i="6"/>
  <c r="T151" i="6"/>
  <c r="V151" i="6"/>
  <c r="T152" i="6"/>
  <c r="V152" i="6"/>
  <c r="T153" i="6"/>
  <c r="V153" i="6"/>
  <c r="U156" i="6"/>
  <c r="AF153" i="6"/>
  <c r="AG153" i="6"/>
  <c r="AF152" i="6"/>
  <c r="AG152" i="6"/>
  <c r="AF151" i="6"/>
  <c r="AG151" i="6"/>
  <c r="AF150" i="6"/>
  <c r="AG150" i="6"/>
  <c r="AF149" i="6"/>
  <c r="AG149" i="6"/>
  <c r="B147" i="6"/>
  <c r="D147" i="6"/>
  <c r="E147" i="6"/>
  <c r="G147" i="6"/>
  <c r="H147" i="6"/>
  <c r="J147" i="6"/>
  <c r="K147" i="6"/>
  <c r="M147" i="6"/>
  <c r="N147" i="6"/>
  <c r="P147" i="6"/>
  <c r="Q147" i="6"/>
  <c r="S147" i="6"/>
  <c r="T147" i="6"/>
  <c r="V147" i="6"/>
  <c r="W147" i="6"/>
  <c r="Y147" i="6"/>
  <c r="Z147" i="6"/>
  <c r="AB147" i="6"/>
  <c r="AC147" i="6"/>
  <c r="AE147" i="6"/>
  <c r="AF147" i="6"/>
  <c r="B146" i="6"/>
  <c r="D146" i="6"/>
  <c r="E146" i="6"/>
  <c r="E124" i="6"/>
  <c r="G124" i="6"/>
  <c r="E125" i="6"/>
  <c r="G125" i="6"/>
  <c r="E126" i="6"/>
  <c r="G126" i="6"/>
  <c r="E127" i="6"/>
  <c r="G127" i="6"/>
  <c r="E128" i="6"/>
  <c r="G128" i="6"/>
  <c r="E129" i="6"/>
  <c r="G146" i="6"/>
  <c r="H146" i="6"/>
  <c r="H124" i="6"/>
  <c r="J124" i="6"/>
  <c r="H125" i="6"/>
  <c r="J125" i="6"/>
  <c r="H126" i="6"/>
  <c r="J126" i="6"/>
  <c r="H127" i="6"/>
  <c r="J127" i="6"/>
  <c r="H128" i="6"/>
  <c r="J128" i="6"/>
  <c r="H129" i="6"/>
  <c r="J146" i="6"/>
  <c r="K146" i="6"/>
  <c r="M146" i="6"/>
  <c r="N146" i="6"/>
  <c r="N124" i="6"/>
  <c r="P124" i="6"/>
  <c r="N125" i="6"/>
  <c r="P125" i="6"/>
  <c r="N126" i="6"/>
  <c r="P126" i="6"/>
  <c r="N127" i="6"/>
  <c r="P127" i="6"/>
  <c r="N128" i="6"/>
  <c r="P128" i="6"/>
  <c r="N129" i="6"/>
  <c r="P146" i="6"/>
  <c r="Q146" i="6"/>
  <c r="S146" i="6"/>
  <c r="T146" i="6"/>
  <c r="V146" i="6"/>
  <c r="W146" i="6"/>
  <c r="Y146" i="6"/>
  <c r="Z146" i="6"/>
  <c r="AB146" i="6"/>
  <c r="AC146" i="6"/>
  <c r="AE146" i="6"/>
  <c r="AF146" i="6"/>
  <c r="B145" i="6"/>
  <c r="B124" i="6"/>
  <c r="D124" i="6"/>
  <c r="B125" i="6"/>
  <c r="D125" i="6"/>
  <c r="B126" i="6"/>
  <c r="D126" i="6"/>
  <c r="B127" i="6"/>
  <c r="D127" i="6"/>
  <c r="B128" i="6"/>
  <c r="D128" i="6"/>
  <c r="B129" i="6"/>
  <c r="D145" i="6"/>
  <c r="E145" i="6"/>
  <c r="G145" i="6"/>
  <c r="H145" i="6"/>
  <c r="J145" i="6"/>
  <c r="K145" i="6"/>
  <c r="K124" i="6"/>
  <c r="M124" i="6"/>
  <c r="K125" i="6"/>
  <c r="M125" i="6"/>
  <c r="K126" i="6"/>
  <c r="M126" i="6"/>
  <c r="K127" i="6"/>
  <c r="M127" i="6"/>
  <c r="K128" i="6"/>
  <c r="M128" i="6"/>
  <c r="K129" i="6"/>
  <c r="M145" i="6"/>
  <c r="N145" i="6"/>
  <c r="P145" i="6"/>
  <c r="Q145" i="6"/>
  <c r="S145" i="6"/>
  <c r="T145" i="6"/>
  <c r="V145" i="6"/>
  <c r="W145" i="6"/>
  <c r="Y145" i="6"/>
  <c r="Z145" i="6"/>
  <c r="AB145" i="6"/>
  <c r="AC145" i="6"/>
  <c r="AE145" i="6"/>
  <c r="AF145" i="6"/>
  <c r="B144" i="6"/>
  <c r="D144" i="6"/>
  <c r="E144" i="6"/>
  <c r="G144" i="6"/>
  <c r="H144" i="6"/>
  <c r="J144" i="6"/>
  <c r="K144" i="6"/>
  <c r="M144" i="6"/>
  <c r="N144" i="6"/>
  <c r="P144" i="6"/>
  <c r="Q144" i="6"/>
  <c r="Q124" i="6"/>
  <c r="S124" i="6"/>
  <c r="Q125" i="6"/>
  <c r="S125" i="6"/>
  <c r="Q126" i="6"/>
  <c r="S126" i="6"/>
  <c r="Q127" i="6"/>
  <c r="S127" i="6"/>
  <c r="Q128" i="6"/>
  <c r="S128" i="6"/>
  <c r="Q129" i="6"/>
  <c r="S144" i="6"/>
  <c r="T144" i="6"/>
  <c r="V144" i="6"/>
  <c r="W144" i="6"/>
  <c r="Y144" i="6"/>
  <c r="Z144" i="6"/>
  <c r="AB144" i="6"/>
  <c r="AC144" i="6"/>
  <c r="AE144" i="6"/>
  <c r="AF144" i="6"/>
  <c r="B143" i="6"/>
  <c r="D143" i="6"/>
  <c r="E143" i="6"/>
  <c r="G143" i="6"/>
  <c r="H143" i="6"/>
  <c r="J143" i="6"/>
  <c r="K143" i="6"/>
  <c r="M143" i="6"/>
  <c r="N143" i="6"/>
  <c r="P143" i="6"/>
  <c r="Q143" i="6"/>
  <c r="S143" i="6"/>
  <c r="T143" i="6"/>
  <c r="V143" i="6"/>
  <c r="W143" i="6"/>
  <c r="Y143" i="6"/>
  <c r="Z143" i="6"/>
  <c r="AB143" i="6"/>
  <c r="AC143" i="6"/>
  <c r="AE143" i="6"/>
  <c r="AF143" i="6"/>
  <c r="B141" i="6"/>
  <c r="D141" i="6"/>
  <c r="E141" i="6"/>
  <c r="G141" i="6"/>
  <c r="H141" i="6"/>
  <c r="J141" i="6"/>
  <c r="K141" i="6"/>
  <c r="M141" i="6"/>
  <c r="N141" i="6"/>
  <c r="P141" i="6"/>
  <c r="Q141" i="6"/>
  <c r="S141" i="6"/>
  <c r="T141" i="6"/>
  <c r="V141" i="6"/>
  <c r="W141" i="6"/>
  <c r="Y141" i="6"/>
  <c r="Z141" i="6"/>
  <c r="AB141" i="6"/>
  <c r="AC141" i="6"/>
  <c r="AE141" i="6"/>
  <c r="AF141" i="6"/>
  <c r="B140" i="6"/>
  <c r="D140" i="6"/>
  <c r="E140" i="6"/>
  <c r="E122" i="6"/>
  <c r="G122" i="6"/>
  <c r="F122" i="6"/>
  <c r="G140" i="6"/>
  <c r="H140" i="6"/>
  <c r="H122" i="6"/>
  <c r="J122" i="6"/>
  <c r="I122" i="6"/>
  <c r="J140" i="6"/>
  <c r="K140" i="6"/>
  <c r="M140" i="6"/>
  <c r="N140" i="6"/>
  <c r="N122" i="6"/>
  <c r="P122" i="6"/>
  <c r="O122" i="6"/>
  <c r="P140" i="6"/>
  <c r="Q140" i="6"/>
  <c r="S140" i="6"/>
  <c r="T140" i="6"/>
  <c r="V140" i="6"/>
  <c r="W140" i="6"/>
  <c r="Y140" i="6"/>
  <c r="Z140" i="6"/>
  <c r="AB140" i="6"/>
  <c r="AC140" i="6"/>
  <c r="AE140" i="6"/>
  <c r="AF140" i="6"/>
  <c r="B139" i="6"/>
  <c r="B122" i="6"/>
  <c r="D122" i="6"/>
  <c r="C122" i="6"/>
  <c r="D139" i="6"/>
  <c r="E139" i="6"/>
  <c r="G139" i="6"/>
  <c r="H139" i="6"/>
  <c r="J139" i="6"/>
  <c r="K139" i="6"/>
  <c r="K122" i="6"/>
  <c r="M122" i="6"/>
  <c r="L122" i="6"/>
  <c r="M139" i="6"/>
  <c r="N139" i="6"/>
  <c r="P139" i="6"/>
  <c r="Q139" i="6"/>
  <c r="S139" i="6"/>
  <c r="T139" i="6"/>
  <c r="V139" i="6"/>
  <c r="W139" i="6"/>
  <c r="Y139" i="6"/>
  <c r="Z139" i="6"/>
  <c r="AB139" i="6"/>
  <c r="AC139" i="6"/>
  <c r="AE139" i="6"/>
  <c r="AF139" i="6"/>
  <c r="B138" i="6"/>
  <c r="D138" i="6"/>
  <c r="E138" i="6"/>
  <c r="G138" i="6"/>
  <c r="H138" i="6"/>
  <c r="J138" i="6"/>
  <c r="K138" i="6"/>
  <c r="M138" i="6"/>
  <c r="N138" i="6"/>
  <c r="P138" i="6"/>
  <c r="Q138" i="6"/>
  <c r="Q122" i="6"/>
  <c r="S122" i="6"/>
  <c r="R122" i="6"/>
  <c r="S138" i="6"/>
  <c r="T138" i="6"/>
  <c r="V138" i="6"/>
  <c r="W138" i="6"/>
  <c r="Y138" i="6"/>
  <c r="Z138" i="6"/>
  <c r="AB138" i="6"/>
  <c r="AC138" i="6"/>
  <c r="AE138" i="6"/>
  <c r="AF138" i="6"/>
  <c r="B137" i="6"/>
  <c r="D137" i="6"/>
  <c r="E137" i="6"/>
  <c r="G137" i="6"/>
  <c r="H137" i="6"/>
  <c r="J137" i="6"/>
  <c r="K137" i="6"/>
  <c r="M137" i="6"/>
  <c r="N137" i="6"/>
  <c r="P137" i="6"/>
  <c r="Q137" i="6"/>
  <c r="S137" i="6"/>
  <c r="T137" i="6"/>
  <c r="V137" i="6"/>
  <c r="W137" i="6"/>
  <c r="Y137" i="6"/>
  <c r="Z137" i="6"/>
  <c r="AB137" i="6"/>
  <c r="AC137" i="6"/>
  <c r="AE137" i="6"/>
  <c r="AF137" i="6"/>
  <c r="B135" i="6"/>
  <c r="D135" i="6"/>
  <c r="E135" i="6"/>
  <c r="G135" i="6"/>
  <c r="H135" i="6"/>
  <c r="J135" i="6"/>
  <c r="K135" i="6"/>
  <c r="M135" i="6"/>
  <c r="N135" i="6"/>
  <c r="P135" i="6"/>
  <c r="Q135" i="6"/>
  <c r="S135" i="6"/>
  <c r="T135" i="6"/>
  <c r="V135" i="6"/>
  <c r="W135" i="6"/>
  <c r="Y135" i="6"/>
  <c r="Z135" i="6"/>
  <c r="AB135" i="6"/>
  <c r="AC135" i="6"/>
  <c r="AE135" i="6"/>
  <c r="AF135" i="6"/>
  <c r="AG135" i="6"/>
  <c r="B134" i="6"/>
  <c r="D134" i="6"/>
  <c r="E134" i="6"/>
  <c r="G134" i="6"/>
  <c r="H134" i="6"/>
  <c r="J134" i="6"/>
  <c r="K134" i="6"/>
  <c r="M134" i="6"/>
  <c r="N134" i="6"/>
  <c r="P134" i="6"/>
  <c r="Q134" i="6"/>
  <c r="S134" i="6"/>
  <c r="T134" i="6"/>
  <c r="V134" i="6"/>
  <c r="W134" i="6"/>
  <c r="Y134" i="6"/>
  <c r="Z134" i="6"/>
  <c r="AB134" i="6"/>
  <c r="AC134" i="6"/>
  <c r="AE134" i="6"/>
  <c r="AF134" i="6"/>
  <c r="AG134" i="6"/>
  <c r="B133" i="6"/>
  <c r="D133" i="6"/>
  <c r="E133" i="6"/>
  <c r="G133" i="6"/>
  <c r="H133" i="6"/>
  <c r="J133" i="6"/>
  <c r="K133" i="6"/>
  <c r="M133" i="6"/>
  <c r="N133" i="6"/>
  <c r="P133" i="6"/>
  <c r="Q133" i="6"/>
  <c r="S133" i="6"/>
  <c r="T133" i="6"/>
  <c r="V133" i="6"/>
  <c r="W133" i="6"/>
  <c r="Y133" i="6"/>
  <c r="Z133" i="6"/>
  <c r="AB133" i="6"/>
  <c r="AC133" i="6"/>
  <c r="AE133" i="6"/>
  <c r="AF133" i="6"/>
  <c r="AG133" i="6"/>
  <c r="B132" i="6"/>
  <c r="D132" i="6"/>
  <c r="E132" i="6"/>
  <c r="G132" i="6"/>
  <c r="H132" i="6"/>
  <c r="J132" i="6"/>
  <c r="K132" i="6"/>
  <c r="M132" i="6"/>
  <c r="N132" i="6"/>
  <c r="P132" i="6"/>
  <c r="Q132" i="6"/>
  <c r="S132" i="6"/>
  <c r="T132" i="6"/>
  <c r="V132" i="6"/>
  <c r="W132" i="6"/>
  <c r="Y132" i="6"/>
  <c r="Z132" i="6"/>
  <c r="AB132" i="6"/>
  <c r="AC132" i="6"/>
  <c r="AE132" i="6"/>
  <c r="AF132" i="6"/>
  <c r="AG132" i="6"/>
  <c r="B131" i="6"/>
  <c r="D131" i="6"/>
  <c r="E131" i="6"/>
  <c r="G131" i="6"/>
  <c r="H131" i="6"/>
  <c r="J131" i="6"/>
  <c r="K131" i="6"/>
  <c r="M131" i="6"/>
  <c r="N131" i="6"/>
  <c r="P131" i="6"/>
  <c r="Q131" i="6"/>
  <c r="S131" i="6"/>
  <c r="T131" i="6"/>
  <c r="V131" i="6"/>
  <c r="W131" i="6"/>
  <c r="Y131" i="6"/>
  <c r="Z131" i="6"/>
  <c r="AB131" i="6"/>
  <c r="AC131" i="6"/>
  <c r="AE131" i="6"/>
  <c r="AF131" i="6"/>
  <c r="AG131" i="6"/>
  <c r="AC124" i="6"/>
  <c r="AE124" i="6"/>
  <c r="AC125" i="6"/>
  <c r="AE125" i="6"/>
  <c r="AC126" i="6"/>
  <c r="AE126" i="6"/>
  <c r="AC127" i="6"/>
  <c r="AE127" i="6"/>
  <c r="AC128" i="6"/>
  <c r="AE128" i="6"/>
  <c r="AC129" i="6"/>
  <c r="Z124" i="6"/>
  <c r="AB124" i="6"/>
  <c r="Z125" i="6"/>
  <c r="AB125" i="6"/>
  <c r="Z126" i="6"/>
  <c r="AB126" i="6"/>
  <c r="Z127" i="6"/>
  <c r="AB127" i="6"/>
  <c r="Z128" i="6"/>
  <c r="AB128" i="6"/>
  <c r="Z129" i="6"/>
  <c r="W124" i="6"/>
  <c r="Y124" i="6"/>
  <c r="W125" i="6"/>
  <c r="Y125" i="6"/>
  <c r="W126" i="6"/>
  <c r="Y126" i="6"/>
  <c r="W127" i="6"/>
  <c r="Y127" i="6"/>
  <c r="W128" i="6"/>
  <c r="Y128" i="6"/>
  <c r="W129" i="6"/>
  <c r="T124" i="6"/>
  <c r="V124" i="6"/>
  <c r="T125" i="6"/>
  <c r="V125" i="6"/>
  <c r="T126" i="6"/>
  <c r="V126" i="6"/>
  <c r="T127" i="6"/>
  <c r="V127" i="6"/>
  <c r="T128" i="6"/>
  <c r="V128" i="6"/>
  <c r="T129" i="6"/>
  <c r="AE122" i="6"/>
  <c r="AC122" i="6"/>
  <c r="AD122" i="6"/>
  <c r="AB122" i="6"/>
  <c r="Z122" i="6"/>
  <c r="AA122" i="6"/>
  <c r="Y122" i="6"/>
  <c r="W122" i="6"/>
  <c r="X122" i="6"/>
  <c r="V122" i="6"/>
  <c r="T122" i="6"/>
  <c r="U122" i="6"/>
  <c r="AE115" i="6"/>
  <c r="AC115" i="6"/>
  <c r="AB115" i="6"/>
  <c r="Z115" i="6"/>
  <c r="Y115" i="6"/>
  <c r="W115" i="6"/>
  <c r="V115" i="6"/>
  <c r="T115" i="6"/>
  <c r="S115" i="6"/>
  <c r="Q115" i="6"/>
  <c r="P115" i="6"/>
  <c r="N115" i="6"/>
  <c r="M115" i="6"/>
  <c r="K115" i="6"/>
  <c r="J115" i="6"/>
  <c r="H115" i="6"/>
  <c r="G115" i="6"/>
  <c r="E115" i="6"/>
  <c r="D115" i="6"/>
  <c r="B115" i="6"/>
  <c r="AD114" i="6"/>
  <c r="AA114" i="6"/>
  <c r="X114" i="6"/>
  <c r="U114" i="6"/>
  <c r="R114" i="6"/>
  <c r="O114" i="6"/>
  <c r="L114" i="6"/>
  <c r="I114" i="6"/>
  <c r="F114" i="6"/>
  <c r="A114" i="6"/>
  <c r="AG113" i="6"/>
  <c r="AH113" i="6"/>
  <c r="AI113" i="6"/>
  <c r="AJ113" i="6"/>
  <c r="AK113" i="6"/>
  <c r="AL113" i="6"/>
  <c r="AM113" i="6"/>
  <c r="AN113" i="6"/>
  <c r="AO113" i="6"/>
  <c r="AP113" i="6"/>
  <c r="AQ113" i="6"/>
  <c r="AF113" i="6"/>
  <c r="AD113" i="6"/>
  <c r="AA113" i="6"/>
  <c r="X113" i="6"/>
  <c r="U113" i="6"/>
  <c r="R113" i="6"/>
  <c r="O113" i="6"/>
  <c r="L113" i="6"/>
  <c r="I113" i="6"/>
  <c r="F113" i="6"/>
  <c r="A113" i="6"/>
  <c r="AG112" i="6"/>
  <c r="AH112" i="6"/>
  <c r="AI112" i="6"/>
  <c r="AJ112" i="6"/>
  <c r="AK112" i="6"/>
  <c r="AL112" i="6"/>
  <c r="AM112" i="6"/>
  <c r="AN112" i="6"/>
  <c r="AO112" i="6"/>
  <c r="AP112" i="6"/>
  <c r="AQ112" i="6"/>
  <c r="AF112" i="6"/>
  <c r="AD112" i="6"/>
  <c r="AA112" i="6"/>
  <c r="X112" i="6"/>
  <c r="U112" i="6"/>
  <c r="R112" i="6"/>
  <c r="O112" i="6"/>
  <c r="L112" i="6"/>
  <c r="I112" i="6"/>
  <c r="F112" i="6"/>
  <c r="A112" i="6"/>
  <c r="AG111" i="6"/>
  <c r="AH111" i="6"/>
  <c r="AI111" i="6"/>
  <c r="AJ111" i="6"/>
  <c r="AK111" i="6"/>
  <c r="AL111" i="6"/>
  <c r="AM111" i="6"/>
  <c r="AN111" i="6"/>
  <c r="AO111" i="6"/>
  <c r="AP111" i="6"/>
  <c r="AQ111" i="6"/>
  <c r="AF111" i="6"/>
  <c r="AD111" i="6"/>
  <c r="AA111" i="6"/>
  <c r="X111" i="6"/>
  <c r="U111" i="6"/>
  <c r="R111" i="6"/>
  <c r="O111" i="6"/>
  <c r="L111" i="6"/>
  <c r="I111" i="6"/>
  <c r="F111" i="6"/>
  <c r="A111" i="6"/>
  <c r="AG110" i="6"/>
  <c r="AH110" i="6"/>
  <c r="AI110" i="6"/>
  <c r="AJ110" i="6"/>
  <c r="AK110" i="6"/>
  <c r="AL110" i="6"/>
  <c r="AM110" i="6"/>
  <c r="AN110" i="6"/>
  <c r="AO110" i="6"/>
  <c r="AP110" i="6"/>
  <c r="AQ110" i="6"/>
  <c r="AF110" i="6"/>
  <c r="AD110" i="6"/>
  <c r="AA110" i="6"/>
  <c r="X110" i="6"/>
  <c r="U110" i="6"/>
  <c r="R110" i="6"/>
  <c r="O110" i="6"/>
  <c r="L110" i="6"/>
  <c r="I110" i="6"/>
  <c r="F110" i="6"/>
  <c r="AG109" i="6"/>
  <c r="AH109" i="6"/>
  <c r="AI109" i="6"/>
  <c r="AJ109" i="6"/>
  <c r="AK109" i="6"/>
  <c r="AL109" i="6"/>
  <c r="AM109" i="6"/>
  <c r="AN109" i="6"/>
  <c r="AO109" i="6"/>
  <c r="AP109" i="6"/>
  <c r="AQ109" i="6"/>
  <c r="AF109" i="6"/>
  <c r="AD109" i="6"/>
  <c r="AA109" i="6"/>
  <c r="X109" i="6"/>
  <c r="U109" i="6"/>
  <c r="R109" i="6"/>
  <c r="O109" i="6"/>
  <c r="L109" i="6"/>
  <c r="I109" i="6"/>
  <c r="F109" i="6"/>
  <c r="AC107" i="6"/>
  <c r="Z107" i="6"/>
  <c r="W107" i="6"/>
  <c r="T107" i="6"/>
  <c r="Q107" i="6"/>
  <c r="N107" i="6"/>
  <c r="K107" i="6"/>
  <c r="H107" i="6"/>
  <c r="E107" i="6"/>
  <c r="E102" i="6"/>
  <c r="AC101" i="6"/>
  <c r="Z101" i="6"/>
  <c r="W101" i="6"/>
  <c r="R101" i="6"/>
  <c r="L101" i="6"/>
  <c r="A101" i="6"/>
  <c r="AC99" i="6"/>
  <c r="Z99" i="6"/>
  <c r="W99" i="6"/>
  <c r="R99" i="6"/>
  <c r="L99" i="6"/>
  <c r="A99" i="6"/>
  <c r="AC97" i="6"/>
  <c r="Z97" i="6"/>
  <c r="W97" i="6"/>
  <c r="R97" i="6"/>
  <c r="L97" i="6"/>
  <c r="A97" i="6"/>
  <c r="AC95" i="6"/>
  <c r="Z95" i="6"/>
  <c r="W95" i="6"/>
  <c r="R95" i="6"/>
  <c r="L95" i="6"/>
  <c r="A95" i="6"/>
  <c r="AC93" i="6"/>
  <c r="Z93" i="6"/>
  <c r="W93" i="6"/>
  <c r="R93" i="6"/>
  <c r="L93" i="6"/>
  <c r="A93" i="6"/>
  <c r="R92" i="6"/>
  <c r="L92" i="6"/>
  <c r="K91" i="6"/>
  <c r="A89" i="6"/>
  <c r="AE85" i="6"/>
  <c r="AE31" i="6"/>
  <c r="AE32" i="6"/>
  <c r="AE33" i="6"/>
  <c r="AE34" i="6"/>
  <c r="AE35" i="6"/>
  <c r="AE36" i="6"/>
  <c r="AC85" i="6"/>
  <c r="AC31" i="6"/>
  <c r="AC32" i="6"/>
  <c r="AC33" i="6"/>
  <c r="AC34" i="6"/>
  <c r="AC35" i="6"/>
  <c r="AC36" i="6"/>
  <c r="AE86" i="6"/>
  <c r="AE87" i="6"/>
  <c r="AC86" i="6"/>
  <c r="AC87" i="6"/>
  <c r="AB85" i="6"/>
  <c r="AB31" i="6"/>
  <c r="AB32" i="6"/>
  <c r="AB33" i="6"/>
  <c r="AB34" i="6"/>
  <c r="AB35" i="6"/>
  <c r="AB36" i="6"/>
  <c r="Z85" i="6"/>
  <c r="Z31" i="6"/>
  <c r="Z32" i="6"/>
  <c r="Z33" i="6"/>
  <c r="Z34" i="6"/>
  <c r="Z35" i="6"/>
  <c r="Z36" i="6"/>
  <c r="AB86" i="6"/>
  <c r="AB87" i="6"/>
  <c r="Z86" i="6"/>
  <c r="Z87" i="6"/>
  <c r="Y85" i="6"/>
  <c r="Y31" i="6"/>
  <c r="Y32" i="6"/>
  <c r="Y33" i="6"/>
  <c r="Y34" i="6"/>
  <c r="Y35" i="6"/>
  <c r="Y36" i="6"/>
  <c r="W85" i="6"/>
  <c r="W31" i="6"/>
  <c r="W32" i="6"/>
  <c r="W33" i="6"/>
  <c r="W34" i="6"/>
  <c r="W35" i="6"/>
  <c r="W36" i="6"/>
  <c r="Y86" i="6"/>
  <c r="Y87" i="6"/>
  <c r="W86" i="6"/>
  <c r="W87" i="6"/>
  <c r="V85" i="6"/>
  <c r="V31" i="6"/>
  <c r="V32" i="6"/>
  <c r="V33" i="6"/>
  <c r="V34" i="6"/>
  <c r="V35" i="6"/>
  <c r="V36" i="6"/>
  <c r="T85" i="6"/>
  <c r="T31" i="6"/>
  <c r="T32" i="6"/>
  <c r="T33" i="6"/>
  <c r="T34" i="6"/>
  <c r="T35" i="6"/>
  <c r="T36" i="6"/>
  <c r="V86" i="6"/>
  <c r="V87" i="6"/>
  <c r="T86" i="6"/>
  <c r="T87" i="6"/>
  <c r="AF76" i="6"/>
  <c r="AF75" i="6"/>
  <c r="P74" i="6"/>
  <c r="AF74" i="6"/>
  <c r="D73" i="6"/>
  <c r="J73" i="6"/>
  <c r="AF73" i="6"/>
  <c r="G72" i="6"/>
  <c r="M72" i="6"/>
  <c r="S72" i="6"/>
  <c r="AF72" i="6"/>
  <c r="AC64" i="6"/>
  <c r="AE64" i="6"/>
  <c r="AC65" i="6"/>
  <c r="AE65" i="6"/>
  <c r="AC66" i="6"/>
  <c r="AE66" i="6"/>
  <c r="AC67" i="6"/>
  <c r="AE67" i="6"/>
  <c r="AC68" i="6"/>
  <c r="AE68" i="6"/>
  <c r="AD71" i="6"/>
  <c r="Z64" i="6"/>
  <c r="AB64" i="6"/>
  <c r="Z65" i="6"/>
  <c r="AB65" i="6"/>
  <c r="Z66" i="6"/>
  <c r="AB66" i="6"/>
  <c r="Z67" i="6"/>
  <c r="AB67" i="6"/>
  <c r="Z68" i="6"/>
  <c r="AB68" i="6"/>
  <c r="AA71" i="6"/>
  <c r="W64" i="6"/>
  <c r="Y64" i="6"/>
  <c r="W65" i="6"/>
  <c r="Y65" i="6"/>
  <c r="W66" i="6"/>
  <c r="Y66" i="6"/>
  <c r="W67" i="6"/>
  <c r="Y67" i="6"/>
  <c r="W68" i="6"/>
  <c r="Y68" i="6"/>
  <c r="X71" i="6"/>
  <c r="T64" i="6"/>
  <c r="V64" i="6"/>
  <c r="T65" i="6"/>
  <c r="V65" i="6"/>
  <c r="T66" i="6"/>
  <c r="V66" i="6"/>
  <c r="T67" i="6"/>
  <c r="V67" i="6"/>
  <c r="T68" i="6"/>
  <c r="V68" i="6"/>
  <c r="U71" i="6"/>
  <c r="AF68" i="6"/>
  <c r="AG68" i="6"/>
  <c r="AF67" i="6"/>
  <c r="AG67" i="6"/>
  <c r="AF66" i="6"/>
  <c r="AG66" i="6"/>
  <c r="AF65" i="6"/>
  <c r="AG65" i="6"/>
  <c r="AF64" i="6"/>
  <c r="AG64" i="6"/>
  <c r="B62" i="6"/>
  <c r="D62" i="6"/>
  <c r="E62" i="6"/>
  <c r="G62" i="6"/>
  <c r="H62" i="6"/>
  <c r="J62" i="6"/>
  <c r="K62" i="6"/>
  <c r="M62" i="6"/>
  <c r="N62" i="6"/>
  <c r="P62" i="6"/>
  <c r="Q62" i="6"/>
  <c r="S62" i="6"/>
  <c r="T62" i="6"/>
  <c r="V62" i="6"/>
  <c r="W62" i="6"/>
  <c r="Y62" i="6"/>
  <c r="Z62" i="6"/>
  <c r="AB62" i="6"/>
  <c r="AC62" i="6"/>
  <c r="AE62" i="6"/>
  <c r="AF62" i="6"/>
  <c r="B61" i="6"/>
  <c r="D61" i="6"/>
  <c r="E61" i="6"/>
  <c r="E39" i="6"/>
  <c r="G39" i="6"/>
  <c r="E40" i="6"/>
  <c r="G40" i="6"/>
  <c r="E41" i="6"/>
  <c r="G41" i="6"/>
  <c r="E42" i="6"/>
  <c r="G42" i="6"/>
  <c r="E43" i="6"/>
  <c r="G43" i="6"/>
  <c r="E44" i="6"/>
  <c r="G61" i="6"/>
  <c r="H61" i="6"/>
  <c r="H39" i="6"/>
  <c r="J39" i="6"/>
  <c r="H40" i="6"/>
  <c r="J40" i="6"/>
  <c r="H41" i="6"/>
  <c r="J41" i="6"/>
  <c r="H42" i="6"/>
  <c r="J42" i="6"/>
  <c r="H43" i="6"/>
  <c r="J43" i="6"/>
  <c r="H44" i="6"/>
  <c r="J61" i="6"/>
  <c r="K61" i="6"/>
  <c r="M61" i="6"/>
  <c r="N61" i="6"/>
  <c r="N39" i="6"/>
  <c r="P39" i="6"/>
  <c r="N40" i="6"/>
  <c r="P40" i="6"/>
  <c r="N41" i="6"/>
  <c r="P41" i="6"/>
  <c r="N42" i="6"/>
  <c r="P42" i="6"/>
  <c r="N43" i="6"/>
  <c r="P43" i="6"/>
  <c r="N44" i="6"/>
  <c r="P61" i="6"/>
  <c r="Q61" i="6"/>
  <c r="S61" i="6"/>
  <c r="T61" i="6"/>
  <c r="V61" i="6"/>
  <c r="W61" i="6"/>
  <c r="Y61" i="6"/>
  <c r="Z61" i="6"/>
  <c r="AB61" i="6"/>
  <c r="AC61" i="6"/>
  <c r="AE61" i="6"/>
  <c r="AF61" i="6"/>
  <c r="B60" i="6"/>
  <c r="B39" i="6"/>
  <c r="D39" i="6"/>
  <c r="B40" i="6"/>
  <c r="D40" i="6"/>
  <c r="B41" i="6"/>
  <c r="D41" i="6"/>
  <c r="B42" i="6"/>
  <c r="D42" i="6"/>
  <c r="B43" i="6"/>
  <c r="D43" i="6"/>
  <c r="B44" i="6"/>
  <c r="D60" i="6"/>
  <c r="E60" i="6"/>
  <c r="G60" i="6"/>
  <c r="H60" i="6"/>
  <c r="J60" i="6"/>
  <c r="K60" i="6"/>
  <c r="K39" i="6"/>
  <c r="M39" i="6"/>
  <c r="K40" i="6"/>
  <c r="M40" i="6"/>
  <c r="K41" i="6"/>
  <c r="M41" i="6"/>
  <c r="K42" i="6"/>
  <c r="M42" i="6"/>
  <c r="K43" i="6"/>
  <c r="M43" i="6"/>
  <c r="K44" i="6"/>
  <c r="M60" i="6"/>
  <c r="N60" i="6"/>
  <c r="P60" i="6"/>
  <c r="Q60" i="6"/>
  <c r="S60" i="6"/>
  <c r="T60" i="6"/>
  <c r="V60" i="6"/>
  <c r="W60" i="6"/>
  <c r="Y60" i="6"/>
  <c r="Z60" i="6"/>
  <c r="AB60" i="6"/>
  <c r="AC60" i="6"/>
  <c r="AE60" i="6"/>
  <c r="AF60" i="6"/>
  <c r="B59" i="6"/>
  <c r="D59" i="6"/>
  <c r="E59" i="6"/>
  <c r="G59" i="6"/>
  <c r="H59" i="6"/>
  <c r="J59" i="6"/>
  <c r="K59" i="6"/>
  <c r="M59" i="6"/>
  <c r="N59" i="6"/>
  <c r="P59" i="6"/>
  <c r="Q59" i="6"/>
  <c r="Q39" i="6"/>
  <c r="S39" i="6"/>
  <c r="Q40" i="6"/>
  <c r="S40" i="6"/>
  <c r="Q41" i="6"/>
  <c r="S41" i="6"/>
  <c r="Q42" i="6"/>
  <c r="S42" i="6"/>
  <c r="Q43" i="6"/>
  <c r="S43" i="6"/>
  <c r="Q44" i="6"/>
  <c r="S59" i="6"/>
  <c r="T59" i="6"/>
  <c r="V59" i="6"/>
  <c r="W59" i="6"/>
  <c r="Y59" i="6"/>
  <c r="Z59" i="6"/>
  <c r="AB59" i="6"/>
  <c r="AC59" i="6"/>
  <c r="AE59" i="6"/>
  <c r="AF59" i="6"/>
  <c r="B58" i="6"/>
  <c r="D58" i="6"/>
  <c r="E58" i="6"/>
  <c r="G58" i="6"/>
  <c r="H58" i="6"/>
  <c r="J58" i="6"/>
  <c r="K58" i="6"/>
  <c r="M58" i="6"/>
  <c r="N58" i="6"/>
  <c r="P58" i="6"/>
  <c r="Q58" i="6"/>
  <c r="S58" i="6"/>
  <c r="T58" i="6"/>
  <c r="V58" i="6"/>
  <c r="W58" i="6"/>
  <c r="Y58" i="6"/>
  <c r="Z58" i="6"/>
  <c r="AB58" i="6"/>
  <c r="AC58" i="6"/>
  <c r="AE58" i="6"/>
  <c r="AF58" i="6"/>
  <c r="B56" i="6"/>
  <c r="D56" i="6"/>
  <c r="E56" i="6"/>
  <c r="G56" i="6"/>
  <c r="H56" i="6"/>
  <c r="J56" i="6"/>
  <c r="K56" i="6"/>
  <c r="M56" i="6"/>
  <c r="N56" i="6"/>
  <c r="P56" i="6"/>
  <c r="Q56" i="6"/>
  <c r="S56" i="6"/>
  <c r="T56" i="6"/>
  <c r="V56" i="6"/>
  <c r="W56" i="6"/>
  <c r="Y56" i="6"/>
  <c r="Z56" i="6"/>
  <c r="AB56" i="6"/>
  <c r="AC56" i="6"/>
  <c r="AE56" i="6"/>
  <c r="AF56" i="6"/>
  <c r="B55" i="6"/>
  <c r="D55" i="6"/>
  <c r="E55" i="6"/>
  <c r="E37" i="6"/>
  <c r="G37" i="6"/>
  <c r="F37" i="6"/>
  <c r="G55" i="6"/>
  <c r="H55" i="6"/>
  <c r="H37" i="6"/>
  <c r="J37" i="6"/>
  <c r="I37" i="6"/>
  <c r="J55" i="6"/>
  <c r="K55" i="6"/>
  <c r="M55" i="6"/>
  <c r="N55" i="6"/>
  <c r="N37" i="6"/>
  <c r="P37" i="6"/>
  <c r="O37" i="6"/>
  <c r="P55" i="6"/>
  <c r="Q55" i="6"/>
  <c r="S55" i="6"/>
  <c r="T55" i="6"/>
  <c r="V55" i="6"/>
  <c r="W55" i="6"/>
  <c r="Y55" i="6"/>
  <c r="Z55" i="6"/>
  <c r="AB55" i="6"/>
  <c r="AC55" i="6"/>
  <c r="AE55" i="6"/>
  <c r="AF55" i="6"/>
  <c r="B54" i="6"/>
  <c r="B37" i="6"/>
  <c r="D37" i="6"/>
  <c r="C37" i="6"/>
  <c r="D54" i="6"/>
  <c r="E54" i="6"/>
  <c r="G54" i="6"/>
  <c r="H54" i="6"/>
  <c r="J54" i="6"/>
  <c r="K54" i="6"/>
  <c r="K37" i="6"/>
  <c r="M37" i="6"/>
  <c r="L37" i="6"/>
  <c r="M54" i="6"/>
  <c r="N54" i="6"/>
  <c r="P54" i="6"/>
  <c r="Q54" i="6"/>
  <c r="S54" i="6"/>
  <c r="T54" i="6"/>
  <c r="V54" i="6"/>
  <c r="W54" i="6"/>
  <c r="Y54" i="6"/>
  <c r="Z54" i="6"/>
  <c r="AB54" i="6"/>
  <c r="AC54" i="6"/>
  <c r="AE54" i="6"/>
  <c r="AF54" i="6"/>
  <c r="B53" i="6"/>
  <c r="D53" i="6"/>
  <c r="E53" i="6"/>
  <c r="G53" i="6"/>
  <c r="H53" i="6"/>
  <c r="J53" i="6"/>
  <c r="K53" i="6"/>
  <c r="M53" i="6"/>
  <c r="N53" i="6"/>
  <c r="P53" i="6"/>
  <c r="Q53" i="6"/>
  <c r="Q37" i="6"/>
  <c r="S37" i="6"/>
  <c r="R37" i="6"/>
  <c r="S53" i="6"/>
  <c r="T53" i="6"/>
  <c r="V53" i="6"/>
  <c r="W53" i="6"/>
  <c r="Y53" i="6"/>
  <c r="Z53" i="6"/>
  <c r="AB53" i="6"/>
  <c r="AC53" i="6"/>
  <c r="AE53" i="6"/>
  <c r="AF53" i="6"/>
  <c r="B52" i="6"/>
  <c r="D52" i="6"/>
  <c r="E52" i="6"/>
  <c r="G52" i="6"/>
  <c r="H52" i="6"/>
  <c r="J52" i="6"/>
  <c r="K52" i="6"/>
  <c r="M52" i="6"/>
  <c r="N52" i="6"/>
  <c r="P52" i="6"/>
  <c r="Q52" i="6"/>
  <c r="S52" i="6"/>
  <c r="T52" i="6"/>
  <c r="V52" i="6"/>
  <c r="W52" i="6"/>
  <c r="Y52" i="6"/>
  <c r="Z52" i="6"/>
  <c r="AB52" i="6"/>
  <c r="AC52" i="6"/>
  <c r="AE52" i="6"/>
  <c r="AF52" i="6"/>
  <c r="B50" i="6"/>
  <c r="D50" i="6"/>
  <c r="E50" i="6"/>
  <c r="G50" i="6"/>
  <c r="H50" i="6"/>
  <c r="J50" i="6"/>
  <c r="K50" i="6"/>
  <c r="M50" i="6"/>
  <c r="N50" i="6"/>
  <c r="P50" i="6"/>
  <c r="Q50" i="6"/>
  <c r="S50" i="6"/>
  <c r="T50" i="6"/>
  <c r="V50" i="6"/>
  <c r="W50" i="6"/>
  <c r="Y50" i="6"/>
  <c r="Z50" i="6"/>
  <c r="AB50" i="6"/>
  <c r="AC50" i="6"/>
  <c r="AE50" i="6"/>
  <c r="AF50" i="6"/>
  <c r="AG50" i="6"/>
  <c r="B49" i="6"/>
  <c r="D49" i="6"/>
  <c r="E49" i="6"/>
  <c r="G49" i="6"/>
  <c r="H49" i="6"/>
  <c r="J49" i="6"/>
  <c r="K49" i="6"/>
  <c r="M49" i="6"/>
  <c r="N49" i="6"/>
  <c r="P49" i="6"/>
  <c r="Q49" i="6"/>
  <c r="S49" i="6"/>
  <c r="T49" i="6"/>
  <c r="V49" i="6"/>
  <c r="W49" i="6"/>
  <c r="Y49" i="6"/>
  <c r="Z49" i="6"/>
  <c r="AB49" i="6"/>
  <c r="AC49" i="6"/>
  <c r="AE49" i="6"/>
  <c r="AF49" i="6"/>
  <c r="AG49" i="6"/>
  <c r="B48" i="6"/>
  <c r="D48" i="6"/>
  <c r="E48" i="6"/>
  <c r="G48" i="6"/>
  <c r="H48" i="6"/>
  <c r="J48" i="6"/>
  <c r="K48" i="6"/>
  <c r="M48" i="6"/>
  <c r="N48" i="6"/>
  <c r="P48" i="6"/>
  <c r="Q48" i="6"/>
  <c r="S48" i="6"/>
  <c r="T48" i="6"/>
  <c r="V48" i="6"/>
  <c r="W48" i="6"/>
  <c r="Y48" i="6"/>
  <c r="Z48" i="6"/>
  <c r="AB48" i="6"/>
  <c r="AC48" i="6"/>
  <c r="AE48" i="6"/>
  <c r="AF48" i="6"/>
  <c r="AG48" i="6"/>
  <c r="B47" i="6"/>
  <c r="D47" i="6"/>
  <c r="E47" i="6"/>
  <c r="G47" i="6"/>
  <c r="H47" i="6"/>
  <c r="J47" i="6"/>
  <c r="K47" i="6"/>
  <c r="M47" i="6"/>
  <c r="N47" i="6"/>
  <c r="P47" i="6"/>
  <c r="Q47" i="6"/>
  <c r="S47" i="6"/>
  <c r="T47" i="6"/>
  <c r="V47" i="6"/>
  <c r="W47" i="6"/>
  <c r="Y47" i="6"/>
  <c r="Z47" i="6"/>
  <c r="AB47" i="6"/>
  <c r="AC47" i="6"/>
  <c r="AE47" i="6"/>
  <c r="AF47" i="6"/>
  <c r="AG47" i="6"/>
  <c r="B46" i="6"/>
  <c r="D46" i="6"/>
  <c r="E46" i="6"/>
  <c r="G46" i="6"/>
  <c r="H46" i="6"/>
  <c r="J46" i="6"/>
  <c r="K46" i="6"/>
  <c r="M46" i="6"/>
  <c r="N46" i="6"/>
  <c r="P46" i="6"/>
  <c r="Q46" i="6"/>
  <c r="S46" i="6"/>
  <c r="T46" i="6"/>
  <c r="V46" i="6"/>
  <c r="W46" i="6"/>
  <c r="Y46" i="6"/>
  <c r="Z46" i="6"/>
  <c r="AB46" i="6"/>
  <c r="AC46" i="6"/>
  <c r="AE46" i="6"/>
  <c r="AF46" i="6"/>
  <c r="AG46" i="6"/>
  <c r="AC39" i="6"/>
  <c r="AE39" i="6"/>
  <c r="AC40" i="6"/>
  <c r="AE40" i="6"/>
  <c r="AC41" i="6"/>
  <c r="AE41" i="6"/>
  <c r="AC42" i="6"/>
  <c r="AE42" i="6"/>
  <c r="AC43" i="6"/>
  <c r="AE43" i="6"/>
  <c r="AC44" i="6"/>
  <c r="Z39" i="6"/>
  <c r="AB39" i="6"/>
  <c r="Z40" i="6"/>
  <c r="AB40" i="6"/>
  <c r="Z41" i="6"/>
  <c r="AB41" i="6"/>
  <c r="Z42" i="6"/>
  <c r="AB42" i="6"/>
  <c r="Z43" i="6"/>
  <c r="AB43" i="6"/>
  <c r="Z44" i="6"/>
  <c r="W39" i="6"/>
  <c r="Y39" i="6"/>
  <c r="W40" i="6"/>
  <c r="Y40" i="6"/>
  <c r="W41" i="6"/>
  <c r="Y41" i="6"/>
  <c r="W42" i="6"/>
  <c r="Y42" i="6"/>
  <c r="W43" i="6"/>
  <c r="Y43" i="6"/>
  <c r="W44" i="6"/>
  <c r="T39" i="6"/>
  <c r="V39" i="6"/>
  <c r="T40" i="6"/>
  <c r="V40" i="6"/>
  <c r="T41" i="6"/>
  <c r="V41" i="6"/>
  <c r="T42" i="6"/>
  <c r="V42" i="6"/>
  <c r="T43" i="6"/>
  <c r="V43" i="6"/>
  <c r="T44" i="6"/>
  <c r="AE37" i="6"/>
  <c r="AC37" i="6"/>
  <c r="AD37" i="6"/>
  <c r="AB37" i="6"/>
  <c r="Z37" i="6"/>
  <c r="AA37" i="6"/>
  <c r="Y37" i="6"/>
  <c r="W37" i="6"/>
  <c r="X37" i="6"/>
  <c r="V37" i="6"/>
  <c r="T37" i="6"/>
  <c r="U37" i="6"/>
  <c r="AE30" i="6"/>
  <c r="AC30" i="6"/>
  <c r="AB30" i="6"/>
  <c r="Z30" i="6"/>
  <c r="Y30" i="6"/>
  <c r="W30" i="6"/>
  <c r="V30" i="6"/>
  <c r="T30" i="6"/>
  <c r="S30" i="6"/>
  <c r="Q30" i="6"/>
  <c r="P30" i="6"/>
  <c r="N30" i="6"/>
  <c r="M30" i="6"/>
  <c r="K30" i="6"/>
  <c r="J30" i="6"/>
  <c r="H30" i="6"/>
  <c r="G30" i="6"/>
  <c r="E30" i="6"/>
  <c r="D30" i="6"/>
  <c r="B30" i="6"/>
  <c r="AD29" i="6"/>
  <c r="AA29" i="6"/>
  <c r="X29" i="6"/>
  <c r="U29" i="6"/>
  <c r="R29" i="6"/>
  <c r="O29" i="6"/>
  <c r="L29" i="6"/>
  <c r="I29" i="6"/>
  <c r="F29" i="6"/>
  <c r="A29" i="6"/>
  <c r="AG28" i="6"/>
  <c r="AH28" i="6"/>
  <c r="AI28" i="6"/>
  <c r="AJ28" i="6"/>
  <c r="AK28" i="6"/>
  <c r="AL28" i="6"/>
  <c r="AM28" i="6"/>
  <c r="AN28" i="6"/>
  <c r="AO28" i="6"/>
  <c r="AP28" i="6"/>
  <c r="AQ28" i="6"/>
  <c r="AF28" i="6"/>
  <c r="AD28" i="6"/>
  <c r="AA28" i="6"/>
  <c r="X28" i="6"/>
  <c r="U28" i="6"/>
  <c r="R28" i="6"/>
  <c r="O28" i="6"/>
  <c r="L28" i="6"/>
  <c r="I28" i="6"/>
  <c r="F28" i="6"/>
  <c r="A28" i="6"/>
  <c r="AG27" i="6"/>
  <c r="AH27" i="6"/>
  <c r="AI27" i="6"/>
  <c r="AJ27" i="6"/>
  <c r="AK27" i="6"/>
  <c r="AL27" i="6"/>
  <c r="AM27" i="6"/>
  <c r="AN27" i="6"/>
  <c r="AO27" i="6"/>
  <c r="AP27" i="6"/>
  <c r="AQ27" i="6"/>
  <c r="AF27" i="6"/>
  <c r="AD27" i="6"/>
  <c r="AA27" i="6"/>
  <c r="X27" i="6"/>
  <c r="U27" i="6"/>
  <c r="R27" i="6"/>
  <c r="O27" i="6"/>
  <c r="L27" i="6"/>
  <c r="I27" i="6"/>
  <c r="F27" i="6"/>
  <c r="A27" i="6"/>
  <c r="AG26" i="6"/>
  <c r="AH26" i="6"/>
  <c r="AI26" i="6"/>
  <c r="AJ26" i="6"/>
  <c r="AK26" i="6"/>
  <c r="AL26" i="6"/>
  <c r="AM26" i="6"/>
  <c r="AN26" i="6"/>
  <c r="AO26" i="6"/>
  <c r="AP26" i="6"/>
  <c r="AQ26" i="6"/>
  <c r="AF26" i="6"/>
  <c r="AD26" i="6"/>
  <c r="AA26" i="6"/>
  <c r="X26" i="6"/>
  <c r="U26" i="6"/>
  <c r="R26" i="6"/>
  <c r="O26" i="6"/>
  <c r="L26" i="6"/>
  <c r="I26" i="6"/>
  <c r="F26" i="6"/>
  <c r="A26" i="6"/>
  <c r="AG25" i="6"/>
  <c r="AH25" i="6"/>
  <c r="AI25" i="6"/>
  <c r="AJ25" i="6"/>
  <c r="AK25" i="6"/>
  <c r="AL25" i="6"/>
  <c r="AM25" i="6"/>
  <c r="AN25" i="6"/>
  <c r="AO25" i="6"/>
  <c r="AP25" i="6"/>
  <c r="AQ25" i="6"/>
  <c r="AF25" i="6"/>
  <c r="AD25" i="6"/>
  <c r="AA25" i="6"/>
  <c r="X25" i="6"/>
  <c r="U25" i="6"/>
  <c r="R25" i="6"/>
  <c r="O25" i="6"/>
  <c r="L25" i="6"/>
  <c r="I25" i="6"/>
  <c r="F25" i="6"/>
  <c r="AG24" i="6"/>
  <c r="AH24" i="6"/>
  <c r="AI24" i="6"/>
  <c r="AJ24" i="6"/>
  <c r="AK24" i="6"/>
  <c r="AL24" i="6"/>
  <c r="AM24" i="6"/>
  <c r="AN24" i="6"/>
  <c r="AO24" i="6"/>
  <c r="AP24" i="6"/>
  <c r="AQ24" i="6"/>
  <c r="AF24" i="6"/>
  <c r="AD24" i="6"/>
  <c r="AA24" i="6"/>
  <c r="X24" i="6"/>
  <c r="U24" i="6"/>
  <c r="R24" i="6"/>
  <c r="O24" i="6"/>
  <c r="L24" i="6"/>
  <c r="I24" i="6"/>
  <c r="F24" i="6"/>
  <c r="AC22" i="6"/>
  <c r="Z22" i="6"/>
  <c r="W22" i="6"/>
  <c r="T22" i="6"/>
  <c r="Q22" i="6"/>
  <c r="N22" i="6"/>
  <c r="K22" i="6"/>
  <c r="H22" i="6"/>
  <c r="E22" i="6"/>
  <c r="AY18" i="6"/>
  <c r="AY17" i="6"/>
  <c r="E17" i="6"/>
  <c r="AY16" i="6"/>
  <c r="AC16" i="6"/>
  <c r="Z16" i="6"/>
  <c r="W16" i="6"/>
  <c r="R16" i="6"/>
  <c r="L16" i="6"/>
  <c r="A16" i="6"/>
  <c r="AY15" i="6"/>
  <c r="AY14" i="6"/>
  <c r="AC14" i="6"/>
  <c r="Z14" i="6"/>
  <c r="W14" i="6"/>
  <c r="R14" i="6"/>
  <c r="L14" i="6"/>
  <c r="A14" i="6"/>
  <c r="AY13" i="6"/>
  <c r="AY12" i="6"/>
  <c r="AC12" i="6"/>
  <c r="Z12" i="6"/>
  <c r="W12" i="6"/>
  <c r="R12" i="6"/>
  <c r="L12" i="6"/>
  <c r="A12" i="6"/>
  <c r="AY11" i="6"/>
  <c r="AY10" i="6"/>
  <c r="AC10" i="6"/>
  <c r="Z10" i="6"/>
  <c r="W10" i="6"/>
  <c r="R10" i="6"/>
  <c r="L10" i="6"/>
  <c r="A10" i="6"/>
  <c r="AY9" i="6"/>
  <c r="AY8" i="6"/>
  <c r="AC8" i="6"/>
  <c r="Z8" i="6"/>
  <c r="W8" i="6"/>
  <c r="R8" i="6"/>
  <c r="L8" i="6"/>
  <c r="A8" i="6"/>
  <c r="AY7" i="6"/>
  <c r="R7" i="6"/>
  <c r="L7" i="6"/>
  <c r="AY6" i="6"/>
  <c r="K6" i="6"/>
  <c r="AY5" i="6"/>
  <c r="AY4" i="6"/>
  <c r="AY3" i="6"/>
  <c r="K154" i="5"/>
  <c r="AW10" i="1"/>
  <c r="K87" i="5"/>
  <c r="AW9" i="1"/>
  <c r="K74" i="5"/>
  <c r="AW8" i="1"/>
  <c r="K62" i="5"/>
  <c r="AW7" i="1"/>
  <c r="K64" i="5"/>
  <c r="AW6" i="1"/>
  <c r="K67" i="5"/>
  <c r="AW5" i="1"/>
  <c r="K66" i="5"/>
  <c r="AW4" i="1"/>
  <c r="K65" i="5"/>
  <c r="AW3" i="1"/>
  <c r="K144" i="5"/>
  <c r="AW21" i="2"/>
  <c r="K138" i="5"/>
  <c r="AW20" i="2"/>
  <c r="K116" i="5"/>
  <c r="AW19" i="2"/>
  <c r="K128" i="5"/>
  <c r="AW18" i="2"/>
  <c r="K115" i="5"/>
  <c r="AW17" i="2"/>
  <c r="K137" i="5"/>
  <c r="AW16" i="2"/>
  <c r="K133" i="5"/>
  <c r="AW15" i="2"/>
  <c r="K110" i="5"/>
  <c r="AW14" i="2"/>
  <c r="K105" i="5"/>
  <c r="AW13" i="2"/>
  <c r="K140" i="5"/>
  <c r="AW12" i="2"/>
  <c r="K118" i="5"/>
  <c r="AW11" i="2"/>
  <c r="K107" i="5"/>
  <c r="AW10" i="2"/>
  <c r="K117" i="5"/>
  <c r="AW9" i="2"/>
  <c r="K114" i="5"/>
  <c r="AW8" i="2"/>
  <c r="K113" i="5"/>
  <c r="AW7" i="2"/>
  <c r="K108" i="5"/>
  <c r="AW6" i="2"/>
  <c r="K123" i="5"/>
  <c r="AW5" i="2"/>
  <c r="K122" i="5"/>
  <c r="AW4" i="2"/>
  <c r="K127" i="5"/>
  <c r="AW3" i="2"/>
  <c r="K188" i="5"/>
  <c r="AW12" i="3"/>
  <c r="K197" i="5"/>
  <c r="AW11" i="3"/>
  <c r="K231" i="5"/>
  <c r="AW10" i="3"/>
  <c r="K248" i="5"/>
  <c r="AW9" i="3"/>
  <c r="K241" i="5"/>
  <c r="AW8" i="3"/>
  <c r="K238" i="5"/>
  <c r="AW7" i="3"/>
  <c r="K255" i="5"/>
  <c r="AW6" i="3"/>
  <c r="K242" i="5"/>
  <c r="AW5" i="3"/>
  <c r="K239" i="5"/>
  <c r="AW4" i="3"/>
  <c r="K245" i="5"/>
  <c r="AW3" i="3"/>
  <c r="K257" i="5"/>
  <c r="AW12" i="4"/>
  <c r="K247" i="5"/>
  <c r="AW11" i="4"/>
  <c r="K256" i="5"/>
  <c r="AW10" i="4"/>
  <c r="K237" i="5"/>
  <c r="AW9" i="4"/>
  <c r="K230" i="5"/>
  <c r="AW8" i="4"/>
  <c r="K243" i="5"/>
  <c r="AW7" i="4"/>
  <c r="K249" i="5"/>
  <c r="AW6" i="4"/>
  <c r="K246" i="5"/>
  <c r="AW5" i="4"/>
  <c r="K235" i="5"/>
  <c r="AW4" i="4"/>
  <c r="K253" i="5"/>
  <c r="AW3" i="4"/>
  <c r="K407" i="5"/>
  <c r="F407" i="5"/>
  <c r="E407" i="5"/>
  <c r="C407" i="5"/>
  <c r="D407" i="5"/>
  <c r="K405" i="5"/>
  <c r="F405" i="5"/>
  <c r="E405" i="5"/>
  <c r="C405" i="5"/>
  <c r="D405" i="5"/>
  <c r="K403" i="5"/>
  <c r="H403" i="5"/>
  <c r="F403" i="5"/>
  <c r="E403" i="5"/>
  <c r="E402" i="5"/>
  <c r="E401" i="5"/>
  <c r="C402" i="5"/>
  <c r="C403" i="5"/>
  <c r="D403" i="5"/>
  <c r="K402" i="5"/>
  <c r="H402" i="5"/>
  <c r="F402" i="5"/>
  <c r="D402" i="5"/>
  <c r="K401" i="5"/>
  <c r="H401" i="5"/>
  <c r="F401" i="5"/>
  <c r="E400" i="5"/>
  <c r="C401" i="5"/>
  <c r="D401" i="5"/>
  <c r="K400" i="5"/>
  <c r="H400" i="5"/>
  <c r="F400" i="5"/>
  <c r="E399" i="5"/>
  <c r="E398" i="5"/>
  <c r="E397" i="5"/>
  <c r="C398" i="5"/>
  <c r="C399" i="5"/>
  <c r="C400" i="5"/>
  <c r="D400" i="5"/>
  <c r="K399" i="5"/>
  <c r="H399" i="5"/>
  <c r="F399" i="5"/>
  <c r="D399" i="5"/>
  <c r="K398" i="5"/>
  <c r="H398" i="5"/>
  <c r="F398" i="5"/>
  <c r="D398" i="5"/>
  <c r="K397" i="5"/>
  <c r="H397" i="5"/>
  <c r="F397" i="5"/>
  <c r="E396" i="5"/>
  <c r="E395" i="5"/>
  <c r="E394" i="5"/>
  <c r="E393" i="5"/>
  <c r="E392" i="5"/>
  <c r="E391" i="5"/>
  <c r="E390" i="5"/>
  <c r="C391" i="5"/>
  <c r="C392" i="5"/>
  <c r="C393" i="5"/>
  <c r="C394" i="5"/>
  <c r="C395" i="5"/>
  <c r="C396" i="5"/>
  <c r="C397" i="5"/>
  <c r="D397" i="5"/>
  <c r="K396" i="5"/>
  <c r="H396" i="5"/>
  <c r="F396" i="5"/>
  <c r="D396" i="5"/>
  <c r="K395" i="5"/>
  <c r="H395" i="5"/>
  <c r="F395" i="5"/>
  <c r="D395" i="5"/>
  <c r="K394" i="5"/>
  <c r="H394" i="5"/>
  <c r="F394" i="5"/>
  <c r="D394" i="5"/>
  <c r="K393" i="5"/>
  <c r="H393" i="5"/>
  <c r="F393" i="5"/>
  <c r="D393" i="5"/>
  <c r="K392" i="5"/>
  <c r="H392" i="5"/>
  <c r="F392" i="5"/>
  <c r="D392" i="5"/>
  <c r="K391" i="5"/>
  <c r="H391" i="5"/>
  <c r="F391" i="5"/>
  <c r="D391" i="5"/>
  <c r="K390" i="5"/>
  <c r="H390" i="5"/>
  <c r="F390" i="5"/>
  <c r="E389" i="5"/>
  <c r="C390" i="5"/>
  <c r="D390" i="5"/>
  <c r="K389" i="5"/>
  <c r="H389" i="5"/>
  <c r="F389" i="5"/>
  <c r="C389" i="5"/>
  <c r="D389" i="5"/>
  <c r="K387" i="5"/>
  <c r="F387" i="5"/>
  <c r="E387" i="5"/>
  <c r="C387" i="5"/>
  <c r="D387" i="5"/>
  <c r="K385" i="5"/>
  <c r="F385" i="5"/>
  <c r="E385" i="5"/>
  <c r="C385" i="5"/>
  <c r="D385" i="5"/>
  <c r="K382" i="5"/>
  <c r="F382" i="5"/>
  <c r="E382" i="5"/>
  <c r="E381" i="5"/>
  <c r="C382" i="5"/>
  <c r="D382" i="5"/>
  <c r="K381" i="5"/>
  <c r="F381" i="5"/>
  <c r="E378" i="5"/>
  <c r="C378" i="5"/>
  <c r="D378" i="5"/>
  <c r="D379" i="5"/>
  <c r="D380" i="5"/>
  <c r="D381" i="5"/>
  <c r="E380" i="5"/>
  <c r="E379" i="5"/>
  <c r="C379" i="5"/>
  <c r="C380" i="5"/>
  <c r="C381" i="5"/>
  <c r="K380" i="5"/>
  <c r="F380" i="5"/>
  <c r="K379" i="5"/>
  <c r="F379" i="5"/>
  <c r="K378" i="5"/>
  <c r="F378" i="5"/>
  <c r="K375" i="5"/>
  <c r="F375" i="5"/>
  <c r="E375" i="5"/>
  <c r="E374" i="5"/>
  <c r="E373" i="5"/>
  <c r="C374" i="5"/>
  <c r="D374" i="5"/>
  <c r="D375" i="5"/>
  <c r="C375" i="5"/>
  <c r="K374" i="5"/>
  <c r="F374" i="5"/>
  <c r="K373" i="5"/>
  <c r="F373" i="5"/>
  <c r="E372" i="5"/>
  <c r="E371" i="5"/>
  <c r="C372" i="5"/>
  <c r="D372" i="5"/>
  <c r="D373" i="5"/>
  <c r="C373" i="5"/>
  <c r="K372" i="5"/>
  <c r="F372" i="5"/>
  <c r="K371" i="5"/>
  <c r="F371" i="5"/>
  <c r="E370" i="5"/>
  <c r="C370" i="5"/>
  <c r="D370" i="5"/>
  <c r="D371" i="5"/>
  <c r="C371" i="5"/>
  <c r="K370" i="5"/>
  <c r="F370" i="5"/>
  <c r="K367" i="5"/>
  <c r="F367" i="5"/>
  <c r="E367" i="5"/>
  <c r="C367" i="5"/>
  <c r="D367" i="5"/>
  <c r="K365" i="5"/>
  <c r="F365" i="5"/>
  <c r="E365" i="5"/>
  <c r="C365" i="5"/>
  <c r="D365" i="5"/>
  <c r="K363" i="5"/>
  <c r="F363" i="5"/>
  <c r="E363" i="5"/>
  <c r="E362" i="5"/>
  <c r="E361" i="5"/>
  <c r="C362" i="5"/>
  <c r="C363" i="5"/>
  <c r="D363" i="5"/>
  <c r="K362" i="5"/>
  <c r="F362" i="5"/>
  <c r="E360" i="5"/>
  <c r="C360" i="5"/>
  <c r="D360" i="5"/>
  <c r="D361" i="5"/>
  <c r="D362" i="5"/>
  <c r="K361" i="5"/>
  <c r="F361" i="5"/>
  <c r="C361" i="5"/>
  <c r="K360" i="5"/>
  <c r="F360" i="5"/>
  <c r="K358" i="5"/>
  <c r="F358" i="5"/>
  <c r="E358" i="5"/>
  <c r="E357" i="5"/>
  <c r="E356" i="5"/>
  <c r="C357" i="5"/>
  <c r="D357" i="5"/>
  <c r="D358" i="5"/>
  <c r="C358" i="5"/>
  <c r="K357" i="5"/>
  <c r="F357" i="5"/>
  <c r="K356" i="5"/>
  <c r="F356" i="5"/>
  <c r="C356" i="5"/>
  <c r="D356" i="5"/>
  <c r="K354" i="5"/>
  <c r="F354" i="5"/>
  <c r="E354" i="5"/>
  <c r="E353" i="5"/>
  <c r="E352" i="5"/>
  <c r="E351" i="5"/>
  <c r="C352" i="5"/>
  <c r="C353" i="5"/>
  <c r="C354" i="5"/>
  <c r="D354" i="5"/>
  <c r="K353" i="5"/>
  <c r="F353" i="5"/>
  <c r="D352" i="5"/>
  <c r="D353" i="5"/>
  <c r="K352" i="5"/>
  <c r="F352" i="5"/>
  <c r="K351" i="5"/>
  <c r="F351" i="5"/>
  <c r="E344" i="5"/>
  <c r="E343" i="5"/>
  <c r="C344" i="5"/>
  <c r="D344" i="5"/>
  <c r="D345" i="5"/>
  <c r="D346" i="5"/>
  <c r="D347" i="5"/>
  <c r="D348" i="5"/>
  <c r="D349" i="5"/>
  <c r="D350" i="5"/>
  <c r="D351" i="5"/>
  <c r="E350" i="5"/>
  <c r="E349" i="5"/>
  <c r="E348" i="5"/>
  <c r="E347" i="5"/>
  <c r="E346" i="5"/>
  <c r="E345" i="5"/>
  <c r="C345" i="5"/>
  <c r="C346" i="5"/>
  <c r="C347" i="5"/>
  <c r="C348" i="5"/>
  <c r="C349" i="5"/>
  <c r="C350" i="5"/>
  <c r="C351" i="5"/>
  <c r="K350" i="5"/>
  <c r="F350" i="5"/>
  <c r="K349" i="5"/>
  <c r="F349" i="5"/>
  <c r="K348" i="5"/>
  <c r="F348" i="5"/>
  <c r="K347" i="5"/>
  <c r="F347" i="5"/>
  <c r="K346" i="5"/>
  <c r="F346" i="5"/>
  <c r="K345" i="5"/>
  <c r="F345" i="5"/>
  <c r="K344" i="5"/>
  <c r="F344" i="5"/>
  <c r="K343" i="5"/>
  <c r="F343" i="5"/>
  <c r="E342" i="5"/>
  <c r="C342" i="5"/>
  <c r="D342" i="5"/>
  <c r="D343" i="5"/>
  <c r="C343" i="5"/>
  <c r="K342" i="5"/>
  <c r="F342" i="5"/>
  <c r="K340" i="5"/>
  <c r="F340" i="5"/>
  <c r="E340" i="5"/>
  <c r="E334" i="5"/>
  <c r="E333" i="5"/>
  <c r="E332" i="5"/>
  <c r="E331" i="5"/>
  <c r="E330" i="5"/>
  <c r="E329" i="5"/>
  <c r="E328" i="5"/>
  <c r="E327" i="5"/>
  <c r="E326" i="5"/>
  <c r="E325" i="5"/>
  <c r="E324" i="5"/>
  <c r="E323" i="5"/>
  <c r="E322" i="5"/>
  <c r="E321" i="5"/>
  <c r="E320" i="5"/>
  <c r="E319" i="5"/>
  <c r="E318" i="5"/>
  <c r="E317" i="5"/>
  <c r="E316" i="5"/>
  <c r="E315" i="5"/>
  <c r="E314" i="5"/>
  <c r="E313" i="5"/>
  <c r="C314" i="5"/>
  <c r="C315" i="5"/>
  <c r="C316" i="5"/>
  <c r="C317" i="5"/>
  <c r="C318" i="5"/>
  <c r="C319" i="5"/>
  <c r="C320" i="5"/>
  <c r="C321" i="5"/>
  <c r="C322" i="5"/>
  <c r="C323" i="5"/>
  <c r="C324" i="5"/>
  <c r="C325" i="5"/>
  <c r="C326" i="5"/>
  <c r="C327" i="5"/>
  <c r="C328" i="5"/>
  <c r="C329" i="5"/>
  <c r="C330" i="5"/>
  <c r="C331" i="5"/>
  <c r="C332" i="5"/>
  <c r="C333" i="5"/>
  <c r="C334" i="5"/>
  <c r="D334" i="5"/>
  <c r="D335" i="5"/>
  <c r="D336" i="5"/>
  <c r="D337" i="5"/>
  <c r="D338" i="5"/>
  <c r="D339" i="5"/>
  <c r="D340" i="5"/>
  <c r="E339" i="5"/>
  <c r="E338" i="5"/>
  <c r="E337" i="5"/>
  <c r="E336" i="5"/>
  <c r="E335" i="5"/>
  <c r="C335" i="5"/>
  <c r="C336" i="5"/>
  <c r="C337" i="5"/>
  <c r="C338" i="5"/>
  <c r="C339" i="5"/>
  <c r="C340" i="5"/>
  <c r="K339" i="5"/>
  <c r="F339" i="5"/>
  <c r="K338" i="5"/>
  <c r="F338" i="5"/>
  <c r="K337" i="5"/>
  <c r="F337" i="5"/>
  <c r="K336" i="5"/>
  <c r="F336" i="5"/>
  <c r="K335" i="5"/>
  <c r="F335" i="5"/>
  <c r="K334" i="5"/>
  <c r="F334" i="5"/>
  <c r="K333" i="5"/>
  <c r="F333" i="5"/>
  <c r="D333" i="5"/>
  <c r="K332" i="5"/>
  <c r="F332" i="5"/>
  <c r="D332" i="5"/>
  <c r="K331" i="5"/>
  <c r="F331" i="5"/>
  <c r="D331" i="5"/>
  <c r="K330" i="5"/>
  <c r="F330" i="5"/>
  <c r="D314" i="5"/>
  <c r="D315" i="5"/>
  <c r="D316" i="5"/>
  <c r="D317" i="5"/>
  <c r="D318" i="5"/>
  <c r="D319" i="5"/>
  <c r="D320" i="5"/>
  <c r="D321" i="5"/>
  <c r="D322" i="5"/>
  <c r="D323" i="5"/>
  <c r="D324" i="5"/>
  <c r="D325" i="5"/>
  <c r="D326" i="5"/>
  <c r="D327" i="5"/>
  <c r="D328" i="5"/>
  <c r="D329" i="5"/>
  <c r="D330" i="5"/>
  <c r="K329" i="5"/>
  <c r="F329" i="5"/>
  <c r="K328" i="5"/>
  <c r="F328" i="5"/>
  <c r="K327" i="5"/>
  <c r="F327" i="5"/>
  <c r="K326" i="5"/>
  <c r="F326" i="5"/>
  <c r="K325" i="5"/>
  <c r="F325" i="5"/>
  <c r="K324" i="5"/>
  <c r="F324" i="5"/>
  <c r="K323" i="5"/>
  <c r="F323" i="5"/>
  <c r="K322" i="5"/>
  <c r="F322" i="5"/>
  <c r="K321" i="5"/>
  <c r="F321" i="5"/>
  <c r="K320" i="5"/>
  <c r="F320" i="5"/>
  <c r="K319" i="5"/>
  <c r="F319" i="5"/>
  <c r="K318" i="5"/>
  <c r="F318" i="5"/>
  <c r="K317" i="5"/>
  <c r="F317" i="5"/>
  <c r="K316" i="5"/>
  <c r="F316" i="5"/>
  <c r="K315" i="5"/>
  <c r="F315" i="5"/>
  <c r="K314" i="5"/>
  <c r="F314" i="5"/>
  <c r="K313" i="5"/>
  <c r="F313" i="5"/>
  <c r="E307" i="5"/>
  <c r="E306" i="5"/>
  <c r="E305" i="5"/>
  <c r="E304" i="5"/>
  <c r="E303" i="5"/>
  <c r="E302" i="5"/>
  <c r="E301" i="5"/>
  <c r="E300" i="5"/>
  <c r="E299" i="5"/>
  <c r="E298" i="5"/>
  <c r="E297" i="5"/>
  <c r="E296" i="5"/>
  <c r="E295" i="5"/>
  <c r="E294" i="5"/>
  <c r="E293" i="5"/>
  <c r="E292" i="5"/>
  <c r="E291" i="5"/>
  <c r="E290" i="5"/>
  <c r="E289" i="5"/>
  <c r="E288" i="5"/>
  <c r="E287" i="5"/>
  <c r="E286" i="5"/>
  <c r="E285" i="5"/>
  <c r="E284" i="5"/>
  <c r="E283" i="5"/>
  <c r="E282" i="5"/>
  <c r="E281" i="5"/>
  <c r="E280" i="5"/>
  <c r="C281" i="5"/>
  <c r="C282" i="5"/>
  <c r="C283" i="5"/>
  <c r="C284" i="5"/>
  <c r="C285" i="5"/>
  <c r="C286" i="5"/>
  <c r="C287" i="5"/>
  <c r="C288" i="5"/>
  <c r="C289" i="5"/>
  <c r="C290" i="5"/>
  <c r="C291" i="5"/>
  <c r="C292" i="5"/>
  <c r="C293" i="5"/>
  <c r="C294" i="5"/>
  <c r="C295" i="5"/>
  <c r="C296" i="5"/>
  <c r="C297" i="5"/>
  <c r="C298" i="5"/>
  <c r="C299" i="5"/>
  <c r="C300" i="5"/>
  <c r="C301" i="5"/>
  <c r="C302" i="5"/>
  <c r="C303" i="5"/>
  <c r="C304" i="5"/>
  <c r="C305" i="5"/>
  <c r="C306" i="5"/>
  <c r="C307" i="5"/>
  <c r="D307" i="5"/>
  <c r="D308" i="5"/>
  <c r="D309" i="5"/>
  <c r="D310" i="5"/>
  <c r="D311" i="5"/>
  <c r="D312" i="5"/>
  <c r="D313" i="5"/>
  <c r="E312" i="5"/>
  <c r="E311" i="5"/>
  <c r="E310" i="5"/>
  <c r="E309" i="5"/>
  <c r="E308" i="5"/>
  <c r="C308" i="5"/>
  <c r="C309" i="5"/>
  <c r="C310" i="5"/>
  <c r="C311" i="5"/>
  <c r="C312" i="5"/>
  <c r="C313" i="5"/>
  <c r="K312" i="5"/>
  <c r="F312" i="5"/>
  <c r="K311" i="5"/>
  <c r="F311" i="5"/>
  <c r="K310" i="5"/>
  <c r="F310" i="5"/>
  <c r="K309" i="5"/>
  <c r="F309" i="5"/>
  <c r="K308" i="5"/>
  <c r="F308" i="5"/>
  <c r="K307" i="5"/>
  <c r="F307" i="5"/>
  <c r="K306" i="5"/>
  <c r="F306" i="5"/>
  <c r="D306" i="5"/>
  <c r="F305" i="5"/>
  <c r="D305" i="5"/>
  <c r="K304" i="5"/>
  <c r="F304" i="5"/>
  <c r="D304" i="5"/>
  <c r="K303" i="5"/>
  <c r="F303" i="5"/>
  <c r="D281" i="5"/>
  <c r="D282" i="5"/>
  <c r="D283" i="5"/>
  <c r="D284" i="5"/>
  <c r="D285" i="5"/>
  <c r="D286" i="5"/>
  <c r="D287" i="5"/>
  <c r="D288" i="5"/>
  <c r="D289" i="5"/>
  <c r="D290" i="5"/>
  <c r="D291" i="5"/>
  <c r="D292" i="5"/>
  <c r="D293" i="5"/>
  <c r="D294" i="5"/>
  <c r="D295" i="5"/>
  <c r="D296" i="5"/>
  <c r="D297" i="5"/>
  <c r="D298" i="5"/>
  <c r="D299" i="5"/>
  <c r="D300" i="5"/>
  <c r="D301" i="5"/>
  <c r="D302" i="5"/>
  <c r="D303" i="5"/>
  <c r="K302" i="5"/>
  <c r="F302" i="5"/>
  <c r="F301" i="5"/>
  <c r="K300" i="5"/>
  <c r="F300" i="5"/>
  <c r="K299" i="5"/>
  <c r="F299" i="5"/>
  <c r="K298" i="5"/>
  <c r="F298" i="5"/>
  <c r="F297" i="5"/>
  <c r="K296" i="5"/>
  <c r="F296" i="5"/>
  <c r="K295" i="5"/>
  <c r="F295" i="5"/>
  <c r="F294" i="5"/>
  <c r="F293" i="5"/>
  <c r="F292" i="5"/>
  <c r="K291" i="5"/>
  <c r="F291" i="5"/>
  <c r="K290" i="5"/>
  <c r="F290" i="5"/>
  <c r="K289" i="5"/>
  <c r="F289" i="5"/>
  <c r="F288" i="5"/>
  <c r="F287" i="5"/>
  <c r="F286" i="5"/>
  <c r="K285" i="5"/>
  <c r="F285" i="5"/>
  <c r="K284" i="5"/>
  <c r="F284" i="5"/>
  <c r="K283" i="5"/>
  <c r="F283" i="5"/>
  <c r="K282" i="5"/>
  <c r="F282" i="5"/>
  <c r="K281" i="5"/>
  <c r="F281" i="5"/>
  <c r="K280" i="5"/>
  <c r="F280" i="5"/>
  <c r="E269" i="5"/>
  <c r="E268" i="5"/>
  <c r="E267" i="5"/>
  <c r="E266" i="5"/>
  <c r="E265" i="5"/>
  <c r="E264" i="5"/>
  <c r="E263" i="5"/>
  <c r="E262" i="5"/>
  <c r="E261" i="5"/>
  <c r="E260" i="5"/>
  <c r="E259" i="5"/>
  <c r="E258" i="5"/>
  <c r="E257" i="5"/>
  <c r="E256" i="5"/>
  <c r="E255" i="5"/>
  <c r="E254" i="5"/>
  <c r="E253" i="5"/>
  <c r="E252" i="5"/>
  <c r="E251" i="5"/>
  <c r="E250" i="5"/>
  <c r="E249" i="5"/>
  <c r="E248" i="5"/>
  <c r="E247" i="5"/>
  <c r="E246" i="5"/>
  <c r="E245" i="5"/>
  <c r="E244" i="5"/>
  <c r="E243" i="5"/>
  <c r="E242" i="5"/>
  <c r="E241" i="5"/>
  <c r="E240" i="5"/>
  <c r="E239" i="5"/>
  <c r="E238" i="5"/>
  <c r="E237" i="5"/>
  <c r="E236" i="5"/>
  <c r="E235" i="5"/>
  <c r="E234" i="5"/>
  <c r="E233" i="5"/>
  <c r="E232" i="5"/>
  <c r="E231" i="5"/>
  <c r="E230" i="5"/>
  <c r="E229" i="5"/>
  <c r="E228" i="5"/>
  <c r="E227" i="5"/>
  <c r="E226" i="5"/>
  <c r="E225" i="5"/>
  <c r="E224" i="5"/>
  <c r="C225" i="5"/>
  <c r="C226" i="5"/>
  <c r="C227" i="5"/>
  <c r="C228" i="5"/>
  <c r="C229" i="5"/>
  <c r="C230" i="5"/>
  <c r="C231" i="5"/>
  <c r="C232" i="5"/>
  <c r="C233" i="5"/>
  <c r="C234" i="5"/>
  <c r="C235" i="5"/>
  <c r="C236" i="5"/>
  <c r="C237" i="5"/>
  <c r="C238" i="5"/>
  <c r="C239" i="5"/>
  <c r="C240" i="5"/>
  <c r="C241" i="5"/>
  <c r="C242" i="5"/>
  <c r="C243" i="5"/>
  <c r="C244" i="5"/>
  <c r="C245" i="5"/>
  <c r="C246" i="5"/>
  <c r="C247" i="5"/>
  <c r="C248" i="5"/>
  <c r="C249" i="5"/>
  <c r="C250" i="5"/>
  <c r="C251" i="5"/>
  <c r="C252" i="5"/>
  <c r="C253" i="5"/>
  <c r="C254" i="5"/>
  <c r="C255" i="5"/>
  <c r="C256" i="5"/>
  <c r="C257" i="5"/>
  <c r="C258" i="5"/>
  <c r="C259" i="5"/>
  <c r="C260" i="5"/>
  <c r="C261" i="5"/>
  <c r="C262" i="5"/>
  <c r="C263" i="5"/>
  <c r="C264" i="5"/>
  <c r="C265" i="5"/>
  <c r="C266" i="5"/>
  <c r="C267" i="5"/>
  <c r="C268" i="5"/>
  <c r="C269" i="5"/>
  <c r="D269" i="5"/>
  <c r="D270" i="5"/>
  <c r="D271" i="5"/>
  <c r="D272" i="5"/>
  <c r="D273" i="5"/>
  <c r="D274" i="5"/>
  <c r="D275" i="5"/>
  <c r="D276" i="5"/>
  <c r="D277" i="5"/>
  <c r="D278" i="5"/>
  <c r="D279" i="5"/>
  <c r="D280" i="5"/>
  <c r="E279" i="5"/>
  <c r="E278" i="5"/>
  <c r="E277" i="5"/>
  <c r="E276" i="5"/>
  <c r="E275" i="5"/>
  <c r="E274" i="5"/>
  <c r="E273" i="5"/>
  <c r="E272" i="5"/>
  <c r="E271" i="5"/>
  <c r="E270" i="5"/>
  <c r="C270" i="5"/>
  <c r="C271" i="5"/>
  <c r="C272" i="5"/>
  <c r="C273" i="5"/>
  <c r="C274" i="5"/>
  <c r="C275" i="5"/>
  <c r="C276" i="5"/>
  <c r="C277" i="5"/>
  <c r="C278" i="5"/>
  <c r="C279" i="5"/>
  <c r="C280" i="5"/>
  <c r="K279" i="5"/>
  <c r="F279" i="5"/>
  <c r="K278" i="5"/>
  <c r="F278" i="5"/>
  <c r="K277" i="5"/>
  <c r="F277" i="5"/>
  <c r="K276" i="5"/>
  <c r="F276" i="5"/>
  <c r="K275" i="5"/>
  <c r="F275" i="5"/>
  <c r="K274" i="5"/>
  <c r="F274" i="5"/>
  <c r="K273" i="5"/>
  <c r="F273" i="5"/>
  <c r="K272" i="5"/>
  <c r="F272" i="5"/>
  <c r="K271" i="5"/>
  <c r="F271" i="5"/>
  <c r="K270" i="5"/>
  <c r="F270" i="5"/>
  <c r="K269" i="5"/>
  <c r="F269" i="5"/>
  <c r="K268" i="5"/>
  <c r="F268" i="5"/>
  <c r="D268" i="5"/>
  <c r="K267" i="5"/>
  <c r="F267" i="5"/>
  <c r="D267" i="5"/>
  <c r="K266" i="5"/>
  <c r="F266" i="5"/>
  <c r="D266" i="5"/>
  <c r="K265" i="5"/>
  <c r="F265" i="5"/>
  <c r="D265" i="5"/>
  <c r="K264" i="5"/>
  <c r="F264" i="5"/>
  <c r="D258" i="5"/>
  <c r="D259" i="5"/>
  <c r="D260" i="5"/>
  <c r="D261" i="5"/>
  <c r="D262" i="5"/>
  <c r="D263" i="5"/>
  <c r="D264" i="5"/>
  <c r="K263" i="5"/>
  <c r="F263" i="5"/>
  <c r="K262" i="5"/>
  <c r="F262" i="5"/>
  <c r="K261" i="5"/>
  <c r="F261" i="5"/>
  <c r="K260" i="5"/>
  <c r="F260" i="5"/>
  <c r="K259" i="5"/>
  <c r="F259" i="5"/>
  <c r="K258" i="5"/>
  <c r="F258" i="5"/>
  <c r="F257" i="5"/>
  <c r="D257" i="5"/>
  <c r="F256" i="5"/>
  <c r="D255" i="5"/>
  <c r="D256" i="5"/>
  <c r="F255" i="5"/>
  <c r="K254" i="5"/>
  <c r="F254" i="5"/>
  <c r="D254" i="5"/>
  <c r="F253" i="5"/>
  <c r="D225" i="5"/>
  <c r="D226" i="5"/>
  <c r="D227" i="5"/>
  <c r="D228" i="5"/>
  <c r="D229" i="5"/>
  <c r="D230" i="5"/>
  <c r="D231" i="5"/>
  <c r="D232" i="5"/>
  <c r="D233" i="5"/>
  <c r="D234" i="5"/>
  <c r="D235" i="5"/>
  <c r="D236" i="5"/>
  <c r="D237" i="5"/>
  <c r="D238" i="5"/>
  <c r="D239" i="5"/>
  <c r="D240" i="5"/>
  <c r="D241" i="5"/>
  <c r="D242" i="5"/>
  <c r="D243" i="5"/>
  <c r="D244" i="5"/>
  <c r="D245" i="5"/>
  <c r="D246" i="5"/>
  <c r="D247" i="5"/>
  <c r="D248" i="5"/>
  <c r="D249" i="5"/>
  <c r="D250" i="5"/>
  <c r="D251" i="5"/>
  <c r="D252" i="5"/>
  <c r="D253" i="5"/>
  <c r="K252" i="5"/>
  <c r="F252" i="5"/>
  <c r="K251" i="5"/>
  <c r="F251" i="5"/>
  <c r="K250" i="5"/>
  <c r="F250" i="5"/>
  <c r="F249" i="5"/>
  <c r="F248" i="5"/>
  <c r="F247" i="5"/>
  <c r="F246" i="5"/>
  <c r="F245" i="5"/>
  <c r="F244" i="5"/>
  <c r="F243" i="5"/>
  <c r="F242" i="5"/>
  <c r="F241" i="5"/>
  <c r="K240" i="5"/>
  <c r="F240" i="5"/>
  <c r="F239" i="5"/>
  <c r="F238" i="5"/>
  <c r="F237" i="5"/>
  <c r="F236" i="5"/>
  <c r="F235" i="5"/>
  <c r="K234" i="5"/>
  <c r="F234" i="5"/>
  <c r="K233" i="5"/>
  <c r="F233" i="5"/>
  <c r="K232" i="5"/>
  <c r="F232" i="5"/>
  <c r="F231" i="5"/>
  <c r="F230" i="5"/>
  <c r="K229" i="5"/>
  <c r="F229" i="5"/>
  <c r="K228" i="5"/>
  <c r="F228" i="5"/>
  <c r="K227" i="5"/>
  <c r="F227" i="5"/>
  <c r="K226" i="5"/>
  <c r="F226" i="5"/>
  <c r="K225" i="5"/>
  <c r="F225" i="5"/>
  <c r="K224" i="5"/>
  <c r="F224" i="5"/>
  <c r="E208" i="5"/>
  <c r="E207" i="5"/>
  <c r="E206" i="5"/>
  <c r="E205" i="5"/>
  <c r="E204" i="5"/>
  <c r="E203" i="5"/>
  <c r="E202" i="5"/>
  <c r="E201" i="5"/>
  <c r="E200" i="5"/>
  <c r="E199" i="5"/>
  <c r="E198" i="5"/>
  <c r="E197" i="5"/>
  <c r="E196" i="5"/>
  <c r="E195" i="5"/>
  <c r="E194" i="5"/>
  <c r="E193" i="5"/>
  <c r="E192" i="5"/>
  <c r="E191" i="5"/>
  <c r="E190" i="5"/>
  <c r="E189" i="5"/>
  <c r="E188" i="5"/>
  <c r="E187" i="5"/>
  <c r="E186" i="5"/>
  <c r="E185" i="5"/>
  <c r="E184" i="5"/>
  <c r="E183" i="5"/>
  <c r="E182" i="5"/>
  <c r="E181" i="5"/>
  <c r="E180" i="5"/>
  <c r="E179" i="5"/>
  <c r="E178" i="5"/>
  <c r="E177" i="5"/>
  <c r="E176" i="5"/>
  <c r="E175" i="5"/>
  <c r="E174" i="5"/>
  <c r="E173" i="5"/>
  <c r="E172" i="5"/>
  <c r="E171" i="5"/>
  <c r="C172" i="5"/>
  <c r="C173" i="5"/>
  <c r="C174" i="5"/>
  <c r="C175" i="5"/>
  <c r="C176" i="5"/>
  <c r="C177" i="5"/>
  <c r="C178" i="5"/>
  <c r="C179" i="5"/>
  <c r="C180" i="5"/>
  <c r="C181" i="5"/>
  <c r="C182" i="5"/>
  <c r="C183" i="5"/>
  <c r="C184" i="5"/>
  <c r="C185" i="5"/>
  <c r="C186" i="5"/>
  <c r="C187" i="5"/>
  <c r="C188" i="5"/>
  <c r="C189" i="5"/>
  <c r="C190" i="5"/>
  <c r="C191" i="5"/>
  <c r="C192" i="5"/>
  <c r="C193" i="5"/>
  <c r="C194" i="5"/>
  <c r="C195" i="5"/>
  <c r="C196" i="5"/>
  <c r="C197" i="5"/>
  <c r="C198" i="5"/>
  <c r="C199" i="5"/>
  <c r="C200" i="5"/>
  <c r="C201" i="5"/>
  <c r="C202" i="5"/>
  <c r="C203" i="5"/>
  <c r="C204" i="5"/>
  <c r="C205" i="5"/>
  <c r="C206" i="5"/>
  <c r="C207" i="5"/>
  <c r="C208" i="5"/>
  <c r="D208" i="5"/>
  <c r="D209" i="5"/>
  <c r="D210" i="5"/>
  <c r="D211" i="5"/>
  <c r="D212" i="5"/>
  <c r="D213" i="5"/>
  <c r="D214" i="5"/>
  <c r="D215" i="5"/>
  <c r="D216" i="5"/>
  <c r="D217" i="5"/>
  <c r="D218" i="5"/>
  <c r="D219" i="5"/>
  <c r="D220" i="5"/>
  <c r="D221" i="5"/>
  <c r="D222" i="5"/>
  <c r="D223" i="5"/>
  <c r="D224" i="5"/>
  <c r="E223" i="5"/>
  <c r="E222" i="5"/>
  <c r="E221" i="5"/>
  <c r="E220" i="5"/>
  <c r="E219" i="5"/>
  <c r="E218" i="5"/>
  <c r="E217" i="5"/>
  <c r="E216" i="5"/>
  <c r="E215" i="5"/>
  <c r="E214" i="5"/>
  <c r="E213" i="5"/>
  <c r="E212" i="5"/>
  <c r="E211" i="5"/>
  <c r="E210" i="5"/>
  <c r="E209" i="5"/>
  <c r="C209" i="5"/>
  <c r="C210" i="5"/>
  <c r="C211" i="5"/>
  <c r="C212" i="5"/>
  <c r="C213" i="5"/>
  <c r="C214" i="5"/>
  <c r="C215" i="5"/>
  <c r="C216" i="5"/>
  <c r="C217" i="5"/>
  <c r="C218" i="5"/>
  <c r="C219" i="5"/>
  <c r="C220" i="5"/>
  <c r="C221" i="5"/>
  <c r="C222" i="5"/>
  <c r="C223" i="5"/>
  <c r="C224" i="5"/>
  <c r="K223" i="5"/>
  <c r="F223" i="5"/>
  <c r="K222" i="5"/>
  <c r="F222" i="5"/>
  <c r="K221" i="5"/>
  <c r="F221" i="5"/>
  <c r="K220" i="5"/>
  <c r="F220" i="5"/>
  <c r="K219" i="5"/>
  <c r="F219" i="5"/>
  <c r="K218" i="5"/>
  <c r="F218" i="5"/>
  <c r="K217" i="5"/>
  <c r="F217" i="5"/>
  <c r="K216" i="5"/>
  <c r="F216" i="5"/>
  <c r="K215" i="5"/>
  <c r="F215" i="5"/>
  <c r="K214" i="5"/>
  <c r="F214" i="5"/>
  <c r="K213" i="5"/>
  <c r="F213" i="5"/>
  <c r="K212" i="5"/>
  <c r="F212" i="5"/>
  <c r="K211" i="5"/>
  <c r="F211" i="5"/>
  <c r="K210" i="5"/>
  <c r="F210" i="5"/>
  <c r="K209" i="5"/>
  <c r="F209" i="5"/>
  <c r="K208" i="5"/>
  <c r="F208" i="5"/>
  <c r="K207" i="5"/>
  <c r="F207" i="5"/>
  <c r="D207" i="5"/>
  <c r="K206" i="5"/>
  <c r="F206" i="5"/>
  <c r="D206" i="5"/>
  <c r="K205" i="5"/>
  <c r="F205" i="5"/>
  <c r="D202" i="5"/>
  <c r="D203" i="5"/>
  <c r="D204" i="5"/>
  <c r="D205" i="5"/>
  <c r="K204" i="5"/>
  <c r="F204" i="5"/>
  <c r="K203" i="5"/>
  <c r="F203" i="5"/>
  <c r="K202" i="5"/>
  <c r="F202" i="5"/>
  <c r="F201" i="5"/>
  <c r="D201" i="5"/>
  <c r="K200" i="5"/>
  <c r="F200" i="5"/>
  <c r="D172" i="5"/>
  <c r="D173" i="5"/>
  <c r="D174" i="5"/>
  <c r="D175" i="5"/>
  <c r="D176" i="5"/>
  <c r="D177" i="5"/>
  <c r="D178" i="5"/>
  <c r="D179" i="5"/>
  <c r="D180" i="5"/>
  <c r="D181" i="5"/>
  <c r="D182" i="5"/>
  <c r="D183" i="5"/>
  <c r="D184" i="5"/>
  <c r="D185" i="5"/>
  <c r="D186" i="5"/>
  <c r="D187" i="5"/>
  <c r="D188" i="5"/>
  <c r="D189" i="5"/>
  <c r="D190" i="5"/>
  <c r="D191" i="5"/>
  <c r="D192" i="5"/>
  <c r="D193" i="5"/>
  <c r="D194" i="5"/>
  <c r="D195" i="5"/>
  <c r="D196" i="5"/>
  <c r="D197" i="5"/>
  <c r="D198" i="5"/>
  <c r="D199" i="5"/>
  <c r="D200" i="5"/>
  <c r="K199" i="5"/>
  <c r="F199" i="5"/>
  <c r="F198" i="5"/>
  <c r="F197" i="5"/>
  <c r="K196" i="5"/>
  <c r="F196" i="5"/>
  <c r="K195" i="5"/>
  <c r="F195" i="5"/>
  <c r="F194" i="5"/>
  <c r="K193" i="5"/>
  <c r="F193" i="5"/>
  <c r="F192" i="5"/>
  <c r="F191" i="5"/>
  <c r="F190" i="5"/>
  <c r="F189" i="5"/>
  <c r="F188" i="5"/>
  <c r="K187" i="5"/>
  <c r="F187" i="5"/>
  <c r="K186" i="5"/>
  <c r="F186" i="5"/>
  <c r="F185" i="5"/>
  <c r="F184" i="5"/>
  <c r="F183" i="5"/>
  <c r="F182" i="5"/>
  <c r="F181" i="5"/>
  <c r="K180" i="5"/>
  <c r="F180" i="5"/>
  <c r="K179" i="5"/>
  <c r="F179" i="5"/>
  <c r="K178" i="5"/>
  <c r="F178" i="5"/>
  <c r="F177" i="5"/>
  <c r="K176" i="5"/>
  <c r="F176" i="5"/>
  <c r="K175" i="5"/>
  <c r="F175" i="5"/>
  <c r="K174" i="5"/>
  <c r="F174" i="5"/>
  <c r="F173" i="5"/>
  <c r="F172" i="5"/>
  <c r="K171" i="5"/>
  <c r="F171" i="5"/>
  <c r="E148" i="5"/>
  <c r="E147" i="5"/>
  <c r="E146" i="5"/>
  <c r="E145" i="5"/>
  <c r="E144" i="5"/>
  <c r="E143" i="5"/>
  <c r="E142" i="5"/>
  <c r="E141" i="5"/>
  <c r="E140" i="5"/>
  <c r="E139" i="5"/>
  <c r="E138" i="5"/>
  <c r="E137" i="5"/>
  <c r="E136" i="5"/>
  <c r="E135" i="5"/>
  <c r="E134" i="5"/>
  <c r="E133" i="5"/>
  <c r="E132" i="5"/>
  <c r="E131" i="5"/>
  <c r="E130" i="5"/>
  <c r="E129" i="5"/>
  <c r="E128" i="5"/>
  <c r="E127" i="5"/>
  <c r="E126" i="5"/>
  <c r="E125" i="5"/>
  <c r="E124" i="5"/>
  <c r="E123" i="5"/>
  <c r="E122" i="5"/>
  <c r="E121" i="5"/>
  <c r="E120" i="5"/>
  <c r="E119" i="5"/>
  <c r="E118" i="5"/>
  <c r="E117" i="5"/>
  <c r="E116" i="5"/>
  <c r="E115" i="5"/>
  <c r="E114" i="5"/>
  <c r="E113" i="5"/>
  <c r="E112" i="5"/>
  <c r="E111" i="5"/>
  <c r="E110" i="5"/>
  <c r="E109" i="5"/>
  <c r="E108" i="5"/>
  <c r="E107" i="5"/>
  <c r="E106" i="5"/>
  <c r="E105" i="5"/>
  <c r="E104" i="5"/>
  <c r="E103" i="5"/>
  <c r="E102" i="5"/>
  <c r="C103" i="5"/>
  <c r="C104" i="5"/>
  <c r="C105" i="5"/>
  <c r="C106" i="5"/>
  <c r="C107" i="5"/>
  <c r="C108" i="5"/>
  <c r="C109" i="5"/>
  <c r="C110" i="5"/>
  <c r="C111" i="5"/>
  <c r="C112" i="5"/>
  <c r="C113" i="5"/>
  <c r="C114" i="5"/>
  <c r="C115" i="5"/>
  <c r="C116" i="5"/>
  <c r="C117" i="5"/>
  <c r="C118" i="5"/>
  <c r="C119" i="5"/>
  <c r="C120" i="5"/>
  <c r="C121" i="5"/>
  <c r="C122" i="5"/>
  <c r="C123" i="5"/>
  <c r="C124" i="5"/>
  <c r="C125" i="5"/>
  <c r="C126" i="5"/>
  <c r="C127" i="5"/>
  <c r="C128" i="5"/>
  <c r="C129" i="5"/>
  <c r="C130" i="5"/>
  <c r="C131" i="5"/>
  <c r="C132" i="5"/>
  <c r="C133" i="5"/>
  <c r="C134" i="5"/>
  <c r="C135" i="5"/>
  <c r="C136" i="5"/>
  <c r="C137" i="5"/>
  <c r="C138" i="5"/>
  <c r="C139" i="5"/>
  <c r="C140" i="5"/>
  <c r="C141" i="5"/>
  <c r="C142" i="5"/>
  <c r="C143" i="5"/>
  <c r="C144" i="5"/>
  <c r="C145" i="5"/>
  <c r="C146" i="5"/>
  <c r="C147" i="5"/>
  <c r="C148" i="5"/>
  <c r="D148" i="5"/>
  <c r="D149" i="5"/>
  <c r="D150" i="5"/>
  <c r="D151" i="5"/>
  <c r="D152" i="5"/>
  <c r="D153" i="5"/>
  <c r="D154" i="5"/>
  <c r="D155" i="5"/>
  <c r="D156" i="5"/>
  <c r="D157" i="5"/>
  <c r="D158" i="5"/>
  <c r="D159" i="5"/>
  <c r="D160" i="5"/>
  <c r="D161" i="5"/>
  <c r="D162" i="5"/>
  <c r="D163" i="5"/>
  <c r="D164" i="5"/>
  <c r="D165" i="5"/>
  <c r="D166" i="5"/>
  <c r="D167" i="5"/>
  <c r="D168" i="5"/>
  <c r="D169" i="5"/>
  <c r="D170" i="5"/>
  <c r="D171" i="5"/>
  <c r="E170" i="5"/>
  <c r="E169" i="5"/>
  <c r="E168" i="5"/>
  <c r="E167" i="5"/>
  <c r="E166" i="5"/>
  <c r="E165" i="5"/>
  <c r="E164" i="5"/>
  <c r="E163" i="5"/>
  <c r="E162" i="5"/>
  <c r="E161" i="5"/>
  <c r="E160" i="5"/>
  <c r="E159" i="5"/>
  <c r="E158" i="5"/>
  <c r="E157" i="5"/>
  <c r="E156" i="5"/>
  <c r="E155" i="5"/>
  <c r="E154" i="5"/>
  <c r="E153" i="5"/>
  <c r="E152" i="5"/>
  <c r="E151" i="5"/>
  <c r="E150" i="5"/>
  <c r="E149" i="5"/>
  <c r="C149" i="5"/>
  <c r="C150" i="5"/>
  <c r="C151" i="5"/>
  <c r="C152" i="5"/>
  <c r="C153" i="5"/>
  <c r="C154" i="5"/>
  <c r="C155" i="5"/>
  <c r="C156" i="5"/>
  <c r="C157" i="5"/>
  <c r="C158" i="5"/>
  <c r="C159" i="5"/>
  <c r="C160" i="5"/>
  <c r="C161" i="5"/>
  <c r="C162" i="5"/>
  <c r="C163" i="5"/>
  <c r="C164" i="5"/>
  <c r="C165" i="5"/>
  <c r="C166" i="5"/>
  <c r="C167" i="5"/>
  <c r="C168" i="5"/>
  <c r="C169" i="5"/>
  <c r="C170" i="5"/>
  <c r="C171" i="5"/>
  <c r="K170" i="5"/>
  <c r="F170" i="5"/>
  <c r="K169" i="5"/>
  <c r="F169" i="5"/>
  <c r="K168" i="5"/>
  <c r="F168" i="5"/>
  <c r="K167" i="5"/>
  <c r="F167" i="5"/>
  <c r="K166" i="5"/>
  <c r="F166" i="5"/>
  <c r="K165" i="5"/>
  <c r="F165" i="5"/>
  <c r="K164" i="5"/>
  <c r="F164" i="5"/>
  <c r="K163" i="5"/>
  <c r="F163" i="5"/>
  <c r="K162" i="5"/>
  <c r="F162" i="5"/>
  <c r="K161" i="5"/>
  <c r="F161" i="5"/>
  <c r="K160" i="5"/>
  <c r="F160" i="5"/>
  <c r="K159" i="5"/>
  <c r="F159" i="5"/>
  <c r="K158" i="5"/>
  <c r="F158" i="5"/>
  <c r="K157" i="5"/>
  <c r="F157" i="5"/>
  <c r="K156" i="5"/>
  <c r="F156" i="5"/>
  <c r="K155" i="5"/>
  <c r="F155" i="5"/>
  <c r="F154" i="5"/>
  <c r="K153" i="5"/>
  <c r="F153" i="5"/>
  <c r="K152" i="5"/>
  <c r="F152" i="5"/>
  <c r="K151" i="5"/>
  <c r="F151" i="5"/>
  <c r="K150" i="5"/>
  <c r="F150" i="5"/>
  <c r="K149" i="5"/>
  <c r="F149" i="5"/>
  <c r="K148" i="5"/>
  <c r="F148" i="5"/>
  <c r="K147" i="5"/>
  <c r="F147" i="5"/>
  <c r="D147" i="5"/>
  <c r="K146" i="5"/>
  <c r="F146" i="5"/>
  <c r="D146" i="5"/>
  <c r="K145" i="5"/>
  <c r="F145" i="5"/>
  <c r="D145" i="5"/>
  <c r="F144" i="5"/>
  <c r="D142" i="5"/>
  <c r="D143" i="5"/>
  <c r="D144" i="5"/>
  <c r="K143" i="5"/>
  <c r="F143" i="5"/>
  <c r="K142" i="5"/>
  <c r="F142" i="5"/>
  <c r="K141" i="5"/>
  <c r="F141" i="5"/>
  <c r="D139" i="5"/>
  <c r="D140" i="5"/>
  <c r="D141" i="5"/>
  <c r="F140" i="5"/>
  <c r="K139" i="5"/>
  <c r="F139" i="5"/>
  <c r="F138" i="5"/>
  <c r="D137" i="5"/>
  <c r="D138" i="5"/>
  <c r="F137" i="5"/>
  <c r="K136" i="5"/>
  <c r="F136" i="5"/>
  <c r="D136" i="5"/>
  <c r="K135" i="5"/>
  <c r="F135" i="5"/>
  <c r="D134" i="5"/>
  <c r="D135" i="5"/>
  <c r="K134" i="5"/>
  <c r="F134" i="5"/>
  <c r="F133" i="5"/>
  <c r="D133" i="5"/>
  <c r="K132" i="5"/>
  <c r="F132" i="5"/>
  <c r="D103" i="5"/>
  <c r="D104" i="5"/>
  <c r="D105" i="5"/>
  <c r="D106" i="5"/>
  <c r="D107" i="5"/>
  <c r="D108" i="5"/>
  <c r="D109" i="5"/>
  <c r="D110" i="5"/>
  <c r="D111" i="5"/>
  <c r="D112" i="5"/>
  <c r="D113" i="5"/>
  <c r="D114" i="5"/>
  <c r="D115" i="5"/>
  <c r="D116" i="5"/>
  <c r="D117" i="5"/>
  <c r="D118" i="5"/>
  <c r="D119" i="5"/>
  <c r="D120" i="5"/>
  <c r="D121" i="5"/>
  <c r="D122" i="5"/>
  <c r="D123" i="5"/>
  <c r="D124" i="5"/>
  <c r="D125" i="5"/>
  <c r="D126" i="5"/>
  <c r="D127" i="5"/>
  <c r="D128" i="5"/>
  <c r="D129" i="5"/>
  <c r="D130" i="5"/>
  <c r="D131" i="5"/>
  <c r="D132" i="5"/>
  <c r="K131" i="5"/>
  <c r="F131" i="5"/>
  <c r="K130" i="5"/>
  <c r="F130" i="5"/>
  <c r="K129" i="5"/>
  <c r="F129" i="5"/>
  <c r="F128" i="5"/>
  <c r="F127" i="5"/>
  <c r="K126" i="5"/>
  <c r="F126" i="5"/>
  <c r="K125" i="5"/>
  <c r="F125" i="5"/>
  <c r="K124" i="5"/>
  <c r="F124" i="5"/>
  <c r="F123" i="5"/>
  <c r="F122" i="5"/>
  <c r="K121" i="5"/>
  <c r="F121" i="5"/>
  <c r="K120" i="5"/>
  <c r="F120" i="5"/>
  <c r="K119" i="5"/>
  <c r="F119" i="5"/>
  <c r="F118" i="5"/>
  <c r="F117" i="5"/>
  <c r="F116" i="5"/>
  <c r="F115" i="5"/>
  <c r="F114" i="5"/>
  <c r="F113" i="5"/>
  <c r="K112" i="5"/>
  <c r="F112" i="5"/>
  <c r="K111" i="5"/>
  <c r="F111" i="5"/>
  <c r="F110" i="5"/>
  <c r="F109" i="5"/>
  <c r="F108" i="5"/>
  <c r="F107" i="5"/>
  <c r="K106" i="5"/>
  <c r="F106" i="5"/>
  <c r="F105" i="5"/>
  <c r="K104" i="5"/>
  <c r="F104" i="5"/>
  <c r="K103" i="5"/>
  <c r="F103" i="5"/>
  <c r="K102" i="5"/>
  <c r="F102" i="5"/>
  <c r="E101" i="5"/>
  <c r="E100" i="5"/>
  <c r="E99" i="5"/>
  <c r="E98" i="5"/>
  <c r="E97" i="5"/>
  <c r="E96" i="5"/>
  <c r="E95" i="5"/>
  <c r="E94" i="5"/>
  <c r="E93" i="5"/>
  <c r="E92" i="5"/>
  <c r="E91" i="5"/>
  <c r="E90" i="5"/>
  <c r="E89" i="5"/>
  <c r="E88" i="5"/>
  <c r="E87" i="5"/>
  <c r="E86" i="5"/>
  <c r="E85" i="5"/>
  <c r="E84" i="5"/>
  <c r="E83" i="5"/>
  <c r="E82" i="5"/>
  <c r="E81" i="5"/>
  <c r="E80" i="5"/>
  <c r="E79" i="5"/>
  <c r="E78" i="5"/>
  <c r="E77" i="5"/>
  <c r="E76" i="5"/>
  <c r="E75" i="5"/>
  <c r="E74" i="5"/>
  <c r="E73" i="5"/>
  <c r="E72" i="5"/>
  <c r="E71" i="5"/>
  <c r="E70" i="5"/>
  <c r="E69" i="5"/>
  <c r="E68" i="5"/>
  <c r="E67" i="5"/>
  <c r="E66" i="5"/>
  <c r="E65" i="5"/>
  <c r="E64" i="5"/>
  <c r="E63" i="5"/>
  <c r="E62" i="5"/>
  <c r="E61" i="5"/>
  <c r="C62" i="5"/>
  <c r="C63" i="5"/>
  <c r="C64" i="5"/>
  <c r="C65" i="5"/>
  <c r="C66" i="5"/>
  <c r="C67" i="5"/>
  <c r="C68" i="5"/>
  <c r="C69" i="5"/>
  <c r="C70" i="5"/>
  <c r="C71" i="5"/>
  <c r="C72" i="5"/>
  <c r="C73" i="5"/>
  <c r="C74" i="5"/>
  <c r="C75" i="5"/>
  <c r="C76" i="5"/>
  <c r="C77" i="5"/>
  <c r="C78" i="5"/>
  <c r="C79" i="5"/>
  <c r="C80" i="5"/>
  <c r="C81" i="5"/>
  <c r="C82" i="5"/>
  <c r="C83" i="5"/>
  <c r="C84" i="5"/>
  <c r="C85" i="5"/>
  <c r="C86" i="5"/>
  <c r="C87" i="5"/>
  <c r="C88" i="5"/>
  <c r="C89" i="5"/>
  <c r="C90" i="5"/>
  <c r="C91" i="5"/>
  <c r="C92" i="5"/>
  <c r="C93" i="5"/>
  <c r="C94" i="5"/>
  <c r="C95" i="5"/>
  <c r="C96" i="5"/>
  <c r="C97" i="5"/>
  <c r="C98" i="5"/>
  <c r="C99" i="5"/>
  <c r="C100" i="5"/>
  <c r="C101" i="5"/>
  <c r="C102" i="5"/>
  <c r="D102" i="5"/>
  <c r="K101" i="5"/>
  <c r="F101" i="5"/>
  <c r="D81" i="5"/>
  <c r="D82" i="5"/>
  <c r="D83" i="5"/>
  <c r="D84" i="5"/>
  <c r="D85" i="5"/>
  <c r="D86" i="5"/>
  <c r="D87" i="5"/>
  <c r="D88" i="5"/>
  <c r="D89" i="5"/>
  <c r="D90" i="5"/>
  <c r="D91" i="5"/>
  <c r="D92" i="5"/>
  <c r="D93" i="5"/>
  <c r="D94" i="5"/>
  <c r="D95" i="5"/>
  <c r="D96" i="5"/>
  <c r="D97" i="5"/>
  <c r="D98" i="5"/>
  <c r="D99" i="5"/>
  <c r="D100" i="5"/>
  <c r="D101" i="5"/>
  <c r="K100" i="5"/>
  <c r="F100" i="5"/>
  <c r="K99" i="5"/>
  <c r="F99" i="5"/>
  <c r="K98" i="5"/>
  <c r="F98" i="5"/>
  <c r="K97" i="5"/>
  <c r="F97" i="5"/>
  <c r="K96" i="5"/>
  <c r="F96" i="5"/>
  <c r="K95" i="5"/>
  <c r="F95" i="5"/>
  <c r="K94" i="5"/>
  <c r="F94" i="5"/>
  <c r="K93" i="5"/>
  <c r="F93" i="5"/>
  <c r="K92" i="5"/>
  <c r="F92" i="5"/>
  <c r="K91" i="5"/>
  <c r="F91" i="5"/>
  <c r="K90" i="5"/>
  <c r="F90" i="5"/>
  <c r="K89" i="5"/>
  <c r="F89" i="5"/>
  <c r="K88" i="5"/>
  <c r="F88" i="5"/>
  <c r="F87" i="5"/>
  <c r="K86" i="5"/>
  <c r="F86" i="5"/>
  <c r="K85" i="5"/>
  <c r="F85" i="5"/>
  <c r="K84" i="5"/>
  <c r="F84" i="5"/>
  <c r="K83" i="5"/>
  <c r="F83" i="5"/>
  <c r="K82" i="5"/>
  <c r="F82" i="5"/>
  <c r="K81" i="5"/>
  <c r="F81" i="5"/>
  <c r="K80" i="5"/>
  <c r="F80" i="5"/>
  <c r="D79" i="5"/>
  <c r="D80" i="5"/>
  <c r="K79" i="5"/>
  <c r="F79" i="5"/>
  <c r="K78" i="5"/>
  <c r="F78" i="5"/>
  <c r="D78" i="5"/>
  <c r="K77" i="5"/>
  <c r="F77" i="5"/>
  <c r="D76" i="5"/>
  <c r="D77" i="5"/>
  <c r="K76" i="5"/>
  <c r="F76" i="5"/>
  <c r="K75" i="5"/>
  <c r="F75" i="5"/>
  <c r="D75" i="5"/>
  <c r="F74" i="5"/>
  <c r="D74" i="5"/>
  <c r="K73" i="5"/>
  <c r="F73" i="5"/>
  <c r="D62" i="5"/>
  <c r="D63" i="5"/>
  <c r="D64" i="5"/>
  <c r="D65" i="5"/>
  <c r="D66" i="5"/>
  <c r="D67" i="5"/>
  <c r="D68" i="5"/>
  <c r="D69" i="5"/>
  <c r="D70" i="5"/>
  <c r="D71" i="5"/>
  <c r="D72" i="5"/>
  <c r="D73" i="5"/>
  <c r="K72" i="5"/>
  <c r="F72" i="5"/>
  <c r="K71" i="5"/>
  <c r="F71" i="5"/>
  <c r="K70" i="5"/>
  <c r="F70" i="5"/>
  <c r="K69" i="5"/>
  <c r="F69" i="5"/>
  <c r="K68" i="5"/>
  <c r="F68" i="5"/>
  <c r="F67" i="5"/>
  <c r="F66" i="5"/>
  <c r="F65" i="5"/>
  <c r="F64" i="5"/>
  <c r="K63" i="5"/>
  <c r="F63" i="5"/>
  <c r="F62" i="5"/>
  <c r="K61" i="5"/>
  <c r="F61" i="5"/>
  <c r="E46" i="5"/>
  <c r="E45" i="5"/>
  <c r="E44" i="5"/>
  <c r="E43" i="5"/>
  <c r="E42" i="5"/>
  <c r="E41" i="5"/>
  <c r="E40" i="5"/>
  <c r="E39" i="5"/>
  <c r="E38" i="5"/>
  <c r="E37" i="5"/>
  <c r="E36" i="5"/>
  <c r="E35" i="5"/>
  <c r="E34" i="5"/>
  <c r="E33" i="5"/>
  <c r="E32" i="5"/>
  <c r="E31" i="5"/>
  <c r="E30" i="5"/>
  <c r="E29" i="5"/>
  <c r="E28" i="5"/>
  <c r="E27" i="5"/>
  <c r="E26" i="5"/>
  <c r="E25" i="5"/>
  <c r="E24" i="5"/>
  <c r="E23" i="5"/>
  <c r="E22" i="5"/>
  <c r="E21" i="5"/>
  <c r="E20" i="5"/>
  <c r="E19" i="5"/>
  <c r="E18" i="5"/>
  <c r="E17" i="5"/>
  <c r="E16" i="5"/>
  <c r="E15" i="5"/>
  <c r="E14" i="5"/>
  <c r="E13" i="5"/>
  <c r="E12" i="5"/>
  <c r="E11" i="5"/>
  <c r="E10" i="5"/>
  <c r="E9" i="5"/>
  <c r="E8" i="5"/>
  <c r="E7" i="5"/>
  <c r="E6" i="5"/>
  <c r="E5" i="5"/>
  <c r="E4" i="5"/>
  <c r="C5" i="5"/>
  <c r="C6" i="5"/>
  <c r="C7" i="5"/>
  <c r="C8" i="5"/>
  <c r="C9" i="5"/>
  <c r="C10" i="5"/>
  <c r="C11" i="5"/>
  <c r="C12" i="5"/>
  <c r="C13" i="5"/>
  <c r="C14" i="5"/>
  <c r="C15" i="5"/>
  <c r="C16" i="5"/>
  <c r="C17" i="5"/>
  <c r="C18" i="5"/>
  <c r="C19" i="5"/>
  <c r="C20" i="5"/>
  <c r="C21" i="5"/>
  <c r="C22" i="5"/>
  <c r="C23" i="5"/>
  <c r="C24" i="5"/>
  <c r="C25" i="5"/>
  <c r="C26" i="5"/>
  <c r="C27" i="5"/>
  <c r="C28" i="5"/>
  <c r="C29" i="5"/>
  <c r="C30" i="5"/>
  <c r="C31" i="5"/>
  <c r="C32" i="5"/>
  <c r="C33" i="5"/>
  <c r="C34" i="5"/>
  <c r="C35" i="5"/>
  <c r="C36" i="5"/>
  <c r="C37" i="5"/>
  <c r="C38" i="5"/>
  <c r="C39" i="5"/>
  <c r="C40" i="5"/>
  <c r="C41" i="5"/>
  <c r="C42" i="5"/>
  <c r="C43" i="5"/>
  <c r="C44" i="5"/>
  <c r="C45" i="5"/>
  <c r="C46" i="5"/>
  <c r="D46" i="5"/>
  <c r="D47" i="5"/>
  <c r="D48" i="5"/>
  <c r="D49" i="5"/>
  <c r="D50" i="5"/>
  <c r="D51" i="5"/>
  <c r="D52" i="5"/>
  <c r="D53" i="5"/>
  <c r="D54" i="5"/>
  <c r="D55" i="5"/>
  <c r="D56" i="5"/>
  <c r="D57" i="5"/>
  <c r="D58" i="5"/>
  <c r="D59" i="5"/>
  <c r="D60" i="5"/>
  <c r="D61" i="5"/>
  <c r="E60" i="5"/>
  <c r="E59" i="5"/>
  <c r="E58" i="5"/>
  <c r="E57" i="5"/>
  <c r="E56" i="5"/>
  <c r="E55" i="5"/>
  <c r="E54" i="5"/>
  <c r="E53" i="5"/>
  <c r="E52" i="5"/>
  <c r="E51" i="5"/>
  <c r="E50" i="5"/>
  <c r="E49" i="5"/>
  <c r="E48" i="5"/>
  <c r="E47" i="5"/>
  <c r="C47" i="5"/>
  <c r="C48" i="5"/>
  <c r="C49" i="5"/>
  <c r="C50" i="5"/>
  <c r="C51" i="5"/>
  <c r="C52" i="5"/>
  <c r="C53" i="5"/>
  <c r="C54" i="5"/>
  <c r="C55" i="5"/>
  <c r="C56" i="5"/>
  <c r="C57" i="5"/>
  <c r="C58" i="5"/>
  <c r="C59" i="5"/>
  <c r="C60" i="5"/>
  <c r="C61" i="5"/>
  <c r="K60" i="5"/>
  <c r="F60" i="5"/>
  <c r="K59" i="5"/>
  <c r="F59" i="5"/>
  <c r="K58" i="5"/>
  <c r="F58" i="5"/>
  <c r="K57" i="5"/>
  <c r="F57" i="5"/>
  <c r="K56" i="5"/>
  <c r="F56" i="5"/>
  <c r="K55" i="5"/>
  <c r="F55" i="5"/>
  <c r="K54" i="5"/>
  <c r="F54" i="5"/>
  <c r="K53" i="5"/>
  <c r="F53" i="5"/>
  <c r="K52" i="5"/>
  <c r="F52" i="5"/>
  <c r="K51" i="5"/>
  <c r="F51" i="5"/>
  <c r="K50" i="5"/>
  <c r="F50" i="5"/>
  <c r="K49" i="5"/>
  <c r="F49" i="5"/>
  <c r="K48" i="5"/>
  <c r="F48" i="5"/>
  <c r="K47" i="5"/>
  <c r="F47" i="5"/>
  <c r="K46" i="5"/>
  <c r="F46" i="5"/>
  <c r="K45" i="5"/>
  <c r="F45" i="5"/>
  <c r="D45" i="5"/>
  <c r="K44" i="5"/>
  <c r="F44" i="5"/>
  <c r="D44" i="5"/>
  <c r="K43" i="5"/>
  <c r="F43" i="5"/>
  <c r="D43" i="5"/>
  <c r="K42" i="5"/>
  <c r="F42" i="5"/>
  <c r="D42" i="5"/>
  <c r="K41" i="5"/>
  <c r="F41" i="5"/>
  <c r="D21" i="5"/>
  <c r="D22" i="5"/>
  <c r="D23" i="5"/>
  <c r="D24" i="5"/>
  <c r="D25" i="5"/>
  <c r="D26" i="5"/>
  <c r="D27" i="5"/>
  <c r="D28" i="5"/>
  <c r="D29" i="5"/>
  <c r="D30" i="5"/>
  <c r="D31" i="5"/>
  <c r="D32" i="5"/>
  <c r="D33" i="5"/>
  <c r="D34" i="5"/>
  <c r="D35" i="5"/>
  <c r="D36" i="5"/>
  <c r="D37" i="5"/>
  <c r="D38" i="5"/>
  <c r="D39" i="5"/>
  <c r="D40" i="5"/>
  <c r="D41" i="5"/>
  <c r="K40" i="5"/>
  <c r="F40" i="5"/>
  <c r="K39" i="5"/>
  <c r="F39" i="5"/>
  <c r="K38" i="5"/>
  <c r="F38" i="5"/>
  <c r="K37" i="5"/>
  <c r="F37" i="5"/>
  <c r="K36" i="5"/>
  <c r="F36" i="5"/>
  <c r="K35" i="5"/>
  <c r="F35" i="5"/>
  <c r="K34" i="5"/>
  <c r="F34" i="5"/>
  <c r="K33" i="5"/>
  <c r="F33" i="5"/>
  <c r="K32" i="5"/>
  <c r="F32" i="5"/>
  <c r="K31" i="5"/>
  <c r="F31" i="5"/>
  <c r="K30" i="5"/>
  <c r="F30" i="5"/>
  <c r="K29" i="5"/>
  <c r="F29" i="5"/>
  <c r="K28" i="5"/>
  <c r="F28" i="5"/>
  <c r="K27" i="5"/>
  <c r="F27" i="5"/>
  <c r="K26" i="5"/>
  <c r="F26" i="5"/>
  <c r="K25" i="5"/>
  <c r="F25" i="5"/>
  <c r="K24" i="5"/>
  <c r="F24" i="5"/>
  <c r="K23" i="5"/>
  <c r="F23" i="5"/>
  <c r="K22" i="5"/>
  <c r="F22" i="5"/>
  <c r="K21" i="5"/>
  <c r="F21" i="5"/>
  <c r="K20" i="5"/>
  <c r="F20" i="5"/>
  <c r="D20" i="5"/>
  <c r="F19" i="5"/>
  <c r="D19" i="5"/>
  <c r="K18" i="5"/>
  <c r="F18" i="5"/>
  <c r="D16" i="5"/>
  <c r="D17" i="5"/>
  <c r="D18" i="5"/>
  <c r="K17" i="5"/>
  <c r="F17" i="5"/>
  <c r="K16" i="5"/>
  <c r="F16" i="5"/>
  <c r="F15" i="5"/>
  <c r="D15" i="5"/>
  <c r="K14" i="5"/>
  <c r="F14" i="5"/>
  <c r="D14" i="5"/>
  <c r="K13" i="5"/>
  <c r="F13" i="5"/>
  <c r="D13" i="5"/>
  <c r="K12" i="5"/>
  <c r="F12" i="5"/>
  <c r="D5" i="5"/>
  <c r="D6" i="5"/>
  <c r="D7" i="5"/>
  <c r="D8" i="5"/>
  <c r="D9" i="5"/>
  <c r="D10" i="5"/>
  <c r="D11" i="5"/>
  <c r="D12" i="5"/>
  <c r="K11" i="5"/>
  <c r="F11" i="5"/>
  <c r="K10" i="5"/>
  <c r="F10" i="5"/>
  <c r="K9" i="5"/>
  <c r="F9" i="5"/>
  <c r="K8" i="5"/>
  <c r="F8" i="5"/>
  <c r="F7" i="5"/>
  <c r="F6" i="5"/>
  <c r="K5" i="5"/>
  <c r="F5" i="5"/>
  <c r="K4" i="5"/>
  <c r="F4" i="5"/>
  <c r="E3" i="5"/>
  <c r="E2" i="5"/>
  <c r="C2" i="5"/>
  <c r="C3" i="5"/>
  <c r="C4" i="5"/>
  <c r="D4" i="5"/>
  <c r="K3" i="5"/>
  <c r="F3" i="5"/>
  <c r="D3" i="5"/>
  <c r="K2" i="5"/>
  <c r="F2" i="5"/>
  <c r="D2" i="5"/>
  <c r="R1" i="5"/>
  <c r="S1" i="5"/>
  <c r="T1" i="5"/>
  <c r="U1" i="5"/>
  <c r="V1" i="5"/>
  <c r="W1" i="5"/>
  <c r="X1" i="5"/>
  <c r="Y1" i="5"/>
  <c r="Z1" i="5"/>
  <c r="AA1" i="5"/>
  <c r="AB1" i="5"/>
  <c r="AC1" i="5"/>
  <c r="W219" i="4"/>
  <c r="W220" i="4"/>
  <c r="W221" i="4"/>
  <c r="W222" i="4"/>
  <c r="Y219" i="4"/>
  <c r="Y220" i="4"/>
  <c r="Y221" i="4"/>
  <c r="Y222" i="4"/>
  <c r="AC218" i="4"/>
  <c r="Z219" i="4"/>
  <c r="Z220" i="4"/>
  <c r="Z221" i="4"/>
  <c r="Z222" i="4"/>
  <c r="AB219" i="4"/>
  <c r="AB220" i="4"/>
  <c r="AB221" i="4"/>
  <c r="AB222" i="4"/>
  <c r="AE218" i="4"/>
  <c r="E101" i="4"/>
  <c r="AF180" i="4"/>
  <c r="X213" i="4"/>
  <c r="W230" i="4"/>
  <c r="E8" i="4"/>
  <c r="B79" i="4"/>
  <c r="AT79" i="4"/>
  <c r="E10" i="4"/>
  <c r="B80" i="4"/>
  <c r="AT80" i="4"/>
  <c r="E12" i="4"/>
  <c r="B81" i="4"/>
  <c r="AT81" i="4"/>
  <c r="E14" i="4"/>
  <c r="B82" i="4"/>
  <c r="AT82" i="4"/>
  <c r="AC31" i="4"/>
  <c r="AC32" i="4"/>
  <c r="AC33" i="4"/>
  <c r="AC34" i="4"/>
  <c r="AC35" i="4"/>
  <c r="AC64" i="4"/>
  <c r="AE64" i="4"/>
  <c r="AC65" i="4"/>
  <c r="AE31" i="4"/>
  <c r="AE32" i="4"/>
  <c r="AE33" i="4"/>
  <c r="AE34" i="4"/>
  <c r="AE35" i="4"/>
  <c r="AE65" i="4"/>
  <c r="AC66" i="4"/>
  <c r="AE66" i="4"/>
  <c r="AC67" i="4"/>
  <c r="AE67" i="4"/>
  <c r="AC68" i="4"/>
  <c r="AE68" i="4"/>
  <c r="AD71" i="4"/>
  <c r="AC72" i="4"/>
  <c r="Z72" i="4"/>
  <c r="AB72" i="4"/>
  <c r="W31" i="4"/>
  <c r="W32" i="4"/>
  <c r="W33" i="4"/>
  <c r="W34" i="4"/>
  <c r="W35" i="4"/>
  <c r="W64" i="4"/>
  <c r="Y64" i="4"/>
  <c r="W65" i="4"/>
  <c r="Y65" i="4"/>
  <c r="W66" i="4"/>
  <c r="Y66" i="4"/>
  <c r="W67" i="4"/>
  <c r="Y67" i="4"/>
  <c r="W68" i="4"/>
  <c r="Y31" i="4"/>
  <c r="Y32" i="4"/>
  <c r="Y33" i="4"/>
  <c r="Y34" i="4"/>
  <c r="Y35" i="4"/>
  <c r="Y68" i="4"/>
  <c r="X71" i="4"/>
  <c r="W72" i="4"/>
  <c r="T72" i="4"/>
  <c r="V72" i="4"/>
  <c r="Q72" i="4"/>
  <c r="S72" i="4"/>
  <c r="N31" i="4"/>
  <c r="N32" i="4"/>
  <c r="N33" i="4"/>
  <c r="N34" i="4"/>
  <c r="N35" i="4"/>
  <c r="N64" i="4"/>
  <c r="P64" i="4"/>
  <c r="N65" i="4"/>
  <c r="P65" i="4"/>
  <c r="N66" i="4"/>
  <c r="P31" i="4"/>
  <c r="P32" i="4"/>
  <c r="P33" i="4"/>
  <c r="P34" i="4"/>
  <c r="P35" i="4"/>
  <c r="P66" i="4"/>
  <c r="N67" i="4"/>
  <c r="P67" i="4"/>
  <c r="N68" i="4"/>
  <c r="P68" i="4"/>
  <c r="O71" i="4"/>
  <c r="N72" i="4"/>
  <c r="K72" i="4"/>
  <c r="M72" i="4"/>
  <c r="H72" i="4"/>
  <c r="J72" i="4"/>
  <c r="E31" i="4"/>
  <c r="E32" i="4"/>
  <c r="E33" i="4"/>
  <c r="E34" i="4"/>
  <c r="E35" i="4"/>
  <c r="E64" i="4"/>
  <c r="G64" i="4"/>
  <c r="E65" i="4"/>
  <c r="G65" i="4"/>
  <c r="E66" i="4"/>
  <c r="G66" i="4"/>
  <c r="E67" i="4"/>
  <c r="G31" i="4"/>
  <c r="G32" i="4"/>
  <c r="G33" i="4"/>
  <c r="G34" i="4"/>
  <c r="G35" i="4"/>
  <c r="G67" i="4"/>
  <c r="E68" i="4"/>
  <c r="G68" i="4"/>
  <c r="F71" i="4"/>
  <c r="E72" i="4"/>
  <c r="B72" i="4"/>
  <c r="D72" i="4"/>
  <c r="C79" i="4"/>
  <c r="D79" i="4"/>
  <c r="E85" i="4"/>
  <c r="E36" i="4"/>
  <c r="B75" i="4"/>
  <c r="D75" i="4"/>
  <c r="C82" i="4"/>
  <c r="D82" i="4"/>
  <c r="G85" i="4"/>
  <c r="G36" i="4"/>
  <c r="E86" i="4"/>
  <c r="E87" i="4"/>
  <c r="G79" i="4"/>
  <c r="J79" i="4"/>
  <c r="M79" i="4"/>
  <c r="N85" i="4"/>
  <c r="N36" i="4"/>
  <c r="K74" i="4"/>
  <c r="M74" i="4"/>
  <c r="H64" i="4"/>
  <c r="J64" i="4"/>
  <c r="H65" i="4"/>
  <c r="J65" i="4"/>
  <c r="H31" i="4"/>
  <c r="H32" i="4"/>
  <c r="H33" i="4"/>
  <c r="H34" i="4"/>
  <c r="H35" i="4"/>
  <c r="H66" i="4"/>
  <c r="J66" i="4"/>
  <c r="H67" i="4"/>
  <c r="J67" i="4"/>
  <c r="H68" i="4"/>
  <c r="J31" i="4"/>
  <c r="J32" i="4"/>
  <c r="J33" i="4"/>
  <c r="J34" i="4"/>
  <c r="J35" i="4"/>
  <c r="J68" i="4"/>
  <c r="I71" i="4"/>
  <c r="H74" i="4"/>
  <c r="E74" i="4"/>
  <c r="G74" i="4"/>
  <c r="B74" i="4"/>
  <c r="D74" i="4"/>
  <c r="C81" i="4"/>
  <c r="D81" i="4"/>
  <c r="G81" i="4"/>
  <c r="H85" i="4"/>
  <c r="H36" i="4"/>
  <c r="E76" i="4"/>
  <c r="G76" i="4"/>
  <c r="B76" i="4"/>
  <c r="B64" i="4"/>
  <c r="D64" i="4"/>
  <c r="B31" i="4"/>
  <c r="B32" i="4"/>
  <c r="B33" i="4"/>
  <c r="B34" i="4"/>
  <c r="B35" i="4"/>
  <c r="B65" i="4"/>
  <c r="D65" i="4"/>
  <c r="B66" i="4"/>
  <c r="D66" i="4"/>
  <c r="B67" i="4"/>
  <c r="D67" i="4"/>
  <c r="B68" i="4"/>
  <c r="D31" i="4"/>
  <c r="D32" i="4"/>
  <c r="D33" i="4"/>
  <c r="D34" i="4"/>
  <c r="D35" i="4"/>
  <c r="D68" i="4"/>
  <c r="C71" i="4"/>
  <c r="D76" i="4"/>
  <c r="E16" i="4"/>
  <c r="B83" i="4"/>
  <c r="C83" i="4"/>
  <c r="D85" i="4"/>
  <c r="D36" i="4"/>
  <c r="C80" i="4"/>
  <c r="B85" i="4"/>
  <c r="B36" i="4"/>
  <c r="D86" i="4"/>
  <c r="D87" i="4"/>
  <c r="D83" i="4"/>
  <c r="G83" i="4"/>
  <c r="J85" i="4"/>
  <c r="J36" i="4"/>
  <c r="H86" i="4"/>
  <c r="H87" i="4"/>
  <c r="J81" i="4"/>
  <c r="M81" i="4"/>
  <c r="P85" i="4"/>
  <c r="P36" i="4"/>
  <c r="N86" i="4"/>
  <c r="N87" i="4"/>
  <c r="P79" i="4"/>
  <c r="S79" i="4"/>
  <c r="V79" i="4"/>
  <c r="W85" i="4"/>
  <c r="W36" i="4"/>
  <c r="T76" i="4"/>
  <c r="V76" i="4"/>
  <c r="Q76" i="4"/>
  <c r="Q64" i="4"/>
  <c r="S64" i="4"/>
  <c r="Q65" i="4"/>
  <c r="S65" i="4"/>
  <c r="Q66" i="4"/>
  <c r="S66" i="4"/>
  <c r="Q31" i="4"/>
  <c r="Q32" i="4"/>
  <c r="Q33" i="4"/>
  <c r="Q34" i="4"/>
  <c r="Q35" i="4"/>
  <c r="Q67" i="4"/>
  <c r="S67" i="4"/>
  <c r="Q68" i="4"/>
  <c r="S31" i="4"/>
  <c r="S32" i="4"/>
  <c r="S33" i="4"/>
  <c r="S34" i="4"/>
  <c r="S35" i="4"/>
  <c r="S68" i="4"/>
  <c r="R71" i="4"/>
  <c r="S76" i="4"/>
  <c r="N76" i="4"/>
  <c r="P76" i="4"/>
  <c r="K76" i="4"/>
  <c r="M76" i="4"/>
  <c r="H76" i="4"/>
  <c r="J76" i="4"/>
  <c r="J86" i="4"/>
  <c r="J87" i="4"/>
  <c r="J83" i="4"/>
  <c r="M83" i="4"/>
  <c r="P83" i="4"/>
  <c r="S85" i="4"/>
  <c r="S36" i="4"/>
  <c r="N75" i="4"/>
  <c r="P75" i="4"/>
  <c r="K75" i="4"/>
  <c r="K64" i="4"/>
  <c r="M64" i="4"/>
  <c r="K31" i="4"/>
  <c r="K32" i="4"/>
  <c r="K33" i="4"/>
  <c r="K34" i="4"/>
  <c r="K35" i="4"/>
  <c r="K65" i="4"/>
  <c r="M65" i="4"/>
  <c r="K66" i="4"/>
  <c r="M66" i="4"/>
  <c r="K67" i="4"/>
  <c r="M31" i="4"/>
  <c r="M32" i="4"/>
  <c r="M33" i="4"/>
  <c r="M34" i="4"/>
  <c r="M35" i="4"/>
  <c r="M67" i="4"/>
  <c r="K68" i="4"/>
  <c r="M68" i="4"/>
  <c r="L71" i="4"/>
  <c r="M75" i="4"/>
  <c r="H75" i="4"/>
  <c r="J75" i="4"/>
  <c r="E75" i="4"/>
  <c r="G75" i="4"/>
  <c r="G86" i="4"/>
  <c r="G87" i="4"/>
  <c r="G82" i="4"/>
  <c r="J82" i="4"/>
  <c r="M85" i="4"/>
  <c r="M36" i="4"/>
  <c r="H73" i="4"/>
  <c r="J73" i="4"/>
  <c r="E73" i="4"/>
  <c r="G73" i="4"/>
  <c r="B73" i="4"/>
  <c r="B86" i="4"/>
  <c r="B87" i="4"/>
  <c r="D80" i="4"/>
  <c r="G80" i="4"/>
  <c r="J80" i="4"/>
  <c r="K85" i="4"/>
  <c r="K36" i="4"/>
  <c r="M86" i="4"/>
  <c r="M87" i="4"/>
  <c r="M82" i="4"/>
  <c r="P82" i="4"/>
  <c r="Q85" i="4"/>
  <c r="Q36" i="4"/>
  <c r="S86" i="4"/>
  <c r="S87" i="4"/>
  <c r="S83" i="4"/>
  <c r="V83" i="4"/>
  <c r="Y85" i="4"/>
  <c r="Y36" i="4"/>
  <c r="W86" i="4"/>
  <c r="W87" i="4"/>
  <c r="Y79" i="4"/>
  <c r="AB79" i="4"/>
  <c r="AC85" i="4"/>
  <c r="AC36" i="4"/>
  <c r="Z73" i="4"/>
  <c r="AB73" i="4"/>
  <c r="W73" i="4"/>
  <c r="Y73" i="4"/>
  <c r="T64" i="4"/>
  <c r="V64" i="4"/>
  <c r="T31" i="4"/>
  <c r="T32" i="4"/>
  <c r="T33" i="4"/>
  <c r="T34" i="4"/>
  <c r="T35" i="4"/>
  <c r="T65" i="4"/>
  <c r="V65" i="4"/>
  <c r="T66" i="4"/>
  <c r="V31" i="4"/>
  <c r="V32" i="4"/>
  <c r="V33" i="4"/>
  <c r="V34" i="4"/>
  <c r="V35" i="4"/>
  <c r="V66" i="4"/>
  <c r="T67" i="4"/>
  <c r="V67" i="4"/>
  <c r="T68" i="4"/>
  <c r="V68" i="4"/>
  <c r="U71" i="4"/>
  <c r="T73" i="4"/>
  <c r="Q73" i="4"/>
  <c r="S73" i="4"/>
  <c r="N73" i="4"/>
  <c r="P73" i="4"/>
  <c r="K73" i="4"/>
  <c r="K86" i="4"/>
  <c r="K87" i="4"/>
  <c r="M80" i="4"/>
  <c r="P80" i="4"/>
  <c r="S80" i="4"/>
  <c r="T85" i="4"/>
  <c r="T36" i="4"/>
  <c r="Q74" i="4"/>
  <c r="S74" i="4"/>
  <c r="N74" i="4"/>
  <c r="P74" i="4"/>
  <c r="P86" i="4"/>
  <c r="P87" i="4"/>
  <c r="P81" i="4"/>
  <c r="S81" i="4"/>
  <c r="V85" i="4"/>
  <c r="V36" i="4"/>
  <c r="T86" i="4"/>
  <c r="T87" i="4"/>
  <c r="V80" i="4"/>
  <c r="Y80" i="4"/>
  <c r="AB80" i="4"/>
  <c r="AE85" i="4"/>
  <c r="AE36" i="4"/>
  <c r="AC86" i="4"/>
  <c r="AC87" i="4"/>
  <c r="AE79" i="4"/>
  <c r="AU79" i="4"/>
  <c r="AC73" i="4"/>
  <c r="AE73" i="4"/>
  <c r="AE86" i="4"/>
  <c r="AE87" i="4"/>
  <c r="AE80" i="4"/>
  <c r="AU80" i="4"/>
  <c r="AC74" i="4"/>
  <c r="AE74" i="4"/>
  <c r="Z64" i="4"/>
  <c r="AB64" i="4"/>
  <c r="Z65" i="4"/>
  <c r="AB65" i="4"/>
  <c r="Z31" i="4"/>
  <c r="Z32" i="4"/>
  <c r="Z33" i="4"/>
  <c r="Z34" i="4"/>
  <c r="Z35" i="4"/>
  <c r="Z66" i="4"/>
  <c r="AB66" i="4"/>
  <c r="Z67" i="4"/>
  <c r="AB31" i="4"/>
  <c r="AB32" i="4"/>
  <c r="AB33" i="4"/>
  <c r="AB34" i="4"/>
  <c r="AB35" i="4"/>
  <c r="AB67" i="4"/>
  <c r="Z68" i="4"/>
  <c r="AB68" i="4"/>
  <c r="AA71" i="4"/>
  <c r="Z74" i="4"/>
  <c r="W74" i="4"/>
  <c r="Y74" i="4"/>
  <c r="T74" i="4"/>
  <c r="V74" i="4"/>
  <c r="V86" i="4"/>
  <c r="V87" i="4"/>
  <c r="V81" i="4"/>
  <c r="Y81" i="4"/>
  <c r="Z85" i="4"/>
  <c r="Z36" i="4"/>
  <c r="W75" i="4"/>
  <c r="Y75" i="4"/>
  <c r="T75" i="4"/>
  <c r="V75" i="4"/>
  <c r="Q75" i="4"/>
  <c r="Q86" i="4"/>
  <c r="Q87" i="4"/>
  <c r="S82" i="4"/>
  <c r="V82" i="4"/>
  <c r="Y82" i="4"/>
  <c r="AB85" i="4"/>
  <c r="AB36" i="4"/>
  <c r="Z86" i="4"/>
  <c r="Z87" i="4"/>
  <c r="AB81" i="4"/>
  <c r="AE81" i="4"/>
  <c r="AU81" i="4"/>
  <c r="AC75" i="4"/>
  <c r="AE75" i="4"/>
  <c r="Z75" i="4"/>
  <c r="AB75" i="4"/>
  <c r="AB86" i="4"/>
  <c r="AB87" i="4"/>
  <c r="AB82" i="4"/>
  <c r="AE82" i="4"/>
  <c r="AU82" i="4"/>
  <c r="AT83" i="4"/>
  <c r="AC76" i="4"/>
  <c r="AE76" i="4"/>
  <c r="Z76" i="4"/>
  <c r="AB76" i="4"/>
  <c r="W76" i="4"/>
  <c r="Y76" i="4"/>
  <c r="Y86" i="4"/>
  <c r="Y87" i="4"/>
  <c r="Y83" i="4"/>
  <c r="AB83" i="4"/>
  <c r="AE83" i="4"/>
  <c r="AU83" i="4"/>
  <c r="E93" i="4"/>
  <c r="B164" i="4"/>
  <c r="AT164" i="4"/>
  <c r="AC116" i="4"/>
  <c r="AC117" i="4"/>
  <c r="AC118" i="4"/>
  <c r="AC119" i="4"/>
  <c r="AC120" i="4"/>
  <c r="AC149" i="4"/>
  <c r="AE149" i="4"/>
  <c r="AC150" i="4"/>
  <c r="AE116" i="4"/>
  <c r="AE117" i="4"/>
  <c r="AE118" i="4"/>
  <c r="AE119" i="4"/>
  <c r="AE120" i="4"/>
  <c r="AE150" i="4"/>
  <c r="AC151" i="4"/>
  <c r="AE151" i="4"/>
  <c r="AC152" i="4"/>
  <c r="AE152" i="4"/>
  <c r="AC153" i="4"/>
  <c r="AE153" i="4"/>
  <c r="AD156" i="4"/>
  <c r="AC157" i="4"/>
  <c r="Z157" i="4"/>
  <c r="AB157" i="4"/>
  <c r="W116" i="4"/>
  <c r="W117" i="4"/>
  <c r="W118" i="4"/>
  <c r="W119" i="4"/>
  <c r="W120" i="4"/>
  <c r="W149" i="4"/>
  <c r="Y149" i="4"/>
  <c r="W150" i="4"/>
  <c r="Y150" i="4"/>
  <c r="W151" i="4"/>
  <c r="Y151" i="4"/>
  <c r="W152" i="4"/>
  <c r="Y152" i="4"/>
  <c r="W153" i="4"/>
  <c r="Y116" i="4"/>
  <c r="Y117" i="4"/>
  <c r="Y118" i="4"/>
  <c r="Y119" i="4"/>
  <c r="Y120" i="4"/>
  <c r="Y153" i="4"/>
  <c r="X156" i="4"/>
  <c r="W157" i="4"/>
  <c r="T157" i="4"/>
  <c r="V157" i="4"/>
  <c r="Q157" i="4"/>
  <c r="S157" i="4"/>
  <c r="N116" i="4"/>
  <c r="N117" i="4"/>
  <c r="N118" i="4"/>
  <c r="N119" i="4"/>
  <c r="N120" i="4"/>
  <c r="N149" i="4"/>
  <c r="P149" i="4"/>
  <c r="N150" i="4"/>
  <c r="P150" i="4"/>
  <c r="N151" i="4"/>
  <c r="P116" i="4"/>
  <c r="P117" i="4"/>
  <c r="P118" i="4"/>
  <c r="P119" i="4"/>
  <c r="P120" i="4"/>
  <c r="P151" i="4"/>
  <c r="N152" i="4"/>
  <c r="P152" i="4"/>
  <c r="N153" i="4"/>
  <c r="P153" i="4"/>
  <c r="O156" i="4"/>
  <c r="N157" i="4"/>
  <c r="K157" i="4"/>
  <c r="M157" i="4"/>
  <c r="H157" i="4"/>
  <c r="J157" i="4"/>
  <c r="E116" i="4"/>
  <c r="E117" i="4"/>
  <c r="E118" i="4"/>
  <c r="E119" i="4"/>
  <c r="E120" i="4"/>
  <c r="E149" i="4"/>
  <c r="G149" i="4"/>
  <c r="E150" i="4"/>
  <c r="G150" i="4"/>
  <c r="E151" i="4"/>
  <c r="G151" i="4"/>
  <c r="E152" i="4"/>
  <c r="G116" i="4"/>
  <c r="G117" i="4"/>
  <c r="G118" i="4"/>
  <c r="G119" i="4"/>
  <c r="G120" i="4"/>
  <c r="G152" i="4"/>
  <c r="E153" i="4"/>
  <c r="G153" i="4"/>
  <c r="F156" i="4"/>
  <c r="E157" i="4"/>
  <c r="B157" i="4"/>
  <c r="D157" i="4"/>
  <c r="C164" i="4"/>
  <c r="D164" i="4"/>
  <c r="E170" i="4"/>
  <c r="E121" i="4"/>
  <c r="B160" i="4"/>
  <c r="D160" i="4"/>
  <c r="E99" i="4"/>
  <c r="B167" i="4"/>
  <c r="C167" i="4"/>
  <c r="D167" i="4"/>
  <c r="G170" i="4"/>
  <c r="G121" i="4"/>
  <c r="E171" i="4"/>
  <c r="E172" i="4"/>
  <c r="G164" i="4"/>
  <c r="J164" i="4"/>
  <c r="M164" i="4"/>
  <c r="N170" i="4"/>
  <c r="N121" i="4"/>
  <c r="K159" i="4"/>
  <c r="M159" i="4"/>
  <c r="H149" i="4"/>
  <c r="J149" i="4"/>
  <c r="H150" i="4"/>
  <c r="J150" i="4"/>
  <c r="H116" i="4"/>
  <c r="H117" i="4"/>
  <c r="H118" i="4"/>
  <c r="H119" i="4"/>
  <c r="H120" i="4"/>
  <c r="H151" i="4"/>
  <c r="J151" i="4"/>
  <c r="H152" i="4"/>
  <c r="J152" i="4"/>
  <c r="H153" i="4"/>
  <c r="J116" i="4"/>
  <c r="J117" i="4"/>
  <c r="J118" i="4"/>
  <c r="J119" i="4"/>
  <c r="J120" i="4"/>
  <c r="J153" i="4"/>
  <c r="I156" i="4"/>
  <c r="H159" i="4"/>
  <c r="E159" i="4"/>
  <c r="G159" i="4"/>
  <c r="B159" i="4"/>
  <c r="D159" i="4"/>
  <c r="E97" i="4"/>
  <c r="B166" i="4"/>
  <c r="C166" i="4"/>
  <c r="D166" i="4"/>
  <c r="G166" i="4"/>
  <c r="H170" i="4"/>
  <c r="H121" i="4"/>
  <c r="E161" i="4"/>
  <c r="G161" i="4"/>
  <c r="B161" i="4"/>
  <c r="B149" i="4"/>
  <c r="D149" i="4"/>
  <c r="B116" i="4"/>
  <c r="B117" i="4"/>
  <c r="B118" i="4"/>
  <c r="B119" i="4"/>
  <c r="B120" i="4"/>
  <c r="B150" i="4"/>
  <c r="D150" i="4"/>
  <c r="B151" i="4"/>
  <c r="D151" i="4"/>
  <c r="B152" i="4"/>
  <c r="D152" i="4"/>
  <c r="B153" i="4"/>
  <c r="D116" i="4"/>
  <c r="D117" i="4"/>
  <c r="D118" i="4"/>
  <c r="D119" i="4"/>
  <c r="D120" i="4"/>
  <c r="D153" i="4"/>
  <c r="C156" i="4"/>
  <c r="D161" i="4"/>
  <c r="B168" i="4"/>
  <c r="C168" i="4"/>
  <c r="D170" i="4"/>
  <c r="D121" i="4"/>
  <c r="E95" i="4"/>
  <c r="B165" i="4"/>
  <c r="C165" i="4"/>
  <c r="B170" i="4"/>
  <c r="B121" i="4"/>
  <c r="D171" i="4"/>
  <c r="D172" i="4"/>
  <c r="D168" i="4"/>
  <c r="G168" i="4"/>
  <c r="J170" i="4"/>
  <c r="J121" i="4"/>
  <c r="H171" i="4"/>
  <c r="H172" i="4"/>
  <c r="J166" i="4"/>
  <c r="M166" i="4"/>
  <c r="P170" i="4"/>
  <c r="P121" i="4"/>
  <c r="N171" i="4"/>
  <c r="N172" i="4"/>
  <c r="P164" i="4"/>
  <c r="S164" i="4"/>
  <c r="V164" i="4"/>
  <c r="W170" i="4"/>
  <c r="W121" i="4"/>
  <c r="T161" i="4"/>
  <c r="V161" i="4"/>
  <c r="Q161" i="4"/>
  <c r="Q149" i="4"/>
  <c r="S149" i="4"/>
  <c r="Q150" i="4"/>
  <c r="S150" i="4"/>
  <c r="Q151" i="4"/>
  <c r="S151" i="4"/>
  <c r="Q116" i="4"/>
  <c r="Q117" i="4"/>
  <c r="Q118" i="4"/>
  <c r="Q119" i="4"/>
  <c r="Q120" i="4"/>
  <c r="Q152" i="4"/>
  <c r="S152" i="4"/>
  <c r="Q153" i="4"/>
  <c r="S116" i="4"/>
  <c r="S117" i="4"/>
  <c r="S118" i="4"/>
  <c r="S119" i="4"/>
  <c r="S120" i="4"/>
  <c r="S153" i="4"/>
  <c r="R156" i="4"/>
  <c r="S161" i="4"/>
  <c r="N161" i="4"/>
  <c r="P161" i="4"/>
  <c r="K161" i="4"/>
  <c r="M161" i="4"/>
  <c r="H161" i="4"/>
  <c r="J161" i="4"/>
  <c r="J171" i="4"/>
  <c r="J172" i="4"/>
  <c r="J168" i="4"/>
  <c r="M168" i="4"/>
  <c r="P168" i="4"/>
  <c r="S170" i="4"/>
  <c r="S121" i="4"/>
  <c r="N160" i="4"/>
  <c r="P160" i="4"/>
  <c r="K160" i="4"/>
  <c r="K149" i="4"/>
  <c r="M149" i="4"/>
  <c r="K116" i="4"/>
  <c r="K117" i="4"/>
  <c r="K118" i="4"/>
  <c r="K119" i="4"/>
  <c r="K120" i="4"/>
  <c r="K150" i="4"/>
  <c r="M150" i="4"/>
  <c r="K151" i="4"/>
  <c r="M151" i="4"/>
  <c r="K152" i="4"/>
  <c r="M116" i="4"/>
  <c r="M117" i="4"/>
  <c r="M118" i="4"/>
  <c r="M119" i="4"/>
  <c r="M120" i="4"/>
  <c r="M152" i="4"/>
  <c r="K153" i="4"/>
  <c r="M153" i="4"/>
  <c r="L156" i="4"/>
  <c r="M160" i="4"/>
  <c r="H160" i="4"/>
  <c r="J160" i="4"/>
  <c r="E160" i="4"/>
  <c r="G160" i="4"/>
  <c r="G171" i="4"/>
  <c r="G172" i="4"/>
  <c r="G167" i="4"/>
  <c r="J167" i="4"/>
  <c r="M170" i="4"/>
  <c r="M121" i="4"/>
  <c r="H158" i="4"/>
  <c r="J158" i="4"/>
  <c r="E158" i="4"/>
  <c r="G158" i="4"/>
  <c r="B158" i="4"/>
  <c r="B171" i="4"/>
  <c r="B172" i="4"/>
  <c r="D165" i="4"/>
  <c r="G165" i="4"/>
  <c r="J165" i="4"/>
  <c r="K170" i="4"/>
  <c r="K121" i="4"/>
  <c r="M171" i="4"/>
  <c r="M172" i="4"/>
  <c r="M167" i="4"/>
  <c r="P167" i="4"/>
  <c r="Q170" i="4"/>
  <c r="Q121" i="4"/>
  <c r="S171" i="4"/>
  <c r="S172" i="4"/>
  <c r="S168" i="4"/>
  <c r="V168" i="4"/>
  <c r="Y170" i="4"/>
  <c r="Y121" i="4"/>
  <c r="W171" i="4"/>
  <c r="W172" i="4"/>
  <c r="Y164" i="4"/>
  <c r="AB164" i="4"/>
  <c r="AC170" i="4"/>
  <c r="AC121" i="4"/>
  <c r="Z158" i="4"/>
  <c r="AB158" i="4"/>
  <c r="W158" i="4"/>
  <c r="Y158" i="4"/>
  <c r="T149" i="4"/>
  <c r="V149" i="4"/>
  <c r="T116" i="4"/>
  <c r="T117" i="4"/>
  <c r="T118" i="4"/>
  <c r="T119" i="4"/>
  <c r="T120" i="4"/>
  <c r="T150" i="4"/>
  <c r="V150" i="4"/>
  <c r="T151" i="4"/>
  <c r="V116" i="4"/>
  <c r="V117" i="4"/>
  <c r="V118" i="4"/>
  <c r="V119" i="4"/>
  <c r="V120" i="4"/>
  <c r="V151" i="4"/>
  <c r="T152" i="4"/>
  <c r="V152" i="4"/>
  <c r="T153" i="4"/>
  <c r="V153" i="4"/>
  <c r="U156" i="4"/>
  <c r="T158" i="4"/>
  <c r="Q158" i="4"/>
  <c r="S158" i="4"/>
  <c r="N158" i="4"/>
  <c r="P158" i="4"/>
  <c r="K158" i="4"/>
  <c r="K171" i="4"/>
  <c r="K172" i="4"/>
  <c r="M165" i="4"/>
  <c r="P165" i="4"/>
  <c r="S165" i="4"/>
  <c r="T170" i="4"/>
  <c r="T121" i="4"/>
  <c r="Q159" i="4"/>
  <c r="S159" i="4"/>
  <c r="N159" i="4"/>
  <c r="P159" i="4"/>
  <c r="P171" i="4"/>
  <c r="P172" i="4"/>
  <c r="P166" i="4"/>
  <c r="S166" i="4"/>
  <c r="V170" i="4"/>
  <c r="V121" i="4"/>
  <c r="T171" i="4"/>
  <c r="T172" i="4"/>
  <c r="V165" i="4"/>
  <c r="Y165" i="4"/>
  <c r="AB165" i="4"/>
  <c r="AE170" i="4"/>
  <c r="AE121" i="4"/>
  <c r="AC171" i="4"/>
  <c r="AC172" i="4"/>
  <c r="AE164" i="4"/>
  <c r="AU164" i="4"/>
  <c r="AT165" i="4"/>
  <c r="AC158" i="4"/>
  <c r="AE158" i="4"/>
  <c r="AE171" i="4"/>
  <c r="AE172" i="4"/>
  <c r="AE165" i="4"/>
  <c r="AU165" i="4"/>
  <c r="AT166" i="4"/>
  <c r="AC159" i="4"/>
  <c r="AE159" i="4"/>
  <c r="Z149" i="4"/>
  <c r="AB149" i="4"/>
  <c r="Z150" i="4"/>
  <c r="AB150" i="4"/>
  <c r="Z116" i="4"/>
  <c r="Z117" i="4"/>
  <c r="Z118" i="4"/>
  <c r="Z119" i="4"/>
  <c r="Z120" i="4"/>
  <c r="Z151" i="4"/>
  <c r="AB151" i="4"/>
  <c r="Z152" i="4"/>
  <c r="AB116" i="4"/>
  <c r="AB117" i="4"/>
  <c r="AB118" i="4"/>
  <c r="AB119" i="4"/>
  <c r="AB120" i="4"/>
  <c r="AB152" i="4"/>
  <c r="Z153" i="4"/>
  <c r="AB153" i="4"/>
  <c r="AA156" i="4"/>
  <c r="Z159" i="4"/>
  <c r="W159" i="4"/>
  <c r="Y159" i="4"/>
  <c r="T159" i="4"/>
  <c r="V159" i="4"/>
  <c r="V171" i="4"/>
  <c r="V172" i="4"/>
  <c r="V166" i="4"/>
  <c r="Y166" i="4"/>
  <c r="Z170" i="4"/>
  <c r="Z121" i="4"/>
  <c r="W160" i="4"/>
  <c r="Y160" i="4"/>
  <c r="T160" i="4"/>
  <c r="V160" i="4"/>
  <c r="Q160" i="4"/>
  <c r="Q171" i="4"/>
  <c r="Q172" i="4"/>
  <c r="S167" i="4"/>
  <c r="V167" i="4"/>
  <c r="Y167" i="4"/>
  <c r="AB170" i="4"/>
  <c r="AB121" i="4"/>
  <c r="Z171" i="4"/>
  <c r="Z172" i="4"/>
  <c r="AB166" i="4"/>
  <c r="AE166" i="4"/>
  <c r="AU166" i="4"/>
  <c r="AT167" i="4"/>
  <c r="AC160" i="4"/>
  <c r="AE160" i="4"/>
  <c r="Z160" i="4"/>
  <c r="AB160" i="4"/>
  <c r="AB171" i="4"/>
  <c r="AB172" i="4"/>
  <c r="AB167" i="4"/>
  <c r="AE167" i="4"/>
  <c r="AU167" i="4"/>
  <c r="AT168" i="4"/>
  <c r="AC161" i="4"/>
  <c r="AE161" i="4"/>
  <c r="Z161" i="4"/>
  <c r="AB161" i="4"/>
  <c r="W161" i="4"/>
  <c r="Y161" i="4"/>
  <c r="Y171" i="4"/>
  <c r="Y172" i="4"/>
  <c r="Y168" i="4"/>
  <c r="AB168" i="4"/>
  <c r="AE168" i="4"/>
  <c r="AU168" i="4"/>
  <c r="AX12" i="4"/>
  <c r="X230" i="4"/>
  <c r="Y231" i="4"/>
  <c r="V179" i="4"/>
  <c r="X210" i="4"/>
  <c r="W227" i="4"/>
  <c r="AX7" i="4"/>
  <c r="X227" i="4"/>
  <c r="W231" i="4"/>
  <c r="Y232" i="4"/>
  <c r="Y233" i="4"/>
  <c r="Y230" i="4"/>
  <c r="AB230" i="4"/>
  <c r="AE230" i="4"/>
  <c r="AU233" i="4"/>
  <c r="AT233" i="4"/>
  <c r="V180" i="4"/>
  <c r="X211" i="4"/>
  <c r="W228" i="4"/>
  <c r="AX9" i="4"/>
  <c r="X228" i="4"/>
  <c r="Y228" i="4"/>
  <c r="Z231" i="4"/>
  <c r="AF179" i="4"/>
  <c r="X212" i="4"/>
  <c r="W229" i="4"/>
  <c r="AX10" i="4"/>
  <c r="X229" i="4"/>
  <c r="Y229" i="4"/>
  <c r="AB231" i="4"/>
  <c r="Z232" i="4"/>
  <c r="Z233" i="4"/>
  <c r="AB228" i="4"/>
  <c r="AE231" i="4"/>
  <c r="AE219" i="4"/>
  <c r="AE220" i="4"/>
  <c r="AE221" i="4"/>
  <c r="AE222" i="4"/>
  <c r="W232" i="4"/>
  <c r="W233" i="4"/>
  <c r="Y227" i="4"/>
  <c r="AB227" i="4"/>
  <c r="AC231" i="4"/>
  <c r="AC219" i="4"/>
  <c r="AC220" i="4"/>
  <c r="AC221" i="4"/>
  <c r="AC222" i="4"/>
  <c r="AE232" i="4"/>
  <c r="AE233" i="4"/>
  <c r="AC232" i="4"/>
  <c r="AC233" i="4"/>
  <c r="AB232" i="4"/>
  <c r="AB233" i="4"/>
  <c r="E219" i="4"/>
  <c r="E220" i="4"/>
  <c r="E221" i="4"/>
  <c r="E222" i="4"/>
  <c r="G219" i="4"/>
  <c r="G220" i="4"/>
  <c r="G221" i="4"/>
  <c r="G222" i="4"/>
  <c r="J218" i="4"/>
  <c r="L179" i="4"/>
  <c r="B212" i="4"/>
  <c r="B229" i="4"/>
  <c r="AX6" i="4"/>
  <c r="C229" i="4"/>
  <c r="D229" i="4"/>
  <c r="G231" i="4"/>
  <c r="B180" i="4"/>
  <c r="B211" i="4"/>
  <c r="B228" i="4"/>
  <c r="AX4" i="4"/>
  <c r="C228" i="4"/>
  <c r="D228" i="4"/>
  <c r="E231" i="4"/>
  <c r="G232" i="4"/>
  <c r="G233" i="4"/>
  <c r="G229" i="4"/>
  <c r="J231" i="4"/>
  <c r="J219" i="4"/>
  <c r="J220" i="4"/>
  <c r="J221" i="4"/>
  <c r="J222" i="4"/>
  <c r="B219" i="4"/>
  <c r="B220" i="4"/>
  <c r="B221" i="4"/>
  <c r="B222" i="4"/>
  <c r="D219" i="4"/>
  <c r="D220" i="4"/>
  <c r="D221" i="4"/>
  <c r="D222" i="4"/>
  <c r="H218" i="4"/>
  <c r="B179" i="4"/>
  <c r="B210" i="4"/>
  <c r="B227" i="4"/>
  <c r="AX3" i="4"/>
  <c r="C227" i="4"/>
  <c r="B231" i="4"/>
  <c r="L180" i="4"/>
  <c r="B213" i="4"/>
  <c r="B230" i="4"/>
  <c r="AX5" i="4"/>
  <c r="C230" i="4"/>
  <c r="D231" i="4"/>
  <c r="B232" i="4"/>
  <c r="B233" i="4"/>
  <c r="D227" i="4"/>
  <c r="G227" i="4"/>
  <c r="H231" i="4"/>
  <c r="H219" i="4"/>
  <c r="H220" i="4"/>
  <c r="H221" i="4"/>
  <c r="H222" i="4"/>
  <c r="J232" i="4"/>
  <c r="J233" i="4"/>
  <c r="H232" i="4"/>
  <c r="H233" i="4"/>
  <c r="E232" i="4"/>
  <c r="E233" i="4"/>
  <c r="D232" i="4"/>
  <c r="D233" i="4"/>
  <c r="AB229" i="4"/>
  <c r="AE229" i="4"/>
  <c r="AU232" i="4"/>
  <c r="AT232" i="4"/>
  <c r="AE228" i="4"/>
  <c r="AU231" i="4"/>
  <c r="AT231" i="4"/>
  <c r="AE227" i="4"/>
  <c r="AU230" i="4"/>
  <c r="AT230" i="4"/>
  <c r="D230" i="4"/>
  <c r="G230" i="4"/>
  <c r="J230" i="4"/>
  <c r="AU229" i="4"/>
  <c r="AT229" i="4"/>
  <c r="J229" i="4"/>
  <c r="AU228" i="4"/>
  <c r="AT228" i="4"/>
  <c r="G228" i="4"/>
  <c r="J228" i="4"/>
  <c r="AU227" i="4"/>
  <c r="AT227" i="4"/>
  <c r="J227" i="4"/>
  <c r="AU226" i="4"/>
  <c r="AT226" i="4"/>
  <c r="AF223" i="4"/>
  <c r="K223" i="4"/>
  <c r="E102" i="4"/>
  <c r="AL180" i="4"/>
  <c r="AG213" i="4"/>
  <c r="E96" i="4"/>
  <c r="R180" i="4"/>
  <c r="K213" i="4"/>
  <c r="E15" i="4"/>
  <c r="AL179" i="4"/>
  <c r="AG212" i="4"/>
  <c r="E11" i="4"/>
  <c r="R179" i="4"/>
  <c r="K212" i="4"/>
  <c r="E100" i="4"/>
  <c r="AB180" i="4"/>
  <c r="AG211" i="4"/>
  <c r="E94" i="4"/>
  <c r="H180" i="4"/>
  <c r="K211" i="4"/>
  <c r="E13" i="4"/>
  <c r="AB179" i="4"/>
  <c r="AG210" i="4"/>
  <c r="E9" i="4"/>
  <c r="H179" i="4"/>
  <c r="K210" i="4"/>
  <c r="U204" i="4"/>
  <c r="A204" i="4"/>
  <c r="AB203" i="4"/>
  <c r="F203" i="4"/>
  <c r="U199" i="4"/>
  <c r="A199" i="4"/>
  <c r="AF198" i="4"/>
  <c r="J198" i="4"/>
  <c r="U195" i="4"/>
  <c r="A195" i="4"/>
  <c r="AB193" i="4"/>
  <c r="T193" i="4"/>
  <c r="F193" i="4"/>
  <c r="A193" i="4"/>
  <c r="U190" i="4"/>
  <c r="A190" i="4"/>
  <c r="A174" i="4"/>
  <c r="AF161" i="4"/>
  <c r="S160" i="4"/>
  <c r="AF160" i="4"/>
  <c r="J159" i="4"/>
  <c r="AB159" i="4"/>
  <c r="AF159" i="4"/>
  <c r="D158" i="4"/>
  <c r="M158" i="4"/>
  <c r="V158" i="4"/>
  <c r="AF158" i="4"/>
  <c r="G157" i="4"/>
  <c r="P157" i="4"/>
  <c r="Y157" i="4"/>
  <c r="AE157" i="4"/>
  <c r="AF157" i="4"/>
  <c r="AF153" i="4"/>
  <c r="AG153" i="4"/>
  <c r="AF152" i="4"/>
  <c r="AG152" i="4"/>
  <c r="AF151" i="4"/>
  <c r="AG151" i="4"/>
  <c r="AF150" i="4"/>
  <c r="AG150" i="4"/>
  <c r="AF149" i="4"/>
  <c r="AG149" i="4"/>
  <c r="B147" i="4"/>
  <c r="B124" i="4"/>
  <c r="D124" i="4"/>
  <c r="B125" i="4"/>
  <c r="D125" i="4"/>
  <c r="B126" i="4"/>
  <c r="D126" i="4"/>
  <c r="B127" i="4"/>
  <c r="D127" i="4"/>
  <c r="B128" i="4"/>
  <c r="D128" i="4"/>
  <c r="B129" i="4"/>
  <c r="D147" i="4"/>
  <c r="E147" i="4"/>
  <c r="G147" i="4"/>
  <c r="H147" i="4"/>
  <c r="H124" i="4"/>
  <c r="J124" i="4"/>
  <c r="H125" i="4"/>
  <c r="J125" i="4"/>
  <c r="H126" i="4"/>
  <c r="J126" i="4"/>
  <c r="H127" i="4"/>
  <c r="J127" i="4"/>
  <c r="H128" i="4"/>
  <c r="J128" i="4"/>
  <c r="H129" i="4"/>
  <c r="J147" i="4"/>
  <c r="K147" i="4"/>
  <c r="M147" i="4"/>
  <c r="N147" i="4"/>
  <c r="P147" i="4"/>
  <c r="Q147" i="4"/>
  <c r="Q124" i="4"/>
  <c r="S124" i="4"/>
  <c r="Q125" i="4"/>
  <c r="S125" i="4"/>
  <c r="Q126" i="4"/>
  <c r="S126" i="4"/>
  <c r="Q127" i="4"/>
  <c r="S127" i="4"/>
  <c r="Q128" i="4"/>
  <c r="S128" i="4"/>
  <c r="Q129" i="4"/>
  <c r="S147" i="4"/>
  <c r="T147" i="4"/>
  <c r="V147" i="4"/>
  <c r="W147" i="4"/>
  <c r="W124" i="4"/>
  <c r="Y124" i="4"/>
  <c r="W125" i="4"/>
  <c r="Y125" i="4"/>
  <c r="W126" i="4"/>
  <c r="Y126" i="4"/>
  <c r="W127" i="4"/>
  <c r="Y127" i="4"/>
  <c r="W128" i="4"/>
  <c r="Y128" i="4"/>
  <c r="W129" i="4"/>
  <c r="Y147" i="4"/>
  <c r="Z147" i="4"/>
  <c r="AB147" i="4"/>
  <c r="AC147" i="4"/>
  <c r="AE147" i="4"/>
  <c r="AF147" i="4"/>
  <c r="B146" i="4"/>
  <c r="D146" i="4"/>
  <c r="E146" i="4"/>
  <c r="E124" i="4"/>
  <c r="G124" i="4"/>
  <c r="E125" i="4"/>
  <c r="G125" i="4"/>
  <c r="E126" i="4"/>
  <c r="G126" i="4"/>
  <c r="E127" i="4"/>
  <c r="G127" i="4"/>
  <c r="E128" i="4"/>
  <c r="G128" i="4"/>
  <c r="E129" i="4"/>
  <c r="G146" i="4"/>
  <c r="H146" i="4"/>
  <c r="J146" i="4"/>
  <c r="K146" i="4"/>
  <c r="K124" i="4"/>
  <c r="M124" i="4"/>
  <c r="K125" i="4"/>
  <c r="M125" i="4"/>
  <c r="K126" i="4"/>
  <c r="M126" i="4"/>
  <c r="K127" i="4"/>
  <c r="M127" i="4"/>
  <c r="K128" i="4"/>
  <c r="M128" i="4"/>
  <c r="K129" i="4"/>
  <c r="M146" i="4"/>
  <c r="N146" i="4"/>
  <c r="P146" i="4"/>
  <c r="Q146" i="4"/>
  <c r="S146" i="4"/>
  <c r="T146" i="4"/>
  <c r="V146" i="4"/>
  <c r="W146" i="4"/>
  <c r="Y146" i="4"/>
  <c r="Z146" i="4"/>
  <c r="Z124" i="4"/>
  <c r="AB124" i="4"/>
  <c r="Z125" i="4"/>
  <c r="AB125" i="4"/>
  <c r="Z126" i="4"/>
  <c r="AB126" i="4"/>
  <c r="Z127" i="4"/>
  <c r="AB127" i="4"/>
  <c r="Z128" i="4"/>
  <c r="AB128" i="4"/>
  <c r="Z129" i="4"/>
  <c r="AB146" i="4"/>
  <c r="AC146" i="4"/>
  <c r="AE146" i="4"/>
  <c r="AF146" i="4"/>
  <c r="B145" i="4"/>
  <c r="D145" i="4"/>
  <c r="E145" i="4"/>
  <c r="G145" i="4"/>
  <c r="H145" i="4"/>
  <c r="J145" i="4"/>
  <c r="K145" i="4"/>
  <c r="M145" i="4"/>
  <c r="N145" i="4"/>
  <c r="N124" i="4"/>
  <c r="P124" i="4"/>
  <c r="N125" i="4"/>
  <c r="P125" i="4"/>
  <c r="N126" i="4"/>
  <c r="P126" i="4"/>
  <c r="N127" i="4"/>
  <c r="P127" i="4"/>
  <c r="N128" i="4"/>
  <c r="P128" i="4"/>
  <c r="N129" i="4"/>
  <c r="P145" i="4"/>
  <c r="Q145" i="4"/>
  <c r="S145" i="4"/>
  <c r="T145" i="4"/>
  <c r="T124" i="4"/>
  <c r="V124" i="4"/>
  <c r="T125" i="4"/>
  <c r="V125" i="4"/>
  <c r="T126" i="4"/>
  <c r="V126" i="4"/>
  <c r="T127" i="4"/>
  <c r="V127" i="4"/>
  <c r="T128" i="4"/>
  <c r="V128" i="4"/>
  <c r="T129" i="4"/>
  <c r="V145" i="4"/>
  <c r="W145" i="4"/>
  <c r="Y145" i="4"/>
  <c r="Z145" i="4"/>
  <c r="AB145" i="4"/>
  <c r="AC145" i="4"/>
  <c r="AE145" i="4"/>
  <c r="AF145" i="4"/>
  <c r="B144" i="4"/>
  <c r="D144" i="4"/>
  <c r="E144" i="4"/>
  <c r="G144" i="4"/>
  <c r="H144" i="4"/>
  <c r="J144" i="4"/>
  <c r="K144" i="4"/>
  <c r="M144" i="4"/>
  <c r="N144" i="4"/>
  <c r="P144" i="4"/>
  <c r="Q144" i="4"/>
  <c r="S144" i="4"/>
  <c r="T144" i="4"/>
  <c r="V144" i="4"/>
  <c r="W144" i="4"/>
  <c r="Y144" i="4"/>
  <c r="Z144" i="4"/>
  <c r="AB144" i="4"/>
  <c r="AC144" i="4"/>
  <c r="AC124" i="4"/>
  <c r="AE124" i="4"/>
  <c r="AC125" i="4"/>
  <c r="AE125" i="4"/>
  <c r="AC126" i="4"/>
  <c r="AE126" i="4"/>
  <c r="AC127" i="4"/>
  <c r="AE127" i="4"/>
  <c r="AC128" i="4"/>
  <c r="AE128" i="4"/>
  <c r="AC129" i="4"/>
  <c r="AE144" i="4"/>
  <c r="AF144" i="4"/>
  <c r="B143" i="4"/>
  <c r="D143" i="4"/>
  <c r="E143" i="4"/>
  <c r="G143" i="4"/>
  <c r="H143" i="4"/>
  <c r="J143" i="4"/>
  <c r="K143" i="4"/>
  <c r="M143" i="4"/>
  <c r="N143" i="4"/>
  <c r="P143" i="4"/>
  <c r="Q143" i="4"/>
  <c r="S143" i="4"/>
  <c r="T143" i="4"/>
  <c r="V143" i="4"/>
  <c r="W143" i="4"/>
  <c r="Y143" i="4"/>
  <c r="Z143" i="4"/>
  <c r="AB143" i="4"/>
  <c r="AC143" i="4"/>
  <c r="AE143" i="4"/>
  <c r="AF143" i="4"/>
  <c r="B141" i="4"/>
  <c r="B122" i="4"/>
  <c r="D122" i="4"/>
  <c r="C122" i="4"/>
  <c r="D141" i="4"/>
  <c r="E141" i="4"/>
  <c r="G141" i="4"/>
  <c r="H141" i="4"/>
  <c r="H122" i="4"/>
  <c r="J122" i="4"/>
  <c r="I122" i="4"/>
  <c r="J141" i="4"/>
  <c r="K141" i="4"/>
  <c r="M141" i="4"/>
  <c r="N141" i="4"/>
  <c r="P141" i="4"/>
  <c r="Q141" i="4"/>
  <c r="Q122" i="4"/>
  <c r="S122" i="4"/>
  <c r="R122" i="4"/>
  <c r="S141" i="4"/>
  <c r="T141" i="4"/>
  <c r="V141" i="4"/>
  <c r="W141" i="4"/>
  <c r="W122" i="4"/>
  <c r="Y122" i="4"/>
  <c r="X122" i="4"/>
  <c r="Y141" i="4"/>
  <c r="Z141" i="4"/>
  <c r="AB141" i="4"/>
  <c r="AC141" i="4"/>
  <c r="AE141" i="4"/>
  <c r="AF141" i="4"/>
  <c r="B140" i="4"/>
  <c r="D140" i="4"/>
  <c r="E140" i="4"/>
  <c r="E122" i="4"/>
  <c r="G122" i="4"/>
  <c r="F122" i="4"/>
  <c r="G140" i="4"/>
  <c r="H140" i="4"/>
  <c r="J140" i="4"/>
  <c r="K140" i="4"/>
  <c r="K122" i="4"/>
  <c r="M122" i="4"/>
  <c r="L122" i="4"/>
  <c r="M140" i="4"/>
  <c r="N140" i="4"/>
  <c r="P140" i="4"/>
  <c r="Q140" i="4"/>
  <c r="S140" i="4"/>
  <c r="T140" i="4"/>
  <c r="V140" i="4"/>
  <c r="W140" i="4"/>
  <c r="Y140" i="4"/>
  <c r="Z140" i="4"/>
  <c r="Z122" i="4"/>
  <c r="AB122" i="4"/>
  <c r="AA122" i="4"/>
  <c r="AB140" i="4"/>
  <c r="AC140" i="4"/>
  <c r="AE140" i="4"/>
  <c r="AF140" i="4"/>
  <c r="B139" i="4"/>
  <c r="D139" i="4"/>
  <c r="E139" i="4"/>
  <c r="G139" i="4"/>
  <c r="H139" i="4"/>
  <c r="J139" i="4"/>
  <c r="K139" i="4"/>
  <c r="M139" i="4"/>
  <c r="N139" i="4"/>
  <c r="N122" i="4"/>
  <c r="P122" i="4"/>
  <c r="O122" i="4"/>
  <c r="P139" i="4"/>
  <c r="Q139" i="4"/>
  <c r="S139" i="4"/>
  <c r="T139" i="4"/>
  <c r="T122" i="4"/>
  <c r="V122" i="4"/>
  <c r="U122" i="4"/>
  <c r="V139" i="4"/>
  <c r="W139" i="4"/>
  <c r="Y139" i="4"/>
  <c r="Z139" i="4"/>
  <c r="AB139" i="4"/>
  <c r="AC139" i="4"/>
  <c r="AE139" i="4"/>
  <c r="AF139" i="4"/>
  <c r="B138" i="4"/>
  <c r="D138" i="4"/>
  <c r="E138" i="4"/>
  <c r="G138" i="4"/>
  <c r="H138" i="4"/>
  <c r="J138" i="4"/>
  <c r="K138" i="4"/>
  <c r="M138" i="4"/>
  <c r="N138" i="4"/>
  <c r="P138" i="4"/>
  <c r="Q138" i="4"/>
  <c r="S138" i="4"/>
  <c r="T138" i="4"/>
  <c r="V138" i="4"/>
  <c r="W138" i="4"/>
  <c r="Y138" i="4"/>
  <c r="Z138" i="4"/>
  <c r="AB138" i="4"/>
  <c r="AC138" i="4"/>
  <c r="AC122" i="4"/>
  <c r="AE122" i="4"/>
  <c r="AD122" i="4"/>
  <c r="AE138" i="4"/>
  <c r="AF138" i="4"/>
  <c r="B137" i="4"/>
  <c r="D137" i="4"/>
  <c r="E137" i="4"/>
  <c r="G137" i="4"/>
  <c r="H137" i="4"/>
  <c r="J137" i="4"/>
  <c r="K137" i="4"/>
  <c r="M137" i="4"/>
  <c r="N137" i="4"/>
  <c r="P137" i="4"/>
  <c r="Q137" i="4"/>
  <c r="S137" i="4"/>
  <c r="T137" i="4"/>
  <c r="V137" i="4"/>
  <c r="W137" i="4"/>
  <c r="Y137" i="4"/>
  <c r="Z137" i="4"/>
  <c r="AB137" i="4"/>
  <c r="AC137" i="4"/>
  <c r="AE137" i="4"/>
  <c r="AF137" i="4"/>
  <c r="B135" i="4"/>
  <c r="D135" i="4"/>
  <c r="E135" i="4"/>
  <c r="G135" i="4"/>
  <c r="H135" i="4"/>
  <c r="J135" i="4"/>
  <c r="K135" i="4"/>
  <c r="M135" i="4"/>
  <c r="N135" i="4"/>
  <c r="P135" i="4"/>
  <c r="Q135" i="4"/>
  <c r="S135" i="4"/>
  <c r="T135" i="4"/>
  <c r="V135" i="4"/>
  <c r="W135" i="4"/>
  <c r="Y135" i="4"/>
  <c r="Z135" i="4"/>
  <c r="AB135" i="4"/>
  <c r="AC135" i="4"/>
  <c r="AE135" i="4"/>
  <c r="AF135" i="4"/>
  <c r="AG135" i="4"/>
  <c r="B134" i="4"/>
  <c r="D134" i="4"/>
  <c r="E134" i="4"/>
  <c r="G134" i="4"/>
  <c r="H134" i="4"/>
  <c r="J134" i="4"/>
  <c r="K134" i="4"/>
  <c r="M134" i="4"/>
  <c r="N134" i="4"/>
  <c r="P134" i="4"/>
  <c r="Q134" i="4"/>
  <c r="S134" i="4"/>
  <c r="T134" i="4"/>
  <c r="V134" i="4"/>
  <c r="W134" i="4"/>
  <c r="Y134" i="4"/>
  <c r="Z134" i="4"/>
  <c r="AB134" i="4"/>
  <c r="AC134" i="4"/>
  <c r="AE134" i="4"/>
  <c r="AF134" i="4"/>
  <c r="AG134" i="4"/>
  <c r="B133" i="4"/>
  <c r="D133" i="4"/>
  <c r="E133" i="4"/>
  <c r="G133" i="4"/>
  <c r="H133" i="4"/>
  <c r="J133" i="4"/>
  <c r="K133" i="4"/>
  <c r="M133" i="4"/>
  <c r="N133" i="4"/>
  <c r="P133" i="4"/>
  <c r="Q133" i="4"/>
  <c r="S133" i="4"/>
  <c r="T133" i="4"/>
  <c r="V133" i="4"/>
  <c r="W133" i="4"/>
  <c r="Y133" i="4"/>
  <c r="Z133" i="4"/>
  <c r="AB133" i="4"/>
  <c r="AC133" i="4"/>
  <c r="AE133" i="4"/>
  <c r="AF133" i="4"/>
  <c r="AG133" i="4"/>
  <c r="B132" i="4"/>
  <c r="D132" i="4"/>
  <c r="E132" i="4"/>
  <c r="G132" i="4"/>
  <c r="H132" i="4"/>
  <c r="J132" i="4"/>
  <c r="K132" i="4"/>
  <c r="M132" i="4"/>
  <c r="N132" i="4"/>
  <c r="P132" i="4"/>
  <c r="Q132" i="4"/>
  <c r="S132" i="4"/>
  <c r="T132" i="4"/>
  <c r="V132" i="4"/>
  <c r="W132" i="4"/>
  <c r="Y132" i="4"/>
  <c r="Z132" i="4"/>
  <c r="AB132" i="4"/>
  <c r="AC132" i="4"/>
  <c r="AE132" i="4"/>
  <c r="AF132" i="4"/>
  <c r="AG132" i="4"/>
  <c r="B131" i="4"/>
  <c r="D131" i="4"/>
  <c r="E131" i="4"/>
  <c r="G131" i="4"/>
  <c r="H131" i="4"/>
  <c r="J131" i="4"/>
  <c r="K131" i="4"/>
  <c r="M131" i="4"/>
  <c r="N131" i="4"/>
  <c r="P131" i="4"/>
  <c r="Q131" i="4"/>
  <c r="S131" i="4"/>
  <c r="T131" i="4"/>
  <c r="V131" i="4"/>
  <c r="W131" i="4"/>
  <c r="Y131" i="4"/>
  <c r="Z131" i="4"/>
  <c r="AB131" i="4"/>
  <c r="AC131" i="4"/>
  <c r="AE131" i="4"/>
  <c r="AF131" i="4"/>
  <c r="AG131" i="4"/>
  <c r="AE115" i="4"/>
  <c r="AC115" i="4"/>
  <c r="AB115" i="4"/>
  <c r="Z115" i="4"/>
  <c r="Y115" i="4"/>
  <c r="W115" i="4"/>
  <c r="V115" i="4"/>
  <c r="T115" i="4"/>
  <c r="S115" i="4"/>
  <c r="Q115" i="4"/>
  <c r="P115" i="4"/>
  <c r="N115" i="4"/>
  <c r="M115" i="4"/>
  <c r="K115" i="4"/>
  <c r="J115" i="4"/>
  <c r="H115" i="4"/>
  <c r="G115" i="4"/>
  <c r="E115" i="4"/>
  <c r="D115" i="4"/>
  <c r="B115" i="4"/>
  <c r="AD114" i="4"/>
  <c r="AA114" i="4"/>
  <c r="X114" i="4"/>
  <c r="U114" i="4"/>
  <c r="R114" i="4"/>
  <c r="O114" i="4"/>
  <c r="L114" i="4"/>
  <c r="I114" i="4"/>
  <c r="F114" i="4"/>
  <c r="A114" i="4"/>
  <c r="AG113" i="4"/>
  <c r="AH113" i="4"/>
  <c r="AI113" i="4"/>
  <c r="AJ113" i="4"/>
  <c r="AK113" i="4"/>
  <c r="AL113" i="4"/>
  <c r="AM113" i="4"/>
  <c r="AN113" i="4"/>
  <c r="AO113" i="4"/>
  <c r="AP113" i="4"/>
  <c r="AQ113" i="4"/>
  <c r="AF113" i="4"/>
  <c r="AD113" i="4"/>
  <c r="AA113" i="4"/>
  <c r="X113" i="4"/>
  <c r="U113" i="4"/>
  <c r="R113" i="4"/>
  <c r="O113" i="4"/>
  <c r="L113" i="4"/>
  <c r="I113" i="4"/>
  <c r="F113" i="4"/>
  <c r="A113" i="4"/>
  <c r="AG112" i="4"/>
  <c r="AH112" i="4"/>
  <c r="AI112" i="4"/>
  <c r="AJ112" i="4"/>
  <c r="AK112" i="4"/>
  <c r="AL112" i="4"/>
  <c r="AM112" i="4"/>
  <c r="AN112" i="4"/>
  <c r="AO112" i="4"/>
  <c r="AP112" i="4"/>
  <c r="AQ112" i="4"/>
  <c r="AF112" i="4"/>
  <c r="AD112" i="4"/>
  <c r="AA112" i="4"/>
  <c r="X112" i="4"/>
  <c r="U112" i="4"/>
  <c r="R112" i="4"/>
  <c r="O112" i="4"/>
  <c r="L112" i="4"/>
  <c r="I112" i="4"/>
  <c r="F112" i="4"/>
  <c r="A112" i="4"/>
  <c r="AG111" i="4"/>
  <c r="AH111" i="4"/>
  <c r="AI111" i="4"/>
  <c r="AJ111" i="4"/>
  <c r="AK111" i="4"/>
  <c r="AL111" i="4"/>
  <c r="AM111" i="4"/>
  <c r="AN111" i="4"/>
  <c r="AO111" i="4"/>
  <c r="AP111" i="4"/>
  <c r="AQ111" i="4"/>
  <c r="AF111" i="4"/>
  <c r="AD111" i="4"/>
  <c r="AA111" i="4"/>
  <c r="X111" i="4"/>
  <c r="U111" i="4"/>
  <c r="R111" i="4"/>
  <c r="O111" i="4"/>
  <c r="L111" i="4"/>
  <c r="I111" i="4"/>
  <c r="F111" i="4"/>
  <c r="A111" i="4"/>
  <c r="AG110" i="4"/>
  <c r="AH110" i="4"/>
  <c r="AI110" i="4"/>
  <c r="AJ110" i="4"/>
  <c r="AK110" i="4"/>
  <c r="AL110" i="4"/>
  <c r="AM110" i="4"/>
  <c r="AN110" i="4"/>
  <c r="AO110" i="4"/>
  <c r="AP110" i="4"/>
  <c r="AQ110" i="4"/>
  <c r="AF110" i="4"/>
  <c r="AD110" i="4"/>
  <c r="AA110" i="4"/>
  <c r="X110" i="4"/>
  <c r="U110" i="4"/>
  <c r="R110" i="4"/>
  <c r="O110" i="4"/>
  <c r="L110" i="4"/>
  <c r="I110" i="4"/>
  <c r="F110" i="4"/>
  <c r="AG109" i="4"/>
  <c r="AH109" i="4"/>
  <c r="AI109" i="4"/>
  <c r="AJ109" i="4"/>
  <c r="AK109" i="4"/>
  <c r="AL109" i="4"/>
  <c r="AM109" i="4"/>
  <c r="AN109" i="4"/>
  <c r="AO109" i="4"/>
  <c r="AP109" i="4"/>
  <c r="AQ109" i="4"/>
  <c r="AF109" i="4"/>
  <c r="AD109" i="4"/>
  <c r="AA109" i="4"/>
  <c r="X109" i="4"/>
  <c r="U109" i="4"/>
  <c r="R109" i="4"/>
  <c r="O109" i="4"/>
  <c r="L109" i="4"/>
  <c r="I109" i="4"/>
  <c r="F109" i="4"/>
  <c r="AC107" i="4"/>
  <c r="Z107" i="4"/>
  <c r="W107" i="4"/>
  <c r="T107" i="4"/>
  <c r="Q107" i="4"/>
  <c r="N107" i="4"/>
  <c r="K107" i="4"/>
  <c r="H107" i="4"/>
  <c r="E107" i="4"/>
  <c r="AC101" i="4"/>
  <c r="Z101" i="4"/>
  <c r="W101" i="4"/>
  <c r="R101" i="4"/>
  <c r="L101" i="4"/>
  <c r="A101" i="4"/>
  <c r="AC99" i="4"/>
  <c r="Z99" i="4"/>
  <c r="W99" i="4"/>
  <c r="R99" i="4"/>
  <c r="L99" i="4"/>
  <c r="A99" i="4"/>
  <c r="E98" i="4"/>
  <c r="AC97" i="4"/>
  <c r="Z97" i="4"/>
  <c r="W97" i="4"/>
  <c r="R97" i="4"/>
  <c r="L97" i="4"/>
  <c r="A97" i="4"/>
  <c r="AC95" i="4"/>
  <c r="Z95" i="4"/>
  <c r="W95" i="4"/>
  <c r="R95" i="4"/>
  <c r="L95" i="4"/>
  <c r="A95" i="4"/>
  <c r="AC93" i="4"/>
  <c r="Z93" i="4"/>
  <c r="W93" i="4"/>
  <c r="R93" i="4"/>
  <c r="L93" i="4"/>
  <c r="A93" i="4"/>
  <c r="R92" i="4"/>
  <c r="L92" i="4"/>
  <c r="K91" i="4"/>
  <c r="A89" i="4"/>
  <c r="AF76" i="4"/>
  <c r="S75" i="4"/>
  <c r="AF75" i="4"/>
  <c r="J74" i="4"/>
  <c r="AB74" i="4"/>
  <c r="AF74" i="4"/>
  <c r="D73" i="4"/>
  <c r="M73" i="4"/>
  <c r="V73" i="4"/>
  <c r="AF73" i="4"/>
  <c r="G72" i="4"/>
  <c r="P72" i="4"/>
  <c r="Y72" i="4"/>
  <c r="AE72" i="4"/>
  <c r="AF72" i="4"/>
  <c r="AF68" i="4"/>
  <c r="AG68" i="4"/>
  <c r="AF67" i="4"/>
  <c r="AG67" i="4"/>
  <c r="AF66" i="4"/>
  <c r="AG66" i="4"/>
  <c r="AF65" i="4"/>
  <c r="AG65" i="4"/>
  <c r="AF64" i="4"/>
  <c r="AG64" i="4"/>
  <c r="B62" i="4"/>
  <c r="B39" i="4"/>
  <c r="D39" i="4"/>
  <c r="B40" i="4"/>
  <c r="D40" i="4"/>
  <c r="B41" i="4"/>
  <c r="D41" i="4"/>
  <c r="B42" i="4"/>
  <c r="D42" i="4"/>
  <c r="B43" i="4"/>
  <c r="D43" i="4"/>
  <c r="B44" i="4"/>
  <c r="D62" i="4"/>
  <c r="E62" i="4"/>
  <c r="G62" i="4"/>
  <c r="H62" i="4"/>
  <c r="H39" i="4"/>
  <c r="J39" i="4"/>
  <c r="H40" i="4"/>
  <c r="J40" i="4"/>
  <c r="H41" i="4"/>
  <c r="J41" i="4"/>
  <c r="H42" i="4"/>
  <c r="J42" i="4"/>
  <c r="H43" i="4"/>
  <c r="J43" i="4"/>
  <c r="H44" i="4"/>
  <c r="J62" i="4"/>
  <c r="K62" i="4"/>
  <c r="M62" i="4"/>
  <c r="N62" i="4"/>
  <c r="P62" i="4"/>
  <c r="Q62" i="4"/>
  <c r="Q39" i="4"/>
  <c r="S39" i="4"/>
  <c r="Q40" i="4"/>
  <c r="S40" i="4"/>
  <c r="Q41" i="4"/>
  <c r="S41" i="4"/>
  <c r="Q42" i="4"/>
  <c r="S42" i="4"/>
  <c r="Q43" i="4"/>
  <c r="S43" i="4"/>
  <c r="Q44" i="4"/>
  <c r="S62" i="4"/>
  <c r="T62" i="4"/>
  <c r="V62" i="4"/>
  <c r="W62" i="4"/>
  <c r="W39" i="4"/>
  <c r="Y39" i="4"/>
  <c r="W40" i="4"/>
  <c r="Y40" i="4"/>
  <c r="W41" i="4"/>
  <c r="Y41" i="4"/>
  <c r="W42" i="4"/>
  <c r="Y42" i="4"/>
  <c r="W43" i="4"/>
  <c r="Y43" i="4"/>
  <c r="W44" i="4"/>
  <c r="Y62" i="4"/>
  <c r="Z62" i="4"/>
  <c r="AB62" i="4"/>
  <c r="AC62" i="4"/>
  <c r="AE62" i="4"/>
  <c r="AF62" i="4"/>
  <c r="B61" i="4"/>
  <c r="D61" i="4"/>
  <c r="E61" i="4"/>
  <c r="E39" i="4"/>
  <c r="G39" i="4"/>
  <c r="E40" i="4"/>
  <c r="G40" i="4"/>
  <c r="E41" i="4"/>
  <c r="G41" i="4"/>
  <c r="E42" i="4"/>
  <c r="G42" i="4"/>
  <c r="E43" i="4"/>
  <c r="G43" i="4"/>
  <c r="E44" i="4"/>
  <c r="G61" i="4"/>
  <c r="H61" i="4"/>
  <c r="J61" i="4"/>
  <c r="K61" i="4"/>
  <c r="K39" i="4"/>
  <c r="M39" i="4"/>
  <c r="K40" i="4"/>
  <c r="M40" i="4"/>
  <c r="K41" i="4"/>
  <c r="M41" i="4"/>
  <c r="K42" i="4"/>
  <c r="M42" i="4"/>
  <c r="K43" i="4"/>
  <c r="M43" i="4"/>
  <c r="K44" i="4"/>
  <c r="M61" i="4"/>
  <c r="N61" i="4"/>
  <c r="P61" i="4"/>
  <c r="Q61" i="4"/>
  <c r="S61" i="4"/>
  <c r="T61" i="4"/>
  <c r="V61" i="4"/>
  <c r="W61" i="4"/>
  <c r="Y61" i="4"/>
  <c r="Z61" i="4"/>
  <c r="Z39" i="4"/>
  <c r="AB39" i="4"/>
  <c r="Z40" i="4"/>
  <c r="AB40" i="4"/>
  <c r="Z41" i="4"/>
  <c r="AB41" i="4"/>
  <c r="Z42" i="4"/>
  <c r="AB42" i="4"/>
  <c r="Z43" i="4"/>
  <c r="AB43" i="4"/>
  <c r="Z44" i="4"/>
  <c r="AB61" i="4"/>
  <c r="AC61" i="4"/>
  <c r="AE61" i="4"/>
  <c r="AF61" i="4"/>
  <c r="B60" i="4"/>
  <c r="D60" i="4"/>
  <c r="E60" i="4"/>
  <c r="G60" i="4"/>
  <c r="H60" i="4"/>
  <c r="J60" i="4"/>
  <c r="K60" i="4"/>
  <c r="M60" i="4"/>
  <c r="N60" i="4"/>
  <c r="N39" i="4"/>
  <c r="P39" i="4"/>
  <c r="N40" i="4"/>
  <c r="P40" i="4"/>
  <c r="N41" i="4"/>
  <c r="P41" i="4"/>
  <c r="N42" i="4"/>
  <c r="P42" i="4"/>
  <c r="N43" i="4"/>
  <c r="P43" i="4"/>
  <c r="N44" i="4"/>
  <c r="P60" i="4"/>
  <c r="Q60" i="4"/>
  <c r="S60" i="4"/>
  <c r="T60" i="4"/>
  <c r="T39" i="4"/>
  <c r="V39" i="4"/>
  <c r="T40" i="4"/>
  <c r="V40" i="4"/>
  <c r="T41" i="4"/>
  <c r="V41" i="4"/>
  <c r="T42" i="4"/>
  <c r="V42" i="4"/>
  <c r="T43" i="4"/>
  <c r="V43" i="4"/>
  <c r="T44" i="4"/>
  <c r="V60" i="4"/>
  <c r="W60" i="4"/>
  <c r="Y60" i="4"/>
  <c r="Z60" i="4"/>
  <c r="AB60" i="4"/>
  <c r="AC60" i="4"/>
  <c r="AE60" i="4"/>
  <c r="AF60" i="4"/>
  <c r="B59" i="4"/>
  <c r="D59" i="4"/>
  <c r="E59" i="4"/>
  <c r="G59" i="4"/>
  <c r="H59" i="4"/>
  <c r="J59" i="4"/>
  <c r="K59" i="4"/>
  <c r="M59" i="4"/>
  <c r="N59" i="4"/>
  <c r="P59" i="4"/>
  <c r="Q59" i="4"/>
  <c r="S59" i="4"/>
  <c r="T59" i="4"/>
  <c r="V59" i="4"/>
  <c r="W59" i="4"/>
  <c r="Y59" i="4"/>
  <c r="Z59" i="4"/>
  <c r="AB59" i="4"/>
  <c r="AC59" i="4"/>
  <c r="AC39" i="4"/>
  <c r="AE39" i="4"/>
  <c r="AC40" i="4"/>
  <c r="AE40" i="4"/>
  <c r="AC41" i="4"/>
  <c r="AE41" i="4"/>
  <c r="AC42" i="4"/>
  <c r="AE42" i="4"/>
  <c r="AC43" i="4"/>
  <c r="AE43" i="4"/>
  <c r="AC44" i="4"/>
  <c r="AE59" i="4"/>
  <c r="AF59" i="4"/>
  <c r="B58" i="4"/>
  <c r="D58" i="4"/>
  <c r="E58" i="4"/>
  <c r="G58" i="4"/>
  <c r="H58" i="4"/>
  <c r="J58" i="4"/>
  <c r="K58" i="4"/>
  <c r="M58" i="4"/>
  <c r="N58" i="4"/>
  <c r="P58" i="4"/>
  <c r="Q58" i="4"/>
  <c r="S58" i="4"/>
  <c r="T58" i="4"/>
  <c r="V58" i="4"/>
  <c r="W58" i="4"/>
  <c r="Y58" i="4"/>
  <c r="Z58" i="4"/>
  <c r="AB58" i="4"/>
  <c r="AC58" i="4"/>
  <c r="AE58" i="4"/>
  <c r="AF58" i="4"/>
  <c r="B56" i="4"/>
  <c r="B37" i="4"/>
  <c r="D37" i="4"/>
  <c r="C37" i="4"/>
  <c r="D56" i="4"/>
  <c r="E56" i="4"/>
  <c r="G56" i="4"/>
  <c r="H56" i="4"/>
  <c r="H37" i="4"/>
  <c r="J37" i="4"/>
  <c r="I37" i="4"/>
  <c r="J56" i="4"/>
  <c r="K56" i="4"/>
  <c r="M56" i="4"/>
  <c r="N56" i="4"/>
  <c r="P56" i="4"/>
  <c r="Q56" i="4"/>
  <c r="Q37" i="4"/>
  <c r="S37" i="4"/>
  <c r="R37" i="4"/>
  <c r="S56" i="4"/>
  <c r="T56" i="4"/>
  <c r="V56" i="4"/>
  <c r="W56" i="4"/>
  <c r="W37" i="4"/>
  <c r="Y37" i="4"/>
  <c r="X37" i="4"/>
  <c r="Y56" i="4"/>
  <c r="Z56" i="4"/>
  <c r="AB56" i="4"/>
  <c r="AC56" i="4"/>
  <c r="AE56" i="4"/>
  <c r="AF56" i="4"/>
  <c r="B55" i="4"/>
  <c r="D55" i="4"/>
  <c r="E55" i="4"/>
  <c r="E37" i="4"/>
  <c r="G37" i="4"/>
  <c r="F37" i="4"/>
  <c r="G55" i="4"/>
  <c r="H55" i="4"/>
  <c r="J55" i="4"/>
  <c r="K55" i="4"/>
  <c r="K37" i="4"/>
  <c r="M37" i="4"/>
  <c r="L37" i="4"/>
  <c r="M55" i="4"/>
  <c r="N55" i="4"/>
  <c r="P55" i="4"/>
  <c r="Q55" i="4"/>
  <c r="S55" i="4"/>
  <c r="T55" i="4"/>
  <c r="V55" i="4"/>
  <c r="W55" i="4"/>
  <c r="Y55" i="4"/>
  <c r="Z55" i="4"/>
  <c r="Z37" i="4"/>
  <c r="AB37" i="4"/>
  <c r="AA37" i="4"/>
  <c r="AB55" i="4"/>
  <c r="AC55" i="4"/>
  <c r="AE55" i="4"/>
  <c r="AF55" i="4"/>
  <c r="B54" i="4"/>
  <c r="D54" i="4"/>
  <c r="E54" i="4"/>
  <c r="G54" i="4"/>
  <c r="H54" i="4"/>
  <c r="J54" i="4"/>
  <c r="K54" i="4"/>
  <c r="M54" i="4"/>
  <c r="N54" i="4"/>
  <c r="N37" i="4"/>
  <c r="P37" i="4"/>
  <c r="O37" i="4"/>
  <c r="P54" i="4"/>
  <c r="Q54" i="4"/>
  <c r="S54" i="4"/>
  <c r="T54" i="4"/>
  <c r="T37" i="4"/>
  <c r="V37" i="4"/>
  <c r="U37" i="4"/>
  <c r="V54" i="4"/>
  <c r="W54" i="4"/>
  <c r="Y54" i="4"/>
  <c r="Z54" i="4"/>
  <c r="AB54" i="4"/>
  <c r="AC54" i="4"/>
  <c r="AE54" i="4"/>
  <c r="AF54" i="4"/>
  <c r="B53" i="4"/>
  <c r="D53" i="4"/>
  <c r="E53" i="4"/>
  <c r="G53" i="4"/>
  <c r="H53" i="4"/>
  <c r="J53" i="4"/>
  <c r="K53" i="4"/>
  <c r="M53" i="4"/>
  <c r="N53" i="4"/>
  <c r="P53" i="4"/>
  <c r="Q53" i="4"/>
  <c r="S53" i="4"/>
  <c r="T53" i="4"/>
  <c r="V53" i="4"/>
  <c r="W53" i="4"/>
  <c r="Y53" i="4"/>
  <c r="Z53" i="4"/>
  <c r="AB53" i="4"/>
  <c r="AC53" i="4"/>
  <c r="AC37" i="4"/>
  <c r="AE37" i="4"/>
  <c r="AD37" i="4"/>
  <c r="AE53" i="4"/>
  <c r="AF53" i="4"/>
  <c r="B52" i="4"/>
  <c r="D52" i="4"/>
  <c r="E52" i="4"/>
  <c r="G52" i="4"/>
  <c r="H52" i="4"/>
  <c r="J52" i="4"/>
  <c r="K52" i="4"/>
  <c r="M52" i="4"/>
  <c r="N52" i="4"/>
  <c r="P52" i="4"/>
  <c r="Q52" i="4"/>
  <c r="S52" i="4"/>
  <c r="T52" i="4"/>
  <c r="V52" i="4"/>
  <c r="W52" i="4"/>
  <c r="Y52" i="4"/>
  <c r="Z52" i="4"/>
  <c r="AB52" i="4"/>
  <c r="AC52" i="4"/>
  <c r="AE52" i="4"/>
  <c r="AF52" i="4"/>
  <c r="B50" i="4"/>
  <c r="D50" i="4"/>
  <c r="E50" i="4"/>
  <c r="G50" i="4"/>
  <c r="H50" i="4"/>
  <c r="J50" i="4"/>
  <c r="K50" i="4"/>
  <c r="M50" i="4"/>
  <c r="N50" i="4"/>
  <c r="P50" i="4"/>
  <c r="Q50" i="4"/>
  <c r="S50" i="4"/>
  <c r="T50" i="4"/>
  <c r="V50" i="4"/>
  <c r="W50" i="4"/>
  <c r="Y50" i="4"/>
  <c r="Z50" i="4"/>
  <c r="AB50" i="4"/>
  <c r="AC50" i="4"/>
  <c r="AE50" i="4"/>
  <c r="AF50" i="4"/>
  <c r="AG50" i="4"/>
  <c r="B49" i="4"/>
  <c r="D49" i="4"/>
  <c r="E49" i="4"/>
  <c r="G49" i="4"/>
  <c r="H49" i="4"/>
  <c r="J49" i="4"/>
  <c r="K49" i="4"/>
  <c r="M49" i="4"/>
  <c r="N49" i="4"/>
  <c r="P49" i="4"/>
  <c r="Q49" i="4"/>
  <c r="S49" i="4"/>
  <c r="T49" i="4"/>
  <c r="V49" i="4"/>
  <c r="W49" i="4"/>
  <c r="Y49" i="4"/>
  <c r="Z49" i="4"/>
  <c r="AB49" i="4"/>
  <c r="AC49" i="4"/>
  <c r="AE49" i="4"/>
  <c r="AF49" i="4"/>
  <c r="AG49" i="4"/>
  <c r="B48" i="4"/>
  <c r="D48" i="4"/>
  <c r="E48" i="4"/>
  <c r="G48" i="4"/>
  <c r="H48" i="4"/>
  <c r="J48" i="4"/>
  <c r="K48" i="4"/>
  <c r="M48" i="4"/>
  <c r="N48" i="4"/>
  <c r="P48" i="4"/>
  <c r="Q48" i="4"/>
  <c r="S48" i="4"/>
  <c r="T48" i="4"/>
  <c r="V48" i="4"/>
  <c r="W48" i="4"/>
  <c r="Y48" i="4"/>
  <c r="Z48" i="4"/>
  <c r="AB48" i="4"/>
  <c r="AC48" i="4"/>
  <c r="AE48" i="4"/>
  <c r="AF48" i="4"/>
  <c r="AG48" i="4"/>
  <c r="B47" i="4"/>
  <c r="D47" i="4"/>
  <c r="E47" i="4"/>
  <c r="G47" i="4"/>
  <c r="H47" i="4"/>
  <c r="J47" i="4"/>
  <c r="K47" i="4"/>
  <c r="M47" i="4"/>
  <c r="N47" i="4"/>
  <c r="P47" i="4"/>
  <c r="Q47" i="4"/>
  <c r="S47" i="4"/>
  <c r="T47" i="4"/>
  <c r="V47" i="4"/>
  <c r="W47" i="4"/>
  <c r="Y47" i="4"/>
  <c r="Z47" i="4"/>
  <c r="AB47" i="4"/>
  <c r="AC47" i="4"/>
  <c r="AE47" i="4"/>
  <c r="AF47" i="4"/>
  <c r="AG47" i="4"/>
  <c r="B46" i="4"/>
  <c r="D46" i="4"/>
  <c r="E46" i="4"/>
  <c r="G46" i="4"/>
  <c r="H46" i="4"/>
  <c r="J46" i="4"/>
  <c r="K46" i="4"/>
  <c r="M46" i="4"/>
  <c r="N46" i="4"/>
  <c r="P46" i="4"/>
  <c r="Q46" i="4"/>
  <c r="S46" i="4"/>
  <c r="T46" i="4"/>
  <c r="V46" i="4"/>
  <c r="W46" i="4"/>
  <c r="Y46" i="4"/>
  <c r="Z46" i="4"/>
  <c r="AB46" i="4"/>
  <c r="AC46" i="4"/>
  <c r="AE46" i="4"/>
  <c r="AF46" i="4"/>
  <c r="AG46" i="4"/>
  <c r="AE30" i="4"/>
  <c r="AC30" i="4"/>
  <c r="AB30" i="4"/>
  <c r="Z30" i="4"/>
  <c r="Y30" i="4"/>
  <c r="W30" i="4"/>
  <c r="V30" i="4"/>
  <c r="T30" i="4"/>
  <c r="S30" i="4"/>
  <c r="Q30" i="4"/>
  <c r="P30" i="4"/>
  <c r="N30" i="4"/>
  <c r="M30" i="4"/>
  <c r="K30" i="4"/>
  <c r="J30" i="4"/>
  <c r="H30" i="4"/>
  <c r="G30" i="4"/>
  <c r="E30" i="4"/>
  <c r="D30" i="4"/>
  <c r="B30" i="4"/>
  <c r="AD29" i="4"/>
  <c r="AA29" i="4"/>
  <c r="X29" i="4"/>
  <c r="U29" i="4"/>
  <c r="R29" i="4"/>
  <c r="O29" i="4"/>
  <c r="L29" i="4"/>
  <c r="I29" i="4"/>
  <c r="F29" i="4"/>
  <c r="A29" i="4"/>
  <c r="AG28" i="4"/>
  <c r="AH28" i="4"/>
  <c r="AI28" i="4"/>
  <c r="AJ28" i="4"/>
  <c r="AK28" i="4"/>
  <c r="AL28" i="4"/>
  <c r="AM28" i="4"/>
  <c r="AN28" i="4"/>
  <c r="AO28" i="4"/>
  <c r="AP28" i="4"/>
  <c r="AQ28" i="4"/>
  <c r="AF28" i="4"/>
  <c r="AD28" i="4"/>
  <c r="AA28" i="4"/>
  <c r="X28" i="4"/>
  <c r="U28" i="4"/>
  <c r="R28" i="4"/>
  <c r="O28" i="4"/>
  <c r="L28" i="4"/>
  <c r="I28" i="4"/>
  <c r="F28" i="4"/>
  <c r="A28" i="4"/>
  <c r="AG27" i="4"/>
  <c r="AH27" i="4"/>
  <c r="AI27" i="4"/>
  <c r="AJ27" i="4"/>
  <c r="AK27" i="4"/>
  <c r="AL27" i="4"/>
  <c r="AM27" i="4"/>
  <c r="AN27" i="4"/>
  <c r="AO27" i="4"/>
  <c r="AP27" i="4"/>
  <c r="AQ27" i="4"/>
  <c r="AF27" i="4"/>
  <c r="AD27" i="4"/>
  <c r="AA27" i="4"/>
  <c r="X27" i="4"/>
  <c r="U27" i="4"/>
  <c r="R27" i="4"/>
  <c r="O27" i="4"/>
  <c r="L27" i="4"/>
  <c r="I27" i="4"/>
  <c r="F27" i="4"/>
  <c r="A27" i="4"/>
  <c r="AG26" i="4"/>
  <c r="AH26" i="4"/>
  <c r="AI26" i="4"/>
  <c r="AJ26" i="4"/>
  <c r="AK26" i="4"/>
  <c r="AL26" i="4"/>
  <c r="AM26" i="4"/>
  <c r="AN26" i="4"/>
  <c r="AO26" i="4"/>
  <c r="AP26" i="4"/>
  <c r="AQ26" i="4"/>
  <c r="AF26" i="4"/>
  <c r="AD26" i="4"/>
  <c r="AA26" i="4"/>
  <c r="X26" i="4"/>
  <c r="U26" i="4"/>
  <c r="R26" i="4"/>
  <c r="O26" i="4"/>
  <c r="L26" i="4"/>
  <c r="I26" i="4"/>
  <c r="F26" i="4"/>
  <c r="A26" i="4"/>
  <c r="AG25" i="4"/>
  <c r="AH25" i="4"/>
  <c r="AI25" i="4"/>
  <c r="AJ25" i="4"/>
  <c r="AK25" i="4"/>
  <c r="AL25" i="4"/>
  <c r="AM25" i="4"/>
  <c r="AN25" i="4"/>
  <c r="AO25" i="4"/>
  <c r="AP25" i="4"/>
  <c r="AQ25" i="4"/>
  <c r="AF25" i="4"/>
  <c r="AD25" i="4"/>
  <c r="AA25" i="4"/>
  <c r="X25" i="4"/>
  <c r="U25" i="4"/>
  <c r="R25" i="4"/>
  <c r="O25" i="4"/>
  <c r="L25" i="4"/>
  <c r="I25" i="4"/>
  <c r="F25" i="4"/>
  <c r="AG24" i="4"/>
  <c r="AH24" i="4"/>
  <c r="AI24" i="4"/>
  <c r="AJ24" i="4"/>
  <c r="AK24" i="4"/>
  <c r="AL24" i="4"/>
  <c r="AM24" i="4"/>
  <c r="AN24" i="4"/>
  <c r="AO24" i="4"/>
  <c r="AP24" i="4"/>
  <c r="AQ24" i="4"/>
  <c r="AF24" i="4"/>
  <c r="AD24" i="4"/>
  <c r="AA24" i="4"/>
  <c r="X24" i="4"/>
  <c r="U24" i="4"/>
  <c r="R24" i="4"/>
  <c r="O24" i="4"/>
  <c r="L24" i="4"/>
  <c r="I24" i="4"/>
  <c r="F24" i="4"/>
  <c r="AC22" i="4"/>
  <c r="Z22" i="4"/>
  <c r="W22" i="4"/>
  <c r="T22" i="4"/>
  <c r="Q22" i="4"/>
  <c r="N22" i="4"/>
  <c r="K22" i="4"/>
  <c r="H22" i="4"/>
  <c r="E22" i="4"/>
  <c r="E17" i="4"/>
  <c r="AC16" i="4"/>
  <c r="Z16" i="4"/>
  <c r="W16" i="4"/>
  <c r="R16" i="4"/>
  <c r="L16" i="4"/>
  <c r="A16" i="4"/>
  <c r="AC14" i="4"/>
  <c r="Z14" i="4"/>
  <c r="W14" i="4"/>
  <c r="R14" i="4"/>
  <c r="L14" i="4"/>
  <c r="A14" i="4"/>
  <c r="AY12" i="4"/>
  <c r="AC12" i="4"/>
  <c r="Z12" i="4"/>
  <c r="W12" i="4"/>
  <c r="R12" i="4"/>
  <c r="L12" i="4"/>
  <c r="A12" i="4"/>
  <c r="AX11" i="4"/>
  <c r="AY11" i="4"/>
  <c r="AY10" i="4"/>
  <c r="AC10" i="4"/>
  <c r="Z10" i="4"/>
  <c r="W10" i="4"/>
  <c r="R10" i="4"/>
  <c r="L10" i="4"/>
  <c r="A10" i="4"/>
  <c r="AY9" i="4"/>
  <c r="AX8" i="4"/>
  <c r="AY8" i="4"/>
  <c r="AC8" i="4"/>
  <c r="Z8" i="4"/>
  <c r="W8" i="4"/>
  <c r="R8" i="4"/>
  <c r="L8" i="4"/>
  <c r="A8" i="4"/>
  <c r="AY7" i="4"/>
  <c r="R7" i="4"/>
  <c r="L7" i="4"/>
  <c r="AY6" i="4"/>
  <c r="K6" i="4"/>
  <c r="AY5" i="4"/>
  <c r="AY4" i="4"/>
  <c r="AY3" i="4"/>
  <c r="W219" i="3"/>
  <c r="W220" i="3"/>
  <c r="W221" i="3"/>
  <c r="W222" i="3"/>
  <c r="Y219" i="3"/>
  <c r="Y220" i="3"/>
  <c r="Y221" i="3"/>
  <c r="Y222" i="3"/>
  <c r="AC218" i="3"/>
  <c r="Z219" i="3"/>
  <c r="Z220" i="3"/>
  <c r="Z221" i="3"/>
  <c r="Z222" i="3"/>
  <c r="AB219" i="3"/>
  <c r="AB220" i="3"/>
  <c r="AB221" i="3"/>
  <c r="AB222" i="3"/>
  <c r="AE218" i="3"/>
  <c r="E101" i="3"/>
  <c r="AF180" i="3"/>
  <c r="X213" i="3"/>
  <c r="W230" i="3"/>
  <c r="E8" i="3"/>
  <c r="B79" i="3"/>
  <c r="AT79" i="3"/>
  <c r="E10" i="3"/>
  <c r="B80" i="3"/>
  <c r="AT80" i="3"/>
  <c r="E12" i="3"/>
  <c r="B81" i="3"/>
  <c r="AT81" i="3"/>
  <c r="E14" i="3"/>
  <c r="B82" i="3"/>
  <c r="AT82" i="3"/>
  <c r="AC31" i="3"/>
  <c r="AC32" i="3"/>
  <c r="AC33" i="3"/>
  <c r="AC34" i="3"/>
  <c r="AC35" i="3"/>
  <c r="AC64" i="3"/>
  <c r="AE64" i="3"/>
  <c r="AC65" i="3"/>
  <c r="AE31" i="3"/>
  <c r="AE32" i="3"/>
  <c r="AE33" i="3"/>
  <c r="AE34" i="3"/>
  <c r="AE35" i="3"/>
  <c r="AE65" i="3"/>
  <c r="AC66" i="3"/>
  <c r="AE66" i="3"/>
  <c r="AC67" i="3"/>
  <c r="AE67" i="3"/>
  <c r="AC68" i="3"/>
  <c r="AE68" i="3"/>
  <c r="AD71" i="3"/>
  <c r="AC72" i="3"/>
  <c r="Z72" i="3"/>
  <c r="AB72" i="3"/>
  <c r="W31" i="3"/>
  <c r="W32" i="3"/>
  <c r="W33" i="3"/>
  <c r="W34" i="3"/>
  <c r="W35" i="3"/>
  <c r="W64" i="3"/>
  <c r="Y64" i="3"/>
  <c r="W65" i="3"/>
  <c r="Y65" i="3"/>
  <c r="W66" i="3"/>
  <c r="Y66" i="3"/>
  <c r="W67" i="3"/>
  <c r="Y67" i="3"/>
  <c r="W68" i="3"/>
  <c r="Y31" i="3"/>
  <c r="Y32" i="3"/>
  <c r="Y33" i="3"/>
  <c r="Y34" i="3"/>
  <c r="Y35" i="3"/>
  <c r="Y68" i="3"/>
  <c r="X71" i="3"/>
  <c r="W72" i="3"/>
  <c r="T72" i="3"/>
  <c r="V72" i="3"/>
  <c r="Q72" i="3"/>
  <c r="S72" i="3"/>
  <c r="N31" i="3"/>
  <c r="N32" i="3"/>
  <c r="N33" i="3"/>
  <c r="N34" i="3"/>
  <c r="N35" i="3"/>
  <c r="N64" i="3"/>
  <c r="P64" i="3"/>
  <c r="N65" i="3"/>
  <c r="P65" i="3"/>
  <c r="N66" i="3"/>
  <c r="P31" i="3"/>
  <c r="P32" i="3"/>
  <c r="P33" i="3"/>
  <c r="P34" i="3"/>
  <c r="P35" i="3"/>
  <c r="P66" i="3"/>
  <c r="N67" i="3"/>
  <c r="P67" i="3"/>
  <c r="N68" i="3"/>
  <c r="P68" i="3"/>
  <c r="O71" i="3"/>
  <c r="N72" i="3"/>
  <c r="K72" i="3"/>
  <c r="M72" i="3"/>
  <c r="H72" i="3"/>
  <c r="J72" i="3"/>
  <c r="E31" i="3"/>
  <c r="E32" i="3"/>
  <c r="E33" i="3"/>
  <c r="E34" i="3"/>
  <c r="E35" i="3"/>
  <c r="E64" i="3"/>
  <c r="G64" i="3"/>
  <c r="E65" i="3"/>
  <c r="G65" i="3"/>
  <c r="E66" i="3"/>
  <c r="G66" i="3"/>
  <c r="E67" i="3"/>
  <c r="G31" i="3"/>
  <c r="G32" i="3"/>
  <c r="G33" i="3"/>
  <c r="G34" i="3"/>
  <c r="G35" i="3"/>
  <c r="G67" i="3"/>
  <c r="E68" i="3"/>
  <c r="G68" i="3"/>
  <c r="F71" i="3"/>
  <c r="E72" i="3"/>
  <c r="B72" i="3"/>
  <c r="D72" i="3"/>
  <c r="C79" i="3"/>
  <c r="D79" i="3"/>
  <c r="E85" i="3"/>
  <c r="E36" i="3"/>
  <c r="B75" i="3"/>
  <c r="D75" i="3"/>
  <c r="C82" i="3"/>
  <c r="D82" i="3"/>
  <c r="G85" i="3"/>
  <c r="G36" i="3"/>
  <c r="E86" i="3"/>
  <c r="E87" i="3"/>
  <c r="G79" i="3"/>
  <c r="J79" i="3"/>
  <c r="M79" i="3"/>
  <c r="N85" i="3"/>
  <c r="N36" i="3"/>
  <c r="K74" i="3"/>
  <c r="M74" i="3"/>
  <c r="H64" i="3"/>
  <c r="J64" i="3"/>
  <c r="H65" i="3"/>
  <c r="J65" i="3"/>
  <c r="H31" i="3"/>
  <c r="H32" i="3"/>
  <c r="H33" i="3"/>
  <c r="H34" i="3"/>
  <c r="H35" i="3"/>
  <c r="H66" i="3"/>
  <c r="J66" i="3"/>
  <c r="H67" i="3"/>
  <c r="J67" i="3"/>
  <c r="H68" i="3"/>
  <c r="J31" i="3"/>
  <c r="J32" i="3"/>
  <c r="J33" i="3"/>
  <c r="J34" i="3"/>
  <c r="J35" i="3"/>
  <c r="J68" i="3"/>
  <c r="I71" i="3"/>
  <c r="H74" i="3"/>
  <c r="E74" i="3"/>
  <c r="G74" i="3"/>
  <c r="B74" i="3"/>
  <c r="D74" i="3"/>
  <c r="C81" i="3"/>
  <c r="D81" i="3"/>
  <c r="G81" i="3"/>
  <c r="H85" i="3"/>
  <c r="H36" i="3"/>
  <c r="E76" i="3"/>
  <c r="G76" i="3"/>
  <c r="B76" i="3"/>
  <c r="B64" i="3"/>
  <c r="D64" i="3"/>
  <c r="B31" i="3"/>
  <c r="B32" i="3"/>
  <c r="B33" i="3"/>
  <c r="B34" i="3"/>
  <c r="B35" i="3"/>
  <c r="B65" i="3"/>
  <c r="D65" i="3"/>
  <c r="B66" i="3"/>
  <c r="D66" i="3"/>
  <c r="B67" i="3"/>
  <c r="D67" i="3"/>
  <c r="B68" i="3"/>
  <c r="D31" i="3"/>
  <c r="D32" i="3"/>
  <c r="D33" i="3"/>
  <c r="D34" i="3"/>
  <c r="D35" i="3"/>
  <c r="D68" i="3"/>
  <c r="C71" i="3"/>
  <c r="D76" i="3"/>
  <c r="E16" i="3"/>
  <c r="B83" i="3"/>
  <c r="C83" i="3"/>
  <c r="D85" i="3"/>
  <c r="D36" i="3"/>
  <c r="C80" i="3"/>
  <c r="B85" i="3"/>
  <c r="B36" i="3"/>
  <c r="D86" i="3"/>
  <c r="D87" i="3"/>
  <c r="D83" i="3"/>
  <c r="G83" i="3"/>
  <c r="J85" i="3"/>
  <c r="J36" i="3"/>
  <c r="H86" i="3"/>
  <c r="H87" i="3"/>
  <c r="J81" i="3"/>
  <c r="M81" i="3"/>
  <c r="P85" i="3"/>
  <c r="P36" i="3"/>
  <c r="N86" i="3"/>
  <c r="N87" i="3"/>
  <c r="P79" i="3"/>
  <c r="S79" i="3"/>
  <c r="V79" i="3"/>
  <c r="W85" i="3"/>
  <c r="W36" i="3"/>
  <c r="T76" i="3"/>
  <c r="V76" i="3"/>
  <c r="Q76" i="3"/>
  <c r="Q64" i="3"/>
  <c r="S64" i="3"/>
  <c r="Q65" i="3"/>
  <c r="S65" i="3"/>
  <c r="Q66" i="3"/>
  <c r="S66" i="3"/>
  <c r="Q31" i="3"/>
  <c r="Q32" i="3"/>
  <c r="Q33" i="3"/>
  <c r="Q34" i="3"/>
  <c r="Q35" i="3"/>
  <c r="Q67" i="3"/>
  <c r="S67" i="3"/>
  <c r="Q68" i="3"/>
  <c r="S31" i="3"/>
  <c r="S32" i="3"/>
  <c r="S33" i="3"/>
  <c r="S34" i="3"/>
  <c r="S35" i="3"/>
  <c r="S68" i="3"/>
  <c r="R71" i="3"/>
  <c r="S76" i="3"/>
  <c r="N76" i="3"/>
  <c r="P76" i="3"/>
  <c r="K76" i="3"/>
  <c r="M76" i="3"/>
  <c r="H76" i="3"/>
  <c r="J76" i="3"/>
  <c r="J86" i="3"/>
  <c r="J87" i="3"/>
  <c r="J83" i="3"/>
  <c r="M83" i="3"/>
  <c r="P83" i="3"/>
  <c r="S85" i="3"/>
  <c r="S36" i="3"/>
  <c r="N75" i="3"/>
  <c r="P75" i="3"/>
  <c r="K75" i="3"/>
  <c r="K64" i="3"/>
  <c r="M64" i="3"/>
  <c r="K31" i="3"/>
  <c r="K32" i="3"/>
  <c r="K33" i="3"/>
  <c r="K34" i="3"/>
  <c r="K35" i="3"/>
  <c r="K65" i="3"/>
  <c r="M65" i="3"/>
  <c r="K66" i="3"/>
  <c r="M66" i="3"/>
  <c r="K67" i="3"/>
  <c r="M31" i="3"/>
  <c r="M32" i="3"/>
  <c r="M33" i="3"/>
  <c r="M34" i="3"/>
  <c r="M35" i="3"/>
  <c r="M67" i="3"/>
  <c r="K68" i="3"/>
  <c r="M68" i="3"/>
  <c r="L71" i="3"/>
  <c r="M75" i="3"/>
  <c r="H75" i="3"/>
  <c r="J75" i="3"/>
  <c r="E75" i="3"/>
  <c r="G75" i="3"/>
  <c r="G86" i="3"/>
  <c r="G87" i="3"/>
  <c r="G82" i="3"/>
  <c r="J82" i="3"/>
  <c r="M85" i="3"/>
  <c r="M36" i="3"/>
  <c r="H73" i="3"/>
  <c r="J73" i="3"/>
  <c r="E73" i="3"/>
  <c r="G73" i="3"/>
  <c r="B73" i="3"/>
  <c r="B86" i="3"/>
  <c r="B87" i="3"/>
  <c r="D80" i="3"/>
  <c r="G80" i="3"/>
  <c r="J80" i="3"/>
  <c r="K85" i="3"/>
  <c r="K36" i="3"/>
  <c r="M86" i="3"/>
  <c r="M87" i="3"/>
  <c r="M82" i="3"/>
  <c r="P82" i="3"/>
  <c r="Q85" i="3"/>
  <c r="Q36" i="3"/>
  <c r="S86" i="3"/>
  <c r="S87" i="3"/>
  <c r="S83" i="3"/>
  <c r="V83" i="3"/>
  <c r="Y85" i="3"/>
  <c r="Y36" i="3"/>
  <c r="W86" i="3"/>
  <c r="W87" i="3"/>
  <c r="Y79" i="3"/>
  <c r="AB79" i="3"/>
  <c r="AC85" i="3"/>
  <c r="AC36" i="3"/>
  <c r="Z73" i="3"/>
  <c r="AB73" i="3"/>
  <c r="W73" i="3"/>
  <c r="Y73" i="3"/>
  <c r="T64" i="3"/>
  <c r="V64" i="3"/>
  <c r="T31" i="3"/>
  <c r="T32" i="3"/>
  <c r="T33" i="3"/>
  <c r="T34" i="3"/>
  <c r="T35" i="3"/>
  <c r="T65" i="3"/>
  <c r="V65" i="3"/>
  <c r="T66" i="3"/>
  <c r="V31" i="3"/>
  <c r="V32" i="3"/>
  <c r="V33" i="3"/>
  <c r="V34" i="3"/>
  <c r="V35" i="3"/>
  <c r="V66" i="3"/>
  <c r="T67" i="3"/>
  <c r="V67" i="3"/>
  <c r="T68" i="3"/>
  <c r="V68" i="3"/>
  <c r="U71" i="3"/>
  <c r="T73" i="3"/>
  <c r="Q73" i="3"/>
  <c r="S73" i="3"/>
  <c r="N73" i="3"/>
  <c r="P73" i="3"/>
  <c r="K73" i="3"/>
  <c r="K86" i="3"/>
  <c r="K87" i="3"/>
  <c r="M80" i="3"/>
  <c r="P80" i="3"/>
  <c r="S80" i="3"/>
  <c r="T85" i="3"/>
  <c r="T36" i="3"/>
  <c r="Q74" i="3"/>
  <c r="S74" i="3"/>
  <c r="N74" i="3"/>
  <c r="P74" i="3"/>
  <c r="P86" i="3"/>
  <c r="P87" i="3"/>
  <c r="P81" i="3"/>
  <c r="S81" i="3"/>
  <c r="V85" i="3"/>
  <c r="V36" i="3"/>
  <c r="T86" i="3"/>
  <c r="T87" i="3"/>
  <c r="V80" i="3"/>
  <c r="Y80" i="3"/>
  <c r="AB80" i="3"/>
  <c r="AE85" i="3"/>
  <c r="AE36" i="3"/>
  <c r="AC86" i="3"/>
  <c r="AC87" i="3"/>
  <c r="AE79" i="3"/>
  <c r="AU79" i="3"/>
  <c r="AC73" i="3"/>
  <c r="AE73" i="3"/>
  <c r="AE86" i="3"/>
  <c r="AE87" i="3"/>
  <c r="AE80" i="3"/>
  <c r="AU80" i="3"/>
  <c r="AC74" i="3"/>
  <c r="AE74" i="3"/>
  <c r="Z64" i="3"/>
  <c r="AB64" i="3"/>
  <c r="Z65" i="3"/>
  <c r="AB65" i="3"/>
  <c r="Z31" i="3"/>
  <c r="Z32" i="3"/>
  <c r="Z33" i="3"/>
  <c r="Z34" i="3"/>
  <c r="Z35" i="3"/>
  <c r="Z66" i="3"/>
  <c r="AB66" i="3"/>
  <c r="Z67" i="3"/>
  <c r="AB31" i="3"/>
  <c r="AB32" i="3"/>
  <c r="AB33" i="3"/>
  <c r="AB34" i="3"/>
  <c r="AB35" i="3"/>
  <c r="AB67" i="3"/>
  <c r="Z68" i="3"/>
  <c r="AB68" i="3"/>
  <c r="AA71" i="3"/>
  <c r="Z74" i="3"/>
  <c r="W74" i="3"/>
  <c r="Y74" i="3"/>
  <c r="T74" i="3"/>
  <c r="V74" i="3"/>
  <c r="V86" i="3"/>
  <c r="V87" i="3"/>
  <c r="V81" i="3"/>
  <c r="Y81" i="3"/>
  <c r="Z85" i="3"/>
  <c r="Z36" i="3"/>
  <c r="W75" i="3"/>
  <c r="Y75" i="3"/>
  <c r="T75" i="3"/>
  <c r="V75" i="3"/>
  <c r="Q75" i="3"/>
  <c r="Q86" i="3"/>
  <c r="Q87" i="3"/>
  <c r="S82" i="3"/>
  <c r="V82" i="3"/>
  <c r="Y82" i="3"/>
  <c r="AB85" i="3"/>
  <c r="AB36" i="3"/>
  <c r="Z86" i="3"/>
  <c r="Z87" i="3"/>
  <c r="AB81" i="3"/>
  <c r="AE81" i="3"/>
  <c r="AU81" i="3"/>
  <c r="AC75" i="3"/>
  <c r="AE75" i="3"/>
  <c r="Z75" i="3"/>
  <c r="AB75" i="3"/>
  <c r="AB86" i="3"/>
  <c r="AB87" i="3"/>
  <c r="AB82" i="3"/>
  <c r="AE82" i="3"/>
  <c r="AU82" i="3"/>
  <c r="AT83" i="3"/>
  <c r="AC76" i="3"/>
  <c r="AE76" i="3"/>
  <c r="Z76" i="3"/>
  <c r="AB76" i="3"/>
  <c r="W76" i="3"/>
  <c r="Y76" i="3"/>
  <c r="Y86" i="3"/>
  <c r="Y87" i="3"/>
  <c r="Y83" i="3"/>
  <c r="AB83" i="3"/>
  <c r="AE83" i="3"/>
  <c r="AU83" i="3"/>
  <c r="E93" i="3"/>
  <c r="B164" i="3"/>
  <c r="AT164" i="3"/>
  <c r="AC116" i="3"/>
  <c r="AC117" i="3"/>
  <c r="AC118" i="3"/>
  <c r="AC119" i="3"/>
  <c r="AC120" i="3"/>
  <c r="AC149" i="3"/>
  <c r="AE149" i="3"/>
  <c r="AC150" i="3"/>
  <c r="AE116" i="3"/>
  <c r="AE117" i="3"/>
  <c r="AE118" i="3"/>
  <c r="AE119" i="3"/>
  <c r="AE120" i="3"/>
  <c r="AE150" i="3"/>
  <c r="AC151" i="3"/>
  <c r="AE151" i="3"/>
  <c r="AC152" i="3"/>
  <c r="AE152" i="3"/>
  <c r="AC153" i="3"/>
  <c r="AE153" i="3"/>
  <c r="AD156" i="3"/>
  <c r="AC157" i="3"/>
  <c r="Z157" i="3"/>
  <c r="AB157" i="3"/>
  <c r="W116" i="3"/>
  <c r="W117" i="3"/>
  <c r="W118" i="3"/>
  <c r="W119" i="3"/>
  <c r="W120" i="3"/>
  <c r="W149" i="3"/>
  <c r="Y149" i="3"/>
  <c r="W150" i="3"/>
  <c r="Y150" i="3"/>
  <c r="W151" i="3"/>
  <c r="Y151" i="3"/>
  <c r="W152" i="3"/>
  <c r="Y152" i="3"/>
  <c r="W153" i="3"/>
  <c r="Y116" i="3"/>
  <c r="Y117" i="3"/>
  <c r="Y118" i="3"/>
  <c r="Y119" i="3"/>
  <c r="Y120" i="3"/>
  <c r="Y153" i="3"/>
  <c r="X156" i="3"/>
  <c r="W157" i="3"/>
  <c r="T157" i="3"/>
  <c r="V157" i="3"/>
  <c r="Q157" i="3"/>
  <c r="S157" i="3"/>
  <c r="N116" i="3"/>
  <c r="N117" i="3"/>
  <c r="N118" i="3"/>
  <c r="N119" i="3"/>
  <c r="N120" i="3"/>
  <c r="N149" i="3"/>
  <c r="P149" i="3"/>
  <c r="N150" i="3"/>
  <c r="P150" i="3"/>
  <c r="N151" i="3"/>
  <c r="P116" i="3"/>
  <c r="P117" i="3"/>
  <c r="P118" i="3"/>
  <c r="P119" i="3"/>
  <c r="P120" i="3"/>
  <c r="P151" i="3"/>
  <c r="N152" i="3"/>
  <c r="P152" i="3"/>
  <c r="N153" i="3"/>
  <c r="P153" i="3"/>
  <c r="O156" i="3"/>
  <c r="N157" i="3"/>
  <c r="K157" i="3"/>
  <c r="M157" i="3"/>
  <c r="H157" i="3"/>
  <c r="J157" i="3"/>
  <c r="E116" i="3"/>
  <c r="E117" i="3"/>
  <c r="E118" i="3"/>
  <c r="E119" i="3"/>
  <c r="E120" i="3"/>
  <c r="E149" i="3"/>
  <c r="G149" i="3"/>
  <c r="E150" i="3"/>
  <c r="G150" i="3"/>
  <c r="E151" i="3"/>
  <c r="G151" i="3"/>
  <c r="E152" i="3"/>
  <c r="G116" i="3"/>
  <c r="G117" i="3"/>
  <c r="G118" i="3"/>
  <c r="G119" i="3"/>
  <c r="G120" i="3"/>
  <c r="G152" i="3"/>
  <c r="E153" i="3"/>
  <c r="G153" i="3"/>
  <c r="F156" i="3"/>
  <c r="E157" i="3"/>
  <c r="B157" i="3"/>
  <c r="D157" i="3"/>
  <c r="C164" i="3"/>
  <c r="D164" i="3"/>
  <c r="E170" i="3"/>
  <c r="E121" i="3"/>
  <c r="B160" i="3"/>
  <c r="D160" i="3"/>
  <c r="E99" i="3"/>
  <c r="B167" i="3"/>
  <c r="C167" i="3"/>
  <c r="D167" i="3"/>
  <c r="G170" i="3"/>
  <c r="G121" i="3"/>
  <c r="E171" i="3"/>
  <c r="E172" i="3"/>
  <c r="G164" i="3"/>
  <c r="J164" i="3"/>
  <c r="M164" i="3"/>
  <c r="N170" i="3"/>
  <c r="N121" i="3"/>
  <c r="K159" i="3"/>
  <c r="M159" i="3"/>
  <c r="H149" i="3"/>
  <c r="J149" i="3"/>
  <c r="H150" i="3"/>
  <c r="J150" i="3"/>
  <c r="H116" i="3"/>
  <c r="H117" i="3"/>
  <c r="H118" i="3"/>
  <c r="H119" i="3"/>
  <c r="H120" i="3"/>
  <c r="H151" i="3"/>
  <c r="J151" i="3"/>
  <c r="H152" i="3"/>
  <c r="J152" i="3"/>
  <c r="H153" i="3"/>
  <c r="J116" i="3"/>
  <c r="J117" i="3"/>
  <c r="J118" i="3"/>
  <c r="J119" i="3"/>
  <c r="J120" i="3"/>
  <c r="J153" i="3"/>
  <c r="I156" i="3"/>
  <c r="H159" i="3"/>
  <c r="E159" i="3"/>
  <c r="G159" i="3"/>
  <c r="B159" i="3"/>
  <c r="D159" i="3"/>
  <c r="E97" i="3"/>
  <c r="B166" i="3"/>
  <c r="C166" i="3"/>
  <c r="D166" i="3"/>
  <c r="G166" i="3"/>
  <c r="H170" i="3"/>
  <c r="H121" i="3"/>
  <c r="E161" i="3"/>
  <c r="G161" i="3"/>
  <c r="B161" i="3"/>
  <c r="B149" i="3"/>
  <c r="D149" i="3"/>
  <c r="B116" i="3"/>
  <c r="B117" i="3"/>
  <c r="B118" i="3"/>
  <c r="B119" i="3"/>
  <c r="B120" i="3"/>
  <c r="B150" i="3"/>
  <c r="D150" i="3"/>
  <c r="B151" i="3"/>
  <c r="D151" i="3"/>
  <c r="B152" i="3"/>
  <c r="D152" i="3"/>
  <c r="B153" i="3"/>
  <c r="D116" i="3"/>
  <c r="D117" i="3"/>
  <c r="D118" i="3"/>
  <c r="D119" i="3"/>
  <c r="D120" i="3"/>
  <c r="D153" i="3"/>
  <c r="C156" i="3"/>
  <c r="D161" i="3"/>
  <c r="B168" i="3"/>
  <c r="C168" i="3"/>
  <c r="D170" i="3"/>
  <c r="D121" i="3"/>
  <c r="E95" i="3"/>
  <c r="B165" i="3"/>
  <c r="C165" i="3"/>
  <c r="B170" i="3"/>
  <c r="B121" i="3"/>
  <c r="D171" i="3"/>
  <c r="D172" i="3"/>
  <c r="D168" i="3"/>
  <c r="G168" i="3"/>
  <c r="J170" i="3"/>
  <c r="J121" i="3"/>
  <c r="H171" i="3"/>
  <c r="H172" i="3"/>
  <c r="J166" i="3"/>
  <c r="M166" i="3"/>
  <c r="P170" i="3"/>
  <c r="P121" i="3"/>
  <c r="N171" i="3"/>
  <c r="N172" i="3"/>
  <c r="P164" i="3"/>
  <c r="S164" i="3"/>
  <c r="V164" i="3"/>
  <c r="W170" i="3"/>
  <c r="W121" i="3"/>
  <c r="T161" i="3"/>
  <c r="V161" i="3"/>
  <c r="Q161" i="3"/>
  <c r="Q149" i="3"/>
  <c r="S149" i="3"/>
  <c r="Q150" i="3"/>
  <c r="S150" i="3"/>
  <c r="Q151" i="3"/>
  <c r="S151" i="3"/>
  <c r="Q116" i="3"/>
  <c r="Q117" i="3"/>
  <c r="Q118" i="3"/>
  <c r="Q119" i="3"/>
  <c r="Q120" i="3"/>
  <c r="Q152" i="3"/>
  <c r="S152" i="3"/>
  <c r="Q153" i="3"/>
  <c r="S116" i="3"/>
  <c r="S117" i="3"/>
  <c r="S118" i="3"/>
  <c r="S119" i="3"/>
  <c r="S120" i="3"/>
  <c r="S153" i="3"/>
  <c r="R156" i="3"/>
  <c r="S161" i="3"/>
  <c r="N161" i="3"/>
  <c r="P161" i="3"/>
  <c r="K161" i="3"/>
  <c r="M161" i="3"/>
  <c r="H161" i="3"/>
  <c r="J161" i="3"/>
  <c r="J171" i="3"/>
  <c r="J172" i="3"/>
  <c r="J168" i="3"/>
  <c r="M168" i="3"/>
  <c r="P168" i="3"/>
  <c r="S170" i="3"/>
  <c r="S121" i="3"/>
  <c r="N160" i="3"/>
  <c r="P160" i="3"/>
  <c r="K160" i="3"/>
  <c r="K149" i="3"/>
  <c r="M149" i="3"/>
  <c r="K116" i="3"/>
  <c r="K117" i="3"/>
  <c r="K118" i="3"/>
  <c r="K119" i="3"/>
  <c r="K120" i="3"/>
  <c r="K150" i="3"/>
  <c r="M150" i="3"/>
  <c r="K151" i="3"/>
  <c r="M151" i="3"/>
  <c r="K152" i="3"/>
  <c r="M116" i="3"/>
  <c r="M117" i="3"/>
  <c r="M118" i="3"/>
  <c r="M119" i="3"/>
  <c r="M120" i="3"/>
  <c r="M152" i="3"/>
  <c r="K153" i="3"/>
  <c r="M153" i="3"/>
  <c r="L156" i="3"/>
  <c r="M160" i="3"/>
  <c r="H160" i="3"/>
  <c r="J160" i="3"/>
  <c r="E160" i="3"/>
  <c r="G160" i="3"/>
  <c r="G171" i="3"/>
  <c r="G172" i="3"/>
  <c r="G167" i="3"/>
  <c r="J167" i="3"/>
  <c r="M170" i="3"/>
  <c r="M121" i="3"/>
  <c r="H158" i="3"/>
  <c r="J158" i="3"/>
  <c r="E158" i="3"/>
  <c r="G158" i="3"/>
  <c r="B158" i="3"/>
  <c r="B171" i="3"/>
  <c r="B172" i="3"/>
  <c r="D165" i="3"/>
  <c r="G165" i="3"/>
  <c r="J165" i="3"/>
  <c r="K170" i="3"/>
  <c r="K121" i="3"/>
  <c r="M171" i="3"/>
  <c r="M172" i="3"/>
  <c r="M167" i="3"/>
  <c r="P167" i="3"/>
  <c r="Q170" i="3"/>
  <c r="Q121" i="3"/>
  <c r="S171" i="3"/>
  <c r="S172" i="3"/>
  <c r="S168" i="3"/>
  <c r="V168" i="3"/>
  <c r="Y170" i="3"/>
  <c r="Y121" i="3"/>
  <c r="W171" i="3"/>
  <c r="W172" i="3"/>
  <c r="Y164" i="3"/>
  <c r="AB164" i="3"/>
  <c r="AC170" i="3"/>
  <c r="AC121" i="3"/>
  <c r="Z158" i="3"/>
  <c r="AB158" i="3"/>
  <c r="W158" i="3"/>
  <c r="Y158" i="3"/>
  <c r="T149" i="3"/>
  <c r="V149" i="3"/>
  <c r="T116" i="3"/>
  <c r="T117" i="3"/>
  <c r="T118" i="3"/>
  <c r="T119" i="3"/>
  <c r="T120" i="3"/>
  <c r="T150" i="3"/>
  <c r="V150" i="3"/>
  <c r="T151" i="3"/>
  <c r="V116" i="3"/>
  <c r="V117" i="3"/>
  <c r="V118" i="3"/>
  <c r="V119" i="3"/>
  <c r="V120" i="3"/>
  <c r="V151" i="3"/>
  <c r="T152" i="3"/>
  <c r="V152" i="3"/>
  <c r="T153" i="3"/>
  <c r="V153" i="3"/>
  <c r="U156" i="3"/>
  <c r="T158" i="3"/>
  <c r="Q158" i="3"/>
  <c r="S158" i="3"/>
  <c r="N158" i="3"/>
  <c r="P158" i="3"/>
  <c r="K158" i="3"/>
  <c r="K171" i="3"/>
  <c r="K172" i="3"/>
  <c r="M165" i="3"/>
  <c r="P165" i="3"/>
  <c r="S165" i="3"/>
  <c r="T170" i="3"/>
  <c r="T121" i="3"/>
  <c r="Q159" i="3"/>
  <c r="S159" i="3"/>
  <c r="N159" i="3"/>
  <c r="P159" i="3"/>
  <c r="P171" i="3"/>
  <c r="P172" i="3"/>
  <c r="P166" i="3"/>
  <c r="S166" i="3"/>
  <c r="V170" i="3"/>
  <c r="V121" i="3"/>
  <c r="T171" i="3"/>
  <c r="T172" i="3"/>
  <c r="V165" i="3"/>
  <c r="Y165" i="3"/>
  <c r="AB165" i="3"/>
  <c r="AE170" i="3"/>
  <c r="AE121" i="3"/>
  <c r="AC171" i="3"/>
  <c r="AC172" i="3"/>
  <c r="AE164" i="3"/>
  <c r="AU164" i="3"/>
  <c r="AT165" i="3"/>
  <c r="AC158" i="3"/>
  <c r="AE158" i="3"/>
  <c r="AE171" i="3"/>
  <c r="AE172" i="3"/>
  <c r="AE165" i="3"/>
  <c r="AU165" i="3"/>
  <c r="AT166" i="3"/>
  <c r="AC159" i="3"/>
  <c r="AE159" i="3"/>
  <c r="Z149" i="3"/>
  <c r="AB149" i="3"/>
  <c r="Z150" i="3"/>
  <c r="AB150" i="3"/>
  <c r="Z116" i="3"/>
  <c r="Z117" i="3"/>
  <c r="Z118" i="3"/>
  <c r="Z119" i="3"/>
  <c r="Z120" i="3"/>
  <c r="Z151" i="3"/>
  <c r="AB151" i="3"/>
  <c r="Z152" i="3"/>
  <c r="AB116" i="3"/>
  <c r="AB117" i="3"/>
  <c r="AB118" i="3"/>
  <c r="AB119" i="3"/>
  <c r="AB120" i="3"/>
  <c r="AB152" i="3"/>
  <c r="Z153" i="3"/>
  <c r="AB153" i="3"/>
  <c r="AA156" i="3"/>
  <c r="Z159" i="3"/>
  <c r="W159" i="3"/>
  <c r="Y159" i="3"/>
  <c r="T159" i="3"/>
  <c r="V159" i="3"/>
  <c r="V171" i="3"/>
  <c r="V172" i="3"/>
  <c r="V166" i="3"/>
  <c r="Y166" i="3"/>
  <c r="Z170" i="3"/>
  <c r="Z121" i="3"/>
  <c r="W160" i="3"/>
  <c r="Y160" i="3"/>
  <c r="T160" i="3"/>
  <c r="V160" i="3"/>
  <c r="Q160" i="3"/>
  <c r="Q171" i="3"/>
  <c r="Q172" i="3"/>
  <c r="S167" i="3"/>
  <c r="V167" i="3"/>
  <c r="Y167" i="3"/>
  <c r="AB170" i="3"/>
  <c r="AB121" i="3"/>
  <c r="Z171" i="3"/>
  <c r="Z172" i="3"/>
  <c r="AB166" i="3"/>
  <c r="AE166" i="3"/>
  <c r="AU166" i="3"/>
  <c r="AT167" i="3"/>
  <c r="AC160" i="3"/>
  <c r="AE160" i="3"/>
  <c r="Z160" i="3"/>
  <c r="AB160" i="3"/>
  <c r="AB171" i="3"/>
  <c r="AB172" i="3"/>
  <c r="AB167" i="3"/>
  <c r="AE167" i="3"/>
  <c r="AU167" i="3"/>
  <c r="AT168" i="3"/>
  <c r="AC161" i="3"/>
  <c r="AE161" i="3"/>
  <c r="Z161" i="3"/>
  <c r="AB161" i="3"/>
  <c r="W161" i="3"/>
  <c r="Y161" i="3"/>
  <c r="Y171" i="3"/>
  <c r="Y172" i="3"/>
  <c r="Y168" i="3"/>
  <c r="AB168" i="3"/>
  <c r="AE168" i="3"/>
  <c r="AU168" i="3"/>
  <c r="AX12" i="3"/>
  <c r="X230" i="3"/>
  <c r="Y231" i="3"/>
  <c r="V179" i="3"/>
  <c r="X210" i="3"/>
  <c r="W227" i="3"/>
  <c r="AX11" i="3"/>
  <c r="X227" i="3"/>
  <c r="W231" i="3"/>
  <c r="Y232" i="3"/>
  <c r="Y233" i="3"/>
  <c r="Y230" i="3"/>
  <c r="AB230" i="3"/>
  <c r="AE230" i="3"/>
  <c r="AU233" i="3"/>
  <c r="AT233" i="3"/>
  <c r="AF179" i="3"/>
  <c r="X212" i="3"/>
  <c r="W229" i="3"/>
  <c r="AX6" i="3"/>
  <c r="X229" i="3"/>
  <c r="Y229" i="3"/>
  <c r="AB231" i="3"/>
  <c r="V180" i="3"/>
  <c r="X211" i="3"/>
  <c r="W228" i="3"/>
  <c r="AX5" i="3"/>
  <c r="X228" i="3"/>
  <c r="Y228" i="3"/>
  <c r="Z231" i="3"/>
  <c r="AB232" i="3"/>
  <c r="AB233" i="3"/>
  <c r="AB229" i="3"/>
  <c r="AE231" i="3"/>
  <c r="AE219" i="3"/>
  <c r="AE220" i="3"/>
  <c r="AE221" i="3"/>
  <c r="AE222" i="3"/>
  <c r="W232" i="3"/>
  <c r="W233" i="3"/>
  <c r="Y227" i="3"/>
  <c r="AB227" i="3"/>
  <c r="AC231" i="3"/>
  <c r="AC219" i="3"/>
  <c r="AC220" i="3"/>
  <c r="AC221" i="3"/>
  <c r="AC222" i="3"/>
  <c r="AE232" i="3"/>
  <c r="AE233" i="3"/>
  <c r="AC232" i="3"/>
  <c r="AC233" i="3"/>
  <c r="Z232" i="3"/>
  <c r="Z233" i="3"/>
  <c r="E219" i="3"/>
  <c r="E220" i="3"/>
  <c r="E221" i="3"/>
  <c r="E222" i="3"/>
  <c r="G219" i="3"/>
  <c r="G220" i="3"/>
  <c r="G221" i="3"/>
  <c r="G222" i="3"/>
  <c r="J218" i="3"/>
  <c r="B180" i="3"/>
  <c r="B211" i="3"/>
  <c r="B228" i="3"/>
  <c r="AX9" i="3"/>
  <c r="C228" i="3"/>
  <c r="D228" i="3"/>
  <c r="E231" i="3"/>
  <c r="L179" i="3"/>
  <c r="B212" i="3"/>
  <c r="B229" i="3"/>
  <c r="AX10" i="3"/>
  <c r="C229" i="3"/>
  <c r="D229" i="3"/>
  <c r="G231" i="3"/>
  <c r="E232" i="3"/>
  <c r="E233" i="3"/>
  <c r="G228" i="3"/>
  <c r="J231" i="3"/>
  <c r="J219" i="3"/>
  <c r="J220" i="3"/>
  <c r="J221" i="3"/>
  <c r="J222" i="3"/>
  <c r="B219" i="3"/>
  <c r="B220" i="3"/>
  <c r="B221" i="3"/>
  <c r="B222" i="3"/>
  <c r="D219" i="3"/>
  <c r="D220" i="3"/>
  <c r="D221" i="3"/>
  <c r="D222" i="3"/>
  <c r="H218" i="3"/>
  <c r="B179" i="3"/>
  <c r="B210" i="3"/>
  <c r="B227" i="3"/>
  <c r="AX3" i="3"/>
  <c r="C227" i="3"/>
  <c r="B231" i="3"/>
  <c r="L180" i="3"/>
  <c r="B213" i="3"/>
  <c r="B230" i="3"/>
  <c r="AX4" i="3"/>
  <c r="C230" i="3"/>
  <c r="D231" i="3"/>
  <c r="B232" i="3"/>
  <c r="B233" i="3"/>
  <c r="D227" i="3"/>
  <c r="G227" i="3"/>
  <c r="H231" i="3"/>
  <c r="H219" i="3"/>
  <c r="H220" i="3"/>
  <c r="H221" i="3"/>
  <c r="H222" i="3"/>
  <c r="J232" i="3"/>
  <c r="J233" i="3"/>
  <c r="H232" i="3"/>
  <c r="H233" i="3"/>
  <c r="G232" i="3"/>
  <c r="G233" i="3"/>
  <c r="D232" i="3"/>
  <c r="D233" i="3"/>
  <c r="AE229" i="3"/>
  <c r="AU232" i="3"/>
  <c r="AT232" i="3"/>
  <c r="AB228" i="3"/>
  <c r="AE228" i="3"/>
  <c r="AU231" i="3"/>
  <c r="AT231" i="3"/>
  <c r="AE227" i="3"/>
  <c r="AU230" i="3"/>
  <c r="AT230" i="3"/>
  <c r="D230" i="3"/>
  <c r="G230" i="3"/>
  <c r="J230" i="3"/>
  <c r="AU229" i="3"/>
  <c r="AT229" i="3"/>
  <c r="G229" i="3"/>
  <c r="J229" i="3"/>
  <c r="AU228" i="3"/>
  <c r="AT228" i="3"/>
  <c r="J228" i="3"/>
  <c r="AU227" i="3"/>
  <c r="AT227" i="3"/>
  <c r="J227" i="3"/>
  <c r="AU226" i="3"/>
  <c r="AT226" i="3"/>
  <c r="AF223" i="3"/>
  <c r="K223" i="3"/>
  <c r="E102" i="3"/>
  <c r="AL180" i="3"/>
  <c r="AG213" i="3"/>
  <c r="E94" i="3"/>
  <c r="R180" i="3"/>
  <c r="K213" i="3"/>
  <c r="E11" i="3"/>
  <c r="AL179" i="3"/>
  <c r="AG212" i="3"/>
  <c r="E15" i="3"/>
  <c r="R179" i="3"/>
  <c r="K212" i="3"/>
  <c r="E96" i="3"/>
  <c r="AB180" i="3"/>
  <c r="AG211" i="3"/>
  <c r="E100" i="3"/>
  <c r="H180" i="3"/>
  <c r="K211" i="3"/>
  <c r="E17" i="3"/>
  <c r="AB179" i="3"/>
  <c r="AG210" i="3"/>
  <c r="E9" i="3"/>
  <c r="H179" i="3"/>
  <c r="K210" i="3"/>
  <c r="U204" i="3"/>
  <c r="A204" i="3"/>
  <c r="AB203" i="3"/>
  <c r="F203" i="3"/>
  <c r="U199" i="3"/>
  <c r="A199" i="3"/>
  <c r="AF198" i="3"/>
  <c r="J198" i="3"/>
  <c r="U195" i="3"/>
  <c r="A195" i="3"/>
  <c r="AB193" i="3"/>
  <c r="T193" i="3"/>
  <c r="F193" i="3"/>
  <c r="A193" i="3"/>
  <c r="U190" i="3"/>
  <c r="A190" i="3"/>
  <c r="A174" i="3"/>
  <c r="AF161" i="3"/>
  <c r="S160" i="3"/>
  <c r="AF160" i="3"/>
  <c r="J159" i="3"/>
  <c r="AB159" i="3"/>
  <c r="AF159" i="3"/>
  <c r="D158" i="3"/>
  <c r="M158" i="3"/>
  <c r="V158" i="3"/>
  <c r="AF158" i="3"/>
  <c r="G157" i="3"/>
  <c r="P157" i="3"/>
  <c r="Y157" i="3"/>
  <c r="AE157" i="3"/>
  <c r="AF157" i="3"/>
  <c r="AF153" i="3"/>
  <c r="AG153" i="3"/>
  <c r="AF152" i="3"/>
  <c r="AG152" i="3"/>
  <c r="AF151" i="3"/>
  <c r="AG151" i="3"/>
  <c r="AF150" i="3"/>
  <c r="AG150" i="3"/>
  <c r="AF149" i="3"/>
  <c r="AG149" i="3"/>
  <c r="B147" i="3"/>
  <c r="B124" i="3"/>
  <c r="D124" i="3"/>
  <c r="B125" i="3"/>
  <c r="D125" i="3"/>
  <c r="B126" i="3"/>
  <c r="D126" i="3"/>
  <c r="B127" i="3"/>
  <c r="D127" i="3"/>
  <c r="B128" i="3"/>
  <c r="D128" i="3"/>
  <c r="B129" i="3"/>
  <c r="D147" i="3"/>
  <c r="E147" i="3"/>
  <c r="G147" i="3"/>
  <c r="H147" i="3"/>
  <c r="H124" i="3"/>
  <c r="J124" i="3"/>
  <c r="H125" i="3"/>
  <c r="J125" i="3"/>
  <c r="H126" i="3"/>
  <c r="J126" i="3"/>
  <c r="H127" i="3"/>
  <c r="J127" i="3"/>
  <c r="H128" i="3"/>
  <c r="J128" i="3"/>
  <c r="H129" i="3"/>
  <c r="J147" i="3"/>
  <c r="K147" i="3"/>
  <c r="M147" i="3"/>
  <c r="N147" i="3"/>
  <c r="P147" i="3"/>
  <c r="Q147" i="3"/>
  <c r="Q124" i="3"/>
  <c r="S124" i="3"/>
  <c r="Q125" i="3"/>
  <c r="S125" i="3"/>
  <c r="Q126" i="3"/>
  <c r="S126" i="3"/>
  <c r="Q127" i="3"/>
  <c r="S127" i="3"/>
  <c r="Q128" i="3"/>
  <c r="S128" i="3"/>
  <c r="Q129" i="3"/>
  <c r="S147" i="3"/>
  <c r="T147" i="3"/>
  <c r="V147" i="3"/>
  <c r="W147" i="3"/>
  <c r="W124" i="3"/>
  <c r="Y124" i="3"/>
  <c r="W125" i="3"/>
  <c r="Y125" i="3"/>
  <c r="W126" i="3"/>
  <c r="Y126" i="3"/>
  <c r="W127" i="3"/>
  <c r="Y127" i="3"/>
  <c r="W128" i="3"/>
  <c r="Y128" i="3"/>
  <c r="W129" i="3"/>
  <c r="Y147" i="3"/>
  <c r="Z147" i="3"/>
  <c r="AB147" i="3"/>
  <c r="AC147" i="3"/>
  <c r="AE147" i="3"/>
  <c r="AF147" i="3"/>
  <c r="B146" i="3"/>
  <c r="D146" i="3"/>
  <c r="E146" i="3"/>
  <c r="E124" i="3"/>
  <c r="G124" i="3"/>
  <c r="E125" i="3"/>
  <c r="G125" i="3"/>
  <c r="E126" i="3"/>
  <c r="G126" i="3"/>
  <c r="E127" i="3"/>
  <c r="G127" i="3"/>
  <c r="E128" i="3"/>
  <c r="G128" i="3"/>
  <c r="E129" i="3"/>
  <c r="G146" i="3"/>
  <c r="H146" i="3"/>
  <c r="J146" i="3"/>
  <c r="K146" i="3"/>
  <c r="K124" i="3"/>
  <c r="M124" i="3"/>
  <c r="K125" i="3"/>
  <c r="M125" i="3"/>
  <c r="K126" i="3"/>
  <c r="M126" i="3"/>
  <c r="K127" i="3"/>
  <c r="M127" i="3"/>
  <c r="K128" i="3"/>
  <c r="M128" i="3"/>
  <c r="K129" i="3"/>
  <c r="M146" i="3"/>
  <c r="N146" i="3"/>
  <c r="P146" i="3"/>
  <c r="Q146" i="3"/>
  <c r="S146" i="3"/>
  <c r="T146" i="3"/>
  <c r="V146" i="3"/>
  <c r="W146" i="3"/>
  <c r="Y146" i="3"/>
  <c r="Z146" i="3"/>
  <c r="Z124" i="3"/>
  <c r="AB124" i="3"/>
  <c r="Z125" i="3"/>
  <c r="AB125" i="3"/>
  <c r="Z126" i="3"/>
  <c r="AB126" i="3"/>
  <c r="Z127" i="3"/>
  <c r="AB127" i="3"/>
  <c r="Z128" i="3"/>
  <c r="AB128" i="3"/>
  <c r="Z129" i="3"/>
  <c r="AB146" i="3"/>
  <c r="AC146" i="3"/>
  <c r="AE146" i="3"/>
  <c r="AF146" i="3"/>
  <c r="B145" i="3"/>
  <c r="D145" i="3"/>
  <c r="E145" i="3"/>
  <c r="G145" i="3"/>
  <c r="H145" i="3"/>
  <c r="J145" i="3"/>
  <c r="K145" i="3"/>
  <c r="M145" i="3"/>
  <c r="N145" i="3"/>
  <c r="N124" i="3"/>
  <c r="P124" i="3"/>
  <c r="N125" i="3"/>
  <c r="P125" i="3"/>
  <c r="N126" i="3"/>
  <c r="P126" i="3"/>
  <c r="N127" i="3"/>
  <c r="P127" i="3"/>
  <c r="N128" i="3"/>
  <c r="P128" i="3"/>
  <c r="N129" i="3"/>
  <c r="P145" i="3"/>
  <c r="Q145" i="3"/>
  <c r="S145" i="3"/>
  <c r="T145" i="3"/>
  <c r="T124" i="3"/>
  <c r="V124" i="3"/>
  <c r="T125" i="3"/>
  <c r="V125" i="3"/>
  <c r="T126" i="3"/>
  <c r="V126" i="3"/>
  <c r="T127" i="3"/>
  <c r="V127" i="3"/>
  <c r="T128" i="3"/>
  <c r="V128" i="3"/>
  <c r="T129" i="3"/>
  <c r="V145" i="3"/>
  <c r="W145" i="3"/>
  <c r="Y145" i="3"/>
  <c r="Z145" i="3"/>
  <c r="AB145" i="3"/>
  <c r="AC145" i="3"/>
  <c r="AE145" i="3"/>
  <c r="AF145" i="3"/>
  <c r="B144" i="3"/>
  <c r="D144" i="3"/>
  <c r="E144" i="3"/>
  <c r="G144" i="3"/>
  <c r="H144" i="3"/>
  <c r="J144" i="3"/>
  <c r="K144" i="3"/>
  <c r="M144" i="3"/>
  <c r="N144" i="3"/>
  <c r="P144" i="3"/>
  <c r="Q144" i="3"/>
  <c r="S144" i="3"/>
  <c r="T144" i="3"/>
  <c r="V144" i="3"/>
  <c r="W144" i="3"/>
  <c r="Y144" i="3"/>
  <c r="Z144" i="3"/>
  <c r="AB144" i="3"/>
  <c r="AC144" i="3"/>
  <c r="AC124" i="3"/>
  <c r="AE124" i="3"/>
  <c r="AC125" i="3"/>
  <c r="AE125" i="3"/>
  <c r="AC126" i="3"/>
  <c r="AE126" i="3"/>
  <c r="AC127" i="3"/>
  <c r="AE127" i="3"/>
  <c r="AC128" i="3"/>
  <c r="AE128" i="3"/>
  <c r="AC129" i="3"/>
  <c r="AE144" i="3"/>
  <c r="AF144" i="3"/>
  <c r="B143" i="3"/>
  <c r="D143" i="3"/>
  <c r="E143" i="3"/>
  <c r="G143" i="3"/>
  <c r="H143" i="3"/>
  <c r="J143" i="3"/>
  <c r="K143" i="3"/>
  <c r="M143" i="3"/>
  <c r="N143" i="3"/>
  <c r="P143" i="3"/>
  <c r="Q143" i="3"/>
  <c r="S143" i="3"/>
  <c r="T143" i="3"/>
  <c r="V143" i="3"/>
  <c r="W143" i="3"/>
  <c r="Y143" i="3"/>
  <c r="Z143" i="3"/>
  <c r="AB143" i="3"/>
  <c r="AC143" i="3"/>
  <c r="AE143" i="3"/>
  <c r="AF143" i="3"/>
  <c r="B141" i="3"/>
  <c r="B122" i="3"/>
  <c r="D122" i="3"/>
  <c r="C122" i="3"/>
  <c r="D141" i="3"/>
  <c r="E141" i="3"/>
  <c r="G141" i="3"/>
  <c r="H141" i="3"/>
  <c r="H122" i="3"/>
  <c r="J122" i="3"/>
  <c r="I122" i="3"/>
  <c r="J141" i="3"/>
  <c r="K141" i="3"/>
  <c r="M141" i="3"/>
  <c r="N141" i="3"/>
  <c r="P141" i="3"/>
  <c r="Q141" i="3"/>
  <c r="Q122" i="3"/>
  <c r="S122" i="3"/>
  <c r="R122" i="3"/>
  <c r="S141" i="3"/>
  <c r="T141" i="3"/>
  <c r="V141" i="3"/>
  <c r="W141" i="3"/>
  <c r="W122" i="3"/>
  <c r="Y122" i="3"/>
  <c r="X122" i="3"/>
  <c r="Y141" i="3"/>
  <c r="Z141" i="3"/>
  <c r="AB141" i="3"/>
  <c r="AC141" i="3"/>
  <c r="AE141" i="3"/>
  <c r="AF141" i="3"/>
  <c r="B140" i="3"/>
  <c r="D140" i="3"/>
  <c r="E140" i="3"/>
  <c r="E122" i="3"/>
  <c r="G122" i="3"/>
  <c r="F122" i="3"/>
  <c r="G140" i="3"/>
  <c r="H140" i="3"/>
  <c r="J140" i="3"/>
  <c r="K140" i="3"/>
  <c r="K122" i="3"/>
  <c r="M122" i="3"/>
  <c r="L122" i="3"/>
  <c r="M140" i="3"/>
  <c r="N140" i="3"/>
  <c r="P140" i="3"/>
  <c r="Q140" i="3"/>
  <c r="S140" i="3"/>
  <c r="T140" i="3"/>
  <c r="V140" i="3"/>
  <c r="W140" i="3"/>
  <c r="Y140" i="3"/>
  <c r="Z140" i="3"/>
  <c r="Z122" i="3"/>
  <c r="AB122" i="3"/>
  <c r="AA122" i="3"/>
  <c r="AB140" i="3"/>
  <c r="AC140" i="3"/>
  <c r="AE140" i="3"/>
  <c r="AF140" i="3"/>
  <c r="B139" i="3"/>
  <c r="D139" i="3"/>
  <c r="E139" i="3"/>
  <c r="G139" i="3"/>
  <c r="H139" i="3"/>
  <c r="J139" i="3"/>
  <c r="K139" i="3"/>
  <c r="M139" i="3"/>
  <c r="N139" i="3"/>
  <c r="N122" i="3"/>
  <c r="P122" i="3"/>
  <c r="O122" i="3"/>
  <c r="P139" i="3"/>
  <c r="Q139" i="3"/>
  <c r="S139" i="3"/>
  <c r="T139" i="3"/>
  <c r="T122" i="3"/>
  <c r="V122" i="3"/>
  <c r="U122" i="3"/>
  <c r="V139" i="3"/>
  <c r="W139" i="3"/>
  <c r="Y139" i="3"/>
  <c r="Z139" i="3"/>
  <c r="AB139" i="3"/>
  <c r="AC139" i="3"/>
  <c r="AE139" i="3"/>
  <c r="AF139" i="3"/>
  <c r="B138" i="3"/>
  <c r="D138" i="3"/>
  <c r="E138" i="3"/>
  <c r="G138" i="3"/>
  <c r="H138" i="3"/>
  <c r="J138" i="3"/>
  <c r="K138" i="3"/>
  <c r="M138" i="3"/>
  <c r="N138" i="3"/>
  <c r="P138" i="3"/>
  <c r="Q138" i="3"/>
  <c r="S138" i="3"/>
  <c r="T138" i="3"/>
  <c r="V138" i="3"/>
  <c r="W138" i="3"/>
  <c r="Y138" i="3"/>
  <c r="Z138" i="3"/>
  <c r="AB138" i="3"/>
  <c r="AC138" i="3"/>
  <c r="AC122" i="3"/>
  <c r="AE122" i="3"/>
  <c r="AD122" i="3"/>
  <c r="AE138" i="3"/>
  <c r="AF138" i="3"/>
  <c r="B137" i="3"/>
  <c r="D137" i="3"/>
  <c r="E137" i="3"/>
  <c r="G137" i="3"/>
  <c r="H137" i="3"/>
  <c r="J137" i="3"/>
  <c r="K137" i="3"/>
  <c r="M137" i="3"/>
  <c r="N137" i="3"/>
  <c r="P137" i="3"/>
  <c r="Q137" i="3"/>
  <c r="S137" i="3"/>
  <c r="T137" i="3"/>
  <c r="V137" i="3"/>
  <c r="W137" i="3"/>
  <c r="Y137" i="3"/>
  <c r="Z137" i="3"/>
  <c r="AB137" i="3"/>
  <c r="AC137" i="3"/>
  <c r="AE137" i="3"/>
  <c r="AF137" i="3"/>
  <c r="B135" i="3"/>
  <c r="D135" i="3"/>
  <c r="E135" i="3"/>
  <c r="G135" i="3"/>
  <c r="H135" i="3"/>
  <c r="J135" i="3"/>
  <c r="K135" i="3"/>
  <c r="M135" i="3"/>
  <c r="N135" i="3"/>
  <c r="P135" i="3"/>
  <c r="Q135" i="3"/>
  <c r="S135" i="3"/>
  <c r="T135" i="3"/>
  <c r="V135" i="3"/>
  <c r="W135" i="3"/>
  <c r="Y135" i="3"/>
  <c r="Z135" i="3"/>
  <c r="AB135" i="3"/>
  <c r="AC135" i="3"/>
  <c r="AE135" i="3"/>
  <c r="AF135" i="3"/>
  <c r="AG135" i="3"/>
  <c r="B134" i="3"/>
  <c r="D134" i="3"/>
  <c r="E134" i="3"/>
  <c r="G134" i="3"/>
  <c r="H134" i="3"/>
  <c r="J134" i="3"/>
  <c r="K134" i="3"/>
  <c r="M134" i="3"/>
  <c r="N134" i="3"/>
  <c r="P134" i="3"/>
  <c r="Q134" i="3"/>
  <c r="S134" i="3"/>
  <c r="T134" i="3"/>
  <c r="V134" i="3"/>
  <c r="W134" i="3"/>
  <c r="Y134" i="3"/>
  <c r="Z134" i="3"/>
  <c r="AB134" i="3"/>
  <c r="AC134" i="3"/>
  <c r="AE134" i="3"/>
  <c r="AF134" i="3"/>
  <c r="AG134" i="3"/>
  <c r="B133" i="3"/>
  <c r="D133" i="3"/>
  <c r="E133" i="3"/>
  <c r="G133" i="3"/>
  <c r="H133" i="3"/>
  <c r="J133" i="3"/>
  <c r="K133" i="3"/>
  <c r="M133" i="3"/>
  <c r="N133" i="3"/>
  <c r="P133" i="3"/>
  <c r="Q133" i="3"/>
  <c r="S133" i="3"/>
  <c r="T133" i="3"/>
  <c r="V133" i="3"/>
  <c r="W133" i="3"/>
  <c r="Y133" i="3"/>
  <c r="Z133" i="3"/>
  <c r="AB133" i="3"/>
  <c r="AC133" i="3"/>
  <c r="AE133" i="3"/>
  <c r="AF133" i="3"/>
  <c r="AG133" i="3"/>
  <c r="B132" i="3"/>
  <c r="D132" i="3"/>
  <c r="E132" i="3"/>
  <c r="G132" i="3"/>
  <c r="H132" i="3"/>
  <c r="J132" i="3"/>
  <c r="K132" i="3"/>
  <c r="M132" i="3"/>
  <c r="N132" i="3"/>
  <c r="P132" i="3"/>
  <c r="Q132" i="3"/>
  <c r="S132" i="3"/>
  <c r="T132" i="3"/>
  <c r="V132" i="3"/>
  <c r="W132" i="3"/>
  <c r="Y132" i="3"/>
  <c r="Z132" i="3"/>
  <c r="AB132" i="3"/>
  <c r="AC132" i="3"/>
  <c r="AE132" i="3"/>
  <c r="AF132" i="3"/>
  <c r="AG132" i="3"/>
  <c r="B131" i="3"/>
  <c r="D131" i="3"/>
  <c r="E131" i="3"/>
  <c r="G131" i="3"/>
  <c r="H131" i="3"/>
  <c r="J131" i="3"/>
  <c r="K131" i="3"/>
  <c r="M131" i="3"/>
  <c r="N131" i="3"/>
  <c r="P131" i="3"/>
  <c r="Q131" i="3"/>
  <c r="S131" i="3"/>
  <c r="T131" i="3"/>
  <c r="V131" i="3"/>
  <c r="W131" i="3"/>
  <c r="Y131" i="3"/>
  <c r="Z131" i="3"/>
  <c r="AB131" i="3"/>
  <c r="AC131" i="3"/>
  <c r="AE131" i="3"/>
  <c r="AF131" i="3"/>
  <c r="AG131" i="3"/>
  <c r="AE115" i="3"/>
  <c r="AC115" i="3"/>
  <c r="AB115" i="3"/>
  <c r="Z115" i="3"/>
  <c r="Y115" i="3"/>
  <c r="W115" i="3"/>
  <c r="V115" i="3"/>
  <c r="T115" i="3"/>
  <c r="S115" i="3"/>
  <c r="Q115" i="3"/>
  <c r="P115" i="3"/>
  <c r="N115" i="3"/>
  <c r="M115" i="3"/>
  <c r="K115" i="3"/>
  <c r="J115" i="3"/>
  <c r="H115" i="3"/>
  <c r="G115" i="3"/>
  <c r="E115" i="3"/>
  <c r="D115" i="3"/>
  <c r="B115" i="3"/>
  <c r="AD114" i="3"/>
  <c r="AA114" i="3"/>
  <c r="X114" i="3"/>
  <c r="U114" i="3"/>
  <c r="R114" i="3"/>
  <c r="O114" i="3"/>
  <c r="L114" i="3"/>
  <c r="I114" i="3"/>
  <c r="F114" i="3"/>
  <c r="A114" i="3"/>
  <c r="AG113" i="3"/>
  <c r="AH113" i="3"/>
  <c r="AI113" i="3"/>
  <c r="AJ113" i="3"/>
  <c r="AK113" i="3"/>
  <c r="AL113" i="3"/>
  <c r="AM113" i="3"/>
  <c r="AN113" i="3"/>
  <c r="AO113" i="3"/>
  <c r="AP113" i="3"/>
  <c r="AQ113" i="3"/>
  <c r="AF113" i="3"/>
  <c r="AD113" i="3"/>
  <c r="AA113" i="3"/>
  <c r="X113" i="3"/>
  <c r="U113" i="3"/>
  <c r="R113" i="3"/>
  <c r="O113" i="3"/>
  <c r="L113" i="3"/>
  <c r="I113" i="3"/>
  <c r="F113" i="3"/>
  <c r="A113" i="3"/>
  <c r="AG112" i="3"/>
  <c r="AH112" i="3"/>
  <c r="AI112" i="3"/>
  <c r="AJ112" i="3"/>
  <c r="AK112" i="3"/>
  <c r="AL112" i="3"/>
  <c r="AM112" i="3"/>
  <c r="AN112" i="3"/>
  <c r="AO112" i="3"/>
  <c r="AP112" i="3"/>
  <c r="AQ112" i="3"/>
  <c r="AF112" i="3"/>
  <c r="AD112" i="3"/>
  <c r="AA112" i="3"/>
  <c r="X112" i="3"/>
  <c r="U112" i="3"/>
  <c r="R112" i="3"/>
  <c r="O112" i="3"/>
  <c r="L112" i="3"/>
  <c r="I112" i="3"/>
  <c r="F112" i="3"/>
  <c r="A112" i="3"/>
  <c r="AG111" i="3"/>
  <c r="AH111" i="3"/>
  <c r="AI111" i="3"/>
  <c r="AJ111" i="3"/>
  <c r="AK111" i="3"/>
  <c r="AL111" i="3"/>
  <c r="AM111" i="3"/>
  <c r="AN111" i="3"/>
  <c r="AO111" i="3"/>
  <c r="AP111" i="3"/>
  <c r="AQ111" i="3"/>
  <c r="AF111" i="3"/>
  <c r="AD111" i="3"/>
  <c r="AA111" i="3"/>
  <c r="X111" i="3"/>
  <c r="U111" i="3"/>
  <c r="R111" i="3"/>
  <c r="O111" i="3"/>
  <c r="L111" i="3"/>
  <c r="I111" i="3"/>
  <c r="F111" i="3"/>
  <c r="A111" i="3"/>
  <c r="AG110" i="3"/>
  <c r="AH110" i="3"/>
  <c r="AI110" i="3"/>
  <c r="AJ110" i="3"/>
  <c r="AK110" i="3"/>
  <c r="AL110" i="3"/>
  <c r="AM110" i="3"/>
  <c r="AN110" i="3"/>
  <c r="AO110" i="3"/>
  <c r="AP110" i="3"/>
  <c r="AQ110" i="3"/>
  <c r="AF110" i="3"/>
  <c r="AD110" i="3"/>
  <c r="AA110" i="3"/>
  <c r="X110" i="3"/>
  <c r="U110" i="3"/>
  <c r="R110" i="3"/>
  <c r="O110" i="3"/>
  <c r="L110" i="3"/>
  <c r="I110" i="3"/>
  <c r="F110" i="3"/>
  <c r="AG109" i="3"/>
  <c r="AH109" i="3"/>
  <c r="AI109" i="3"/>
  <c r="AJ109" i="3"/>
  <c r="AK109" i="3"/>
  <c r="AL109" i="3"/>
  <c r="AM109" i="3"/>
  <c r="AN109" i="3"/>
  <c r="AO109" i="3"/>
  <c r="AP109" i="3"/>
  <c r="AQ109" i="3"/>
  <c r="AF109" i="3"/>
  <c r="AD109" i="3"/>
  <c r="AA109" i="3"/>
  <c r="X109" i="3"/>
  <c r="U109" i="3"/>
  <c r="R109" i="3"/>
  <c r="O109" i="3"/>
  <c r="L109" i="3"/>
  <c r="I109" i="3"/>
  <c r="F109" i="3"/>
  <c r="AC107" i="3"/>
  <c r="Z107" i="3"/>
  <c r="W107" i="3"/>
  <c r="T107" i="3"/>
  <c r="Q107" i="3"/>
  <c r="N107" i="3"/>
  <c r="K107" i="3"/>
  <c r="H107" i="3"/>
  <c r="E107" i="3"/>
  <c r="AC101" i="3"/>
  <c r="Z101" i="3"/>
  <c r="W101" i="3"/>
  <c r="R101" i="3"/>
  <c r="L101" i="3"/>
  <c r="A101" i="3"/>
  <c r="AC99" i="3"/>
  <c r="Z99" i="3"/>
  <c r="W99" i="3"/>
  <c r="R99" i="3"/>
  <c r="L99" i="3"/>
  <c r="A99" i="3"/>
  <c r="E98" i="3"/>
  <c r="AC97" i="3"/>
  <c r="Z97" i="3"/>
  <c r="W97" i="3"/>
  <c r="R97" i="3"/>
  <c r="L97" i="3"/>
  <c r="A97" i="3"/>
  <c r="AC95" i="3"/>
  <c r="Z95" i="3"/>
  <c r="W95" i="3"/>
  <c r="R95" i="3"/>
  <c r="L95" i="3"/>
  <c r="A95" i="3"/>
  <c r="AC93" i="3"/>
  <c r="Z93" i="3"/>
  <c r="W93" i="3"/>
  <c r="R93" i="3"/>
  <c r="L93" i="3"/>
  <c r="A93" i="3"/>
  <c r="R92" i="3"/>
  <c r="L92" i="3"/>
  <c r="K91" i="3"/>
  <c r="A89" i="3"/>
  <c r="AF76" i="3"/>
  <c r="S75" i="3"/>
  <c r="AF75" i="3"/>
  <c r="J74" i="3"/>
  <c r="AB74" i="3"/>
  <c r="AF74" i="3"/>
  <c r="D73" i="3"/>
  <c r="M73" i="3"/>
  <c r="V73" i="3"/>
  <c r="AF73" i="3"/>
  <c r="G72" i="3"/>
  <c r="P72" i="3"/>
  <c r="Y72" i="3"/>
  <c r="AE72" i="3"/>
  <c r="AF72" i="3"/>
  <c r="AF68" i="3"/>
  <c r="AG68" i="3"/>
  <c r="AF67" i="3"/>
  <c r="AG67" i="3"/>
  <c r="AF66" i="3"/>
  <c r="AG66" i="3"/>
  <c r="AF65" i="3"/>
  <c r="AG65" i="3"/>
  <c r="AF64" i="3"/>
  <c r="AG64" i="3"/>
  <c r="B62" i="3"/>
  <c r="B39" i="3"/>
  <c r="D39" i="3"/>
  <c r="B40" i="3"/>
  <c r="D40" i="3"/>
  <c r="B41" i="3"/>
  <c r="D41" i="3"/>
  <c r="B42" i="3"/>
  <c r="D42" i="3"/>
  <c r="B43" i="3"/>
  <c r="D43" i="3"/>
  <c r="B44" i="3"/>
  <c r="D62" i="3"/>
  <c r="E62" i="3"/>
  <c r="G62" i="3"/>
  <c r="H62" i="3"/>
  <c r="H39" i="3"/>
  <c r="J39" i="3"/>
  <c r="H40" i="3"/>
  <c r="J40" i="3"/>
  <c r="H41" i="3"/>
  <c r="J41" i="3"/>
  <c r="H42" i="3"/>
  <c r="J42" i="3"/>
  <c r="H43" i="3"/>
  <c r="J43" i="3"/>
  <c r="H44" i="3"/>
  <c r="J62" i="3"/>
  <c r="K62" i="3"/>
  <c r="M62" i="3"/>
  <c r="N62" i="3"/>
  <c r="P62" i="3"/>
  <c r="Q62" i="3"/>
  <c r="Q39" i="3"/>
  <c r="S39" i="3"/>
  <c r="Q40" i="3"/>
  <c r="S40" i="3"/>
  <c r="Q41" i="3"/>
  <c r="S41" i="3"/>
  <c r="Q42" i="3"/>
  <c r="S42" i="3"/>
  <c r="Q43" i="3"/>
  <c r="S43" i="3"/>
  <c r="Q44" i="3"/>
  <c r="S62" i="3"/>
  <c r="T62" i="3"/>
  <c r="V62" i="3"/>
  <c r="W62" i="3"/>
  <c r="W39" i="3"/>
  <c r="Y39" i="3"/>
  <c r="W40" i="3"/>
  <c r="Y40" i="3"/>
  <c r="W41" i="3"/>
  <c r="Y41" i="3"/>
  <c r="W42" i="3"/>
  <c r="Y42" i="3"/>
  <c r="W43" i="3"/>
  <c r="Y43" i="3"/>
  <c r="W44" i="3"/>
  <c r="Y62" i="3"/>
  <c r="Z62" i="3"/>
  <c r="AB62" i="3"/>
  <c r="AC62" i="3"/>
  <c r="AE62" i="3"/>
  <c r="AF62" i="3"/>
  <c r="B61" i="3"/>
  <c r="D61" i="3"/>
  <c r="E61" i="3"/>
  <c r="E39" i="3"/>
  <c r="G39" i="3"/>
  <c r="E40" i="3"/>
  <c r="G40" i="3"/>
  <c r="E41" i="3"/>
  <c r="G41" i="3"/>
  <c r="E42" i="3"/>
  <c r="G42" i="3"/>
  <c r="E43" i="3"/>
  <c r="G43" i="3"/>
  <c r="E44" i="3"/>
  <c r="G61" i="3"/>
  <c r="H61" i="3"/>
  <c r="J61" i="3"/>
  <c r="K61" i="3"/>
  <c r="K39" i="3"/>
  <c r="M39" i="3"/>
  <c r="K40" i="3"/>
  <c r="M40" i="3"/>
  <c r="K41" i="3"/>
  <c r="M41" i="3"/>
  <c r="K42" i="3"/>
  <c r="M42" i="3"/>
  <c r="K43" i="3"/>
  <c r="M43" i="3"/>
  <c r="K44" i="3"/>
  <c r="M61" i="3"/>
  <c r="N61" i="3"/>
  <c r="P61" i="3"/>
  <c r="Q61" i="3"/>
  <c r="S61" i="3"/>
  <c r="T61" i="3"/>
  <c r="V61" i="3"/>
  <c r="W61" i="3"/>
  <c r="Y61" i="3"/>
  <c r="Z61" i="3"/>
  <c r="Z39" i="3"/>
  <c r="AB39" i="3"/>
  <c r="Z40" i="3"/>
  <c r="AB40" i="3"/>
  <c r="Z41" i="3"/>
  <c r="AB41" i="3"/>
  <c r="Z42" i="3"/>
  <c r="AB42" i="3"/>
  <c r="Z43" i="3"/>
  <c r="AB43" i="3"/>
  <c r="Z44" i="3"/>
  <c r="AB61" i="3"/>
  <c r="AC61" i="3"/>
  <c r="AE61" i="3"/>
  <c r="AF61" i="3"/>
  <c r="B60" i="3"/>
  <c r="D60" i="3"/>
  <c r="E60" i="3"/>
  <c r="G60" i="3"/>
  <c r="H60" i="3"/>
  <c r="J60" i="3"/>
  <c r="K60" i="3"/>
  <c r="M60" i="3"/>
  <c r="N60" i="3"/>
  <c r="N39" i="3"/>
  <c r="P39" i="3"/>
  <c r="N40" i="3"/>
  <c r="P40" i="3"/>
  <c r="N41" i="3"/>
  <c r="P41" i="3"/>
  <c r="N42" i="3"/>
  <c r="P42" i="3"/>
  <c r="N43" i="3"/>
  <c r="P43" i="3"/>
  <c r="N44" i="3"/>
  <c r="P60" i="3"/>
  <c r="Q60" i="3"/>
  <c r="S60" i="3"/>
  <c r="T60" i="3"/>
  <c r="T39" i="3"/>
  <c r="V39" i="3"/>
  <c r="T40" i="3"/>
  <c r="V40" i="3"/>
  <c r="T41" i="3"/>
  <c r="V41" i="3"/>
  <c r="T42" i="3"/>
  <c r="V42" i="3"/>
  <c r="T43" i="3"/>
  <c r="V43" i="3"/>
  <c r="T44" i="3"/>
  <c r="V60" i="3"/>
  <c r="W60" i="3"/>
  <c r="Y60" i="3"/>
  <c r="Z60" i="3"/>
  <c r="AB60" i="3"/>
  <c r="AC60" i="3"/>
  <c r="AE60" i="3"/>
  <c r="AF60" i="3"/>
  <c r="B59" i="3"/>
  <c r="D59" i="3"/>
  <c r="E59" i="3"/>
  <c r="G59" i="3"/>
  <c r="H59" i="3"/>
  <c r="J59" i="3"/>
  <c r="K59" i="3"/>
  <c r="M59" i="3"/>
  <c r="N59" i="3"/>
  <c r="P59" i="3"/>
  <c r="Q59" i="3"/>
  <c r="S59" i="3"/>
  <c r="T59" i="3"/>
  <c r="V59" i="3"/>
  <c r="W59" i="3"/>
  <c r="Y59" i="3"/>
  <c r="Z59" i="3"/>
  <c r="AB59" i="3"/>
  <c r="AC59" i="3"/>
  <c r="AC39" i="3"/>
  <c r="AE39" i="3"/>
  <c r="AC40" i="3"/>
  <c r="AE40" i="3"/>
  <c r="AC41" i="3"/>
  <c r="AE41" i="3"/>
  <c r="AC42" i="3"/>
  <c r="AE42" i="3"/>
  <c r="AC43" i="3"/>
  <c r="AE43" i="3"/>
  <c r="AC44" i="3"/>
  <c r="AE59" i="3"/>
  <c r="AF59" i="3"/>
  <c r="B58" i="3"/>
  <c r="D58" i="3"/>
  <c r="E58" i="3"/>
  <c r="G58" i="3"/>
  <c r="H58" i="3"/>
  <c r="J58" i="3"/>
  <c r="K58" i="3"/>
  <c r="M58" i="3"/>
  <c r="N58" i="3"/>
  <c r="P58" i="3"/>
  <c r="Q58" i="3"/>
  <c r="S58" i="3"/>
  <c r="T58" i="3"/>
  <c r="V58" i="3"/>
  <c r="W58" i="3"/>
  <c r="Y58" i="3"/>
  <c r="Z58" i="3"/>
  <c r="AB58" i="3"/>
  <c r="AC58" i="3"/>
  <c r="AE58" i="3"/>
  <c r="AF58" i="3"/>
  <c r="B56" i="3"/>
  <c r="B37" i="3"/>
  <c r="D37" i="3"/>
  <c r="C37" i="3"/>
  <c r="D56" i="3"/>
  <c r="E56" i="3"/>
  <c r="G56" i="3"/>
  <c r="H56" i="3"/>
  <c r="H37" i="3"/>
  <c r="J37" i="3"/>
  <c r="I37" i="3"/>
  <c r="J56" i="3"/>
  <c r="K56" i="3"/>
  <c r="M56" i="3"/>
  <c r="N56" i="3"/>
  <c r="P56" i="3"/>
  <c r="Q56" i="3"/>
  <c r="Q37" i="3"/>
  <c r="S37" i="3"/>
  <c r="R37" i="3"/>
  <c r="S56" i="3"/>
  <c r="T56" i="3"/>
  <c r="V56" i="3"/>
  <c r="W56" i="3"/>
  <c r="W37" i="3"/>
  <c r="Y37" i="3"/>
  <c r="X37" i="3"/>
  <c r="Y56" i="3"/>
  <c r="Z56" i="3"/>
  <c r="AB56" i="3"/>
  <c r="AC56" i="3"/>
  <c r="AE56" i="3"/>
  <c r="AF56" i="3"/>
  <c r="B55" i="3"/>
  <c r="D55" i="3"/>
  <c r="E55" i="3"/>
  <c r="E37" i="3"/>
  <c r="G37" i="3"/>
  <c r="F37" i="3"/>
  <c r="G55" i="3"/>
  <c r="H55" i="3"/>
  <c r="J55" i="3"/>
  <c r="K55" i="3"/>
  <c r="K37" i="3"/>
  <c r="M37" i="3"/>
  <c r="L37" i="3"/>
  <c r="M55" i="3"/>
  <c r="N55" i="3"/>
  <c r="P55" i="3"/>
  <c r="Q55" i="3"/>
  <c r="S55" i="3"/>
  <c r="T55" i="3"/>
  <c r="V55" i="3"/>
  <c r="W55" i="3"/>
  <c r="Y55" i="3"/>
  <c r="Z55" i="3"/>
  <c r="Z37" i="3"/>
  <c r="AB37" i="3"/>
  <c r="AA37" i="3"/>
  <c r="AB55" i="3"/>
  <c r="AC55" i="3"/>
  <c r="AE55" i="3"/>
  <c r="AF55" i="3"/>
  <c r="B54" i="3"/>
  <c r="D54" i="3"/>
  <c r="E54" i="3"/>
  <c r="G54" i="3"/>
  <c r="H54" i="3"/>
  <c r="J54" i="3"/>
  <c r="K54" i="3"/>
  <c r="M54" i="3"/>
  <c r="N54" i="3"/>
  <c r="N37" i="3"/>
  <c r="P37" i="3"/>
  <c r="O37" i="3"/>
  <c r="P54" i="3"/>
  <c r="Q54" i="3"/>
  <c r="S54" i="3"/>
  <c r="T54" i="3"/>
  <c r="T37" i="3"/>
  <c r="V37" i="3"/>
  <c r="U37" i="3"/>
  <c r="V54" i="3"/>
  <c r="W54" i="3"/>
  <c r="Y54" i="3"/>
  <c r="Z54" i="3"/>
  <c r="AB54" i="3"/>
  <c r="AC54" i="3"/>
  <c r="AE54" i="3"/>
  <c r="AF54" i="3"/>
  <c r="B53" i="3"/>
  <c r="D53" i="3"/>
  <c r="E53" i="3"/>
  <c r="G53" i="3"/>
  <c r="H53" i="3"/>
  <c r="J53" i="3"/>
  <c r="K53" i="3"/>
  <c r="M53" i="3"/>
  <c r="N53" i="3"/>
  <c r="P53" i="3"/>
  <c r="Q53" i="3"/>
  <c r="S53" i="3"/>
  <c r="T53" i="3"/>
  <c r="V53" i="3"/>
  <c r="W53" i="3"/>
  <c r="Y53" i="3"/>
  <c r="Z53" i="3"/>
  <c r="AB53" i="3"/>
  <c r="AC53" i="3"/>
  <c r="AC37" i="3"/>
  <c r="AE37" i="3"/>
  <c r="AD37" i="3"/>
  <c r="AE53" i="3"/>
  <c r="AF53" i="3"/>
  <c r="B52" i="3"/>
  <c r="D52" i="3"/>
  <c r="E52" i="3"/>
  <c r="G52" i="3"/>
  <c r="H52" i="3"/>
  <c r="J52" i="3"/>
  <c r="K52" i="3"/>
  <c r="M52" i="3"/>
  <c r="N52" i="3"/>
  <c r="P52" i="3"/>
  <c r="Q52" i="3"/>
  <c r="S52" i="3"/>
  <c r="T52" i="3"/>
  <c r="V52" i="3"/>
  <c r="W52" i="3"/>
  <c r="Y52" i="3"/>
  <c r="Z52" i="3"/>
  <c r="AB52" i="3"/>
  <c r="AC52" i="3"/>
  <c r="AE52" i="3"/>
  <c r="AF52" i="3"/>
  <c r="B50" i="3"/>
  <c r="D50" i="3"/>
  <c r="E50" i="3"/>
  <c r="G50" i="3"/>
  <c r="H50" i="3"/>
  <c r="J50" i="3"/>
  <c r="K50" i="3"/>
  <c r="M50" i="3"/>
  <c r="N50" i="3"/>
  <c r="P50" i="3"/>
  <c r="Q50" i="3"/>
  <c r="S50" i="3"/>
  <c r="T50" i="3"/>
  <c r="V50" i="3"/>
  <c r="W50" i="3"/>
  <c r="Y50" i="3"/>
  <c r="Z50" i="3"/>
  <c r="AB50" i="3"/>
  <c r="AC50" i="3"/>
  <c r="AE50" i="3"/>
  <c r="AF50" i="3"/>
  <c r="AG50" i="3"/>
  <c r="B49" i="3"/>
  <c r="D49" i="3"/>
  <c r="E49" i="3"/>
  <c r="G49" i="3"/>
  <c r="H49" i="3"/>
  <c r="J49" i="3"/>
  <c r="K49" i="3"/>
  <c r="M49" i="3"/>
  <c r="N49" i="3"/>
  <c r="P49" i="3"/>
  <c r="Q49" i="3"/>
  <c r="S49" i="3"/>
  <c r="T49" i="3"/>
  <c r="V49" i="3"/>
  <c r="W49" i="3"/>
  <c r="Y49" i="3"/>
  <c r="Z49" i="3"/>
  <c r="AB49" i="3"/>
  <c r="AC49" i="3"/>
  <c r="AE49" i="3"/>
  <c r="AF49" i="3"/>
  <c r="AG49" i="3"/>
  <c r="B48" i="3"/>
  <c r="D48" i="3"/>
  <c r="E48" i="3"/>
  <c r="G48" i="3"/>
  <c r="H48" i="3"/>
  <c r="J48" i="3"/>
  <c r="K48" i="3"/>
  <c r="M48" i="3"/>
  <c r="N48" i="3"/>
  <c r="P48" i="3"/>
  <c r="Q48" i="3"/>
  <c r="S48" i="3"/>
  <c r="T48" i="3"/>
  <c r="V48" i="3"/>
  <c r="W48" i="3"/>
  <c r="Y48" i="3"/>
  <c r="Z48" i="3"/>
  <c r="AB48" i="3"/>
  <c r="AC48" i="3"/>
  <c r="AE48" i="3"/>
  <c r="AF48" i="3"/>
  <c r="AG48" i="3"/>
  <c r="B47" i="3"/>
  <c r="D47" i="3"/>
  <c r="E47" i="3"/>
  <c r="G47" i="3"/>
  <c r="H47" i="3"/>
  <c r="J47" i="3"/>
  <c r="K47" i="3"/>
  <c r="M47" i="3"/>
  <c r="N47" i="3"/>
  <c r="P47" i="3"/>
  <c r="Q47" i="3"/>
  <c r="S47" i="3"/>
  <c r="T47" i="3"/>
  <c r="V47" i="3"/>
  <c r="W47" i="3"/>
  <c r="Y47" i="3"/>
  <c r="Z47" i="3"/>
  <c r="AB47" i="3"/>
  <c r="AC47" i="3"/>
  <c r="AE47" i="3"/>
  <c r="AF47" i="3"/>
  <c r="AG47" i="3"/>
  <c r="B46" i="3"/>
  <c r="D46" i="3"/>
  <c r="E46" i="3"/>
  <c r="G46" i="3"/>
  <c r="H46" i="3"/>
  <c r="J46" i="3"/>
  <c r="K46" i="3"/>
  <c r="M46" i="3"/>
  <c r="N46" i="3"/>
  <c r="P46" i="3"/>
  <c r="Q46" i="3"/>
  <c r="S46" i="3"/>
  <c r="T46" i="3"/>
  <c r="V46" i="3"/>
  <c r="W46" i="3"/>
  <c r="Y46" i="3"/>
  <c r="Z46" i="3"/>
  <c r="AB46" i="3"/>
  <c r="AC46" i="3"/>
  <c r="AE46" i="3"/>
  <c r="AF46" i="3"/>
  <c r="AG46" i="3"/>
  <c r="AE30" i="3"/>
  <c r="AC30" i="3"/>
  <c r="AB30" i="3"/>
  <c r="Z30" i="3"/>
  <c r="Y30" i="3"/>
  <c r="W30" i="3"/>
  <c r="V30" i="3"/>
  <c r="T30" i="3"/>
  <c r="S30" i="3"/>
  <c r="Q30" i="3"/>
  <c r="P30" i="3"/>
  <c r="N30" i="3"/>
  <c r="M30" i="3"/>
  <c r="K30" i="3"/>
  <c r="J30" i="3"/>
  <c r="H30" i="3"/>
  <c r="G30" i="3"/>
  <c r="E30" i="3"/>
  <c r="D30" i="3"/>
  <c r="B30" i="3"/>
  <c r="AD29" i="3"/>
  <c r="AA29" i="3"/>
  <c r="X29" i="3"/>
  <c r="U29" i="3"/>
  <c r="R29" i="3"/>
  <c r="O29" i="3"/>
  <c r="L29" i="3"/>
  <c r="I29" i="3"/>
  <c r="F29" i="3"/>
  <c r="A29" i="3"/>
  <c r="AG28" i="3"/>
  <c r="AH28" i="3"/>
  <c r="AI28" i="3"/>
  <c r="AJ28" i="3"/>
  <c r="AK28" i="3"/>
  <c r="AL28" i="3"/>
  <c r="AM28" i="3"/>
  <c r="AN28" i="3"/>
  <c r="AO28" i="3"/>
  <c r="AP28" i="3"/>
  <c r="AQ28" i="3"/>
  <c r="AF28" i="3"/>
  <c r="AD28" i="3"/>
  <c r="AA28" i="3"/>
  <c r="X28" i="3"/>
  <c r="U28" i="3"/>
  <c r="R28" i="3"/>
  <c r="O28" i="3"/>
  <c r="L28" i="3"/>
  <c r="I28" i="3"/>
  <c r="F28" i="3"/>
  <c r="A28" i="3"/>
  <c r="AG27" i="3"/>
  <c r="AH27" i="3"/>
  <c r="AI27" i="3"/>
  <c r="AJ27" i="3"/>
  <c r="AK27" i="3"/>
  <c r="AL27" i="3"/>
  <c r="AM27" i="3"/>
  <c r="AN27" i="3"/>
  <c r="AO27" i="3"/>
  <c r="AP27" i="3"/>
  <c r="AQ27" i="3"/>
  <c r="AF27" i="3"/>
  <c r="AD27" i="3"/>
  <c r="AA27" i="3"/>
  <c r="X27" i="3"/>
  <c r="U27" i="3"/>
  <c r="R27" i="3"/>
  <c r="O27" i="3"/>
  <c r="L27" i="3"/>
  <c r="I27" i="3"/>
  <c r="F27" i="3"/>
  <c r="A27" i="3"/>
  <c r="AG26" i="3"/>
  <c r="AH26" i="3"/>
  <c r="AI26" i="3"/>
  <c r="AJ26" i="3"/>
  <c r="AK26" i="3"/>
  <c r="AL26" i="3"/>
  <c r="AM26" i="3"/>
  <c r="AN26" i="3"/>
  <c r="AO26" i="3"/>
  <c r="AP26" i="3"/>
  <c r="AQ26" i="3"/>
  <c r="AF26" i="3"/>
  <c r="AD26" i="3"/>
  <c r="AA26" i="3"/>
  <c r="X26" i="3"/>
  <c r="U26" i="3"/>
  <c r="R26" i="3"/>
  <c r="O26" i="3"/>
  <c r="L26" i="3"/>
  <c r="I26" i="3"/>
  <c r="F26" i="3"/>
  <c r="A26" i="3"/>
  <c r="AG25" i="3"/>
  <c r="AH25" i="3"/>
  <c r="AI25" i="3"/>
  <c r="AJ25" i="3"/>
  <c r="AK25" i="3"/>
  <c r="AL25" i="3"/>
  <c r="AM25" i="3"/>
  <c r="AN25" i="3"/>
  <c r="AO25" i="3"/>
  <c r="AP25" i="3"/>
  <c r="AQ25" i="3"/>
  <c r="AF25" i="3"/>
  <c r="AD25" i="3"/>
  <c r="AA25" i="3"/>
  <c r="X25" i="3"/>
  <c r="U25" i="3"/>
  <c r="R25" i="3"/>
  <c r="O25" i="3"/>
  <c r="L25" i="3"/>
  <c r="I25" i="3"/>
  <c r="F25" i="3"/>
  <c r="AG24" i="3"/>
  <c r="AH24" i="3"/>
  <c r="AI24" i="3"/>
  <c r="AJ24" i="3"/>
  <c r="AK24" i="3"/>
  <c r="AL24" i="3"/>
  <c r="AM24" i="3"/>
  <c r="AN24" i="3"/>
  <c r="AO24" i="3"/>
  <c r="AP24" i="3"/>
  <c r="AQ24" i="3"/>
  <c r="AF24" i="3"/>
  <c r="AD24" i="3"/>
  <c r="AA24" i="3"/>
  <c r="X24" i="3"/>
  <c r="U24" i="3"/>
  <c r="R24" i="3"/>
  <c r="O24" i="3"/>
  <c r="L24" i="3"/>
  <c r="I24" i="3"/>
  <c r="F24" i="3"/>
  <c r="AC22" i="3"/>
  <c r="Z22" i="3"/>
  <c r="W22" i="3"/>
  <c r="T22" i="3"/>
  <c r="Q22" i="3"/>
  <c r="N22" i="3"/>
  <c r="K22" i="3"/>
  <c r="H22" i="3"/>
  <c r="E22" i="3"/>
  <c r="AC16" i="3"/>
  <c r="Z16" i="3"/>
  <c r="W16" i="3"/>
  <c r="R16" i="3"/>
  <c r="L16" i="3"/>
  <c r="A16" i="3"/>
  <c r="AC14" i="3"/>
  <c r="Z14" i="3"/>
  <c r="W14" i="3"/>
  <c r="R14" i="3"/>
  <c r="L14" i="3"/>
  <c r="A14" i="3"/>
  <c r="E13" i="3"/>
  <c r="AY12" i="3"/>
  <c r="AC12" i="3"/>
  <c r="Z12" i="3"/>
  <c r="W12" i="3"/>
  <c r="R12" i="3"/>
  <c r="L12" i="3"/>
  <c r="A12" i="3"/>
  <c r="AY11" i="3"/>
  <c r="AY10" i="3"/>
  <c r="AC10" i="3"/>
  <c r="Z10" i="3"/>
  <c r="W10" i="3"/>
  <c r="R10" i="3"/>
  <c r="L10" i="3"/>
  <c r="A10" i="3"/>
  <c r="AY9" i="3"/>
  <c r="AX8" i="3"/>
  <c r="AY8" i="3"/>
  <c r="AC8" i="3"/>
  <c r="Z8" i="3"/>
  <c r="W8" i="3"/>
  <c r="R8" i="3"/>
  <c r="L8" i="3"/>
  <c r="A8" i="3"/>
  <c r="AX7" i="3"/>
  <c r="AY7" i="3"/>
  <c r="R7" i="3"/>
  <c r="L7" i="3"/>
  <c r="AY6" i="3"/>
  <c r="K6" i="3"/>
  <c r="AY5" i="3"/>
  <c r="AY4" i="3"/>
  <c r="AY3" i="3"/>
  <c r="W439" i="2"/>
  <c r="W440" i="2"/>
  <c r="W441" i="2"/>
  <c r="W442" i="2"/>
  <c r="Y439" i="2"/>
  <c r="Y440" i="2"/>
  <c r="Y441" i="2"/>
  <c r="Y442" i="2"/>
  <c r="AC438" i="2"/>
  <c r="E263" i="2"/>
  <c r="AF352" i="2"/>
  <c r="X433" i="2"/>
  <c r="W450" i="2"/>
  <c r="E8" i="2"/>
  <c r="B79" i="2"/>
  <c r="AT79" i="2"/>
  <c r="E10" i="2"/>
  <c r="B80" i="2"/>
  <c r="AT80" i="2"/>
  <c r="E12" i="2"/>
  <c r="B81" i="2"/>
  <c r="AT81" i="2"/>
  <c r="E14" i="2"/>
  <c r="B82" i="2"/>
  <c r="AT82" i="2"/>
  <c r="AC31" i="2"/>
  <c r="AC32" i="2"/>
  <c r="AC33" i="2"/>
  <c r="AC34" i="2"/>
  <c r="AC35" i="2"/>
  <c r="AC64" i="2"/>
  <c r="AE64" i="2"/>
  <c r="AC65" i="2"/>
  <c r="AE31" i="2"/>
  <c r="AE32" i="2"/>
  <c r="AE33" i="2"/>
  <c r="AE34" i="2"/>
  <c r="AE35" i="2"/>
  <c r="AE65" i="2"/>
  <c r="AC66" i="2"/>
  <c r="AE66" i="2"/>
  <c r="AC67" i="2"/>
  <c r="AE67" i="2"/>
  <c r="AC68" i="2"/>
  <c r="AE68" i="2"/>
  <c r="AD71" i="2"/>
  <c r="AC72" i="2"/>
  <c r="Z72" i="2"/>
  <c r="AB72" i="2"/>
  <c r="W31" i="2"/>
  <c r="W32" i="2"/>
  <c r="W33" i="2"/>
  <c r="W34" i="2"/>
  <c r="W35" i="2"/>
  <c r="W64" i="2"/>
  <c r="Y64" i="2"/>
  <c r="W65" i="2"/>
  <c r="Y65" i="2"/>
  <c r="W66" i="2"/>
  <c r="Y66" i="2"/>
  <c r="W67" i="2"/>
  <c r="Y67" i="2"/>
  <c r="W68" i="2"/>
  <c r="Y31" i="2"/>
  <c r="Y32" i="2"/>
  <c r="Y33" i="2"/>
  <c r="Y34" i="2"/>
  <c r="Y35" i="2"/>
  <c r="Y68" i="2"/>
  <c r="X71" i="2"/>
  <c r="W72" i="2"/>
  <c r="T72" i="2"/>
  <c r="V72" i="2"/>
  <c r="Q72" i="2"/>
  <c r="S72" i="2"/>
  <c r="N31" i="2"/>
  <c r="N32" i="2"/>
  <c r="N33" i="2"/>
  <c r="N34" i="2"/>
  <c r="N35" i="2"/>
  <c r="N64" i="2"/>
  <c r="P64" i="2"/>
  <c r="N65" i="2"/>
  <c r="P65" i="2"/>
  <c r="N66" i="2"/>
  <c r="P31" i="2"/>
  <c r="P32" i="2"/>
  <c r="P33" i="2"/>
  <c r="P34" i="2"/>
  <c r="P35" i="2"/>
  <c r="P66" i="2"/>
  <c r="N67" i="2"/>
  <c r="P67" i="2"/>
  <c r="N68" i="2"/>
  <c r="P68" i="2"/>
  <c r="O71" i="2"/>
  <c r="N72" i="2"/>
  <c r="K72" i="2"/>
  <c r="M72" i="2"/>
  <c r="H72" i="2"/>
  <c r="J72" i="2"/>
  <c r="E31" i="2"/>
  <c r="E32" i="2"/>
  <c r="E33" i="2"/>
  <c r="E34" i="2"/>
  <c r="E35" i="2"/>
  <c r="E64" i="2"/>
  <c r="G64" i="2"/>
  <c r="E65" i="2"/>
  <c r="G65" i="2"/>
  <c r="E66" i="2"/>
  <c r="G66" i="2"/>
  <c r="E67" i="2"/>
  <c r="G31" i="2"/>
  <c r="G32" i="2"/>
  <c r="G33" i="2"/>
  <c r="G34" i="2"/>
  <c r="G35" i="2"/>
  <c r="G67" i="2"/>
  <c r="E68" i="2"/>
  <c r="G68" i="2"/>
  <c r="F71" i="2"/>
  <c r="E72" i="2"/>
  <c r="B72" i="2"/>
  <c r="D72" i="2"/>
  <c r="C79" i="2"/>
  <c r="D79" i="2"/>
  <c r="E85" i="2"/>
  <c r="E36" i="2"/>
  <c r="B75" i="2"/>
  <c r="D75" i="2"/>
  <c r="C82" i="2"/>
  <c r="D82" i="2"/>
  <c r="G85" i="2"/>
  <c r="G36" i="2"/>
  <c r="E86" i="2"/>
  <c r="E87" i="2"/>
  <c r="G79" i="2"/>
  <c r="J79" i="2"/>
  <c r="M79" i="2"/>
  <c r="N85" i="2"/>
  <c r="N36" i="2"/>
  <c r="K74" i="2"/>
  <c r="M74" i="2"/>
  <c r="H64" i="2"/>
  <c r="J64" i="2"/>
  <c r="H65" i="2"/>
  <c r="J65" i="2"/>
  <c r="H31" i="2"/>
  <c r="H32" i="2"/>
  <c r="H33" i="2"/>
  <c r="H34" i="2"/>
  <c r="H35" i="2"/>
  <c r="H66" i="2"/>
  <c r="J66" i="2"/>
  <c r="H67" i="2"/>
  <c r="J67" i="2"/>
  <c r="H68" i="2"/>
  <c r="J31" i="2"/>
  <c r="J32" i="2"/>
  <c r="J33" i="2"/>
  <c r="J34" i="2"/>
  <c r="J35" i="2"/>
  <c r="J68" i="2"/>
  <c r="I71" i="2"/>
  <c r="H74" i="2"/>
  <c r="E74" i="2"/>
  <c r="G74" i="2"/>
  <c r="B74" i="2"/>
  <c r="D74" i="2"/>
  <c r="C81" i="2"/>
  <c r="D81" i="2"/>
  <c r="G81" i="2"/>
  <c r="H85" i="2"/>
  <c r="H36" i="2"/>
  <c r="E76" i="2"/>
  <c r="G76" i="2"/>
  <c r="B76" i="2"/>
  <c r="B64" i="2"/>
  <c r="D64" i="2"/>
  <c r="B31" i="2"/>
  <c r="B32" i="2"/>
  <c r="B33" i="2"/>
  <c r="B34" i="2"/>
  <c r="B35" i="2"/>
  <c r="B65" i="2"/>
  <c r="D65" i="2"/>
  <c r="B66" i="2"/>
  <c r="D66" i="2"/>
  <c r="B67" i="2"/>
  <c r="D67" i="2"/>
  <c r="B68" i="2"/>
  <c r="D31" i="2"/>
  <c r="D32" i="2"/>
  <c r="D33" i="2"/>
  <c r="D34" i="2"/>
  <c r="D35" i="2"/>
  <c r="D68" i="2"/>
  <c r="C71" i="2"/>
  <c r="D76" i="2"/>
  <c r="E16" i="2"/>
  <c r="B83" i="2"/>
  <c r="C83" i="2"/>
  <c r="D85" i="2"/>
  <c r="D36" i="2"/>
  <c r="C80" i="2"/>
  <c r="B85" i="2"/>
  <c r="B36" i="2"/>
  <c r="D86" i="2"/>
  <c r="D87" i="2"/>
  <c r="D83" i="2"/>
  <c r="G83" i="2"/>
  <c r="J85" i="2"/>
  <c r="J36" i="2"/>
  <c r="H86" i="2"/>
  <c r="H87" i="2"/>
  <c r="J81" i="2"/>
  <c r="M81" i="2"/>
  <c r="P85" i="2"/>
  <c r="P36" i="2"/>
  <c r="N86" i="2"/>
  <c r="N87" i="2"/>
  <c r="P79" i="2"/>
  <c r="S79" i="2"/>
  <c r="V79" i="2"/>
  <c r="W85" i="2"/>
  <c r="W36" i="2"/>
  <c r="T76" i="2"/>
  <c r="V76" i="2"/>
  <c r="Q76" i="2"/>
  <c r="Q64" i="2"/>
  <c r="S64" i="2"/>
  <c r="Q65" i="2"/>
  <c r="S65" i="2"/>
  <c r="Q66" i="2"/>
  <c r="S66" i="2"/>
  <c r="Q31" i="2"/>
  <c r="Q32" i="2"/>
  <c r="Q33" i="2"/>
  <c r="Q34" i="2"/>
  <c r="Q35" i="2"/>
  <c r="Q67" i="2"/>
  <c r="S67" i="2"/>
  <c r="Q68" i="2"/>
  <c r="S31" i="2"/>
  <c r="S32" i="2"/>
  <c r="S33" i="2"/>
  <c r="S34" i="2"/>
  <c r="S35" i="2"/>
  <c r="S68" i="2"/>
  <c r="R71" i="2"/>
  <c r="S76" i="2"/>
  <c r="N76" i="2"/>
  <c r="P76" i="2"/>
  <c r="K76" i="2"/>
  <c r="M76" i="2"/>
  <c r="H76" i="2"/>
  <c r="J76" i="2"/>
  <c r="J86" i="2"/>
  <c r="J87" i="2"/>
  <c r="J83" i="2"/>
  <c r="M83" i="2"/>
  <c r="P83" i="2"/>
  <c r="S85" i="2"/>
  <c r="S36" i="2"/>
  <c r="N75" i="2"/>
  <c r="P75" i="2"/>
  <c r="K75" i="2"/>
  <c r="K64" i="2"/>
  <c r="M64" i="2"/>
  <c r="K31" i="2"/>
  <c r="K32" i="2"/>
  <c r="K33" i="2"/>
  <c r="K34" i="2"/>
  <c r="K35" i="2"/>
  <c r="K65" i="2"/>
  <c r="M65" i="2"/>
  <c r="K66" i="2"/>
  <c r="M66" i="2"/>
  <c r="K67" i="2"/>
  <c r="M31" i="2"/>
  <c r="M32" i="2"/>
  <c r="M33" i="2"/>
  <c r="M34" i="2"/>
  <c r="M35" i="2"/>
  <c r="M67" i="2"/>
  <c r="K68" i="2"/>
  <c r="M68" i="2"/>
  <c r="L71" i="2"/>
  <c r="M75" i="2"/>
  <c r="H75" i="2"/>
  <c r="J75" i="2"/>
  <c r="E75" i="2"/>
  <c r="G75" i="2"/>
  <c r="G86" i="2"/>
  <c r="G87" i="2"/>
  <c r="G82" i="2"/>
  <c r="J82" i="2"/>
  <c r="M85" i="2"/>
  <c r="M36" i="2"/>
  <c r="H73" i="2"/>
  <c r="J73" i="2"/>
  <c r="E73" i="2"/>
  <c r="G73" i="2"/>
  <c r="B73" i="2"/>
  <c r="B86" i="2"/>
  <c r="B87" i="2"/>
  <c r="D80" i="2"/>
  <c r="G80" i="2"/>
  <c r="J80" i="2"/>
  <c r="K85" i="2"/>
  <c r="K36" i="2"/>
  <c r="M86" i="2"/>
  <c r="M87" i="2"/>
  <c r="M82" i="2"/>
  <c r="P82" i="2"/>
  <c r="Q85" i="2"/>
  <c r="Q36" i="2"/>
  <c r="S86" i="2"/>
  <c r="S87" i="2"/>
  <c r="S83" i="2"/>
  <c r="V83" i="2"/>
  <c r="Y85" i="2"/>
  <c r="Y36" i="2"/>
  <c r="W86" i="2"/>
  <c r="W87" i="2"/>
  <c r="Y79" i="2"/>
  <c r="AB79" i="2"/>
  <c r="AC85" i="2"/>
  <c r="AC36" i="2"/>
  <c r="Z73" i="2"/>
  <c r="AB73" i="2"/>
  <c r="W73" i="2"/>
  <c r="Y73" i="2"/>
  <c r="T64" i="2"/>
  <c r="V64" i="2"/>
  <c r="T31" i="2"/>
  <c r="T32" i="2"/>
  <c r="T33" i="2"/>
  <c r="T34" i="2"/>
  <c r="T35" i="2"/>
  <c r="T65" i="2"/>
  <c r="V65" i="2"/>
  <c r="T66" i="2"/>
  <c r="V31" i="2"/>
  <c r="V32" i="2"/>
  <c r="V33" i="2"/>
  <c r="V34" i="2"/>
  <c r="V35" i="2"/>
  <c r="V66" i="2"/>
  <c r="T67" i="2"/>
  <c r="V67" i="2"/>
  <c r="T68" i="2"/>
  <c r="V68" i="2"/>
  <c r="U71" i="2"/>
  <c r="T73" i="2"/>
  <c r="Q73" i="2"/>
  <c r="S73" i="2"/>
  <c r="N73" i="2"/>
  <c r="P73" i="2"/>
  <c r="K73" i="2"/>
  <c r="K86" i="2"/>
  <c r="K87" i="2"/>
  <c r="M80" i="2"/>
  <c r="P80" i="2"/>
  <c r="S80" i="2"/>
  <c r="T85" i="2"/>
  <c r="T36" i="2"/>
  <c r="Q74" i="2"/>
  <c r="S74" i="2"/>
  <c r="N74" i="2"/>
  <c r="P74" i="2"/>
  <c r="P86" i="2"/>
  <c r="P87" i="2"/>
  <c r="P81" i="2"/>
  <c r="S81" i="2"/>
  <c r="V85" i="2"/>
  <c r="V36" i="2"/>
  <c r="T86" i="2"/>
  <c r="T87" i="2"/>
  <c r="V80" i="2"/>
  <c r="Y80" i="2"/>
  <c r="AB80" i="2"/>
  <c r="AE85" i="2"/>
  <c r="AE36" i="2"/>
  <c r="AC86" i="2"/>
  <c r="AC87" i="2"/>
  <c r="AE79" i="2"/>
  <c r="AU79" i="2"/>
  <c r="AC73" i="2"/>
  <c r="AE73" i="2"/>
  <c r="AE86" i="2"/>
  <c r="AE87" i="2"/>
  <c r="AE80" i="2"/>
  <c r="AU80" i="2"/>
  <c r="AC74" i="2"/>
  <c r="AE74" i="2"/>
  <c r="Z64" i="2"/>
  <c r="AB64" i="2"/>
  <c r="Z65" i="2"/>
  <c r="AB65" i="2"/>
  <c r="Z31" i="2"/>
  <c r="Z32" i="2"/>
  <c r="Z33" i="2"/>
  <c r="Z34" i="2"/>
  <c r="Z35" i="2"/>
  <c r="Z66" i="2"/>
  <c r="AB66" i="2"/>
  <c r="Z67" i="2"/>
  <c r="AB31" i="2"/>
  <c r="AB32" i="2"/>
  <c r="AB33" i="2"/>
  <c r="AB34" i="2"/>
  <c r="AB35" i="2"/>
  <c r="AB67" i="2"/>
  <c r="Z68" i="2"/>
  <c r="AB68" i="2"/>
  <c r="AA71" i="2"/>
  <c r="Z74" i="2"/>
  <c r="W74" i="2"/>
  <c r="Y74" i="2"/>
  <c r="T74" i="2"/>
  <c r="V74" i="2"/>
  <c r="V86" i="2"/>
  <c r="V87" i="2"/>
  <c r="V81" i="2"/>
  <c r="Y81" i="2"/>
  <c r="Z85" i="2"/>
  <c r="Z36" i="2"/>
  <c r="W75" i="2"/>
  <c r="Y75" i="2"/>
  <c r="T75" i="2"/>
  <c r="V75" i="2"/>
  <c r="Q75" i="2"/>
  <c r="Q86" i="2"/>
  <c r="Q87" i="2"/>
  <c r="S82" i="2"/>
  <c r="V82" i="2"/>
  <c r="Y82" i="2"/>
  <c r="AB85" i="2"/>
  <c r="AB36" i="2"/>
  <c r="Z86" i="2"/>
  <c r="Z87" i="2"/>
  <c r="AB81" i="2"/>
  <c r="AE81" i="2"/>
  <c r="AU81" i="2"/>
  <c r="AC75" i="2"/>
  <c r="AE75" i="2"/>
  <c r="Z75" i="2"/>
  <c r="AB75" i="2"/>
  <c r="AB86" i="2"/>
  <c r="AB87" i="2"/>
  <c r="AB82" i="2"/>
  <c r="AE82" i="2"/>
  <c r="AU82" i="2"/>
  <c r="AT83" i="2"/>
  <c r="AC76" i="2"/>
  <c r="AE76" i="2"/>
  <c r="Z76" i="2"/>
  <c r="AB76" i="2"/>
  <c r="W76" i="2"/>
  <c r="Y76" i="2"/>
  <c r="Y86" i="2"/>
  <c r="Y87" i="2"/>
  <c r="Y83" i="2"/>
  <c r="AB83" i="2"/>
  <c r="AE83" i="2"/>
  <c r="AU83" i="2"/>
  <c r="E93" i="2"/>
  <c r="B164" i="2"/>
  <c r="AT164" i="2"/>
  <c r="AC116" i="2"/>
  <c r="AC117" i="2"/>
  <c r="AC118" i="2"/>
  <c r="AC119" i="2"/>
  <c r="AC120" i="2"/>
  <c r="AC149" i="2"/>
  <c r="AE149" i="2"/>
  <c r="AC150" i="2"/>
  <c r="AE116" i="2"/>
  <c r="AE117" i="2"/>
  <c r="AE118" i="2"/>
  <c r="AE119" i="2"/>
  <c r="AE120" i="2"/>
  <c r="AE150" i="2"/>
  <c r="AC151" i="2"/>
  <c r="AE151" i="2"/>
  <c r="AC152" i="2"/>
  <c r="AE152" i="2"/>
  <c r="AC153" i="2"/>
  <c r="AE153" i="2"/>
  <c r="AD156" i="2"/>
  <c r="AC157" i="2"/>
  <c r="Z157" i="2"/>
  <c r="AB157" i="2"/>
  <c r="W116" i="2"/>
  <c r="W117" i="2"/>
  <c r="W118" i="2"/>
  <c r="W119" i="2"/>
  <c r="W120" i="2"/>
  <c r="W149" i="2"/>
  <c r="Y149" i="2"/>
  <c r="W150" i="2"/>
  <c r="Y150" i="2"/>
  <c r="W151" i="2"/>
  <c r="Y151" i="2"/>
  <c r="W152" i="2"/>
  <c r="Y152" i="2"/>
  <c r="W153" i="2"/>
  <c r="Y116" i="2"/>
  <c r="Y117" i="2"/>
  <c r="Y118" i="2"/>
  <c r="Y119" i="2"/>
  <c r="Y120" i="2"/>
  <c r="Y153" i="2"/>
  <c r="X156" i="2"/>
  <c r="W157" i="2"/>
  <c r="T157" i="2"/>
  <c r="V157" i="2"/>
  <c r="Q157" i="2"/>
  <c r="S157" i="2"/>
  <c r="N116" i="2"/>
  <c r="N117" i="2"/>
  <c r="N118" i="2"/>
  <c r="N119" i="2"/>
  <c r="N120" i="2"/>
  <c r="N149" i="2"/>
  <c r="P149" i="2"/>
  <c r="N150" i="2"/>
  <c r="P150" i="2"/>
  <c r="N151" i="2"/>
  <c r="P116" i="2"/>
  <c r="P117" i="2"/>
  <c r="P118" i="2"/>
  <c r="P119" i="2"/>
  <c r="P120" i="2"/>
  <c r="P151" i="2"/>
  <c r="N152" i="2"/>
  <c r="P152" i="2"/>
  <c r="N153" i="2"/>
  <c r="P153" i="2"/>
  <c r="O156" i="2"/>
  <c r="N157" i="2"/>
  <c r="K157" i="2"/>
  <c r="M157" i="2"/>
  <c r="H157" i="2"/>
  <c r="J157" i="2"/>
  <c r="E116" i="2"/>
  <c r="E117" i="2"/>
  <c r="E118" i="2"/>
  <c r="E119" i="2"/>
  <c r="E120" i="2"/>
  <c r="E149" i="2"/>
  <c r="G149" i="2"/>
  <c r="E150" i="2"/>
  <c r="G150" i="2"/>
  <c r="E151" i="2"/>
  <c r="G151" i="2"/>
  <c r="E152" i="2"/>
  <c r="G116" i="2"/>
  <c r="G117" i="2"/>
  <c r="G118" i="2"/>
  <c r="G119" i="2"/>
  <c r="G120" i="2"/>
  <c r="G152" i="2"/>
  <c r="E153" i="2"/>
  <c r="G153" i="2"/>
  <c r="F156" i="2"/>
  <c r="E157" i="2"/>
  <c r="B157" i="2"/>
  <c r="D157" i="2"/>
  <c r="C164" i="2"/>
  <c r="D164" i="2"/>
  <c r="E170" i="2"/>
  <c r="E121" i="2"/>
  <c r="B160" i="2"/>
  <c r="D160" i="2"/>
  <c r="E99" i="2"/>
  <c r="B167" i="2"/>
  <c r="C167" i="2"/>
  <c r="D167" i="2"/>
  <c r="G170" i="2"/>
  <c r="G121" i="2"/>
  <c r="E171" i="2"/>
  <c r="E172" i="2"/>
  <c r="G164" i="2"/>
  <c r="J164" i="2"/>
  <c r="M164" i="2"/>
  <c r="N170" i="2"/>
  <c r="N121" i="2"/>
  <c r="K159" i="2"/>
  <c r="M159" i="2"/>
  <c r="H149" i="2"/>
  <c r="J149" i="2"/>
  <c r="H150" i="2"/>
  <c r="J150" i="2"/>
  <c r="H116" i="2"/>
  <c r="H117" i="2"/>
  <c r="H118" i="2"/>
  <c r="H119" i="2"/>
  <c r="H120" i="2"/>
  <c r="H151" i="2"/>
  <c r="J151" i="2"/>
  <c r="H152" i="2"/>
  <c r="J152" i="2"/>
  <c r="H153" i="2"/>
  <c r="J116" i="2"/>
  <c r="J117" i="2"/>
  <c r="J118" i="2"/>
  <c r="J119" i="2"/>
  <c r="J120" i="2"/>
  <c r="J153" i="2"/>
  <c r="I156" i="2"/>
  <c r="H159" i="2"/>
  <c r="E159" i="2"/>
  <c r="G159" i="2"/>
  <c r="B159" i="2"/>
  <c r="D159" i="2"/>
  <c r="E97" i="2"/>
  <c r="B166" i="2"/>
  <c r="C166" i="2"/>
  <c r="D166" i="2"/>
  <c r="G166" i="2"/>
  <c r="H170" i="2"/>
  <c r="H121" i="2"/>
  <c r="E161" i="2"/>
  <c r="G161" i="2"/>
  <c r="B161" i="2"/>
  <c r="B149" i="2"/>
  <c r="D149" i="2"/>
  <c r="B116" i="2"/>
  <c r="B117" i="2"/>
  <c r="B118" i="2"/>
  <c r="B119" i="2"/>
  <c r="B120" i="2"/>
  <c r="B150" i="2"/>
  <c r="D150" i="2"/>
  <c r="B151" i="2"/>
  <c r="D151" i="2"/>
  <c r="B152" i="2"/>
  <c r="D152" i="2"/>
  <c r="B153" i="2"/>
  <c r="D116" i="2"/>
  <c r="D117" i="2"/>
  <c r="D118" i="2"/>
  <c r="D119" i="2"/>
  <c r="D120" i="2"/>
  <c r="D153" i="2"/>
  <c r="C156" i="2"/>
  <c r="D161" i="2"/>
  <c r="E101" i="2"/>
  <c r="B168" i="2"/>
  <c r="C168" i="2"/>
  <c r="D170" i="2"/>
  <c r="D121" i="2"/>
  <c r="E95" i="2"/>
  <c r="B165" i="2"/>
  <c r="C165" i="2"/>
  <c r="B170" i="2"/>
  <c r="B121" i="2"/>
  <c r="D171" i="2"/>
  <c r="D172" i="2"/>
  <c r="D168" i="2"/>
  <c r="G168" i="2"/>
  <c r="J170" i="2"/>
  <c r="J121" i="2"/>
  <c r="H171" i="2"/>
  <c r="H172" i="2"/>
  <c r="J166" i="2"/>
  <c r="M166" i="2"/>
  <c r="P170" i="2"/>
  <c r="P121" i="2"/>
  <c r="N171" i="2"/>
  <c r="N172" i="2"/>
  <c r="P164" i="2"/>
  <c r="S164" i="2"/>
  <c r="V164" i="2"/>
  <c r="W170" i="2"/>
  <c r="W121" i="2"/>
  <c r="T161" i="2"/>
  <c r="V161" i="2"/>
  <c r="Q161" i="2"/>
  <c r="Q149" i="2"/>
  <c r="S149" i="2"/>
  <c r="Q150" i="2"/>
  <c r="S150" i="2"/>
  <c r="Q151" i="2"/>
  <c r="S151" i="2"/>
  <c r="Q116" i="2"/>
  <c r="Q117" i="2"/>
  <c r="Q118" i="2"/>
  <c r="Q119" i="2"/>
  <c r="Q120" i="2"/>
  <c r="Q152" i="2"/>
  <c r="S152" i="2"/>
  <c r="Q153" i="2"/>
  <c r="S116" i="2"/>
  <c r="S117" i="2"/>
  <c r="S118" i="2"/>
  <c r="S119" i="2"/>
  <c r="S120" i="2"/>
  <c r="S153" i="2"/>
  <c r="R156" i="2"/>
  <c r="S161" i="2"/>
  <c r="N161" i="2"/>
  <c r="P161" i="2"/>
  <c r="K161" i="2"/>
  <c r="M161" i="2"/>
  <c r="H161" i="2"/>
  <c r="J161" i="2"/>
  <c r="J171" i="2"/>
  <c r="J172" i="2"/>
  <c r="J168" i="2"/>
  <c r="M168" i="2"/>
  <c r="P168" i="2"/>
  <c r="S170" i="2"/>
  <c r="S121" i="2"/>
  <c r="N160" i="2"/>
  <c r="P160" i="2"/>
  <c r="K160" i="2"/>
  <c r="K149" i="2"/>
  <c r="M149" i="2"/>
  <c r="K116" i="2"/>
  <c r="K117" i="2"/>
  <c r="K118" i="2"/>
  <c r="K119" i="2"/>
  <c r="K120" i="2"/>
  <c r="K150" i="2"/>
  <c r="M150" i="2"/>
  <c r="K151" i="2"/>
  <c r="M151" i="2"/>
  <c r="K152" i="2"/>
  <c r="M116" i="2"/>
  <c r="M117" i="2"/>
  <c r="M118" i="2"/>
  <c r="M119" i="2"/>
  <c r="M120" i="2"/>
  <c r="M152" i="2"/>
  <c r="K153" i="2"/>
  <c r="M153" i="2"/>
  <c r="L156" i="2"/>
  <c r="M160" i="2"/>
  <c r="H160" i="2"/>
  <c r="J160" i="2"/>
  <c r="E160" i="2"/>
  <c r="G160" i="2"/>
  <c r="G171" i="2"/>
  <c r="G172" i="2"/>
  <c r="G167" i="2"/>
  <c r="J167" i="2"/>
  <c r="M170" i="2"/>
  <c r="M121" i="2"/>
  <c r="H158" i="2"/>
  <c r="J158" i="2"/>
  <c r="E158" i="2"/>
  <c r="G158" i="2"/>
  <c r="B158" i="2"/>
  <c r="B171" i="2"/>
  <c r="B172" i="2"/>
  <c r="D165" i="2"/>
  <c r="G165" i="2"/>
  <c r="J165" i="2"/>
  <c r="K170" i="2"/>
  <c r="K121" i="2"/>
  <c r="M171" i="2"/>
  <c r="M172" i="2"/>
  <c r="M167" i="2"/>
  <c r="P167" i="2"/>
  <c r="Q170" i="2"/>
  <c r="Q121" i="2"/>
  <c r="S171" i="2"/>
  <c r="S172" i="2"/>
  <c r="S168" i="2"/>
  <c r="V168" i="2"/>
  <c r="Y170" i="2"/>
  <c r="Y121" i="2"/>
  <c r="W171" i="2"/>
  <c r="W172" i="2"/>
  <c r="Y164" i="2"/>
  <c r="AB164" i="2"/>
  <c r="AC170" i="2"/>
  <c r="AC121" i="2"/>
  <c r="Z158" i="2"/>
  <c r="AB158" i="2"/>
  <c r="W158" i="2"/>
  <c r="Y158" i="2"/>
  <c r="T149" i="2"/>
  <c r="V149" i="2"/>
  <c r="T116" i="2"/>
  <c r="T117" i="2"/>
  <c r="T118" i="2"/>
  <c r="T119" i="2"/>
  <c r="T120" i="2"/>
  <c r="T150" i="2"/>
  <c r="V150" i="2"/>
  <c r="T151" i="2"/>
  <c r="V116" i="2"/>
  <c r="V117" i="2"/>
  <c r="V118" i="2"/>
  <c r="V119" i="2"/>
  <c r="V120" i="2"/>
  <c r="V151" i="2"/>
  <c r="T152" i="2"/>
  <c r="V152" i="2"/>
  <c r="T153" i="2"/>
  <c r="V153" i="2"/>
  <c r="U156" i="2"/>
  <c r="T158" i="2"/>
  <c r="Q158" i="2"/>
  <c r="S158" i="2"/>
  <c r="N158" i="2"/>
  <c r="P158" i="2"/>
  <c r="K158" i="2"/>
  <c r="K171" i="2"/>
  <c r="K172" i="2"/>
  <c r="M165" i="2"/>
  <c r="P165" i="2"/>
  <c r="S165" i="2"/>
  <c r="T170" i="2"/>
  <c r="T121" i="2"/>
  <c r="Q159" i="2"/>
  <c r="S159" i="2"/>
  <c r="N159" i="2"/>
  <c r="P159" i="2"/>
  <c r="P171" i="2"/>
  <c r="P172" i="2"/>
  <c r="P166" i="2"/>
  <c r="S166" i="2"/>
  <c r="V170" i="2"/>
  <c r="V121" i="2"/>
  <c r="T171" i="2"/>
  <c r="T172" i="2"/>
  <c r="V165" i="2"/>
  <c r="Y165" i="2"/>
  <c r="AB165" i="2"/>
  <c r="AE170" i="2"/>
  <c r="AE121" i="2"/>
  <c r="AC171" i="2"/>
  <c r="AC172" i="2"/>
  <c r="AE164" i="2"/>
  <c r="AU164" i="2"/>
  <c r="AT165" i="2"/>
  <c r="AC158" i="2"/>
  <c r="AE158" i="2"/>
  <c r="AE171" i="2"/>
  <c r="AE172" i="2"/>
  <c r="AE165" i="2"/>
  <c r="AU165" i="2"/>
  <c r="AT166" i="2"/>
  <c r="AC159" i="2"/>
  <c r="AE159" i="2"/>
  <c r="Z149" i="2"/>
  <c r="AB149" i="2"/>
  <c r="Z150" i="2"/>
  <c r="AB150" i="2"/>
  <c r="Z116" i="2"/>
  <c r="Z117" i="2"/>
  <c r="Z118" i="2"/>
  <c r="Z119" i="2"/>
  <c r="Z120" i="2"/>
  <c r="Z151" i="2"/>
  <c r="AB151" i="2"/>
  <c r="Z152" i="2"/>
  <c r="AB116" i="2"/>
  <c r="AB117" i="2"/>
  <c r="AB118" i="2"/>
  <c r="AB119" i="2"/>
  <c r="AB120" i="2"/>
  <c r="AB152" i="2"/>
  <c r="Z153" i="2"/>
  <c r="AB153" i="2"/>
  <c r="AA156" i="2"/>
  <c r="Z159" i="2"/>
  <c r="W159" i="2"/>
  <c r="Y159" i="2"/>
  <c r="T159" i="2"/>
  <c r="V159" i="2"/>
  <c r="V171" i="2"/>
  <c r="V172" i="2"/>
  <c r="V166" i="2"/>
  <c r="Y166" i="2"/>
  <c r="Z170" i="2"/>
  <c r="Z121" i="2"/>
  <c r="W160" i="2"/>
  <c r="Y160" i="2"/>
  <c r="T160" i="2"/>
  <c r="V160" i="2"/>
  <c r="Q160" i="2"/>
  <c r="Q171" i="2"/>
  <c r="Q172" i="2"/>
  <c r="S167" i="2"/>
  <c r="V167" i="2"/>
  <c r="Y167" i="2"/>
  <c r="AB170" i="2"/>
  <c r="AB121" i="2"/>
  <c r="Z171" i="2"/>
  <c r="Z172" i="2"/>
  <c r="AB166" i="2"/>
  <c r="AE166" i="2"/>
  <c r="AU166" i="2"/>
  <c r="AT167" i="2"/>
  <c r="AC160" i="2"/>
  <c r="AE160" i="2"/>
  <c r="Z160" i="2"/>
  <c r="AB160" i="2"/>
  <c r="AB171" i="2"/>
  <c r="AB172" i="2"/>
  <c r="AB167" i="2"/>
  <c r="AE167" i="2"/>
  <c r="AU167" i="2"/>
  <c r="AT168" i="2"/>
  <c r="AC161" i="2"/>
  <c r="AE161" i="2"/>
  <c r="Z161" i="2"/>
  <c r="AB161" i="2"/>
  <c r="W161" i="2"/>
  <c r="Y161" i="2"/>
  <c r="Y171" i="2"/>
  <c r="Y172" i="2"/>
  <c r="Y168" i="2"/>
  <c r="AB168" i="2"/>
  <c r="AE168" i="2"/>
  <c r="AU168" i="2"/>
  <c r="E178" i="2"/>
  <c r="B249" i="2"/>
  <c r="AT249" i="2"/>
  <c r="AC201" i="2"/>
  <c r="AC202" i="2"/>
  <c r="AC203" i="2"/>
  <c r="AC204" i="2"/>
  <c r="AC205" i="2"/>
  <c r="AC234" i="2"/>
  <c r="AE234" i="2"/>
  <c r="AC235" i="2"/>
  <c r="AE201" i="2"/>
  <c r="AE202" i="2"/>
  <c r="AE203" i="2"/>
  <c r="AE204" i="2"/>
  <c r="AE205" i="2"/>
  <c r="AE235" i="2"/>
  <c r="AC236" i="2"/>
  <c r="AE236" i="2"/>
  <c r="AC237" i="2"/>
  <c r="AE237" i="2"/>
  <c r="AC238" i="2"/>
  <c r="AE238" i="2"/>
  <c r="AD241" i="2"/>
  <c r="AC242" i="2"/>
  <c r="Z242" i="2"/>
  <c r="AB242" i="2"/>
  <c r="W201" i="2"/>
  <c r="W202" i="2"/>
  <c r="W203" i="2"/>
  <c r="W204" i="2"/>
  <c r="W205" i="2"/>
  <c r="W234" i="2"/>
  <c r="Y234" i="2"/>
  <c r="W235" i="2"/>
  <c r="Y235" i="2"/>
  <c r="W236" i="2"/>
  <c r="Y236" i="2"/>
  <c r="W237" i="2"/>
  <c r="Y237" i="2"/>
  <c r="W238" i="2"/>
  <c r="Y201" i="2"/>
  <c r="Y202" i="2"/>
  <c r="Y203" i="2"/>
  <c r="Y204" i="2"/>
  <c r="Y205" i="2"/>
  <c r="Y238" i="2"/>
  <c r="X241" i="2"/>
  <c r="W242" i="2"/>
  <c r="T242" i="2"/>
  <c r="V242" i="2"/>
  <c r="Q242" i="2"/>
  <c r="S242" i="2"/>
  <c r="N201" i="2"/>
  <c r="N202" i="2"/>
  <c r="N203" i="2"/>
  <c r="N204" i="2"/>
  <c r="N205" i="2"/>
  <c r="N234" i="2"/>
  <c r="P234" i="2"/>
  <c r="N235" i="2"/>
  <c r="P235" i="2"/>
  <c r="N236" i="2"/>
  <c r="P201" i="2"/>
  <c r="P202" i="2"/>
  <c r="P203" i="2"/>
  <c r="P204" i="2"/>
  <c r="P205" i="2"/>
  <c r="P236" i="2"/>
  <c r="N237" i="2"/>
  <c r="P237" i="2"/>
  <c r="N238" i="2"/>
  <c r="P238" i="2"/>
  <c r="O241" i="2"/>
  <c r="N242" i="2"/>
  <c r="K242" i="2"/>
  <c r="M242" i="2"/>
  <c r="H242" i="2"/>
  <c r="J242" i="2"/>
  <c r="E201" i="2"/>
  <c r="E202" i="2"/>
  <c r="E203" i="2"/>
  <c r="E204" i="2"/>
  <c r="E205" i="2"/>
  <c r="E234" i="2"/>
  <c r="G234" i="2"/>
  <c r="E235" i="2"/>
  <c r="G235" i="2"/>
  <c r="E236" i="2"/>
  <c r="G236" i="2"/>
  <c r="E237" i="2"/>
  <c r="G201" i="2"/>
  <c r="G202" i="2"/>
  <c r="G203" i="2"/>
  <c r="G204" i="2"/>
  <c r="G205" i="2"/>
  <c r="G237" i="2"/>
  <c r="E238" i="2"/>
  <c r="G238" i="2"/>
  <c r="F241" i="2"/>
  <c r="E242" i="2"/>
  <c r="B242" i="2"/>
  <c r="D242" i="2"/>
  <c r="C249" i="2"/>
  <c r="D249" i="2"/>
  <c r="E255" i="2"/>
  <c r="E206" i="2"/>
  <c r="B245" i="2"/>
  <c r="D245" i="2"/>
  <c r="E184" i="2"/>
  <c r="B252" i="2"/>
  <c r="C252" i="2"/>
  <c r="D252" i="2"/>
  <c r="G255" i="2"/>
  <c r="G206" i="2"/>
  <c r="E256" i="2"/>
  <c r="E257" i="2"/>
  <c r="G249" i="2"/>
  <c r="J249" i="2"/>
  <c r="M249" i="2"/>
  <c r="N255" i="2"/>
  <c r="N206" i="2"/>
  <c r="K244" i="2"/>
  <c r="M244" i="2"/>
  <c r="H234" i="2"/>
  <c r="J234" i="2"/>
  <c r="H235" i="2"/>
  <c r="J235" i="2"/>
  <c r="H201" i="2"/>
  <c r="H202" i="2"/>
  <c r="H203" i="2"/>
  <c r="H204" i="2"/>
  <c r="H205" i="2"/>
  <c r="H236" i="2"/>
  <c r="J236" i="2"/>
  <c r="H237" i="2"/>
  <c r="J237" i="2"/>
  <c r="H238" i="2"/>
  <c r="J201" i="2"/>
  <c r="J202" i="2"/>
  <c r="J203" i="2"/>
  <c r="J204" i="2"/>
  <c r="J205" i="2"/>
  <c r="J238" i="2"/>
  <c r="I241" i="2"/>
  <c r="H244" i="2"/>
  <c r="E244" i="2"/>
  <c r="G244" i="2"/>
  <c r="B244" i="2"/>
  <c r="D244" i="2"/>
  <c r="E182" i="2"/>
  <c r="B251" i="2"/>
  <c r="C251" i="2"/>
  <c r="D251" i="2"/>
  <c r="G251" i="2"/>
  <c r="H255" i="2"/>
  <c r="H206" i="2"/>
  <c r="E246" i="2"/>
  <c r="G246" i="2"/>
  <c r="B246" i="2"/>
  <c r="B234" i="2"/>
  <c r="D234" i="2"/>
  <c r="B201" i="2"/>
  <c r="B202" i="2"/>
  <c r="B203" i="2"/>
  <c r="B204" i="2"/>
  <c r="B205" i="2"/>
  <c r="B235" i="2"/>
  <c r="D235" i="2"/>
  <c r="B236" i="2"/>
  <c r="D236" i="2"/>
  <c r="B237" i="2"/>
  <c r="D237" i="2"/>
  <c r="B238" i="2"/>
  <c r="D201" i="2"/>
  <c r="D202" i="2"/>
  <c r="D203" i="2"/>
  <c r="D204" i="2"/>
  <c r="D205" i="2"/>
  <c r="D238" i="2"/>
  <c r="C241" i="2"/>
  <c r="D246" i="2"/>
  <c r="E186" i="2"/>
  <c r="B253" i="2"/>
  <c r="C253" i="2"/>
  <c r="D255" i="2"/>
  <c r="D206" i="2"/>
  <c r="E180" i="2"/>
  <c r="B250" i="2"/>
  <c r="C250" i="2"/>
  <c r="B255" i="2"/>
  <c r="B206" i="2"/>
  <c r="D256" i="2"/>
  <c r="D257" i="2"/>
  <c r="D253" i="2"/>
  <c r="G253" i="2"/>
  <c r="J255" i="2"/>
  <c r="J206" i="2"/>
  <c r="H256" i="2"/>
  <c r="H257" i="2"/>
  <c r="J251" i="2"/>
  <c r="M251" i="2"/>
  <c r="P255" i="2"/>
  <c r="P206" i="2"/>
  <c r="N256" i="2"/>
  <c r="N257" i="2"/>
  <c r="P249" i="2"/>
  <c r="S249" i="2"/>
  <c r="V249" i="2"/>
  <c r="W255" i="2"/>
  <c r="W206" i="2"/>
  <c r="T246" i="2"/>
  <c r="V246" i="2"/>
  <c r="Q246" i="2"/>
  <c r="Q234" i="2"/>
  <c r="S234" i="2"/>
  <c r="Q235" i="2"/>
  <c r="S235" i="2"/>
  <c r="Q236" i="2"/>
  <c r="S236" i="2"/>
  <c r="Q201" i="2"/>
  <c r="Q202" i="2"/>
  <c r="Q203" i="2"/>
  <c r="Q204" i="2"/>
  <c r="Q205" i="2"/>
  <c r="Q237" i="2"/>
  <c r="S237" i="2"/>
  <c r="Q238" i="2"/>
  <c r="S201" i="2"/>
  <c r="S202" i="2"/>
  <c r="S203" i="2"/>
  <c r="S204" i="2"/>
  <c r="S205" i="2"/>
  <c r="S238" i="2"/>
  <c r="R241" i="2"/>
  <c r="S246" i="2"/>
  <c r="N246" i="2"/>
  <c r="P246" i="2"/>
  <c r="K246" i="2"/>
  <c r="M246" i="2"/>
  <c r="H246" i="2"/>
  <c r="J246" i="2"/>
  <c r="J256" i="2"/>
  <c r="J257" i="2"/>
  <c r="J253" i="2"/>
  <c r="M253" i="2"/>
  <c r="P253" i="2"/>
  <c r="S255" i="2"/>
  <c r="S206" i="2"/>
  <c r="N245" i="2"/>
  <c r="P245" i="2"/>
  <c r="K245" i="2"/>
  <c r="K234" i="2"/>
  <c r="M234" i="2"/>
  <c r="K201" i="2"/>
  <c r="K202" i="2"/>
  <c r="K203" i="2"/>
  <c r="K204" i="2"/>
  <c r="K205" i="2"/>
  <c r="K235" i="2"/>
  <c r="M235" i="2"/>
  <c r="K236" i="2"/>
  <c r="M236" i="2"/>
  <c r="K237" i="2"/>
  <c r="M201" i="2"/>
  <c r="M202" i="2"/>
  <c r="M203" i="2"/>
  <c r="M204" i="2"/>
  <c r="M205" i="2"/>
  <c r="M237" i="2"/>
  <c r="K238" i="2"/>
  <c r="M238" i="2"/>
  <c r="L241" i="2"/>
  <c r="M245" i="2"/>
  <c r="H245" i="2"/>
  <c r="J245" i="2"/>
  <c r="E245" i="2"/>
  <c r="G245" i="2"/>
  <c r="G256" i="2"/>
  <c r="G257" i="2"/>
  <c r="G252" i="2"/>
  <c r="J252" i="2"/>
  <c r="M255" i="2"/>
  <c r="M206" i="2"/>
  <c r="H243" i="2"/>
  <c r="J243" i="2"/>
  <c r="E243" i="2"/>
  <c r="G243" i="2"/>
  <c r="B243" i="2"/>
  <c r="B256" i="2"/>
  <c r="B257" i="2"/>
  <c r="D250" i="2"/>
  <c r="G250" i="2"/>
  <c r="J250" i="2"/>
  <c r="K255" i="2"/>
  <c r="K206" i="2"/>
  <c r="M256" i="2"/>
  <c r="M257" i="2"/>
  <c r="M252" i="2"/>
  <c r="P252" i="2"/>
  <c r="Q255" i="2"/>
  <c r="Q206" i="2"/>
  <c r="S256" i="2"/>
  <c r="S257" i="2"/>
  <c r="S253" i="2"/>
  <c r="V253" i="2"/>
  <c r="Y255" i="2"/>
  <c r="Y206" i="2"/>
  <c r="W256" i="2"/>
  <c r="W257" i="2"/>
  <c r="Y249" i="2"/>
  <c r="AB249" i="2"/>
  <c r="AC255" i="2"/>
  <c r="AC206" i="2"/>
  <c r="Z243" i="2"/>
  <c r="AB243" i="2"/>
  <c r="W243" i="2"/>
  <c r="Y243" i="2"/>
  <c r="T234" i="2"/>
  <c r="V234" i="2"/>
  <c r="T201" i="2"/>
  <c r="T202" i="2"/>
  <c r="T203" i="2"/>
  <c r="T204" i="2"/>
  <c r="T205" i="2"/>
  <c r="T235" i="2"/>
  <c r="V235" i="2"/>
  <c r="T236" i="2"/>
  <c r="V201" i="2"/>
  <c r="V202" i="2"/>
  <c r="V203" i="2"/>
  <c r="V204" i="2"/>
  <c r="V205" i="2"/>
  <c r="V236" i="2"/>
  <c r="T237" i="2"/>
  <c r="V237" i="2"/>
  <c r="T238" i="2"/>
  <c r="V238" i="2"/>
  <c r="U241" i="2"/>
  <c r="T243" i="2"/>
  <c r="Q243" i="2"/>
  <c r="S243" i="2"/>
  <c r="N243" i="2"/>
  <c r="P243" i="2"/>
  <c r="K243" i="2"/>
  <c r="K256" i="2"/>
  <c r="K257" i="2"/>
  <c r="M250" i="2"/>
  <c r="P250" i="2"/>
  <c r="S250" i="2"/>
  <c r="T255" i="2"/>
  <c r="T206" i="2"/>
  <c r="Q244" i="2"/>
  <c r="S244" i="2"/>
  <c r="N244" i="2"/>
  <c r="P244" i="2"/>
  <c r="P256" i="2"/>
  <c r="P257" i="2"/>
  <c r="P251" i="2"/>
  <c r="S251" i="2"/>
  <c r="V255" i="2"/>
  <c r="V206" i="2"/>
  <c r="T256" i="2"/>
  <c r="T257" i="2"/>
  <c r="V250" i="2"/>
  <c r="Y250" i="2"/>
  <c r="AB250" i="2"/>
  <c r="AE255" i="2"/>
  <c r="AE206" i="2"/>
  <c r="AC256" i="2"/>
  <c r="AC257" i="2"/>
  <c r="AE249" i="2"/>
  <c r="AU249" i="2"/>
  <c r="AT250" i="2"/>
  <c r="AC243" i="2"/>
  <c r="AE243" i="2"/>
  <c r="AE256" i="2"/>
  <c r="AE257" i="2"/>
  <c r="AE250" i="2"/>
  <c r="AU250" i="2"/>
  <c r="AT251" i="2"/>
  <c r="AC244" i="2"/>
  <c r="AE244" i="2"/>
  <c r="Z234" i="2"/>
  <c r="AB234" i="2"/>
  <c r="Z235" i="2"/>
  <c r="AB235" i="2"/>
  <c r="Z201" i="2"/>
  <c r="Z202" i="2"/>
  <c r="Z203" i="2"/>
  <c r="Z204" i="2"/>
  <c r="Z205" i="2"/>
  <c r="Z236" i="2"/>
  <c r="AB236" i="2"/>
  <c r="Z237" i="2"/>
  <c r="AB201" i="2"/>
  <c r="AB202" i="2"/>
  <c r="AB203" i="2"/>
  <c r="AB204" i="2"/>
  <c r="AB205" i="2"/>
  <c r="AB237" i="2"/>
  <c r="Z238" i="2"/>
  <c r="AB238" i="2"/>
  <c r="AA241" i="2"/>
  <c r="Z244" i="2"/>
  <c r="W244" i="2"/>
  <c r="Y244" i="2"/>
  <c r="T244" i="2"/>
  <c r="V244" i="2"/>
  <c r="V256" i="2"/>
  <c r="V257" i="2"/>
  <c r="V251" i="2"/>
  <c r="Y251" i="2"/>
  <c r="Z255" i="2"/>
  <c r="Z206" i="2"/>
  <c r="W245" i="2"/>
  <c r="Y245" i="2"/>
  <c r="T245" i="2"/>
  <c r="V245" i="2"/>
  <c r="Q245" i="2"/>
  <c r="Q256" i="2"/>
  <c r="Q257" i="2"/>
  <c r="S252" i="2"/>
  <c r="V252" i="2"/>
  <c r="Y252" i="2"/>
  <c r="AB255" i="2"/>
  <c r="AB206" i="2"/>
  <c r="Z256" i="2"/>
  <c r="Z257" i="2"/>
  <c r="AB251" i="2"/>
  <c r="AE251" i="2"/>
  <c r="AU251" i="2"/>
  <c r="AT252" i="2"/>
  <c r="AC245" i="2"/>
  <c r="AE245" i="2"/>
  <c r="Z245" i="2"/>
  <c r="AB245" i="2"/>
  <c r="AB256" i="2"/>
  <c r="AB257" i="2"/>
  <c r="AB252" i="2"/>
  <c r="AE252" i="2"/>
  <c r="AU252" i="2"/>
  <c r="AT253" i="2"/>
  <c r="AC246" i="2"/>
  <c r="AE246" i="2"/>
  <c r="Z246" i="2"/>
  <c r="AB246" i="2"/>
  <c r="W246" i="2"/>
  <c r="Y246" i="2"/>
  <c r="Y256" i="2"/>
  <c r="Y257" i="2"/>
  <c r="Y253" i="2"/>
  <c r="AB253" i="2"/>
  <c r="AE253" i="2"/>
  <c r="AU253" i="2"/>
  <c r="B334" i="2"/>
  <c r="AT334" i="2"/>
  <c r="AC327" i="2"/>
  <c r="AE327" i="2"/>
  <c r="Z327" i="2"/>
  <c r="AB327" i="2"/>
  <c r="W327" i="2"/>
  <c r="Y327" i="2"/>
  <c r="T327" i="2"/>
  <c r="V327" i="2"/>
  <c r="Q286" i="2"/>
  <c r="Q287" i="2"/>
  <c r="Q288" i="2"/>
  <c r="Q289" i="2"/>
  <c r="Q290" i="2"/>
  <c r="Q319" i="2"/>
  <c r="S319" i="2"/>
  <c r="Q320" i="2"/>
  <c r="S286" i="2"/>
  <c r="S287" i="2"/>
  <c r="S288" i="2"/>
  <c r="S289" i="2"/>
  <c r="S290" i="2"/>
  <c r="S320" i="2"/>
  <c r="Q321" i="2"/>
  <c r="S321" i="2"/>
  <c r="Q322" i="2"/>
  <c r="S322" i="2"/>
  <c r="Q323" i="2"/>
  <c r="S323" i="2"/>
  <c r="R326" i="2"/>
  <c r="Q327" i="2"/>
  <c r="N327" i="2"/>
  <c r="P327" i="2"/>
  <c r="K286" i="2"/>
  <c r="K287" i="2"/>
  <c r="K288" i="2"/>
  <c r="K289" i="2"/>
  <c r="K290" i="2"/>
  <c r="K319" i="2"/>
  <c r="M319" i="2"/>
  <c r="K320" i="2"/>
  <c r="M320" i="2"/>
  <c r="K321" i="2"/>
  <c r="M286" i="2"/>
  <c r="M287" i="2"/>
  <c r="M288" i="2"/>
  <c r="M289" i="2"/>
  <c r="M290" i="2"/>
  <c r="M321" i="2"/>
  <c r="K322" i="2"/>
  <c r="M322" i="2"/>
  <c r="K323" i="2"/>
  <c r="M323" i="2"/>
  <c r="L326" i="2"/>
  <c r="K327" i="2"/>
  <c r="H327" i="2"/>
  <c r="J327" i="2"/>
  <c r="E286" i="2"/>
  <c r="E287" i="2"/>
  <c r="E288" i="2"/>
  <c r="E289" i="2"/>
  <c r="E290" i="2"/>
  <c r="E319" i="2"/>
  <c r="G319" i="2"/>
  <c r="E320" i="2"/>
  <c r="G320" i="2"/>
  <c r="E321" i="2"/>
  <c r="G321" i="2"/>
  <c r="E322" i="2"/>
  <c r="G286" i="2"/>
  <c r="G287" i="2"/>
  <c r="G288" i="2"/>
  <c r="G289" i="2"/>
  <c r="G290" i="2"/>
  <c r="G322" i="2"/>
  <c r="E323" i="2"/>
  <c r="G323" i="2"/>
  <c r="F326" i="2"/>
  <c r="E327" i="2"/>
  <c r="B327" i="2"/>
  <c r="D327" i="2"/>
  <c r="C334" i="2"/>
  <c r="D334" i="2"/>
  <c r="E340" i="2"/>
  <c r="E291" i="2"/>
  <c r="B330" i="2"/>
  <c r="D330" i="2"/>
  <c r="E269" i="2"/>
  <c r="B337" i="2"/>
  <c r="C337" i="2"/>
  <c r="D337" i="2"/>
  <c r="G340" i="2"/>
  <c r="G291" i="2"/>
  <c r="E341" i="2"/>
  <c r="E342" i="2"/>
  <c r="G334" i="2"/>
  <c r="J334" i="2"/>
  <c r="K340" i="2"/>
  <c r="K291" i="2"/>
  <c r="H329" i="2"/>
  <c r="J329" i="2"/>
  <c r="E329" i="2"/>
  <c r="G329" i="2"/>
  <c r="B329" i="2"/>
  <c r="B319" i="2"/>
  <c r="D319" i="2"/>
  <c r="B286" i="2"/>
  <c r="B287" i="2"/>
  <c r="B288" i="2"/>
  <c r="B289" i="2"/>
  <c r="B290" i="2"/>
  <c r="B320" i="2"/>
  <c r="D320" i="2"/>
  <c r="B321" i="2"/>
  <c r="D286" i="2"/>
  <c r="D287" i="2"/>
  <c r="D288" i="2"/>
  <c r="D289" i="2"/>
  <c r="D290" i="2"/>
  <c r="D321" i="2"/>
  <c r="B322" i="2"/>
  <c r="D322" i="2"/>
  <c r="B323" i="2"/>
  <c r="D323" i="2"/>
  <c r="C326" i="2"/>
  <c r="D329" i="2"/>
  <c r="E267" i="2"/>
  <c r="B336" i="2"/>
  <c r="C336" i="2"/>
  <c r="D340" i="2"/>
  <c r="D291" i="2"/>
  <c r="E265" i="2"/>
  <c r="B335" i="2"/>
  <c r="C335" i="2"/>
  <c r="B340" i="2"/>
  <c r="B291" i="2"/>
  <c r="D341" i="2"/>
  <c r="D342" i="2"/>
  <c r="D336" i="2"/>
  <c r="G336" i="2"/>
  <c r="J336" i="2"/>
  <c r="M340" i="2"/>
  <c r="M291" i="2"/>
  <c r="K341" i="2"/>
  <c r="K342" i="2"/>
  <c r="M334" i="2"/>
  <c r="P334" i="2"/>
  <c r="Q340" i="2"/>
  <c r="Q291" i="2"/>
  <c r="N328" i="2"/>
  <c r="P328" i="2"/>
  <c r="K328" i="2"/>
  <c r="M328" i="2"/>
  <c r="H319" i="2"/>
  <c r="J319" i="2"/>
  <c r="H286" i="2"/>
  <c r="H287" i="2"/>
  <c r="H288" i="2"/>
  <c r="H289" i="2"/>
  <c r="H290" i="2"/>
  <c r="H320" i="2"/>
  <c r="J320" i="2"/>
  <c r="H321" i="2"/>
  <c r="J321" i="2"/>
  <c r="H322" i="2"/>
  <c r="J286" i="2"/>
  <c r="J287" i="2"/>
  <c r="J288" i="2"/>
  <c r="J289" i="2"/>
  <c r="J290" i="2"/>
  <c r="J322" i="2"/>
  <c r="H323" i="2"/>
  <c r="J323" i="2"/>
  <c r="I326" i="2"/>
  <c r="H328" i="2"/>
  <c r="E328" i="2"/>
  <c r="G328" i="2"/>
  <c r="B328" i="2"/>
  <c r="B341" i="2"/>
  <c r="B342" i="2"/>
  <c r="D335" i="2"/>
  <c r="G335" i="2"/>
  <c r="H340" i="2"/>
  <c r="H291" i="2"/>
  <c r="E330" i="2"/>
  <c r="G330" i="2"/>
  <c r="G341" i="2"/>
  <c r="G342" i="2"/>
  <c r="G337" i="2"/>
  <c r="J340" i="2"/>
  <c r="J291" i="2"/>
  <c r="H341" i="2"/>
  <c r="H342" i="2"/>
  <c r="J335" i="2"/>
  <c r="M335" i="2"/>
  <c r="P335" i="2"/>
  <c r="S340" i="2"/>
  <c r="S291" i="2"/>
  <c r="Q341" i="2"/>
  <c r="Q342" i="2"/>
  <c r="S334" i="2"/>
  <c r="V334" i="2"/>
  <c r="Y334" i="2"/>
  <c r="AB334" i="2"/>
  <c r="AE334" i="2"/>
  <c r="AU334" i="2"/>
  <c r="AT335" i="2"/>
  <c r="AC328" i="2"/>
  <c r="AE328" i="2"/>
  <c r="Z328" i="2"/>
  <c r="AB328" i="2"/>
  <c r="W328" i="2"/>
  <c r="Y328" i="2"/>
  <c r="T328" i="2"/>
  <c r="V328" i="2"/>
  <c r="Q328" i="2"/>
  <c r="S328" i="2"/>
  <c r="S341" i="2"/>
  <c r="S342" i="2"/>
  <c r="S335" i="2"/>
  <c r="V335" i="2"/>
  <c r="Y335" i="2"/>
  <c r="AB335" i="2"/>
  <c r="AE335" i="2"/>
  <c r="AU335" i="2"/>
  <c r="AT336" i="2"/>
  <c r="AC329" i="2"/>
  <c r="AE329" i="2"/>
  <c r="Z329" i="2"/>
  <c r="AB329" i="2"/>
  <c r="W329" i="2"/>
  <c r="Y329" i="2"/>
  <c r="T329" i="2"/>
  <c r="V329" i="2"/>
  <c r="Q329" i="2"/>
  <c r="S329" i="2"/>
  <c r="N319" i="2"/>
  <c r="P319" i="2"/>
  <c r="N320" i="2"/>
  <c r="P320" i="2"/>
  <c r="N286" i="2"/>
  <c r="N287" i="2"/>
  <c r="N288" i="2"/>
  <c r="N289" i="2"/>
  <c r="N290" i="2"/>
  <c r="N321" i="2"/>
  <c r="P321" i="2"/>
  <c r="N322" i="2"/>
  <c r="P286" i="2"/>
  <c r="P287" i="2"/>
  <c r="P288" i="2"/>
  <c r="P289" i="2"/>
  <c r="P290" i="2"/>
  <c r="P322" i="2"/>
  <c r="N323" i="2"/>
  <c r="P323" i="2"/>
  <c r="O326" i="2"/>
  <c r="N329" i="2"/>
  <c r="K329" i="2"/>
  <c r="M329" i="2"/>
  <c r="M341" i="2"/>
  <c r="M342" i="2"/>
  <c r="M336" i="2"/>
  <c r="N340" i="2"/>
  <c r="N291" i="2"/>
  <c r="K330" i="2"/>
  <c r="M330" i="2"/>
  <c r="H330" i="2"/>
  <c r="J330" i="2"/>
  <c r="J341" i="2"/>
  <c r="J342" i="2"/>
  <c r="J337" i="2"/>
  <c r="M337" i="2"/>
  <c r="P340" i="2"/>
  <c r="P291" i="2"/>
  <c r="N341" i="2"/>
  <c r="N342" i="2"/>
  <c r="P336" i="2"/>
  <c r="S336" i="2"/>
  <c r="V336" i="2"/>
  <c r="Y336" i="2"/>
  <c r="AB336" i="2"/>
  <c r="AE336" i="2"/>
  <c r="AU336" i="2"/>
  <c r="AT337" i="2"/>
  <c r="AC330" i="2"/>
  <c r="AE330" i="2"/>
  <c r="Z330" i="2"/>
  <c r="AB330" i="2"/>
  <c r="W330" i="2"/>
  <c r="Y330" i="2"/>
  <c r="T330" i="2"/>
  <c r="V330" i="2"/>
  <c r="Q330" i="2"/>
  <c r="S330" i="2"/>
  <c r="N330" i="2"/>
  <c r="P330" i="2"/>
  <c r="P341" i="2"/>
  <c r="P342" i="2"/>
  <c r="P337" i="2"/>
  <c r="S337" i="2"/>
  <c r="V337" i="2"/>
  <c r="Y337" i="2"/>
  <c r="AB337" i="2"/>
  <c r="AE337" i="2"/>
  <c r="AU337" i="2"/>
  <c r="E271" i="2"/>
  <c r="B338" i="2"/>
  <c r="AT338" i="2"/>
  <c r="AC331" i="2"/>
  <c r="AE331" i="2"/>
  <c r="Z331" i="2"/>
  <c r="AB331" i="2"/>
  <c r="W331" i="2"/>
  <c r="Y331" i="2"/>
  <c r="T331" i="2"/>
  <c r="V331" i="2"/>
  <c r="Q331" i="2"/>
  <c r="S331" i="2"/>
  <c r="N331" i="2"/>
  <c r="P331" i="2"/>
  <c r="K331" i="2"/>
  <c r="M331" i="2"/>
  <c r="H331" i="2"/>
  <c r="J331" i="2"/>
  <c r="E331" i="2"/>
  <c r="G331" i="2"/>
  <c r="B331" i="2"/>
  <c r="D331" i="2"/>
  <c r="C338" i="2"/>
  <c r="D338" i="2"/>
  <c r="G338" i="2"/>
  <c r="J338" i="2"/>
  <c r="M338" i="2"/>
  <c r="P338" i="2"/>
  <c r="S338" i="2"/>
  <c r="V338" i="2"/>
  <c r="Y338" i="2"/>
  <c r="AB338" i="2"/>
  <c r="AE338" i="2"/>
  <c r="AU338" i="2"/>
  <c r="AX6" i="2"/>
  <c r="X450" i="2"/>
  <c r="Y451" i="2"/>
  <c r="AF349" i="2"/>
  <c r="X430" i="2"/>
  <c r="W447" i="2"/>
  <c r="AX18" i="2"/>
  <c r="X447" i="2"/>
  <c r="W451" i="2"/>
  <c r="Y452" i="2"/>
  <c r="Y453" i="2"/>
  <c r="Y450" i="2"/>
  <c r="AB450" i="2"/>
  <c r="AC451" i="2"/>
  <c r="AC439" i="2"/>
  <c r="AC440" i="2"/>
  <c r="AC441" i="2"/>
  <c r="AC442" i="2"/>
  <c r="Z439" i="2"/>
  <c r="Z440" i="2"/>
  <c r="Z441" i="2"/>
  <c r="Z442" i="2"/>
  <c r="AB439" i="2"/>
  <c r="AB440" i="2"/>
  <c r="AB441" i="2"/>
  <c r="AB442" i="2"/>
  <c r="AE438" i="2"/>
  <c r="AF351" i="2"/>
  <c r="X432" i="2"/>
  <c r="W449" i="2"/>
  <c r="AX8" i="2"/>
  <c r="X449" i="2"/>
  <c r="Y449" i="2"/>
  <c r="AB451" i="2"/>
  <c r="AF350" i="2"/>
  <c r="X431" i="2"/>
  <c r="W448" i="2"/>
  <c r="AX17" i="2"/>
  <c r="X448" i="2"/>
  <c r="Y448" i="2"/>
  <c r="Z451" i="2"/>
  <c r="AB452" i="2"/>
  <c r="AB453" i="2"/>
  <c r="AB449" i="2"/>
  <c r="AE451" i="2"/>
  <c r="AE439" i="2"/>
  <c r="AE440" i="2"/>
  <c r="AE441" i="2"/>
  <c r="AE442" i="2"/>
  <c r="AC452" i="2"/>
  <c r="AC453" i="2"/>
  <c r="AE450" i="2"/>
  <c r="AU453" i="2"/>
  <c r="AT453" i="2"/>
  <c r="AE452" i="2"/>
  <c r="AE453" i="2"/>
  <c r="Z452" i="2"/>
  <c r="Z453" i="2"/>
  <c r="W452" i="2"/>
  <c r="W453" i="2"/>
  <c r="E439" i="2"/>
  <c r="E440" i="2"/>
  <c r="E441" i="2"/>
  <c r="E442" i="2"/>
  <c r="G439" i="2"/>
  <c r="G440" i="2"/>
  <c r="G441" i="2"/>
  <c r="G442" i="2"/>
  <c r="J438" i="2"/>
  <c r="V351" i="2"/>
  <c r="B432" i="2"/>
  <c r="B449" i="2"/>
  <c r="AX16" i="2"/>
  <c r="C449" i="2"/>
  <c r="D449" i="2"/>
  <c r="G451" i="2"/>
  <c r="V350" i="2"/>
  <c r="B431" i="2"/>
  <c r="B448" i="2"/>
  <c r="AX12" i="2"/>
  <c r="C448" i="2"/>
  <c r="D448" i="2"/>
  <c r="E451" i="2"/>
  <c r="G452" i="2"/>
  <c r="G453" i="2"/>
  <c r="G449" i="2"/>
  <c r="J451" i="2"/>
  <c r="J439" i="2"/>
  <c r="J440" i="2"/>
  <c r="J441" i="2"/>
  <c r="J442" i="2"/>
  <c r="B439" i="2"/>
  <c r="B440" i="2"/>
  <c r="B441" i="2"/>
  <c r="B442" i="2"/>
  <c r="D439" i="2"/>
  <c r="D440" i="2"/>
  <c r="D441" i="2"/>
  <c r="D442" i="2"/>
  <c r="H438" i="2"/>
  <c r="V349" i="2"/>
  <c r="B430" i="2"/>
  <c r="B447" i="2"/>
  <c r="AX10" i="2"/>
  <c r="C447" i="2"/>
  <c r="B451" i="2"/>
  <c r="V352" i="2"/>
  <c r="B433" i="2"/>
  <c r="B450" i="2"/>
  <c r="AX7" i="2"/>
  <c r="C450" i="2"/>
  <c r="D451" i="2"/>
  <c r="B452" i="2"/>
  <c r="B453" i="2"/>
  <c r="D447" i="2"/>
  <c r="G447" i="2"/>
  <c r="H451" i="2"/>
  <c r="H439" i="2"/>
  <c r="H440" i="2"/>
  <c r="H441" i="2"/>
  <c r="H442" i="2"/>
  <c r="J452" i="2"/>
  <c r="J453" i="2"/>
  <c r="H452" i="2"/>
  <c r="H453" i="2"/>
  <c r="E452" i="2"/>
  <c r="E453" i="2"/>
  <c r="D452" i="2"/>
  <c r="D453" i="2"/>
  <c r="AE449" i="2"/>
  <c r="AU452" i="2"/>
  <c r="AT452" i="2"/>
  <c r="AB448" i="2"/>
  <c r="AE448" i="2"/>
  <c r="AU451" i="2"/>
  <c r="AT451" i="2"/>
  <c r="Y447" i="2"/>
  <c r="AB447" i="2"/>
  <c r="AE447" i="2"/>
  <c r="AU450" i="2"/>
  <c r="AT450" i="2"/>
  <c r="D450" i="2"/>
  <c r="G450" i="2"/>
  <c r="J450" i="2"/>
  <c r="AU449" i="2"/>
  <c r="AT449" i="2"/>
  <c r="J449" i="2"/>
  <c r="AU448" i="2"/>
  <c r="AT448" i="2"/>
  <c r="G448" i="2"/>
  <c r="J448" i="2"/>
  <c r="AU447" i="2"/>
  <c r="AT447" i="2"/>
  <c r="J447" i="2"/>
  <c r="AU446" i="2"/>
  <c r="AT446" i="2"/>
  <c r="AF443" i="2"/>
  <c r="K443" i="2"/>
  <c r="E264" i="2"/>
  <c r="AL352" i="2"/>
  <c r="AG433" i="2"/>
  <c r="E266" i="2"/>
  <c r="AB352" i="2"/>
  <c r="K433" i="2"/>
  <c r="E181" i="2"/>
  <c r="AL351" i="2"/>
  <c r="AG432" i="2"/>
  <c r="E185" i="2"/>
  <c r="AB351" i="2"/>
  <c r="K432" i="2"/>
  <c r="E100" i="2"/>
  <c r="AL350" i="2"/>
  <c r="AG431" i="2"/>
  <c r="E98" i="2"/>
  <c r="AB350" i="2"/>
  <c r="K431" i="2"/>
  <c r="E15" i="2"/>
  <c r="AL349" i="2"/>
  <c r="AG430" i="2"/>
  <c r="E11" i="2"/>
  <c r="AB349" i="2"/>
  <c r="K430" i="2"/>
  <c r="U424" i="2"/>
  <c r="A424" i="2"/>
  <c r="AB423" i="2"/>
  <c r="F423" i="2"/>
  <c r="U419" i="2"/>
  <c r="A419" i="2"/>
  <c r="AF418" i="2"/>
  <c r="J418" i="2"/>
  <c r="U415" i="2"/>
  <c r="A415" i="2"/>
  <c r="AB413" i="2"/>
  <c r="T413" i="2"/>
  <c r="F413" i="2"/>
  <c r="A413" i="2"/>
  <c r="U410" i="2"/>
  <c r="A410" i="2"/>
  <c r="W391" i="2"/>
  <c r="W392" i="2"/>
  <c r="W393" i="2"/>
  <c r="W394" i="2"/>
  <c r="Y391" i="2"/>
  <c r="Y392" i="2"/>
  <c r="Y393" i="2"/>
  <c r="Y394" i="2"/>
  <c r="AC390" i="2"/>
  <c r="Z391" i="2"/>
  <c r="Z392" i="2"/>
  <c r="Z393" i="2"/>
  <c r="Z394" i="2"/>
  <c r="AB391" i="2"/>
  <c r="AB392" i="2"/>
  <c r="AB393" i="2"/>
  <c r="AB394" i="2"/>
  <c r="AE390" i="2"/>
  <c r="L352" i="2"/>
  <c r="X385" i="2"/>
  <c r="W402" i="2"/>
  <c r="AX14" i="2"/>
  <c r="X402" i="2"/>
  <c r="Y403" i="2"/>
  <c r="L349" i="2"/>
  <c r="X382" i="2"/>
  <c r="W399" i="2"/>
  <c r="AX11" i="2"/>
  <c r="X399" i="2"/>
  <c r="W403" i="2"/>
  <c r="Y404" i="2"/>
  <c r="Y405" i="2"/>
  <c r="Y402" i="2"/>
  <c r="AB402" i="2"/>
  <c r="AE402" i="2"/>
  <c r="AU405" i="2"/>
  <c r="AT405" i="2"/>
  <c r="L350" i="2"/>
  <c r="X383" i="2"/>
  <c r="W400" i="2"/>
  <c r="AX9" i="2"/>
  <c r="X400" i="2"/>
  <c r="Y400" i="2"/>
  <c r="Z403" i="2"/>
  <c r="L351" i="2"/>
  <c r="X384" i="2"/>
  <c r="W401" i="2"/>
  <c r="AX13" i="2"/>
  <c r="X401" i="2"/>
  <c r="Y401" i="2"/>
  <c r="AB403" i="2"/>
  <c r="Z404" i="2"/>
  <c r="Z405" i="2"/>
  <c r="AB400" i="2"/>
  <c r="AE403" i="2"/>
  <c r="AE391" i="2"/>
  <c r="AE392" i="2"/>
  <c r="AE393" i="2"/>
  <c r="AE394" i="2"/>
  <c r="W404" i="2"/>
  <c r="W405" i="2"/>
  <c r="Y399" i="2"/>
  <c r="AB399" i="2"/>
  <c r="AC403" i="2"/>
  <c r="AC391" i="2"/>
  <c r="AC392" i="2"/>
  <c r="AC393" i="2"/>
  <c r="AC394" i="2"/>
  <c r="AE404" i="2"/>
  <c r="AE405" i="2"/>
  <c r="AC404" i="2"/>
  <c r="AC405" i="2"/>
  <c r="AB404" i="2"/>
  <c r="AB405" i="2"/>
  <c r="E391" i="2"/>
  <c r="E392" i="2"/>
  <c r="E393" i="2"/>
  <c r="E394" i="2"/>
  <c r="G391" i="2"/>
  <c r="G392" i="2"/>
  <c r="G393" i="2"/>
  <c r="G394" i="2"/>
  <c r="J390" i="2"/>
  <c r="B350" i="2"/>
  <c r="B383" i="2"/>
  <c r="B400" i="2"/>
  <c r="AX4" i="2"/>
  <c r="C400" i="2"/>
  <c r="D400" i="2"/>
  <c r="E403" i="2"/>
  <c r="B351" i="2"/>
  <c r="B384" i="2"/>
  <c r="B401" i="2"/>
  <c r="AX5" i="2"/>
  <c r="C401" i="2"/>
  <c r="D401" i="2"/>
  <c r="G403" i="2"/>
  <c r="E404" i="2"/>
  <c r="E405" i="2"/>
  <c r="G400" i="2"/>
  <c r="J403" i="2"/>
  <c r="J391" i="2"/>
  <c r="J392" i="2"/>
  <c r="J393" i="2"/>
  <c r="J394" i="2"/>
  <c r="B391" i="2"/>
  <c r="B392" i="2"/>
  <c r="B393" i="2"/>
  <c r="B394" i="2"/>
  <c r="D391" i="2"/>
  <c r="D392" i="2"/>
  <c r="D393" i="2"/>
  <c r="D394" i="2"/>
  <c r="H390" i="2"/>
  <c r="B349" i="2"/>
  <c r="B382" i="2"/>
  <c r="B399" i="2"/>
  <c r="AX3" i="2"/>
  <c r="C399" i="2"/>
  <c r="B403" i="2"/>
  <c r="B352" i="2"/>
  <c r="B385" i="2"/>
  <c r="B402" i="2"/>
  <c r="AX15" i="2"/>
  <c r="C402" i="2"/>
  <c r="D403" i="2"/>
  <c r="B404" i="2"/>
  <c r="B405" i="2"/>
  <c r="D399" i="2"/>
  <c r="G399" i="2"/>
  <c r="H403" i="2"/>
  <c r="H391" i="2"/>
  <c r="H392" i="2"/>
  <c r="H393" i="2"/>
  <c r="H394" i="2"/>
  <c r="J404" i="2"/>
  <c r="J405" i="2"/>
  <c r="H404" i="2"/>
  <c r="H405" i="2"/>
  <c r="G404" i="2"/>
  <c r="G405" i="2"/>
  <c r="D404" i="2"/>
  <c r="D405" i="2"/>
  <c r="AB401" i="2"/>
  <c r="AE401" i="2"/>
  <c r="AU404" i="2"/>
  <c r="AT404" i="2"/>
  <c r="AE400" i="2"/>
  <c r="AU403" i="2"/>
  <c r="AT403" i="2"/>
  <c r="AE399" i="2"/>
  <c r="AU402" i="2"/>
  <c r="AT402" i="2"/>
  <c r="D402" i="2"/>
  <c r="G402" i="2"/>
  <c r="J402" i="2"/>
  <c r="AU401" i="2"/>
  <c r="AT401" i="2"/>
  <c r="G401" i="2"/>
  <c r="J401" i="2"/>
  <c r="AU400" i="2"/>
  <c r="AT400" i="2"/>
  <c r="J400" i="2"/>
  <c r="AU399" i="2"/>
  <c r="AT399" i="2"/>
  <c r="J399" i="2"/>
  <c r="AU398" i="2"/>
  <c r="AT398" i="2"/>
  <c r="AF395" i="2"/>
  <c r="K395" i="2"/>
  <c r="E268" i="2"/>
  <c r="R352" i="2"/>
  <c r="AG385" i="2"/>
  <c r="E270" i="2"/>
  <c r="H352" i="2"/>
  <c r="K385" i="2"/>
  <c r="E183" i="2"/>
  <c r="R351" i="2"/>
  <c r="AG384" i="2"/>
  <c r="E179" i="2"/>
  <c r="H351" i="2"/>
  <c r="K384" i="2"/>
  <c r="E96" i="2"/>
  <c r="R350" i="2"/>
  <c r="AG383" i="2"/>
  <c r="E94" i="2"/>
  <c r="H350" i="2"/>
  <c r="K383" i="2"/>
  <c r="E13" i="2"/>
  <c r="R349" i="2"/>
  <c r="AG382" i="2"/>
  <c r="E9" i="2"/>
  <c r="H349" i="2"/>
  <c r="K382" i="2"/>
  <c r="U376" i="2"/>
  <c r="A376" i="2"/>
  <c r="AB375" i="2"/>
  <c r="F375" i="2"/>
  <c r="U371" i="2"/>
  <c r="A371" i="2"/>
  <c r="AF370" i="2"/>
  <c r="J370" i="2"/>
  <c r="U367" i="2"/>
  <c r="A367" i="2"/>
  <c r="AB365" i="2"/>
  <c r="U365" i="2"/>
  <c r="F365" i="2"/>
  <c r="A365" i="2"/>
  <c r="U362" i="2"/>
  <c r="A362" i="2"/>
  <c r="A344" i="2"/>
  <c r="AE340" i="2"/>
  <c r="AE286" i="2"/>
  <c r="AE287" i="2"/>
  <c r="AE288" i="2"/>
  <c r="AE289" i="2"/>
  <c r="AE290" i="2"/>
  <c r="AE291" i="2"/>
  <c r="AC340" i="2"/>
  <c r="AC286" i="2"/>
  <c r="AC287" i="2"/>
  <c r="AC288" i="2"/>
  <c r="AC289" i="2"/>
  <c r="AC290" i="2"/>
  <c r="AC291" i="2"/>
  <c r="AE341" i="2"/>
  <c r="AE342" i="2"/>
  <c r="AC341" i="2"/>
  <c r="AC342" i="2"/>
  <c r="AB340" i="2"/>
  <c r="AB286" i="2"/>
  <c r="AB287" i="2"/>
  <c r="AB288" i="2"/>
  <c r="AB289" i="2"/>
  <c r="AB290" i="2"/>
  <c r="AB291" i="2"/>
  <c r="Z340" i="2"/>
  <c r="Z286" i="2"/>
  <c r="Z287" i="2"/>
  <c r="Z288" i="2"/>
  <c r="Z289" i="2"/>
  <c r="Z290" i="2"/>
  <c r="Z291" i="2"/>
  <c r="AB341" i="2"/>
  <c r="AB342" i="2"/>
  <c r="Z341" i="2"/>
  <c r="Z342" i="2"/>
  <c r="Y340" i="2"/>
  <c r="Y286" i="2"/>
  <c r="Y287" i="2"/>
  <c r="Y288" i="2"/>
  <c r="Y289" i="2"/>
  <c r="Y290" i="2"/>
  <c r="Y291" i="2"/>
  <c r="W340" i="2"/>
  <c r="W286" i="2"/>
  <c r="W287" i="2"/>
  <c r="W288" i="2"/>
  <c r="W289" i="2"/>
  <c r="W290" i="2"/>
  <c r="W291" i="2"/>
  <c r="Y341" i="2"/>
  <c r="Y342" i="2"/>
  <c r="W341" i="2"/>
  <c r="W342" i="2"/>
  <c r="V340" i="2"/>
  <c r="V286" i="2"/>
  <c r="V287" i="2"/>
  <c r="V288" i="2"/>
  <c r="V289" i="2"/>
  <c r="V290" i="2"/>
  <c r="V291" i="2"/>
  <c r="T340" i="2"/>
  <c r="T286" i="2"/>
  <c r="T287" i="2"/>
  <c r="T288" i="2"/>
  <c r="T289" i="2"/>
  <c r="T290" i="2"/>
  <c r="T291" i="2"/>
  <c r="V341" i="2"/>
  <c r="V342" i="2"/>
  <c r="T341" i="2"/>
  <c r="T342" i="2"/>
  <c r="AF331" i="2"/>
  <c r="AF330" i="2"/>
  <c r="P329" i="2"/>
  <c r="AF329" i="2"/>
  <c r="D328" i="2"/>
  <c r="J328" i="2"/>
  <c r="AF328" i="2"/>
  <c r="G327" i="2"/>
  <c r="M327" i="2"/>
  <c r="S327" i="2"/>
  <c r="AF327" i="2"/>
  <c r="AC319" i="2"/>
  <c r="AE319" i="2"/>
  <c r="AC320" i="2"/>
  <c r="AE320" i="2"/>
  <c r="AC321" i="2"/>
  <c r="AE321" i="2"/>
  <c r="AC322" i="2"/>
  <c r="AE322" i="2"/>
  <c r="AC323" i="2"/>
  <c r="AE323" i="2"/>
  <c r="AD326" i="2"/>
  <c r="Z319" i="2"/>
  <c r="AB319" i="2"/>
  <c r="Z320" i="2"/>
  <c r="AB320" i="2"/>
  <c r="Z321" i="2"/>
  <c r="AB321" i="2"/>
  <c r="Z322" i="2"/>
  <c r="AB322" i="2"/>
  <c r="Z323" i="2"/>
  <c r="AB323" i="2"/>
  <c r="AA326" i="2"/>
  <c r="W319" i="2"/>
  <c r="Y319" i="2"/>
  <c r="W320" i="2"/>
  <c r="Y320" i="2"/>
  <c r="W321" i="2"/>
  <c r="Y321" i="2"/>
  <c r="W322" i="2"/>
  <c r="Y322" i="2"/>
  <c r="W323" i="2"/>
  <c r="Y323" i="2"/>
  <c r="X326" i="2"/>
  <c r="T319" i="2"/>
  <c r="V319" i="2"/>
  <c r="T320" i="2"/>
  <c r="V320" i="2"/>
  <c r="T321" i="2"/>
  <c r="V321" i="2"/>
  <c r="T322" i="2"/>
  <c r="V322" i="2"/>
  <c r="T323" i="2"/>
  <c r="V323" i="2"/>
  <c r="U326" i="2"/>
  <c r="AF323" i="2"/>
  <c r="AG323" i="2"/>
  <c r="AF322" i="2"/>
  <c r="AG322" i="2"/>
  <c r="AF321" i="2"/>
  <c r="AG321" i="2"/>
  <c r="AF320" i="2"/>
  <c r="AG320" i="2"/>
  <c r="AF319" i="2"/>
  <c r="AG319" i="2"/>
  <c r="B317" i="2"/>
  <c r="D317" i="2"/>
  <c r="E317" i="2"/>
  <c r="G317" i="2"/>
  <c r="H317" i="2"/>
  <c r="J317" i="2"/>
  <c r="K317" i="2"/>
  <c r="M317" i="2"/>
  <c r="N317" i="2"/>
  <c r="P317" i="2"/>
  <c r="Q317" i="2"/>
  <c r="S317" i="2"/>
  <c r="T317" i="2"/>
  <c r="V317" i="2"/>
  <c r="W317" i="2"/>
  <c r="Y317" i="2"/>
  <c r="Z317" i="2"/>
  <c r="AB317" i="2"/>
  <c r="AC317" i="2"/>
  <c r="AE317" i="2"/>
  <c r="AF317" i="2"/>
  <c r="B316" i="2"/>
  <c r="D316" i="2"/>
  <c r="E316" i="2"/>
  <c r="E294" i="2"/>
  <c r="G294" i="2"/>
  <c r="E295" i="2"/>
  <c r="G295" i="2"/>
  <c r="E296" i="2"/>
  <c r="G296" i="2"/>
  <c r="E297" i="2"/>
  <c r="G297" i="2"/>
  <c r="E298" i="2"/>
  <c r="G298" i="2"/>
  <c r="E299" i="2"/>
  <c r="G316" i="2"/>
  <c r="H316" i="2"/>
  <c r="H294" i="2"/>
  <c r="J294" i="2"/>
  <c r="H295" i="2"/>
  <c r="J295" i="2"/>
  <c r="H296" i="2"/>
  <c r="J296" i="2"/>
  <c r="H297" i="2"/>
  <c r="J297" i="2"/>
  <c r="H298" i="2"/>
  <c r="J298" i="2"/>
  <c r="H299" i="2"/>
  <c r="J316" i="2"/>
  <c r="K316" i="2"/>
  <c r="M316" i="2"/>
  <c r="N316" i="2"/>
  <c r="N294" i="2"/>
  <c r="P294" i="2"/>
  <c r="N295" i="2"/>
  <c r="P295" i="2"/>
  <c r="N296" i="2"/>
  <c r="P296" i="2"/>
  <c r="N297" i="2"/>
  <c r="P297" i="2"/>
  <c r="N298" i="2"/>
  <c r="P298" i="2"/>
  <c r="N299" i="2"/>
  <c r="P316" i="2"/>
  <c r="Q316" i="2"/>
  <c r="S316" i="2"/>
  <c r="T316" i="2"/>
  <c r="V316" i="2"/>
  <c r="W316" i="2"/>
  <c r="Y316" i="2"/>
  <c r="Z316" i="2"/>
  <c r="AB316" i="2"/>
  <c r="AC316" i="2"/>
  <c r="AE316" i="2"/>
  <c r="AF316" i="2"/>
  <c r="B315" i="2"/>
  <c r="B294" i="2"/>
  <c r="D294" i="2"/>
  <c r="B295" i="2"/>
  <c r="D295" i="2"/>
  <c r="B296" i="2"/>
  <c r="D296" i="2"/>
  <c r="B297" i="2"/>
  <c r="D297" i="2"/>
  <c r="B298" i="2"/>
  <c r="D298" i="2"/>
  <c r="B299" i="2"/>
  <c r="D315" i="2"/>
  <c r="E315" i="2"/>
  <c r="G315" i="2"/>
  <c r="H315" i="2"/>
  <c r="J315" i="2"/>
  <c r="K315" i="2"/>
  <c r="K294" i="2"/>
  <c r="M294" i="2"/>
  <c r="K295" i="2"/>
  <c r="M295" i="2"/>
  <c r="K296" i="2"/>
  <c r="M296" i="2"/>
  <c r="K297" i="2"/>
  <c r="M297" i="2"/>
  <c r="K298" i="2"/>
  <c r="M298" i="2"/>
  <c r="K299" i="2"/>
  <c r="M315" i="2"/>
  <c r="N315" i="2"/>
  <c r="P315" i="2"/>
  <c r="Q315" i="2"/>
  <c r="S315" i="2"/>
  <c r="T315" i="2"/>
  <c r="V315" i="2"/>
  <c r="W315" i="2"/>
  <c r="Y315" i="2"/>
  <c r="Z315" i="2"/>
  <c r="AB315" i="2"/>
  <c r="AC315" i="2"/>
  <c r="AE315" i="2"/>
  <c r="AF315" i="2"/>
  <c r="B314" i="2"/>
  <c r="D314" i="2"/>
  <c r="E314" i="2"/>
  <c r="G314" i="2"/>
  <c r="H314" i="2"/>
  <c r="J314" i="2"/>
  <c r="K314" i="2"/>
  <c r="M314" i="2"/>
  <c r="N314" i="2"/>
  <c r="P314" i="2"/>
  <c r="Q314" i="2"/>
  <c r="Q294" i="2"/>
  <c r="S294" i="2"/>
  <c r="Q295" i="2"/>
  <c r="S295" i="2"/>
  <c r="Q296" i="2"/>
  <c r="S296" i="2"/>
  <c r="Q297" i="2"/>
  <c r="S297" i="2"/>
  <c r="Q298" i="2"/>
  <c r="S298" i="2"/>
  <c r="Q299" i="2"/>
  <c r="S314" i="2"/>
  <c r="T314" i="2"/>
  <c r="V314" i="2"/>
  <c r="W314" i="2"/>
  <c r="Y314" i="2"/>
  <c r="Z314" i="2"/>
  <c r="AB314" i="2"/>
  <c r="AC314" i="2"/>
  <c r="AE314" i="2"/>
  <c r="AF314" i="2"/>
  <c r="B313" i="2"/>
  <c r="D313" i="2"/>
  <c r="E313" i="2"/>
  <c r="G313" i="2"/>
  <c r="H313" i="2"/>
  <c r="J313" i="2"/>
  <c r="K313" i="2"/>
  <c r="M313" i="2"/>
  <c r="N313" i="2"/>
  <c r="P313" i="2"/>
  <c r="Q313" i="2"/>
  <c r="S313" i="2"/>
  <c r="T313" i="2"/>
  <c r="V313" i="2"/>
  <c r="W313" i="2"/>
  <c r="Y313" i="2"/>
  <c r="Z313" i="2"/>
  <c r="AB313" i="2"/>
  <c r="AC313" i="2"/>
  <c r="AE313" i="2"/>
  <c r="AF313" i="2"/>
  <c r="B311" i="2"/>
  <c r="D311" i="2"/>
  <c r="E311" i="2"/>
  <c r="G311" i="2"/>
  <c r="H311" i="2"/>
  <c r="J311" i="2"/>
  <c r="K311" i="2"/>
  <c r="M311" i="2"/>
  <c r="N311" i="2"/>
  <c r="P311" i="2"/>
  <c r="Q311" i="2"/>
  <c r="S311" i="2"/>
  <c r="T311" i="2"/>
  <c r="V311" i="2"/>
  <c r="W311" i="2"/>
  <c r="Y311" i="2"/>
  <c r="Z311" i="2"/>
  <c r="AB311" i="2"/>
  <c r="AC311" i="2"/>
  <c r="AE311" i="2"/>
  <c r="AF311" i="2"/>
  <c r="B310" i="2"/>
  <c r="D310" i="2"/>
  <c r="E310" i="2"/>
  <c r="E292" i="2"/>
  <c r="G292" i="2"/>
  <c r="F292" i="2"/>
  <c r="G310" i="2"/>
  <c r="H310" i="2"/>
  <c r="H292" i="2"/>
  <c r="J292" i="2"/>
  <c r="I292" i="2"/>
  <c r="J310" i="2"/>
  <c r="K310" i="2"/>
  <c r="M310" i="2"/>
  <c r="N310" i="2"/>
  <c r="N292" i="2"/>
  <c r="P292" i="2"/>
  <c r="O292" i="2"/>
  <c r="P310" i="2"/>
  <c r="Q310" i="2"/>
  <c r="S310" i="2"/>
  <c r="T310" i="2"/>
  <c r="V310" i="2"/>
  <c r="W310" i="2"/>
  <c r="Y310" i="2"/>
  <c r="Z310" i="2"/>
  <c r="AB310" i="2"/>
  <c r="AC310" i="2"/>
  <c r="AE310" i="2"/>
  <c r="AF310" i="2"/>
  <c r="B309" i="2"/>
  <c r="B292" i="2"/>
  <c r="D292" i="2"/>
  <c r="C292" i="2"/>
  <c r="D309" i="2"/>
  <c r="E309" i="2"/>
  <c r="G309" i="2"/>
  <c r="H309" i="2"/>
  <c r="J309" i="2"/>
  <c r="K309" i="2"/>
  <c r="K292" i="2"/>
  <c r="M292" i="2"/>
  <c r="L292" i="2"/>
  <c r="M309" i="2"/>
  <c r="N309" i="2"/>
  <c r="P309" i="2"/>
  <c r="Q309" i="2"/>
  <c r="S309" i="2"/>
  <c r="T309" i="2"/>
  <c r="V309" i="2"/>
  <c r="W309" i="2"/>
  <c r="Y309" i="2"/>
  <c r="Z309" i="2"/>
  <c r="AB309" i="2"/>
  <c r="AC309" i="2"/>
  <c r="AE309" i="2"/>
  <c r="AF309" i="2"/>
  <c r="B308" i="2"/>
  <c r="D308" i="2"/>
  <c r="E308" i="2"/>
  <c r="G308" i="2"/>
  <c r="H308" i="2"/>
  <c r="J308" i="2"/>
  <c r="K308" i="2"/>
  <c r="M308" i="2"/>
  <c r="N308" i="2"/>
  <c r="P308" i="2"/>
  <c r="Q308" i="2"/>
  <c r="Q292" i="2"/>
  <c r="S292" i="2"/>
  <c r="R292" i="2"/>
  <c r="S308" i="2"/>
  <c r="T308" i="2"/>
  <c r="V308" i="2"/>
  <c r="W308" i="2"/>
  <c r="Y308" i="2"/>
  <c r="Z308" i="2"/>
  <c r="AB308" i="2"/>
  <c r="AC308" i="2"/>
  <c r="AE308" i="2"/>
  <c r="AF308" i="2"/>
  <c r="B307" i="2"/>
  <c r="D307" i="2"/>
  <c r="E307" i="2"/>
  <c r="G307" i="2"/>
  <c r="H307" i="2"/>
  <c r="J307" i="2"/>
  <c r="K307" i="2"/>
  <c r="M307" i="2"/>
  <c r="N307" i="2"/>
  <c r="P307" i="2"/>
  <c r="Q307" i="2"/>
  <c r="S307" i="2"/>
  <c r="T307" i="2"/>
  <c r="V307" i="2"/>
  <c r="W307" i="2"/>
  <c r="Y307" i="2"/>
  <c r="Z307" i="2"/>
  <c r="AB307" i="2"/>
  <c r="AC307" i="2"/>
  <c r="AE307" i="2"/>
  <c r="AF307" i="2"/>
  <c r="B305" i="2"/>
  <c r="D305" i="2"/>
  <c r="E305" i="2"/>
  <c r="G305" i="2"/>
  <c r="H305" i="2"/>
  <c r="J305" i="2"/>
  <c r="K305" i="2"/>
  <c r="M305" i="2"/>
  <c r="N305" i="2"/>
  <c r="P305" i="2"/>
  <c r="Q305" i="2"/>
  <c r="S305" i="2"/>
  <c r="T305" i="2"/>
  <c r="V305" i="2"/>
  <c r="W305" i="2"/>
  <c r="Y305" i="2"/>
  <c r="Z305" i="2"/>
  <c r="AB305" i="2"/>
  <c r="AC305" i="2"/>
  <c r="AE305" i="2"/>
  <c r="AF305" i="2"/>
  <c r="AG305" i="2"/>
  <c r="B304" i="2"/>
  <c r="D304" i="2"/>
  <c r="E304" i="2"/>
  <c r="G304" i="2"/>
  <c r="H304" i="2"/>
  <c r="J304" i="2"/>
  <c r="K304" i="2"/>
  <c r="M304" i="2"/>
  <c r="N304" i="2"/>
  <c r="P304" i="2"/>
  <c r="Q304" i="2"/>
  <c r="S304" i="2"/>
  <c r="T304" i="2"/>
  <c r="V304" i="2"/>
  <c r="W304" i="2"/>
  <c r="Y304" i="2"/>
  <c r="Z304" i="2"/>
  <c r="AB304" i="2"/>
  <c r="AC304" i="2"/>
  <c r="AE304" i="2"/>
  <c r="AF304" i="2"/>
  <c r="AG304" i="2"/>
  <c r="B303" i="2"/>
  <c r="D303" i="2"/>
  <c r="E303" i="2"/>
  <c r="G303" i="2"/>
  <c r="H303" i="2"/>
  <c r="J303" i="2"/>
  <c r="K303" i="2"/>
  <c r="M303" i="2"/>
  <c r="N303" i="2"/>
  <c r="P303" i="2"/>
  <c r="Q303" i="2"/>
  <c r="S303" i="2"/>
  <c r="T303" i="2"/>
  <c r="V303" i="2"/>
  <c r="W303" i="2"/>
  <c r="Y303" i="2"/>
  <c r="Z303" i="2"/>
  <c r="AB303" i="2"/>
  <c r="AC303" i="2"/>
  <c r="AE303" i="2"/>
  <c r="AF303" i="2"/>
  <c r="AG303" i="2"/>
  <c r="B302" i="2"/>
  <c r="D302" i="2"/>
  <c r="E302" i="2"/>
  <c r="G302" i="2"/>
  <c r="H302" i="2"/>
  <c r="J302" i="2"/>
  <c r="K302" i="2"/>
  <c r="M302" i="2"/>
  <c r="N302" i="2"/>
  <c r="P302" i="2"/>
  <c r="Q302" i="2"/>
  <c r="S302" i="2"/>
  <c r="T302" i="2"/>
  <c r="V302" i="2"/>
  <c r="W302" i="2"/>
  <c r="Y302" i="2"/>
  <c r="Z302" i="2"/>
  <c r="AB302" i="2"/>
  <c r="AC302" i="2"/>
  <c r="AE302" i="2"/>
  <c r="AF302" i="2"/>
  <c r="AG302" i="2"/>
  <c r="B301" i="2"/>
  <c r="D301" i="2"/>
  <c r="E301" i="2"/>
  <c r="G301" i="2"/>
  <c r="H301" i="2"/>
  <c r="J301" i="2"/>
  <c r="K301" i="2"/>
  <c r="M301" i="2"/>
  <c r="N301" i="2"/>
  <c r="P301" i="2"/>
  <c r="Q301" i="2"/>
  <c r="S301" i="2"/>
  <c r="T301" i="2"/>
  <c r="V301" i="2"/>
  <c r="W301" i="2"/>
  <c r="Y301" i="2"/>
  <c r="Z301" i="2"/>
  <c r="AB301" i="2"/>
  <c r="AC301" i="2"/>
  <c r="AE301" i="2"/>
  <c r="AF301" i="2"/>
  <c r="AG301" i="2"/>
  <c r="AC294" i="2"/>
  <c r="AE294" i="2"/>
  <c r="AC295" i="2"/>
  <c r="AE295" i="2"/>
  <c r="AC296" i="2"/>
  <c r="AE296" i="2"/>
  <c r="AC297" i="2"/>
  <c r="AE297" i="2"/>
  <c r="AC298" i="2"/>
  <c r="AE298" i="2"/>
  <c r="AC299" i="2"/>
  <c r="Z294" i="2"/>
  <c r="AB294" i="2"/>
  <c r="Z295" i="2"/>
  <c r="AB295" i="2"/>
  <c r="Z296" i="2"/>
  <c r="AB296" i="2"/>
  <c r="Z297" i="2"/>
  <c r="AB297" i="2"/>
  <c r="Z298" i="2"/>
  <c r="AB298" i="2"/>
  <c r="Z299" i="2"/>
  <c r="W294" i="2"/>
  <c r="Y294" i="2"/>
  <c r="W295" i="2"/>
  <c r="Y295" i="2"/>
  <c r="W296" i="2"/>
  <c r="Y296" i="2"/>
  <c r="W297" i="2"/>
  <c r="Y297" i="2"/>
  <c r="W298" i="2"/>
  <c r="Y298" i="2"/>
  <c r="W299" i="2"/>
  <c r="T294" i="2"/>
  <c r="V294" i="2"/>
  <c r="T295" i="2"/>
  <c r="V295" i="2"/>
  <c r="T296" i="2"/>
  <c r="V296" i="2"/>
  <c r="T297" i="2"/>
  <c r="V297" i="2"/>
  <c r="T298" i="2"/>
  <c r="V298" i="2"/>
  <c r="T299" i="2"/>
  <c r="AE292" i="2"/>
  <c r="AC292" i="2"/>
  <c r="AD292" i="2"/>
  <c r="AB292" i="2"/>
  <c r="Z292" i="2"/>
  <c r="AA292" i="2"/>
  <c r="Y292" i="2"/>
  <c r="W292" i="2"/>
  <c r="X292" i="2"/>
  <c r="V292" i="2"/>
  <c r="T292" i="2"/>
  <c r="U292" i="2"/>
  <c r="AE285" i="2"/>
  <c r="AC285" i="2"/>
  <c r="AB285" i="2"/>
  <c r="Z285" i="2"/>
  <c r="Y285" i="2"/>
  <c r="W285" i="2"/>
  <c r="V285" i="2"/>
  <c r="T285" i="2"/>
  <c r="S285" i="2"/>
  <c r="Q285" i="2"/>
  <c r="P285" i="2"/>
  <c r="N285" i="2"/>
  <c r="M285" i="2"/>
  <c r="K285" i="2"/>
  <c r="J285" i="2"/>
  <c r="H285" i="2"/>
  <c r="G285" i="2"/>
  <c r="E285" i="2"/>
  <c r="D285" i="2"/>
  <c r="B285" i="2"/>
  <c r="AD284" i="2"/>
  <c r="AA284" i="2"/>
  <c r="X284" i="2"/>
  <c r="U284" i="2"/>
  <c r="R284" i="2"/>
  <c r="O284" i="2"/>
  <c r="L284" i="2"/>
  <c r="I284" i="2"/>
  <c r="F284" i="2"/>
  <c r="A284" i="2"/>
  <c r="AG283" i="2"/>
  <c r="AH283" i="2"/>
  <c r="AI283" i="2"/>
  <c r="AJ283" i="2"/>
  <c r="AK283" i="2"/>
  <c r="AL283" i="2"/>
  <c r="AM283" i="2"/>
  <c r="AN283" i="2"/>
  <c r="AO283" i="2"/>
  <c r="AP283" i="2"/>
  <c r="AQ283" i="2"/>
  <c r="AF283" i="2"/>
  <c r="AD283" i="2"/>
  <c r="AA283" i="2"/>
  <c r="X283" i="2"/>
  <c r="U283" i="2"/>
  <c r="R283" i="2"/>
  <c r="O283" i="2"/>
  <c r="L283" i="2"/>
  <c r="I283" i="2"/>
  <c r="F283" i="2"/>
  <c r="A283" i="2"/>
  <c r="AG282" i="2"/>
  <c r="AH282" i="2"/>
  <c r="AI282" i="2"/>
  <c r="AJ282" i="2"/>
  <c r="AK282" i="2"/>
  <c r="AL282" i="2"/>
  <c r="AM282" i="2"/>
  <c r="AN282" i="2"/>
  <c r="AO282" i="2"/>
  <c r="AP282" i="2"/>
  <c r="AQ282" i="2"/>
  <c r="AF282" i="2"/>
  <c r="AD282" i="2"/>
  <c r="AA282" i="2"/>
  <c r="X282" i="2"/>
  <c r="U282" i="2"/>
  <c r="R282" i="2"/>
  <c r="O282" i="2"/>
  <c r="L282" i="2"/>
  <c r="I282" i="2"/>
  <c r="F282" i="2"/>
  <c r="A282" i="2"/>
  <c r="AG281" i="2"/>
  <c r="AH281" i="2"/>
  <c r="AI281" i="2"/>
  <c r="AJ281" i="2"/>
  <c r="AK281" i="2"/>
  <c r="AL281" i="2"/>
  <c r="AM281" i="2"/>
  <c r="AN281" i="2"/>
  <c r="AO281" i="2"/>
  <c r="AP281" i="2"/>
  <c r="AQ281" i="2"/>
  <c r="AF281" i="2"/>
  <c r="AD281" i="2"/>
  <c r="AA281" i="2"/>
  <c r="X281" i="2"/>
  <c r="U281" i="2"/>
  <c r="R281" i="2"/>
  <c r="O281" i="2"/>
  <c r="L281" i="2"/>
  <c r="I281" i="2"/>
  <c r="F281" i="2"/>
  <c r="A281" i="2"/>
  <c r="AG280" i="2"/>
  <c r="AH280" i="2"/>
  <c r="AI280" i="2"/>
  <c r="AJ280" i="2"/>
  <c r="AK280" i="2"/>
  <c r="AL280" i="2"/>
  <c r="AM280" i="2"/>
  <c r="AN280" i="2"/>
  <c r="AO280" i="2"/>
  <c r="AP280" i="2"/>
  <c r="AQ280" i="2"/>
  <c r="AF280" i="2"/>
  <c r="AD280" i="2"/>
  <c r="AA280" i="2"/>
  <c r="X280" i="2"/>
  <c r="U280" i="2"/>
  <c r="R280" i="2"/>
  <c r="O280" i="2"/>
  <c r="L280" i="2"/>
  <c r="I280" i="2"/>
  <c r="F280" i="2"/>
  <c r="AG279" i="2"/>
  <c r="AH279" i="2"/>
  <c r="AI279" i="2"/>
  <c r="AJ279" i="2"/>
  <c r="AK279" i="2"/>
  <c r="AL279" i="2"/>
  <c r="AM279" i="2"/>
  <c r="AN279" i="2"/>
  <c r="AO279" i="2"/>
  <c r="AP279" i="2"/>
  <c r="AQ279" i="2"/>
  <c r="AF279" i="2"/>
  <c r="AD279" i="2"/>
  <c r="AA279" i="2"/>
  <c r="X279" i="2"/>
  <c r="U279" i="2"/>
  <c r="R279" i="2"/>
  <c r="O279" i="2"/>
  <c r="L279" i="2"/>
  <c r="I279" i="2"/>
  <c r="F279" i="2"/>
  <c r="AC277" i="2"/>
  <c r="Z277" i="2"/>
  <c r="W277" i="2"/>
  <c r="T277" i="2"/>
  <c r="Q277" i="2"/>
  <c r="N277" i="2"/>
  <c r="K277" i="2"/>
  <c r="H277" i="2"/>
  <c r="E277" i="2"/>
  <c r="E272" i="2"/>
  <c r="AC271" i="2"/>
  <c r="Z271" i="2"/>
  <c r="W271" i="2"/>
  <c r="R271" i="2"/>
  <c r="L271" i="2"/>
  <c r="A271" i="2"/>
  <c r="AC269" i="2"/>
  <c r="Z269" i="2"/>
  <c r="W269" i="2"/>
  <c r="R269" i="2"/>
  <c r="L269" i="2"/>
  <c r="A269" i="2"/>
  <c r="AC267" i="2"/>
  <c r="Z267" i="2"/>
  <c r="W267" i="2"/>
  <c r="R267" i="2"/>
  <c r="L267" i="2"/>
  <c r="A267" i="2"/>
  <c r="AC265" i="2"/>
  <c r="Z265" i="2"/>
  <c r="W265" i="2"/>
  <c r="R265" i="2"/>
  <c r="L265" i="2"/>
  <c r="A265" i="2"/>
  <c r="AC263" i="2"/>
  <c r="Z263" i="2"/>
  <c r="W263" i="2"/>
  <c r="R263" i="2"/>
  <c r="L263" i="2"/>
  <c r="A263" i="2"/>
  <c r="R262" i="2"/>
  <c r="L262" i="2"/>
  <c r="K261" i="2"/>
  <c r="A259" i="2"/>
  <c r="AF246" i="2"/>
  <c r="S245" i="2"/>
  <c r="AF245" i="2"/>
  <c r="J244" i="2"/>
  <c r="AB244" i="2"/>
  <c r="AF244" i="2"/>
  <c r="D243" i="2"/>
  <c r="M243" i="2"/>
  <c r="V243" i="2"/>
  <c r="AF243" i="2"/>
  <c r="G242" i="2"/>
  <c r="P242" i="2"/>
  <c r="Y242" i="2"/>
  <c r="AE242" i="2"/>
  <c r="AF242" i="2"/>
  <c r="AF238" i="2"/>
  <c r="AG238" i="2"/>
  <c r="AF237" i="2"/>
  <c r="AG237" i="2"/>
  <c r="AF236" i="2"/>
  <c r="AG236" i="2"/>
  <c r="AF235" i="2"/>
  <c r="AG235" i="2"/>
  <c r="AF234" i="2"/>
  <c r="AG234" i="2"/>
  <c r="B232" i="2"/>
  <c r="B209" i="2"/>
  <c r="D209" i="2"/>
  <c r="B210" i="2"/>
  <c r="D210" i="2"/>
  <c r="B211" i="2"/>
  <c r="D211" i="2"/>
  <c r="B212" i="2"/>
  <c r="D212" i="2"/>
  <c r="B213" i="2"/>
  <c r="D213" i="2"/>
  <c r="B214" i="2"/>
  <c r="D232" i="2"/>
  <c r="E232" i="2"/>
  <c r="G232" i="2"/>
  <c r="H232" i="2"/>
  <c r="H209" i="2"/>
  <c r="J209" i="2"/>
  <c r="H210" i="2"/>
  <c r="J210" i="2"/>
  <c r="H211" i="2"/>
  <c r="J211" i="2"/>
  <c r="H212" i="2"/>
  <c r="J212" i="2"/>
  <c r="H213" i="2"/>
  <c r="J213" i="2"/>
  <c r="H214" i="2"/>
  <c r="J232" i="2"/>
  <c r="K232" i="2"/>
  <c r="M232" i="2"/>
  <c r="N232" i="2"/>
  <c r="P232" i="2"/>
  <c r="Q232" i="2"/>
  <c r="Q209" i="2"/>
  <c r="S209" i="2"/>
  <c r="Q210" i="2"/>
  <c r="S210" i="2"/>
  <c r="Q211" i="2"/>
  <c r="S211" i="2"/>
  <c r="Q212" i="2"/>
  <c r="S212" i="2"/>
  <c r="Q213" i="2"/>
  <c r="S213" i="2"/>
  <c r="Q214" i="2"/>
  <c r="S232" i="2"/>
  <c r="T232" i="2"/>
  <c r="V232" i="2"/>
  <c r="W232" i="2"/>
  <c r="W209" i="2"/>
  <c r="Y209" i="2"/>
  <c r="W210" i="2"/>
  <c r="Y210" i="2"/>
  <c r="W211" i="2"/>
  <c r="Y211" i="2"/>
  <c r="W212" i="2"/>
  <c r="Y212" i="2"/>
  <c r="W213" i="2"/>
  <c r="Y213" i="2"/>
  <c r="W214" i="2"/>
  <c r="Y232" i="2"/>
  <c r="Z232" i="2"/>
  <c r="AB232" i="2"/>
  <c r="AC232" i="2"/>
  <c r="AE232" i="2"/>
  <c r="AF232" i="2"/>
  <c r="B231" i="2"/>
  <c r="D231" i="2"/>
  <c r="E231" i="2"/>
  <c r="E209" i="2"/>
  <c r="G209" i="2"/>
  <c r="E210" i="2"/>
  <c r="G210" i="2"/>
  <c r="E211" i="2"/>
  <c r="G211" i="2"/>
  <c r="E212" i="2"/>
  <c r="G212" i="2"/>
  <c r="E213" i="2"/>
  <c r="G213" i="2"/>
  <c r="E214" i="2"/>
  <c r="G231" i="2"/>
  <c r="H231" i="2"/>
  <c r="J231" i="2"/>
  <c r="K231" i="2"/>
  <c r="K209" i="2"/>
  <c r="M209" i="2"/>
  <c r="K210" i="2"/>
  <c r="M210" i="2"/>
  <c r="K211" i="2"/>
  <c r="M211" i="2"/>
  <c r="K212" i="2"/>
  <c r="M212" i="2"/>
  <c r="K213" i="2"/>
  <c r="M213" i="2"/>
  <c r="K214" i="2"/>
  <c r="M231" i="2"/>
  <c r="N231" i="2"/>
  <c r="P231" i="2"/>
  <c r="Q231" i="2"/>
  <c r="S231" i="2"/>
  <c r="T231" i="2"/>
  <c r="V231" i="2"/>
  <c r="W231" i="2"/>
  <c r="Y231" i="2"/>
  <c r="Z231" i="2"/>
  <c r="Z209" i="2"/>
  <c r="AB209" i="2"/>
  <c r="Z210" i="2"/>
  <c r="AB210" i="2"/>
  <c r="Z211" i="2"/>
  <c r="AB211" i="2"/>
  <c r="Z212" i="2"/>
  <c r="AB212" i="2"/>
  <c r="Z213" i="2"/>
  <c r="AB213" i="2"/>
  <c r="Z214" i="2"/>
  <c r="AB231" i="2"/>
  <c r="AC231" i="2"/>
  <c r="AE231" i="2"/>
  <c r="AF231" i="2"/>
  <c r="B230" i="2"/>
  <c r="D230" i="2"/>
  <c r="E230" i="2"/>
  <c r="G230" i="2"/>
  <c r="H230" i="2"/>
  <c r="J230" i="2"/>
  <c r="K230" i="2"/>
  <c r="M230" i="2"/>
  <c r="N230" i="2"/>
  <c r="N209" i="2"/>
  <c r="P209" i="2"/>
  <c r="N210" i="2"/>
  <c r="P210" i="2"/>
  <c r="N211" i="2"/>
  <c r="P211" i="2"/>
  <c r="N212" i="2"/>
  <c r="P212" i="2"/>
  <c r="N213" i="2"/>
  <c r="P213" i="2"/>
  <c r="N214" i="2"/>
  <c r="P230" i="2"/>
  <c r="Q230" i="2"/>
  <c r="S230" i="2"/>
  <c r="T230" i="2"/>
  <c r="T209" i="2"/>
  <c r="V209" i="2"/>
  <c r="T210" i="2"/>
  <c r="V210" i="2"/>
  <c r="T211" i="2"/>
  <c r="V211" i="2"/>
  <c r="T212" i="2"/>
  <c r="V212" i="2"/>
  <c r="T213" i="2"/>
  <c r="V213" i="2"/>
  <c r="T214" i="2"/>
  <c r="V230" i="2"/>
  <c r="W230" i="2"/>
  <c r="Y230" i="2"/>
  <c r="Z230" i="2"/>
  <c r="AB230" i="2"/>
  <c r="AC230" i="2"/>
  <c r="AE230" i="2"/>
  <c r="AF230" i="2"/>
  <c r="B229" i="2"/>
  <c r="D229" i="2"/>
  <c r="E229" i="2"/>
  <c r="G229" i="2"/>
  <c r="H229" i="2"/>
  <c r="J229" i="2"/>
  <c r="K229" i="2"/>
  <c r="M229" i="2"/>
  <c r="N229" i="2"/>
  <c r="P229" i="2"/>
  <c r="Q229" i="2"/>
  <c r="S229" i="2"/>
  <c r="T229" i="2"/>
  <c r="V229" i="2"/>
  <c r="W229" i="2"/>
  <c r="Y229" i="2"/>
  <c r="Z229" i="2"/>
  <c r="AB229" i="2"/>
  <c r="AC229" i="2"/>
  <c r="AC209" i="2"/>
  <c r="AE209" i="2"/>
  <c r="AC210" i="2"/>
  <c r="AE210" i="2"/>
  <c r="AC211" i="2"/>
  <c r="AE211" i="2"/>
  <c r="AC212" i="2"/>
  <c r="AE212" i="2"/>
  <c r="AC213" i="2"/>
  <c r="AE213" i="2"/>
  <c r="AC214" i="2"/>
  <c r="AE229" i="2"/>
  <c r="AF229" i="2"/>
  <c r="B228" i="2"/>
  <c r="D228" i="2"/>
  <c r="E228" i="2"/>
  <c r="G228" i="2"/>
  <c r="H228" i="2"/>
  <c r="J228" i="2"/>
  <c r="K228" i="2"/>
  <c r="M228" i="2"/>
  <c r="N228" i="2"/>
  <c r="P228" i="2"/>
  <c r="Q228" i="2"/>
  <c r="S228" i="2"/>
  <c r="T228" i="2"/>
  <c r="V228" i="2"/>
  <c r="W228" i="2"/>
  <c r="Y228" i="2"/>
  <c r="Z228" i="2"/>
  <c r="AB228" i="2"/>
  <c r="AC228" i="2"/>
  <c r="AE228" i="2"/>
  <c r="AF228" i="2"/>
  <c r="B226" i="2"/>
  <c r="B207" i="2"/>
  <c r="D207" i="2"/>
  <c r="C207" i="2"/>
  <c r="D226" i="2"/>
  <c r="E226" i="2"/>
  <c r="G226" i="2"/>
  <c r="H226" i="2"/>
  <c r="H207" i="2"/>
  <c r="J207" i="2"/>
  <c r="I207" i="2"/>
  <c r="J226" i="2"/>
  <c r="K226" i="2"/>
  <c r="M226" i="2"/>
  <c r="N226" i="2"/>
  <c r="P226" i="2"/>
  <c r="Q226" i="2"/>
  <c r="Q207" i="2"/>
  <c r="S207" i="2"/>
  <c r="R207" i="2"/>
  <c r="S226" i="2"/>
  <c r="T226" i="2"/>
  <c r="V226" i="2"/>
  <c r="W226" i="2"/>
  <c r="W207" i="2"/>
  <c r="Y207" i="2"/>
  <c r="X207" i="2"/>
  <c r="Y226" i="2"/>
  <c r="Z226" i="2"/>
  <c r="AB226" i="2"/>
  <c r="AC226" i="2"/>
  <c r="AE226" i="2"/>
  <c r="AF226" i="2"/>
  <c r="B225" i="2"/>
  <c r="D225" i="2"/>
  <c r="E225" i="2"/>
  <c r="E207" i="2"/>
  <c r="G207" i="2"/>
  <c r="F207" i="2"/>
  <c r="G225" i="2"/>
  <c r="H225" i="2"/>
  <c r="J225" i="2"/>
  <c r="K225" i="2"/>
  <c r="K207" i="2"/>
  <c r="M207" i="2"/>
  <c r="L207" i="2"/>
  <c r="M225" i="2"/>
  <c r="N225" i="2"/>
  <c r="P225" i="2"/>
  <c r="Q225" i="2"/>
  <c r="S225" i="2"/>
  <c r="T225" i="2"/>
  <c r="V225" i="2"/>
  <c r="W225" i="2"/>
  <c r="Y225" i="2"/>
  <c r="Z225" i="2"/>
  <c r="Z207" i="2"/>
  <c r="AB207" i="2"/>
  <c r="AA207" i="2"/>
  <c r="AB225" i="2"/>
  <c r="AC225" i="2"/>
  <c r="AE225" i="2"/>
  <c r="AF225" i="2"/>
  <c r="B224" i="2"/>
  <c r="D224" i="2"/>
  <c r="E224" i="2"/>
  <c r="G224" i="2"/>
  <c r="H224" i="2"/>
  <c r="J224" i="2"/>
  <c r="K224" i="2"/>
  <c r="M224" i="2"/>
  <c r="N224" i="2"/>
  <c r="N207" i="2"/>
  <c r="P207" i="2"/>
  <c r="O207" i="2"/>
  <c r="P224" i="2"/>
  <c r="Q224" i="2"/>
  <c r="S224" i="2"/>
  <c r="T224" i="2"/>
  <c r="T207" i="2"/>
  <c r="V207" i="2"/>
  <c r="U207" i="2"/>
  <c r="V224" i="2"/>
  <c r="W224" i="2"/>
  <c r="Y224" i="2"/>
  <c r="Z224" i="2"/>
  <c r="AB224" i="2"/>
  <c r="AC224" i="2"/>
  <c r="AE224" i="2"/>
  <c r="AF224" i="2"/>
  <c r="B223" i="2"/>
  <c r="D223" i="2"/>
  <c r="E223" i="2"/>
  <c r="G223" i="2"/>
  <c r="H223" i="2"/>
  <c r="J223" i="2"/>
  <c r="K223" i="2"/>
  <c r="M223" i="2"/>
  <c r="N223" i="2"/>
  <c r="P223" i="2"/>
  <c r="Q223" i="2"/>
  <c r="S223" i="2"/>
  <c r="T223" i="2"/>
  <c r="V223" i="2"/>
  <c r="W223" i="2"/>
  <c r="Y223" i="2"/>
  <c r="Z223" i="2"/>
  <c r="AB223" i="2"/>
  <c r="AC223" i="2"/>
  <c r="AC207" i="2"/>
  <c r="AE207" i="2"/>
  <c r="AD207" i="2"/>
  <c r="AE223" i="2"/>
  <c r="AF223" i="2"/>
  <c r="B222" i="2"/>
  <c r="D222" i="2"/>
  <c r="E222" i="2"/>
  <c r="G222" i="2"/>
  <c r="H222" i="2"/>
  <c r="J222" i="2"/>
  <c r="K222" i="2"/>
  <c r="M222" i="2"/>
  <c r="N222" i="2"/>
  <c r="P222" i="2"/>
  <c r="Q222" i="2"/>
  <c r="S222" i="2"/>
  <c r="T222" i="2"/>
  <c r="V222" i="2"/>
  <c r="W222" i="2"/>
  <c r="Y222" i="2"/>
  <c r="Z222" i="2"/>
  <c r="AB222" i="2"/>
  <c r="AC222" i="2"/>
  <c r="AE222" i="2"/>
  <c r="AF222" i="2"/>
  <c r="B220" i="2"/>
  <c r="D220" i="2"/>
  <c r="E220" i="2"/>
  <c r="G220" i="2"/>
  <c r="H220" i="2"/>
  <c r="J220" i="2"/>
  <c r="K220" i="2"/>
  <c r="M220" i="2"/>
  <c r="N220" i="2"/>
  <c r="P220" i="2"/>
  <c r="Q220" i="2"/>
  <c r="S220" i="2"/>
  <c r="T220" i="2"/>
  <c r="V220" i="2"/>
  <c r="W220" i="2"/>
  <c r="Y220" i="2"/>
  <c r="Z220" i="2"/>
  <c r="AB220" i="2"/>
  <c r="AC220" i="2"/>
  <c r="AE220" i="2"/>
  <c r="AF220" i="2"/>
  <c r="AG220" i="2"/>
  <c r="B219" i="2"/>
  <c r="D219" i="2"/>
  <c r="E219" i="2"/>
  <c r="G219" i="2"/>
  <c r="H219" i="2"/>
  <c r="J219" i="2"/>
  <c r="K219" i="2"/>
  <c r="M219" i="2"/>
  <c r="N219" i="2"/>
  <c r="P219" i="2"/>
  <c r="Q219" i="2"/>
  <c r="S219" i="2"/>
  <c r="T219" i="2"/>
  <c r="V219" i="2"/>
  <c r="W219" i="2"/>
  <c r="Y219" i="2"/>
  <c r="Z219" i="2"/>
  <c r="AB219" i="2"/>
  <c r="AC219" i="2"/>
  <c r="AE219" i="2"/>
  <c r="AF219" i="2"/>
  <c r="AG219" i="2"/>
  <c r="B218" i="2"/>
  <c r="D218" i="2"/>
  <c r="E218" i="2"/>
  <c r="G218" i="2"/>
  <c r="H218" i="2"/>
  <c r="J218" i="2"/>
  <c r="K218" i="2"/>
  <c r="M218" i="2"/>
  <c r="N218" i="2"/>
  <c r="P218" i="2"/>
  <c r="Q218" i="2"/>
  <c r="S218" i="2"/>
  <c r="T218" i="2"/>
  <c r="V218" i="2"/>
  <c r="W218" i="2"/>
  <c r="Y218" i="2"/>
  <c r="Z218" i="2"/>
  <c r="AB218" i="2"/>
  <c r="AC218" i="2"/>
  <c r="AE218" i="2"/>
  <c r="AF218" i="2"/>
  <c r="AG218" i="2"/>
  <c r="B217" i="2"/>
  <c r="D217" i="2"/>
  <c r="E217" i="2"/>
  <c r="G217" i="2"/>
  <c r="H217" i="2"/>
  <c r="J217" i="2"/>
  <c r="K217" i="2"/>
  <c r="M217" i="2"/>
  <c r="N217" i="2"/>
  <c r="P217" i="2"/>
  <c r="Q217" i="2"/>
  <c r="S217" i="2"/>
  <c r="T217" i="2"/>
  <c r="V217" i="2"/>
  <c r="W217" i="2"/>
  <c r="Y217" i="2"/>
  <c r="Z217" i="2"/>
  <c r="AB217" i="2"/>
  <c r="AC217" i="2"/>
  <c r="AE217" i="2"/>
  <c r="AF217" i="2"/>
  <c r="AG217" i="2"/>
  <c r="B216" i="2"/>
  <c r="D216" i="2"/>
  <c r="E216" i="2"/>
  <c r="G216" i="2"/>
  <c r="H216" i="2"/>
  <c r="J216" i="2"/>
  <c r="K216" i="2"/>
  <c r="M216" i="2"/>
  <c r="N216" i="2"/>
  <c r="P216" i="2"/>
  <c r="Q216" i="2"/>
  <c r="S216" i="2"/>
  <c r="T216" i="2"/>
  <c r="V216" i="2"/>
  <c r="W216" i="2"/>
  <c r="Y216" i="2"/>
  <c r="Z216" i="2"/>
  <c r="AB216" i="2"/>
  <c r="AC216" i="2"/>
  <c r="AE216" i="2"/>
  <c r="AF216" i="2"/>
  <c r="AG216" i="2"/>
  <c r="AE200" i="2"/>
  <c r="AC200" i="2"/>
  <c r="AB200" i="2"/>
  <c r="Z200" i="2"/>
  <c r="Y200" i="2"/>
  <c r="W200" i="2"/>
  <c r="V200" i="2"/>
  <c r="T200" i="2"/>
  <c r="S200" i="2"/>
  <c r="Q200" i="2"/>
  <c r="P200" i="2"/>
  <c r="N200" i="2"/>
  <c r="M200" i="2"/>
  <c r="K200" i="2"/>
  <c r="J200" i="2"/>
  <c r="H200" i="2"/>
  <c r="G200" i="2"/>
  <c r="E200" i="2"/>
  <c r="D200" i="2"/>
  <c r="B200" i="2"/>
  <c r="AD199" i="2"/>
  <c r="AA199" i="2"/>
  <c r="X199" i="2"/>
  <c r="U199" i="2"/>
  <c r="R199" i="2"/>
  <c r="O199" i="2"/>
  <c r="L199" i="2"/>
  <c r="I199" i="2"/>
  <c r="F199" i="2"/>
  <c r="A199" i="2"/>
  <c r="AG198" i="2"/>
  <c r="AH198" i="2"/>
  <c r="AI198" i="2"/>
  <c r="AJ198" i="2"/>
  <c r="AK198" i="2"/>
  <c r="AL198" i="2"/>
  <c r="AM198" i="2"/>
  <c r="AN198" i="2"/>
  <c r="AO198" i="2"/>
  <c r="AP198" i="2"/>
  <c r="AQ198" i="2"/>
  <c r="AF198" i="2"/>
  <c r="AD198" i="2"/>
  <c r="AA198" i="2"/>
  <c r="X198" i="2"/>
  <c r="U198" i="2"/>
  <c r="R198" i="2"/>
  <c r="O198" i="2"/>
  <c r="L198" i="2"/>
  <c r="I198" i="2"/>
  <c r="F198" i="2"/>
  <c r="A198" i="2"/>
  <c r="AG197" i="2"/>
  <c r="AH197" i="2"/>
  <c r="AI197" i="2"/>
  <c r="AJ197" i="2"/>
  <c r="AK197" i="2"/>
  <c r="AL197" i="2"/>
  <c r="AM197" i="2"/>
  <c r="AN197" i="2"/>
  <c r="AO197" i="2"/>
  <c r="AP197" i="2"/>
  <c r="AQ197" i="2"/>
  <c r="AF197" i="2"/>
  <c r="AD197" i="2"/>
  <c r="AA197" i="2"/>
  <c r="X197" i="2"/>
  <c r="U197" i="2"/>
  <c r="R197" i="2"/>
  <c r="O197" i="2"/>
  <c r="L197" i="2"/>
  <c r="I197" i="2"/>
  <c r="F197" i="2"/>
  <c r="A197" i="2"/>
  <c r="AG196" i="2"/>
  <c r="AH196" i="2"/>
  <c r="AI196" i="2"/>
  <c r="AJ196" i="2"/>
  <c r="AK196" i="2"/>
  <c r="AL196" i="2"/>
  <c r="AM196" i="2"/>
  <c r="AN196" i="2"/>
  <c r="AO196" i="2"/>
  <c r="AP196" i="2"/>
  <c r="AQ196" i="2"/>
  <c r="AF196" i="2"/>
  <c r="AD196" i="2"/>
  <c r="AA196" i="2"/>
  <c r="X196" i="2"/>
  <c r="U196" i="2"/>
  <c r="R196" i="2"/>
  <c r="O196" i="2"/>
  <c r="L196" i="2"/>
  <c r="I196" i="2"/>
  <c r="F196" i="2"/>
  <c r="A196" i="2"/>
  <c r="AG195" i="2"/>
  <c r="AH195" i="2"/>
  <c r="AI195" i="2"/>
  <c r="AJ195" i="2"/>
  <c r="AK195" i="2"/>
  <c r="AL195" i="2"/>
  <c r="AM195" i="2"/>
  <c r="AN195" i="2"/>
  <c r="AO195" i="2"/>
  <c r="AP195" i="2"/>
  <c r="AQ195" i="2"/>
  <c r="AF195" i="2"/>
  <c r="AD195" i="2"/>
  <c r="AA195" i="2"/>
  <c r="X195" i="2"/>
  <c r="U195" i="2"/>
  <c r="R195" i="2"/>
  <c r="O195" i="2"/>
  <c r="L195" i="2"/>
  <c r="I195" i="2"/>
  <c r="F195" i="2"/>
  <c r="AG194" i="2"/>
  <c r="AH194" i="2"/>
  <c r="AI194" i="2"/>
  <c r="AJ194" i="2"/>
  <c r="AK194" i="2"/>
  <c r="AL194" i="2"/>
  <c r="AM194" i="2"/>
  <c r="AN194" i="2"/>
  <c r="AO194" i="2"/>
  <c r="AP194" i="2"/>
  <c r="AQ194" i="2"/>
  <c r="AF194" i="2"/>
  <c r="AD194" i="2"/>
  <c r="AA194" i="2"/>
  <c r="X194" i="2"/>
  <c r="U194" i="2"/>
  <c r="R194" i="2"/>
  <c r="O194" i="2"/>
  <c r="L194" i="2"/>
  <c r="I194" i="2"/>
  <c r="F194" i="2"/>
  <c r="AC192" i="2"/>
  <c r="Z192" i="2"/>
  <c r="W192" i="2"/>
  <c r="T192" i="2"/>
  <c r="Q192" i="2"/>
  <c r="N192" i="2"/>
  <c r="K192" i="2"/>
  <c r="H192" i="2"/>
  <c r="E192" i="2"/>
  <c r="E187" i="2"/>
  <c r="AC186" i="2"/>
  <c r="Z186" i="2"/>
  <c r="W186" i="2"/>
  <c r="R186" i="2"/>
  <c r="L186" i="2"/>
  <c r="A186" i="2"/>
  <c r="AC184" i="2"/>
  <c r="Z184" i="2"/>
  <c r="W184" i="2"/>
  <c r="R184" i="2"/>
  <c r="L184" i="2"/>
  <c r="A184" i="2"/>
  <c r="AC182" i="2"/>
  <c r="Z182" i="2"/>
  <c r="W182" i="2"/>
  <c r="R182" i="2"/>
  <c r="L182" i="2"/>
  <c r="A182" i="2"/>
  <c r="AC180" i="2"/>
  <c r="Z180" i="2"/>
  <c r="W180" i="2"/>
  <c r="R180" i="2"/>
  <c r="L180" i="2"/>
  <c r="A180" i="2"/>
  <c r="AC178" i="2"/>
  <c r="Z178" i="2"/>
  <c r="W178" i="2"/>
  <c r="R178" i="2"/>
  <c r="L178" i="2"/>
  <c r="A178" i="2"/>
  <c r="R177" i="2"/>
  <c r="L177" i="2"/>
  <c r="K176" i="2"/>
  <c r="A174" i="2"/>
  <c r="AF161" i="2"/>
  <c r="S160" i="2"/>
  <c r="AF160" i="2"/>
  <c r="J159" i="2"/>
  <c r="AB159" i="2"/>
  <c r="AF159" i="2"/>
  <c r="D158" i="2"/>
  <c r="M158" i="2"/>
  <c r="V158" i="2"/>
  <c r="AF158" i="2"/>
  <c r="G157" i="2"/>
  <c r="P157" i="2"/>
  <c r="Y157" i="2"/>
  <c r="AE157" i="2"/>
  <c r="AF157" i="2"/>
  <c r="AF153" i="2"/>
  <c r="AG153" i="2"/>
  <c r="AF152" i="2"/>
  <c r="AG152" i="2"/>
  <c r="AF151" i="2"/>
  <c r="AG151" i="2"/>
  <c r="AF150" i="2"/>
  <c r="AG150" i="2"/>
  <c r="AF149" i="2"/>
  <c r="AG149" i="2"/>
  <c r="B147" i="2"/>
  <c r="B124" i="2"/>
  <c r="D124" i="2"/>
  <c r="B125" i="2"/>
  <c r="D125" i="2"/>
  <c r="B126" i="2"/>
  <c r="D126" i="2"/>
  <c r="B127" i="2"/>
  <c r="D127" i="2"/>
  <c r="B128" i="2"/>
  <c r="D128" i="2"/>
  <c r="B129" i="2"/>
  <c r="D147" i="2"/>
  <c r="E147" i="2"/>
  <c r="G147" i="2"/>
  <c r="H147" i="2"/>
  <c r="H124" i="2"/>
  <c r="J124" i="2"/>
  <c r="H125" i="2"/>
  <c r="J125" i="2"/>
  <c r="H126" i="2"/>
  <c r="J126" i="2"/>
  <c r="H127" i="2"/>
  <c r="J127" i="2"/>
  <c r="H128" i="2"/>
  <c r="J128" i="2"/>
  <c r="H129" i="2"/>
  <c r="J147" i="2"/>
  <c r="K147" i="2"/>
  <c r="M147" i="2"/>
  <c r="N147" i="2"/>
  <c r="P147" i="2"/>
  <c r="Q147" i="2"/>
  <c r="Q124" i="2"/>
  <c r="S124" i="2"/>
  <c r="Q125" i="2"/>
  <c r="S125" i="2"/>
  <c r="Q126" i="2"/>
  <c r="S126" i="2"/>
  <c r="Q127" i="2"/>
  <c r="S127" i="2"/>
  <c r="Q128" i="2"/>
  <c r="S128" i="2"/>
  <c r="Q129" i="2"/>
  <c r="S147" i="2"/>
  <c r="T147" i="2"/>
  <c r="V147" i="2"/>
  <c r="W147" i="2"/>
  <c r="W124" i="2"/>
  <c r="Y124" i="2"/>
  <c r="W125" i="2"/>
  <c r="Y125" i="2"/>
  <c r="W126" i="2"/>
  <c r="Y126" i="2"/>
  <c r="W127" i="2"/>
  <c r="Y127" i="2"/>
  <c r="W128" i="2"/>
  <c r="Y128" i="2"/>
  <c r="W129" i="2"/>
  <c r="Y147" i="2"/>
  <c r="Z147" i="2"/>
  <c r="AB147" i="2"/>
  <c r="AC147" i="2"/>
  <c r="AE147" i="2"/>
  <c r="AF147" i="2"/>
  <c r="B146" i="2"/>
  <c r="D146" i="2"/>
  <c r="E146" i="2"/>
  <c r="E124" i="2"/>
  <c r="G124" i="2"/>
  <c r="E125" i="2"/>
  <c r="G125" i="2"/>
  <c r="E126" i="2"/>
  <c r="G126" i="2"/>
  <c r="E127" i="2"/>
  <c r="G127" i="2"/>
  <c r="E128" i="2"/>
  <c r="G128" i="2"/>
  <c r="E129" i="2"/>
  <c r="G146" i="2"/>
  <c r="H146" i="2"/>
  <c r="J146" i="2"/>
  <c r="K146" i="2"/>
  <c r="K124" i="2"/>
  <c r="M124" i="2"/>
  <c r="K125" i="2"/>
  <c r="M125" i="2"/>
  <c r="K126" i="2"/>
  <c r="M126" i="2"/>
  <c r="K127" i="2"/>
  <c r="M127" i="2"/>
  <c r="K128" i="2"/>
  <c r="M128" i="2"/>
  <c r="K129" i="2"/>
  <c r="M146" i="2"/>
  <c r="N146" i="2"/>
  <c r="P146" i="2"/>
  <c r="Q146" i="2"/>
  <c r="S146" i="2"/>
  <c r="T146" i="2"/>
  <c r="V146" i="2"/>
  <c r="W146" i="2"/>
  <c r="Y146" i="2"/>
  <c r="Z146" i="2"/>
  <c r="Z124" i="2"/>
  <c r="AB124" i="2"/>
  <c r="Z125" i="2"/>
  <c r="AB125" i="2"/>
  <c r="Z126" i="2"/>
  <c r="AB126" i="2"/>
  <c r="Z127" i="2"/>
  <c r="AB127" i="2"/>
  <c r="Z128" i="2"/>
  <c r="AB128" i="2"/>
  <c r="Z129" i="2"/>
  <c r="AB146" i="2"/>
  <c r="AC146" i="2"/>
  <c r="AE146" i="2"/>
  <c r="AF146" i="2"/>
  <c r="B145" i="2"/>
  <c r="D145" i="2"/>
  <c r="E145" i="2"/>
  <c r="G145" i="2"/>
  <c r="H145" i="2"/>
  <c r="J145" i="2"/>
  <c r="K145" i="2"/>
  <c r="M145" i="2"/>
  <c r="N145" i="2"/>
  <c r="N124" i="2"/>
  <c r="P124" i="2"/>
  <c r="N125" i="2"/>
  <c r="P125" i="2"/>
  <c r="N126" i="2"/>
  <c r="P126" i="2"/>
  <c r="N127" i="2"/>
  <c r="P127" i="2"/>
  <c r="N128" i="2"/>
  <c r="P128" i="2"/>
  <c r="N129" i="2"/>
  <c r="P145" i="2"/>
  <c r="Q145" i="2"/>
  <c r="S145" i="2"/>
  <c r="T145" i="2"/>
  <c r="T124" i="2"/>
  <c r="V124" i="2"/>
  <c r="T125" i="2"/>
  <c r="V125" i="2"/>
  <c r="T126" i="2"/>
  <c r="V126" i="2"/>
  <c r="T127" i="2"/>
  <c r="V127" i="2"/>
  <c r="T128" i="2"/>
  <c r="V128" i="2"/>
  <c r="T129" i="2"/>
  <c r="V145" i="2"/>
  <c r="W145" i="2"/>
  <c r="Y145" i="2"/>
  <c r="Z145" i="2"/>
  <c r="AB145" i="2"/>
  <c r="AC145" i="2"/>
  <c r="AE145" i="2"/>
  <c r="AF145" i="2"/>
  <c r="B144" i="2"/>
  <c r="D144" i="2"/>
  <c r="E144" i="2"/>
  <c r="G144" i="2"/>
  <c r="H144" i="2"/>
  <c r="J144" i="2"/>
  <c r="K144" i="2"/>
  <c r="M144" i="2"/>
  <c r="N144" i="2"/>
  <c r="P144" i="2"/>
  <c r="Q144" i="2"/>
  <c r="S144" i="2"/>
  <c r="T144" i="2"/>
  <c r="V144" i="2"/>
  <c r="W144" i="2"/>
  <c r="Y144" i="2"/>
  <c r="Z144" i="2"/>
  <c r="AB144" i="2"/>
  <c r="AC144" i="2"/>
  <c r="AC124" i="2"/>
  <c r="AE124" i="2"/>
  <c r="AC125" i="2"/>
  <c r="AE125" i="2"/>
  <c r="AC126" i="2"/>
  <c r="AE126" i="2"/>
  <c r="AC127" i="2"/>
  <c r="AE127" i="2"/>
  <c r="AC128" i="2"/>
  <c r="AE128" i="2"/>
  <c r="AC129" i="2"/>
  <c r="AE144" i="2"/>
  <c r="AF144" i="2"/>
  <c r="B143" i="2"/>
  <c r="D143" i="2"/>
  <c r="E143" i="2"/>
  <c r="G143" i="2"/>
  <c r="H143" i="2"/>
  <c r="J143" i="2"/>
  <c r="K143" i="2"/>
  <c r="M143" i="2"/>
  <c r="N143" i="2"/>
  <c r="P143" i="2"/>
  <c r="Q143" i="2"/>
  <c r="S143" i="2"/>
  <c r="T143" i="2"/>
  <c r="V143" i="2"/>
  <c r="W143" i="2"/>
  <c r="Y143" i="2"/>
  <c r="Z143" i="2"/>
  <c r="AB143" i="2"/>
  <c r="AC143" i="2"/>
  <c r="AE143" i="2"/>
  <c r="AF143" i="2"/>
  <c r="B141" i="2"/>
  <c r="B122" i="2"/>
  <c r="D122" i="2"/>
  <c r="C122" i="2"/>
  <c r="D141" i="2"/>
  <c r="E141" i="2"/>
  <c r="G141" i="2"/>
  <c r="H141" i="2"/>
  <c r="H122" i="2"/>
  <c r="J122" i="2"/>
  <c r="I122" i="2"/>
  <c r="J141" i="2"/>
  <c r="K141" i="2"/>
  <c r="M141" i="2"/>
  <c r="N141" i="2"/>
  <c r="P141" i="2"/>
  <c r="Q141" i="2"/>
  <c r="Q122" i="2"/>
  <c r="S122" i="2"/>
  <c r="R122" i="2"/>
  <c r="S141" i="2"/>
  <c r="T141" i="2"/>
  <c r="V141" i="2"/>
  <c r="W141" i="2"/>
  <c r="W122" i="2"/>
  <c r="Y122" i="2"/>
  <c r="X122" i="2"/>
  <c r="Y141" i="2"/>
  <c r="Z141" i="2"/>
  <c r="AB141" i="2"/>
  <c r="AC141" i="2"/>
  <c r="AE141" i="2"/>
  <c r="AF141" i="2"/>
  <c r="B140" i="2"/>
  <c r="D140" i="2"/>
  <c r="E140" i="2"/>
  <c r="E122" i="2"/>
  <c r="G122" i="2"/>
  <c r="F122" i="2"/>
  <c r="G140" i="2"/>
  <c r="H140" i="2"/>
  <c r="J140" i="2"/>
  <c r="K140" i="2"/>
  <c r="K122" i="2"/>
  <c r="M122" i="2"/>
  <c r="L122" i="2"/>
  <c r="M140" i="2"/>
  <c r="N140" i="2"/>
  <c r="P140" i="2"/>
  <c r="Q140" i="2"/>
  <c r="S140" i="2"/>
  <c r="T140" i="2"/>
  <c r="V140" i="2"/>
  <c r="W140" i="2"/>
  <c r="Y140" i="2"/>
  <c r="Z140" i="2"/>
  <c r="Z122" i="2"/>
  <c r="AB122" i="2"/>
  <c r="AA122" i="2"/>
  <c r="AB140" i="2"/>
  <c r="AC140" i="2"/>
  <c r="AE140" i="2"/>
  <c r="AF140" i="2"/>
  <c r="B139" i="2"/>
  <c r="D139" i="2"/>
  <c r="E139" i="2"/>
  <c r="G139" i="2"/>
  <c r="H139" i="2"/>
  <c r="J139" i="2"/>
  <c r="K139" i="2"/>
  <c r="M139" i="2"/>
  <c r="N139" i="2"/>
  <c r="N122" i="2"/>
  <c r="P122" i="2"/>
  <c r="O122" i="2"/>
  <c r="P139" i="2"/>
  <c r="Q139" i="2"/>
  <c r="S139" i="2"/>
  <c r="T139" i="2"/>
  <c r="T122" i="2"/>
  <c r="V122" i="2"/>
  <c r="U122" i="2"/>
  <c r="V139" i="2"/>
  <c r="W139" i="2"/>
  <c r="Y139" i="2"/>
  <c r="Z139" i="2"/>
  <c r="AB139" i="2"/>
  <c r="AC139" i="2"/>
  <c r="AE139" i="2"/>
  <c r="AF139" i="2"/>
  <c r="B138" i="2"/>
  <c r="D138" i="2"/>
  <c r="E138" i="2"/>
  <c r="G138" i="2"/>
  <c r="H138" i="2"/>
  <c r="J138" i="2"/>
  <c r="K138" i="2"/>
  <c r="M138" i="2"/>
  <c r="N138" i="2"/>
  <c r="P138" i="2"/>
  <c r="Q138" i="2"/>
  <c r="S138" i="2"/>
  <c r="T138" i="2"/>
  <c r="V138" i="2"/>
  <c r="W138" i="2"/>
  <c r="Y138" i="2"/>
  <c r="Z138" i="2"/>
  <c r="AB138" i="2"/>
  <c r="AC138" i="2"/>
  <c r="AC122" i="2"/>
  <c r="AE122" i="2"/>
  <c r="AD122" i="2"/>
  <c r="AE138" i="2"/>
  <c r="AF138" i="2"/>
  <c r="B137" i="2"/>
  <c r="D137" i="2"/>
  <c r="E137" i="2"/>
  <c r="G137" i="2"/>
  <c r="H137" i="2"/>
  <c r="J137" i="2"/>
  <c r="K137" i="2"/>
  <c r="M137" i="2"/>
  <c r="N137" i="2"/>
  <c r="P137" i="2"/>
  <c r="Q137" i="2"/>
  <c r="S137" i="2"/>
  <c r="T137" i="2"/>
  <c r="V137" i="2"/>
  <c r="W137" i="2"/>
  <c r="Y137" i="2"/>
  <c r="Z137" i="2"/>
  <c r="AB137" i="2"/>
  <c r="AC137" i="2"/>
  <c r="AE137" i="2"/>
  <c r="AF137" i="2"/>
  <c r="B135" i="2"/>
  <c r="D135" i="2"/>
  <c r="E135" i="2"/>
  <c r="G135" i="2"/>
  <c r="H135" i="2"/>
  <c r="J135" i="2"/>
  <c r="K135" i="2"/>
  <c r="M135" i="2"/>
  <c r="N135" i="2"/>
  <c r="P135" i="2"/>
  <c r="Q135" i="2"/>
  <c r="S135" i="2"/>
  <c r="T135" i="2"/>
  <c r="V135" i="2"/>
  <c r="W135" i="2"/>
  <c r="Y135" i="2"/>
  <c r="Z135" i="2"/>
  <c r="AB135" i="2"/>
  <c r="AC135" i="2"/>
  <c r="AE135" i="2"/>
  <c r="AF135" i="2"/>
  <c r="AG135" i="2"/>
  <c r="B134" i="2"/>
  <c r="D134" i="2"/>
  <c r="E134" i="2"/>
  <c r="G134" i="2"/>
  <c r="H134" i="2"/>
  <c r="J134" i="2"/>
  <c r="K134" i="2"/>
  <c r="M134" i="2"/>
  <c r="N134" i="2"/>
  <c r="P134" i="2"/>
  <c r="Q134" i="2"/>
  <c r="S134" i="2"/>
  <c r="T134" i="2"/>
  <c r="V134" i="2"/>
  <c r="W134" i="2"/>
  <c r="Y134" i="2"/>
  <c r="Z134" i="2"/>
  <c r="AB134" i="2"/>
  <c r="AC134" i="2"/>
  <c r="AE134" i="2"/>
  <c r="AF134" i="2"/>
  <c r="AG134" i="2"/>
  <c r="B133" i="2"/>
  <c r="D133" i="2"/>
  <c r="E133" i="2"/>
  <c r="G133" i="2"/>
  <c r="H133" i="2"/>
  <c r="J133" i="2"/>
  <c r="K133" i="2"/>
  <c r="M133" i="2"/>
  <c r="N133" i="2"/>
  <c r="P133" i="2"/>
  <c r="Q133" i="2"/>
  <c r="S133" i="2"/>
  <c r="T133" i="2"/>
  <c r="V133" i="2"/>
  <c r="W133" i="2"/>
  <c r="Y133" i="2"/>
  <c r="Z133" i="2"/>
  <c r="AB133" i="2"/>
  <c r="AC133" i="2"/>
  <c r="AE133" i="2"/>
  <c r="AF133" i="2"/>
  <c r="AG133" i="2"/>
  <c r="B132" i="2"/>
  <c r="D132" i="2"/>
  <c r="E132" i="2"/>
  <c r="G132" i="2"/>
  <c r="H132" i="2"/>
  <c r="J132" i="2"/>
  <c r="K132" i="2"/>
  <c r="M132" i="2"/>
  <c r="N132" i="2"/>
  <c r="P132" i="2"/>
  <c r="Q132" i="2"/>
  <c r="S132" i="2"/>
  <c r="T132" i="2"/>
  <c r="V132" i="2"/>
  <c r="W132" i="2"/>
  <c r="Y132" i="2"/>
  <c r="Z132" i="2"/>
  <c r="AB132" i="2"/>
  <c r="AC132" i="2"/>
  <c r="AE132" i="2"/>
  <c r="AF132" i="2"/>
  <c r="AG132" i="2"/>
  <c r="B131" i="2"/>
  <c r="D131" i="2"/>
  <c r="E131" i="2"/>
  <c r="G131" i="2"/>
  <c r="H131" i="2"/>
  <c r="J131" i="2"/>
  <c r="K131" i="2"/>
  <c r="M131" i="2"/>
  <c r="N131" i="2"/>
  <c r="P131" i="2"/>
  <c r="Q131" i="2"/>
  <c r="S131" i="2"/>
  <c r="T131" i="2"/>
  <c r="V131" i="2"/>
  <c r="W131" i="2"/>
  <c r="Y131" i="2"/>
  <c r="Z131" i="2"/>
  <c r="AB131" i="2"/>
  <c r="AC131" i="2"/>
  <c r="AE131" i="2"/>
  <c r="AF131" i="2"/>
  <c r="AG131" i="2"/>
  <c r="AE115" i="2"/>
  <c r="AC115" i="2"/>
  <c r="AB115" i="2"/>
  <c r="Z115" i="2"/>
  <c r="Y115" i="2"/>
  <c r="W115" i="2"/>
  <c r="V115" i="2"/>
  <c r="T115" i="2"/>
  <c r="S115" i="2"/>
  <c r="Q115" i="2"/>
  <c r="P115" i="2"/>
  <c r="N115" i="2"/>
  <c r="M115" i="2"/>
  <c r="K115" i="2"/>
  <c r="J115" i="2"/>
  <c r="H115" i="2"/>
  <c r="G115" i="2"/>
  <c r="E115" i="2"/>
  <c r="D115" i="2"/>
  <c r="B115" i="2"/>
  <c r="AD114" i="2"/>
  <c r="AA114" i="2"/>
  <c r="X114" i="2"/>
  <c r="U114" i="2"/>
  <c r="R114" i="2"/>
  <c r="O114" i="2"/>
  <c r="L114" i="2"/>
  <c r="I114" i="2"/>
  <c r="F114" i="2"/>
  <c r="A114" i="2"/>
  <c r="AG113" i="2"/>
  <c r="AH113" i="2"/>
  <c r="AI113" i="2"/>
  <c r="AJ113" i="2"/>
  <c r="AK113" i="2"/>
  <c r="AL113" i="2"/>
  <c r="AM113" i="2"/>
  <c r="AN113" i="2"/>
  <c r="AO113" i="2"/>
  <c r="AP113" i="2"/>
  <c r="AQ113" i="2"/>
  <c r="AF113" i="2"/>
  <c r="AD113" i="2"/>
  <c r="AA113" i="2"/>
  <c r="X113" i="2"/>
  <c r="U113" i="2"/>
  <c r="R113" i="2"/>
  <c r="O113" i="2"/>
  <c r="L113" i="2"/>
  <c r="I113" i="2"/>
  <c r="F113" i="2"/>
  <c r="A113" i="2"/>
  <c r="AG112" i="2"/>
  <c r="AH112" i="2"/>
  <c r="AI112" i="2"/>
  <c r="AJ112" i="2"/>
  <c r="AK112" i="2"/>
  <c r="AL112" i="2"/>
  <c r="AM112" i="2"/>
  <c r="AN112" i="2"/>
  <c r="AO112" i="2"/>
  <c r="AP112" i="2"/>
  <c r="AQ112" i="2"/>
  <c r="AF112" i="2"/>
  <c r="AD112" i="2"/>
  <c r="AA112" i="2"/>
  <c r="X112" i="2"/>
  <c r="U112" i="2"/>
  <c r="R112" i="2"/>
  <c r="O112" i="2"/>
  <c r="L112" i="2"/>
  <c r="I112" i="2"/>
  <c r="F112" i="2"/>
  <c r="A112" i="2"/>
  <c r="AG111" i="2"/>
  <c r="AH111" i="2"/>
  <c r="AI111" i="2"/>
  <c r="AJ111" i="2"/>
  <c r="AK111" i="2"/>
  <c r="AL111" i="2"/>
  <c r="AM111" i="2"/>
  <c r="AN111" i="2"/>
  <c r="AO111" i="2"/>
  <c r="AP111" i="2"/>
  <c r="AQ111" i="2"/>
  <c r="AF111" i="2"/>
  <c r="AD111" i="2"/>
  <c r="AA111" i="2"/>
  <c r="X111" i="2"/>
  <c r="U111" i="2"/>
  <c r="R111" i="2"/>
  <c r="O111" i="2"/>
  <c r="L111" i="2"/>
  <c r="I111" i="2"/>
  <c r="F111" i="2"/>
  <c r="A111" i="2"/>
  <c r="AG110" i="2"/>
  <c r="AH110" i="2"/>
  <c r="AI110" i="2"/>
  <c r="AJ110" i="2"/>
  <c r="AK110" i="2"/>
  <c r="AL110" i="2"/>
  <c r="AM110" i="2"/>
  <c r="AN110" i="2"/>
  <c r="AO110" i="2"/>
  <c r="AP110" i="2"/>
  <c r="AQ110" i="2"/>
  <c r="AF110" i="2"/>
  <c r="AD110" i="2"/>
  <c r="AA110" i="2"/>
  <c r="X110" i="2"/>
  <c r="U110" i="2"/>
  <c r="R110" i="2"/>
  <c r="O110" i="2"/>
  <c r="L110" i="2"/>
  <c r="I110" i="2"/>
  <c r="F110" i="2"/>
  <c r="AG109" i="2"/>
  <c r="AH109" i="2"/>
  <c r="AI109" i="2"/>
  <c r="AJ109" i="2"/>
  <c r="AK109" i="2"/>
  <c r="AL109" i="2"/>
  <c r="AM109" i="2"/>
  <c r="AN109" i="2"/>
  <c r="AO109" i="2"/>
  <c r="AP109" i="2"/>
  <c r="AQ109" i="2"/>
  <c r="AF109" i="2"/>
  <c r="AD109" i="2"/>
  <c r="AA109" i="2"/>
  <c r="X109" i="2"/>
  <c r="U109" i="2"/>
  <c r="R109" i="2"/>
  <c r="O109" i="2"/>
  <c r="L109" i="2"/>
  <c r="I109" i="2"/>
  <c r="F109" i="2"/>
  <c r="AC107" i="2"/>
  <c r="Z107" i="2"/>
  <c r="W107" i="2"/>
  <c r="T107" i="2"/>
  <c r="Q107" i="2"/>
  <c r="N107" i="2"/>
  <c r="K107" i="2"/>
  <c r="H107" i="2"/>
  <c r="E107" i="2"/>
  <c r="E102" i="2"/>
  <c r="AC101" i="2"/>
  <c r="Z101" i="2"/>
  <c r="W101" i="2"/>
  <c r="R101" i="2"/>
  <c r="L101" i="2"/>
  <c r="A101" i="2"/>
  <c r="AC99" i="2"/>
  <c r="Z99" i="2"/>
  <c r="W99" i="2"/>
  <c r="R99" i="2"/>
  <c r="L99" i="2"/>
  <c r="A99" i="2"/>
  <c r="AC97" i="2"/>
  <c r="Z97" i="2"/>
  <c r="W97" i="2"/>
  <c r="R97" i="2"/>
  <c r="L97" i="2"/>
  <c r="A97" i="2"/>
  <c r="AC95" i="2"/>
  <c r="Z95" i="2"/>
  <c r="W95" i="2"/>
  <c r="R95" i="2"/>
  <c r="L95" i="2"/>
  <c r="A95" i="2"/>
  <c r="AC93" i="2"/>
  <c r="Z93" i="2"/>
  <c r="W93" i="2"/>
  <c r="R93" i="2"/>
  <c r="L93" i="2"/>
  <c r="A93" i="2"/>
  <c r="R92" i="2"/>
  <c r="L92" i="2"/>
  <c r="K91" i="2"/>
  <c r="A89" i="2"/>
  <c r="AF76" i="2"/>
  <c r="S75" i="2"/>
  <c r="AF75" i="2"/>
  <c r="J74" i="2"/>
  <c r="AB74" i="2"/>
  <c r="AF74" i="2"/>
  <c r="D73" i="2"/>
  <c r="M73" i="2"/>
  <c r="V73" i="2"/>
  <c r="AF73" i="2"/>
  <c r="G72" i="2"/>
  <c r="P72" i="2"/>
  <c r="Y72" i="2"/>
  <c r="AE72" i="2"/>
  <c r="AF72" i="2"/>
  <c r="AF68" i="2"/>
  <c r="AG68" i="2"/>
  <c r="AF67" i="2"/>
  <c r="AG67" i="2"/>
  <c r="AF66" i="2"/>
  <c r="AG66" i="2"/>
  <c r="AF65" i="2"/>
  <c r="AG65" i="2"/>
  <c r="AF64" i="2"/>
  <c r="AG64" i="2"/>
  <c r="B62" i="2"/>
  <c r="B39" i="2"/>
  <c r="D39" i="2"/>
  <c r="B40" i="2"/>
  <c r="D40" i="2"/>
  <c r="B41" i="2"/>
  <c r="D41" i="2"/>
  <c r="B42" i="2"/>
  <c r="D42" i="2"/>
  <c r="B43" i="2"/>
  <c r="D43" i="2"/>
  <c r="B44" i="2"/>
  <c r="D62" i="2"/>
  <c r="E62" i="2"/>
  <c r="G62" i="2"/>
  <c r="H62" i="2"/>
  <c r="H39" i="2"/>
  <c r="J39" i="2"/>
  <c r="H40" i="2"/>
  <c r="J40" i="2"/>
  <c r="H41" i="2"/>
  <c r="J41" i="2"/>
  <c r="H42" i="2"/>
  <c r="J42" i="2"/>
  <c r="H43" i="2"/>
  <c r="J43" i="2"/>
  <c r="H44" i="2"/>
  <c r="J62" i="2"/>
  <c r="K62" i="2"/>
  <c r="M62" i="2"/>
  <c r="N62" i="2"/>
  <c r="P62" i="2"/>
  <c r="Q62" i="2"/>
  <c r="Q39" i="2"/>
  <c r="S39" i="2"/>
  <c r="Q40" i="2"/>
  <c r="S40" i="2"/>
  <c r="Q41" i="2"/>
  <c r="S41" i="2"/>
  <c r="Q42" i="2"/>
  <c r="S42" i="2"/>
  <c r="Q43" i="2"/>
  <c r="S43" i="2"/>
  <c r="Q44" i="2"/>
  <c r="S62" i="2"/>
  <c r="T62" i="2"/>
  <c r="V62" i="2"/>
  <c r="W62" i="2"/>
  <c r="W39" i="2"/>
  <c r="Y39" i="2"/>
  <c r="W40" i="2"/>
  <c r="Y40" i="2"/>
  <c r="W41" i="2"/>
  <c r="Y41" i="2"/>
  <c r="W42" i="2"/>
  <c r="Y42" i="2"/>
  <c r="W43" i="2"/>
  <c r="Y43" i="2"/>
  <c r="W44" i="2"/>
  <c r="Y62" i="2"/>
  <c r="Z62" i="2"/>
  <c r="AB62" i="2"/>
  <c r="AC62" i="2"/>
  <c r="AE62" i="2"/>
  <c r="AF62" i="2"/>
  <c r="B61" i="2"/>
  <c r="D61" i="2"/>
  <c r="E61" i="2"/>
  <c r="E39" i="2"/>
  <c r="G39" i="2"/>
  <c r="E40" i="2"/>
  <c r="G40" i="2"/>
  <c r="E41" i="2"/>
  <c r="G41" i="2"/>
  <c r="E42" i="2"/>
  <c r="G42" i="2"/>
  <c r="E43" i="2"/>
  <c r="G43" i="2"/>
  <c r="E44" i="2"/>
  <c r="G61" i="2"/>
  <c r="H61" i="2"/>
  <c r="J61" i="2"/>
  <c r="K61" i="2"/>
  <c r="K39" i="2"/>
  <c r="M39" i="2"/>
  <c r="K40" i="2"/>
  <c r="M40" i="2"/>
  <c r="K41" i="2"/>
  <c r="M41" i="2"/>
  <c r="K42" i="2"/>
  <c r="M42" i="2"/>
  <c r="K43" i="2"/>
  <c r="M43" i="2"/>
  <c r="K44" i="2"/>
  <c r="M61" i="2"/>
  <c r="N61" i="2"/>
  <c r="P61" i="2"/>
  <c r="Q61" i="2"/>
  <c r="S61" i="2"/>
  <c r="T61" i="2"/>
  <c r="V61" i="2"/>
  <c r="W61" i="2"/>
  <c r="Y61" i="2"/>
  <c r="Z61" i="2"/>
  <c r="Z39" i="2"/>
  <c r="AB39" i="2"/>
  <c r="Z40" i="2"/>
  <c r="AB40" i="2"/>
  <c r="Z41" i="2"/>
  <c r="AB41" i="2"/>
  <c r="Z42" i="2"/>
  <c r="AB42" i="2"/>
  <c r="Z43" i="2"/>
  <c r="AB43" i="2"/>
  <c r="Z44" i="2"/>
  <c r="AB61" i="2"/>
  <c r="AC61" i="2"/>
  <c r="AE61" i="2"/>
  <c r="AF61" i="2"/>
  <c r="B60" i="2"/>
  <c r="D60" i="2"/>
  <c r="E60" i="2"/>
  <c r="G60" i="2"/>
  <c r="H60" i="2"/>
  <c r="J60" i="2"/>
  <c r="K60" i="2"/>
  <c r="M60" i="2"/>
  <c r="N60" i="2"/>
  <c r="N39" i="2"/>
  <c r="P39" i="2"/>
  <c r="N40" i="2"/>
  <c r="P40" i="2"/>
  <c r="N41" i="2"/>
  <c r="P41" i="2"/>
  <c r="N42" i="2"/>
  <c r="P42" i="2"/>
  <c r="N43" i="2"/>
  <c r="P43" i="2"/>
  <c r="N44" i="2"/>
  <c r="P60" i="2"/>
  <c r="Q60" i="2"/>
  <c r="S60" i="2"/>
  <c r="T60" i="2"/>
  <c r="T39" i="2"/>
  <c r="V39" i="2"/>
  <c r="T40" i="2"/>
  <c r="V40" i="2"/>
  <c r="T41" i="2"/>
  <c r="V41" i="2"/>
  <c r="T42" i="2"/>
  <c r="V42" i="2"/>
  <c r="T43" i="2"/>
  <c r="V43" i="2"/>
  <c r="T44" i="2"/>
  <c r="V60" i="2"/>
  <c r="W60" i="2"/>
  <c r="Y60" i="2"/>
  <c r="Z60" i="2"/>
  <c r="AB60" i="2"/>
  <c r="AC60" i="2"/>
  <c r="AE60" i="2"/>
  <c r="AF60" i="2"/>
  <c r="B59" i="2"/>
  <c r="D59" i="2"/>
  <c r="E59" i="2"/>
  <c r="G59" i="2"/>
  <c r="H59" i="2"/>
  <c r="J59" i="2"/>
  <c r="K59" i="2"/>
  <c r="M59" i="2"/>
  <c r="N59" i="2"/>
  <c r="P59" i="2"/>
  <c r="Q59" i="2"/>
  <c r="S59" i="2"/>
  <c r="T59" i="2"/>
  <c r="V59" i="2"/>
  <c r="W59" i="2"/>
  <c r="Y59" i="2"/>
  <c r="Z59" i="2"/>
  <c r="AB59" i="2"/>
  <c r="AC59" i="2"/>
  <c r="AC39" i="2"/>
  <c r="AE39" i="2"/>
  <c r="AC40" i="2"/>
  <c r="AE40" i="2"/>
  <c r="AC41" i="2"/>
  <c r="AE41" i="2"/>
  <c r="AC42" i="2"/>
  <c r="AE42" i="2"/>
  <c r="AC43" i="2"/>
  <c r="AE43" i="2"/>
  <c r="AC44" i="2"/>
  <c r="AE59" i="2"/>
  <c r="AF59" i="2"/>
  <c r="B58" i="2"/>
  <c r="D58" i="2"/>
  <c r="E58" i="2"/>
  <c r="G58" i="2"/>
  <c r="H58" i="2"/>
  <c r="J58" i="2"/>
  <c r="K58" i="2"/>
  <c r="M58" i="2"/>
  <c r="N58" i="2"/>
  <c r="P58" i="2"/>
  <c r="Q58" i="2"/>
  <c r="S58" i="2"/>
  <c r="T58" i="2"/>
  <c r="V58" i="2"/>
  <c r="W58" i="2"/>
  <c r="Y58" i="2"/>
  <c r="Z58" i="2"/>
  <c r="AB58" i="2"/>
  <c r="AC58" i="2"/>
  <c r="AE58" i="2"/>
  <c r="AF58" i="2"/>
  <c r="B56" i="2"/>
  <c r="B37" i="2"/>
  <c r="D37" i="2"/>
  <c r="C37" i="2"/>
  <c r="D56" i="2"/>
  <c r="E56" i="2"/>
  <c r="G56" i="2"/>
  <c r="H56" i="2"/>
  <c r="H37" i="2"/>
  <c r="J37" i="2"/>
  <c r="I37" i="2"/>
  <c r="J56" i="2"/>
  <c r="K56" i="2"/>
  <c r="M56" i="2"/>
  <c r="N56" i="2"/>
  <c r="P56" i="2"/>
  <c r="Q56" i="2"/>
  <c r="Q37" i="2"/>
  <c r="S37" i="2"/>
  <c r="R37" i="2"/>
  <c r="S56" i="2"/>
  <c r="T56" i="2"/>
  <c r="V56" i="2"/>
  <c r="W56" i="2"/>
  <c r="W37" i="2"/>
  <c r="Y37" i="2"/>
  <c r="X37" i="2"/>
  <c r="Y56" i="2"/>
  <c r="Z56" i="2"/>
  <c r="AB56" i="2"/>
  <c r="AC56" i="2"/>
  <c r="AE56" i="2"/>
  <c r="AF56" i="2"/>
  <c r="B55" i="2"/>
  <c r="D55" i="2"/>
  <c r="E55" i="2"/>
  <c r="E37" i="2"/>
  <c r="G37" i="2"/>
  <c r="F37" i="2"/>
  <c r="G55" i="2"/>
  <c r="H55" i="2"/>
  <c r="J55" i="2"/>
  <c r="K55" i="2"/>
  <c r="K37" i="2"/>
  <c r="M37" i="2"/>
  <c r="L37" i="2"/>
  <c r="M55" i="2"/>
  <c r="N55" i="2"/>
  <c r="P55" i="2"/>
  <c r="Q55" i="2"/>
  <c r="S55" i="2"/>
  <c r="T55" i="2"/>
  <c r="V55" i="2"/>
  <c r="W55" i="2"/>
  <c r="Y55" i="2"/>
  <c r="Z55" i="2"/>
  <c r="Z37" i="2"/>
  <c r="AB37" i="2"/>
  <c r="AA37" i="2"/>
  <c r="AB55" i="2"/>
  <c r="AC55" i="2"/>
  <c r="AE55" i="2"/>
  <c r="AF55" i="2"/>
  <c r="B54" i="2"/>
  <c r="D54" i="2"/>
  <c r="E54" i="2"/>
  <c r="G54" i="2"/>
  <c r="H54" i="2"/>
  <c r="J54" i="2"/>
  <c r="K54" i="2"/>
  <c r="M54" i="2"/>
  <c r="N54" i="2"/>
  <c r="N37" i="2"/>
  <c r="P37" i="2"/>
  <c r="O37" i="2"/>
  <c r="P54" i="2"/>
  <c r="Q54" i="2"/>
  <c r="S54" i="2"/>
  <c r="T54" i="2"/>
  <c r="T37" i="2"/>
  <c r="V37" i="2"/>
  <c r="U37" i="2"/>
  <c r="V54" i="2"/>
  <c r="W54" i="2"/>
  <c r="Y54" i="2"/>
  <c r="Z54" i="2"/>
  <c r="AB54" i="2"/>
  <c r="AC54" i="2"/>
  <c r="AE54" i="2"/>
  <c r="AF54" i="2"/>
  <c r="B53" i="2"/>
  <c r="D53" i="2"/>
  <c r="E53" i="2"/>
  <c r="G53" i="2"/>
  <c r="H53" i="2"/>
  <c r="J53" i="2"/>
  <c r="K53" i="2"/>
  <c r="M53" i="2"/>
  <c r="N53" i="2"/>
  <c r="P53" i="2"/>
  <c r="Q53" i="2"/>
  <c r="S53" i="2"/>
  <c r="T53" i="2"/>
  <c r="V53" i="2"/>
  <c r="W53" i="2"/>
  <c r="Y53" i="2"/>
  <c r="Z53" i="2"/>
  <c r="AB53" i="2"/>
  <c r="AC53" i="2"/>
  <c r="AC37" i="2"/>
  <c r="AE37" i="2"/>
  <c r="AD37" i="2"/>
  <c r="AE53" i="2"/>
  <c r="AF53" i="2"/>
  <c r="B52" i="2"/>
  <c r="D52" i="2"/>
  <c r="E52" i="2"/>
  <c r="G52" i="2"/>
  <c r="H52" i="2"/>
  <c r="J52" i="2"/>
  <c r="K52" i="2"/>
  <c r="M52" i="2"/>
  <c r="N52" i="2"/>
  <c r="P52" i="2"/>
  <c r="Q52" i="2"/>
  <c r="S52" i="2"/>
  <c r="T52" i="2"/>
  <c r="V52" i="2"/>
  <c r="W52" i="2"/>
  <c r="Y52" i="2"/>
  <c r="Z52" i="2"/>
  <c r="AB52" i="2"/>
  <c r="AC52" i="2"/>
  <c r="AE52" i="2"/>
  <c r="AF52" i="2"/>
  <c r="B50" i="2"/>
  <c r="D50" i="2"/>
  <c r="E50" i="2"/>
  <c r="G50" i="2"/>
  <c r="H50" i="2"/>
  <c r="J50" i="2"/>
  <c r="K50" i="2"/>
  <c r="M50" i="2"/>
  <c r="N50" i="2"/>
  <c r="P50" i="2"/>
  <c r="Q50" i="2"/>
  <c r="S50" i="2"/>
  <c r="T50" i="2"/>
  <c r="V50" i="2"/>
  <c r="W50" i="2"/>
  <c r="Y50" i="2"/>
  <c r="Z50" i="2"/>
  <c r="AB50" i="2"/>
  <c r="AC50" i="2"/>
  <c r="AE50" i="2"/>
  <c r="AF50" i="2"/>
  <c r="AG50" i="2"/>
  <c r="B49" i="2"/>
  <c r="D49" i="2"/>
  <c r="E49" i="2"/>
  <c r="G49" i="2"/>
  <c r="H49" i="2"/>
  <c r="J49" i="2"/>
  <c r="K49" i="2"/>
  <c r="M49" i="2"/>
  <c r="N49" i="2"/>
  <c r="P49" i="2"/>
  <c r="Q49" i="2"/>
  <c r="S49" i="2"/>
  <c r="T49" i="2"/>
  <c r="V49" i="2"/>
  <c r="W49" i="2"/>
  <c r="Y49" i="2"/>
  <c r="Z49" i="2"/>
  <c r="AB49" i="2"/>
  <c r="AC49" i="2"/>
  <c r="AE49" i="2"/>
  <c r="AF49" i="2"/>
  <c r="AG49" i="2"/>
  <c r="B48" i="2"/>
  <c r="D48" i="2"/>
  <c r="E48" i="2"/>
  <c r="G48" i="2"/>
  <c r="H48" i="2"/>
  <c r="J48" i="2"/>
  <c r="K48" i="2"/>
  <c r="M48" i="2"/>
  <c r="N48" i="2"/>
  <c r="P48" i="2"/>
  <c r="Q48" i="2"/>
  <c r="S48" i="2"/>
  <c r="T48" i="2"/>
  <c r="V48" i="2"/>
  <c r="W48" i="2"/>
  <c r="Y48" i="2"/>
  <c r="Z48" i="2"/>
  <c r="AB48" i="2"/>
  <c r="AC48" i="2"/>
  <c r="AE48" i="2"/>
  <c r="AF48" i="2"/>
  <c r="AG48" i="2"/>
  <c r="B47" i="2"/>
  <c r="D47" i="2"/>
  <c r="E47" i="2"/>
  <c r="G47" i="2"/>
  <c r="H47" i="2"/>
  <c r="J47" i="2"/>
  <c r="K47" i="2"/>
  <c r="M47" i="2"/>
  <c r="N47" i="2"/>
  <c r="P47" i="2"/>
  <c r="Q47" i="2"/>
  <c r="S47" i="2"/>
  <c r="T47" i="2"/>
  <c r="V47" i="2"/>
  <c r="W47" i="2"/>
  <c r="Y47" i="2"/>
  <c r="Z47" i="2"/>
  <c r="AB47" i="2"/>
  <c r="AC47" i="2"/>
  <c r="AE47" i="2"/>
  <c r="AF47" i="2"/>
  <c r="AG47" i="2"/>
  <c r="B46" i="2"/>
  <c r="D46" i="2"/>
  <c r="E46" i="2"/>
  <c r="G46" i="2"/>
  <c r="H46" i="2"/>
  <c r="J46" i="2"/>
  <c r="K46" i="2"/>
  <c r="M46" i="2"/>
  <c r="N46" i="2"/>
  <c r="P46" i="2"/>
  <c r="Q46" i="2"/>
  <c r="S46" i="2"/>
  <c r="T46" i="2"/>
  <c r="V46" i="2"/>
  <c r="W46" i="2"/>
  <c r="Y46" i="2"/>
  <c r="Z46" i="2"/>
  <c r="AB46" i="2"/>
  <c r="AC46" i="2"/>
  <c r="AE46" i="2"/>
  <c r="AF46" i="2"/>
  <c r="AG46" i="2"/>
  <c r="AE30" i="2"/>
  <c r="AC30" i="2"/>
  <c r="AB30" i="2"/>
  <c r="Z30" i="2"/>
  <c r="Y30" i="2"/>
  <c r="W30" i="2"/>
  <c r="V30" i="2"/>
  <c r="T30" i="2"/>
  <c r="S30" i="2"/>
  <c r="Q30" i="2"/>
  <c r="P30" i="2"/>
  <c r="N30" i="2"/>
  <c r="M30" i="2"/>
  <c r="K30" i="2"/>
  <c r="J30" i="2"/>
  <c r="H30" i="2"/>
  <c r="G30" i="2"/>
  <c r="E30" i="2"/>
  <c r="D30" i="2"/>
  <c r="B30" i="2"/>
  <c r="AD29" i="2"/>
  <c r="AA29" i="2"/>
  <c r="X29" i="2"/>
  <c r="U29" i="2"/>
  <c r="R29" i="2"/>
  <c r="O29" i="2"/>
  <c r="L29" i="2"/>
  <c r="I29" i="2"/>
  <c r="F29" i="2"/>
  <c r="A29" i="2"/>
  <c r="AG28" i="2"/>
  <c r="AH28" i="2"/>
  <c r="AI28" i="2"/>
  <c r="AJ28" i="2"/>
  <c r="AK28" i="2"/>
  <c r="AL28" i="2"/>
  <c r="AM28" i="2"/>
  <c r="AN28" i="2"/>
  <c r="AO28" i="2"/>
  <c r="AP28" i="2"/>
  <c r="AQ28" i="2"/>
  <c r="AF28" i="2"/>
  <c r="AD28" i="2"/>
  <c r="AA28" i="2"/>
  <c r="X28" i="2"/>
  <c r="U28" i="2"/>
  <c r="R28" i="2"/>
  <c r="O28" i="2"/>
  <c r="L28" i="2"/>
  <c r="I28" i="2"/>
  <c r="F28" i="2"/>
  <c r="A28" i="2"/>
  <c r="AG27" i="2"/>
  <c r="AH27" i="2"/>
  <c r="AI27" i="2"/>
  <c r="AJ27" i="2"/>
  <c r="AK27" i="2"/>
  <c r="AL27" i="2"/>
  <c r="AM27" i="2"/>
  <c r="AN27" i="2"/>
  <c r="AO27" i="2"/>
  <c r="AP27" i="2"/>
  <c r="AQ27" i="2"/>
  <c r="AF27" i="2"/>
  <c r="AD27" i="2"/>
  <c r="AA27" i="2"/>
  <c r="X27" i="2"/>
  <c r="U27" i="2"/>
  <c r="R27" i="2"/>
  <c r="O27" i="2"/>
  <c r="L27" i="2"/>
  <c r="I27" i="2"/>
  <c r="F27" i="2"/>
  <c r="A27" i="2"/>
  <c r="AG26" i="2"/>
  <c r="AH26" i="2"/>
  <c r="AI26" i="2"/>
  <c r="AJ26" i="2"/>
  <c r="AK26" i="2"/>
  <c r="AL26" i="2"/>
  <c r="AM26" i="2"/>
  <c r="AN26" i="2"/>
  <c r="AO26" i="2"/>
  <c r="AP26" i="2"/>
  <c r="AQ26" i="2"/>
  <c r="AF26" i="2"/>
  <c r="AD26" i="2"/>
  <c r="AA26" i="2"/>
  <c r="X26" i="2"/>
  <c r="U26" i="2"/>
  <c r="R26" i="2"/>
  <c r="O26" i="2"/>
  <c r="L26" i="2"/>
  <c r="I26" i="2"/>
  <c r="F26" i="2"/>
  <c r="A26" i="2"/>
  <c r="AG25" i="2"/>
  <c r="AH25" i="2"/>
  <c r="AI25" i="2"/>
  <c r="AJ25" i="2"/>
  <c r="AK25" i="2"/>
  <c r="AL25" i="2"/>
  <c r="AM25" i="2"/>
  <c r="AN25" i="2"/>
  <c r="AO25" i="2"/>
  <c r="AP25" i="2"/>
  <c r="AQ25" i="2"/>
  <c r="AF25" i="2"/>
  <c r="AD25" i="2"/>
  <c r="AA25" i="2"/>
  <c r="X25" i="2"/>
  <c r="U25" i="2"/>
  <c r="R25" i="2"/>
  <c r="O25" i="2"/>
  <c r="L25" i="2"/>
  <c r="I25" i="2"/>
  <c r="F25" i="2"/>
  <c r="AG24" i="2"/>
  <c r="AH24" i="2"/>
  <c r="AI24" i="2"/>
  <c r="AJ24" i="2"/>
  <c r="AK24" i="2"/>
  <c r="AL24" i="2"/>
  <c r="AM24" i="2"/>
  <c r="AN24" i="2"/>
  <c r="AO24" i="2"/>
  <c r="AP24" i="2"/>
  <c r="AQ24" i="2"/>
  <c r="AF24" i="2"/>
  <c r="AD24" i="2"/>
  <c r="AA24" i="2"/>
  <c r="X24" i="2"/>
  <c r="U24" i="2"/>
  <c r="R24" i="2"/>
  <c r="O24" i="2"/>
  <c r="L24" i="2"/>
  <c r="I24" i="2"/>
  <c r="F24" i="2"/>
  <c r="AC22" i="2"/>
  <c r="Z22" i="2"/>
  <c r="W22" i="2"/>
  <c r="T22" i="2"/>
  <c r="Q22" i="2"/>
  <c r="N22" i="2"/>
  <c r="K22" i="2"/>
  <c r="H22" i="2"/>
  <c r="E22" i="2"/>
  <c r="AX21" i="2"/>
  <c r="AY21" i="2"/>
  <c r="AX20" i="2"/>
  <c r="AY20" i="2"/>
  <c r="AX19" i="2"/>
  <c r="AY19" i="2"/>
  <c r="AY18" i="2"/>
  <c r="AY17" i="2"/>
  <c r="E17" i="2"/>
  <c r="AY16" i="2"/>
  <c r="AC16" i="2"/>
  <c r="Z16" i="2"/>
  <c r="W16" i="2"/>
  <c r="R16" i="2"/>
  <c r="L16" i="2"/>
  <c r="A16" i="2"/>
  <c r="AY15" i="2"/>
  <c r="AY14" i="2"/>
  <c r="AC14" i="2"/>
  <c r="Z14" i="2"/>
  <c r="W14" i="2"/>
  <c r="R14" i="2"/>
  <c r="L14" i="2"/>
  <c r="A14" i="2"/>
  <c r="AY13" i="2"/>
  <c r="AY12" i="2"/>
  <c r="AC12" i="2"/>
  <c r="Z12" i="2"/>
  <c r="W12" i="2"/>
  <c r="R12" i="2"/>
  <c r="L12" i="2"/>
  <c r="A12" i="2"/>
  <c r="AY11" i="2"/>
  <c r="AY10" i="2"/>
  <c r="AC10" i="2"/>
  <c r="Z10" i="2"/>
  <c r="W10" i="2"/>
  <c r="R10" i="2"/>
  <c r="L10" i="2"/>
  <c r="A10" i="2"/>
  <c r="AY9" i="2"/>
  <c r="AY8" i="2"/>
  <c r="AC8" i="2"/>
  <c r="Z8" i="2"/>
  <c r="W8" i="2"/>
  <c r="R8" i="2"/>
  <c r="L8" i="2"/>
  <c r="A8" i="2"/>
  <c r="AY7" i="2"/>
  <c r="R7" i="2"/>
  <c r="L7" i="2"/>
  <c r="AY6" i="2"/>
  <c r="K6" i="2"/>
  <c r="AY5" i="2"/>
  <c r="AY4" i="2"/>
  <c r="AY3" i="2"/>
  <c r="W219" i="1"/>
  <c r="W220" i="1"/>
  <c r="W221" i="1"/>
  <c r="W222" i="1"/>
  <c r="Y219" i="1"/>
  <c r="Y220" i="1"/>
  <c r="Y221" i="1"/>
  <c r="Y222" i="1"/>
  <c r="AC218" i="1"/>
  <c r="E99" i="1"/>
  <c r="AF180" i="1"/>
  <c r="X213" i="1"/>
  <c r="W230" i="1"/>
  <c r="E8" i="1"/>
  <c r="B79" i="1"/>
  <c r="AT79" i="1"/>
  <c r="E10" i="1"/>
  <c r="B80" i="1"/>
  <c r="AT80" i="1"/>
  <c r="E12" i="1"/>
  <c r="B81" i="1"/>
  <c r="AT81" i="1"/>
  <c r="E14" i="1"/>
  <c r="B82" i="1"/>
  <c r="AT82" i="1"/>
  <c r="AC31" i="1"/>
  <c r="AC32" i="1"/>
  <c r="AC33" i="1"/>
  <c r="AC34" i="1"/>
  <c r="AC35" i="1"/>
  <c r="AC64" i="1"/>
  <c r="AE64" i="1"/>
  <c r="AC65" i="1"/>
  <c r="AE31" i="1"/>
  <c r="AE32" i="1"/>
  <c r="AE33" i="1"/>
  <c r="AE34" i="1"/>
  <c r="AE35" i="1"/>
  <c r="AE65" i="1"/>
  <c r="AC66" i="1"/>
  <c r="AE66" i="1"/>
  <c r="AC67" i="1"/>
  <c r="AE67" i="1"/>
  <c r="AC68" i="1"/>
  <c r="AE68" i="1"/>
  <c r="AD71" i="1"/>
  <c r="AC72" i="1"/>
  <c r="AE72" i="1"/>
  <c r="Z72" i="1"/>
  <c r="AB72" i="1"/>
  <c r="W31" i="1"/>
  <c r="W32" i="1"/>
  <c r="W33" i="1"/>
  <c r="W34" i="1"/>
  <c r="W35" i="1"/>
  <c r="W64" i="1"/>
  <c r="Y64" i="1"/>
  <c r="W65" i="1"/>
  <c r="Y65" i="1"/>
  <c r="W66" i="1"/>
  <c r="Y66" i="1"/>
  <c r="W67" i="1"/>
  <c r="Y67" i="1"/>
  <c r="W68" i="1"/>
  <c r="Y31" i="1"/>
  <c r="Y32" i="1"/>
  <c r="Y33" i="1"/>
  <c r="Y34" i="1"/>
  <c r="Y35" i="1"/>
  <c r="Y68" i="1"/>
  <c r="X71" i="1"/>
  <c r="W72" i="1"/>
  <c r="Y72" i="1"/>
  <c r="T72" i="1"/>
  <c r="V72" i="1"/>
  <c r="Q31" i="1"/>
  <c r="Q32" i="1"/>
  <c r="Q33" i="1"/>
  <c r="Q34" i="1"/>
  <c r="Q35" i="1"/>
  <c r="Q64" i="1"/>
  <c r="S64" i="1"/>
  <c r="Q65" i="1"/>
  <c r="S31" i="1"/>
  <c r="S32" i="1"/>
  <c r="S33" i="1"/>
  <c r="S34" i="1"/>
  <c r="S35" i="1"/>
  <c r="S65" i="1"/>
  <c r="Q66" i="1"/>
  <c r="S66" i="1"/>
  <c r="Q67" i="1"/>
  <c r="S67" i="1"/>
  <c r="Q68" i="1"/>
  <c r="S68" i="1"/>
  <c r="R71" i="1"/>
  <c r="Q72" i="1"/>
  <c r="N72" i="1"/>
  <c r="P72" i="1"/>
  <c r="K31" i="1"/>
  <c r="K32" i="1"/>
  <c r="K33" i="1"/>
  <c r="K34" i="1"/>
  <c r="K35" i="1"/>
  <c r="K64" i="1"/>
  <c r="M64" i="1"/>
  <c r="K65" i="1"/>
  <c r="M65" i="1"/>
  <c r="K66" i="1"/>
  <c r="M31" i="1"/>
  <c r="M32" i="1"/>
  <c r="M33" i="1"/>
  <c r="M34" i="1"/>
  <c r="M35" i="1"/>
  <c r="M66" i="1"/>
  <c r="K67" i="1"/>
  <c r="M67" i="1"/>
  <c r="K68" i="1"/>
  <c r="M68" i="1"/>
  <c r="L71" i="1"/>
  <c r="K72" i="1"/>
  <c r="H72" i="1"/>
  <c r="J72" i="1"/>
  <c r="E31" i="1"/>
  <c r="E32" i="1"/>
  <c r="E33" i="1"/>
  <c r="E34" i="1"/>
  <c r="E35" i="1"/>
  <c r="E64" i="1"/>
  <c r="G64" i="1"/>
  <c r="E65" i="1"/>
  <c r="G65" i="1"/>
  <c r="E66" i="1"/>
  <c r="G66" i="1"/>
  <c r="E67" i="1"/>
  <c r="G31" i="1"/>
  <c r="G32" i="1"/>
  <c r="G33" i="1"/>
  <c r="G34" i="1"/>
  <c r="G35" i="1"/>
  <c r="G67" i="1"/>
  <c r="E68" i="1"/>
  <c r="G68" i="1"/>
  <c r="F71" i="1"/>
  <c r="E72" i="1"/>
  <c r="B72" i="1"/>
  <c r="D72" i="1"/>
  <c r="C79" i="1"/>
  <c r="D79" i="1"/>
  <c r="E85" i="1"/>
  <c r="E36" i="1"/>
  <c r="B75" i="1"/>
  <c r="D75" i="1"/>
  <c r="C82" i="1"/>
  <c r="D82" i="1"/>
  <c r="G85" i="1"/>
  <c r="G36" i="1"/>
  <c r="E86" i="1"/>
  <c r="E87" i="1"/>
  <c r="G79" i="1"/>
  <c r="J79" i="1"/>
  <c r="K85" i="1"/>
  <c r="K36" i="1"/>
  <c r="H74" i="1"/>
  <c r="J74" i="1"/>
  <c r="E74" i="1"/>
  <c r="G74" i="1"/>
  <c r="B74" i="1"/>
  <c r="B64" i="1"/>
  <c r="D64" i="1"/>
  <c r="B31" i="1"/>
  <c r="B32" i="1"/>
  <c r="B33" i="1"/>
  <c r="B34" i="1"/>
  <c r="B35" i="1"/>
  <c r="B65" i="1"/>
  <c r="D65" i="1"/>
  <c r="B66" i="1"/>
  <c r="D31" i="1"/>
  <c r="D32" i="1"/>
  <c r="D33" i="1"/>
  <c r="D34" i="1"/>
  <c r="D35" i="1"/>
  <c r="D66" i="1"/>
  <c r="B67" i="1"/>
  <c r="D67" i="1"/>
  <c r="B68" i="1"/>
  <c r="D68" i="1"/>
  <c r="C71" i="1"/>
  <c r="D74" i="1"/>
  <c r="C81" i="1"/>
  <c r="D85" i="1"/>
  <c r="D36" i="1"/>
  <c r="C80" i="1"/>
  <c r="B85" i="1"/>
  <c r="B36" i="1"/>
  <c r="D86" i="1"/>
  <c r="D87" i="1"/>
  <c r="D81" i="1"/>
  <c r="G81" i="1"/>
  <c r="J81" i="1"/>
  <c r="M85" i="1"/>
  <c r="M36" i="1"/>
  <c r="K86" i="1"/>
  <c r="K87" i="1"/>
  <c r="M79" i="1"/>
  <c r="P79" i="1"/>
  <c r="Q85" i="1"/>
  <c r="Q36" i="1"/>
  <c r="N73" i="1"/>
  <c r="P73" i="1"/>
  <c r="K73" i="1"/>
  <c r="M73" i="1"/>
  <c r="H64" i="1"/>
  <c r="J64" i="1"/>
  <c r="H31" i="1"/>
  <c r="H32" i="1"/>
  <c r="H33" i="1"/>
  <c r="H34" i="1"/>
  <c r="H35" i="1"/>
  <c r="H65" i="1"/>
  <c r="J65" i="1"/>
  <c r="H66" i="1"/>
  <c r="J66" i="1"/>
  <c r="H67" i="1"/>
  <c r="J31" i="1"/>
  <c r="J32" i="1"/>
  <c r="J33" i="1"/>
  <c r="J34" i="1"/>
  <c r="J35" i="1"/>
  <c r="J67" i="1"/>
  <c r="H68" i="1"/>
  <c r="J68" i="1"/>
  <c r="I71" i="1"/>
  <c r="H73" i="1"/>
  <c r="E73" i="1"/>
  <c r="G73" i="1"/>
  <c r="B73" i="1"/>
  <c r="B86" i="1"/>
  <c r="B87" i="1"/>
  <c r="D80" i="1"/>
  <c r="G80" i="1"/>
  <c r="H85" i="1"/>
  <c r="H36" i="1"/>
  <c r="E75" i="1"/>
  <c r="G75" i="1"/>
  <c r="G86" i="1"/>
  <c r="G87" i="1"/>
  <c r="G82" i="1"/>
  <c r="J85" i="1"/>
  <c r="J36" i="1"/>
  <c r="H86" i="1"/>
  <c r="H87" i="1"/>
  <c r="J80" i="1"/>
  <c r="M80" i="1"/>
  <c r="P80" i="1"/>
  <c r="S85" i="1"/>
  <c r="S36" i="1"/>
  <c r="Q86" i="1"/>
  <c r="Q87" i="1"/>
  <c r="S79" i="1"/>
  <c r="V79" i="1"/>
  <c r="Y79" i="1"/>
  <c r="AB79" i="1"/>
  <c r="AE79" i="1"/>
  <c r="AU79" i="1"/>
  <c r="AC73" i="1"/>
  <c r="AE73" i="1"/>
  <c r="Z73" i="1"/>
  <c r="AB73" i="1"/>
  <c r="W73" i="1"/>
  <c r="Y73" i="1"/>
  <c r="T64" i="1"/>
  <c r="V64" i="1"/>
  <c r="T31" i="1"/>
  <c r="T32" i="1"/>
  <c r="T33" i="1"/>
  <c r="T34" i="1"/>
  <c r="T35" i="1"/>
  <c r="T65" i="1"/>
  <c r="V65" i="1"/>
  <c r="T66" i="1"/>
  <c r="V31" i="1"/>
  <c r="V32" i="1"/>
  <c r="V33" i="1"/>
  <c r="V34" i="1"/>
  <c r="V35" i="1"/>
  <c r="V66" i="1"/>
  <c r="T67" i="1"/>
  <c r="V67" i="1"/>
  <c r="T68" i="1"/>
  <c r="V68" i="1"/>
  <c r="U71" i="1"/>
  <c r="T73" i="1"/>
  <c r="V73" i="1"/>
  <c r="Q73" i="1"/>
  <c r="S73" i="1"/>
  <c r="S86" i="1"/>
  <c r="S87" i="1"/>
  <c r="S80" i="1"/>
  <c r="V80" i="1"/>
  <c r="Y80" i="1"/>
  <c r="AB80" i="1"/>
  <c r="AE80" i="1"/>
  <c r="AU80" i="1"/>
  <c r="AC74" i="1"/>
  <c r="AE74" i="1"/>
  <c r="Z64" i="1"/>
  <c r="AB64" i="1"/>
  <c r="Z65" i="1"/>
  <c r="AB65" i="1"/>
  <c r="Z31" i="1"/>
  <c r="Z32" i="1"/>
  <c r="Z33" i="1"/>
  <c r="Z34" i="1"/>
  <c r="Z35" i="1"/>
  <c r="Z66" i="1"/>
  <c r="AB66" i="1"/>
  <c r="Z67" i="1"/>
  <c r="AB31" i="1"/>
  <c r="AB32" i="1"/>
  <c r="AB33" i="1"/>
  <c r="AB34" i="1"/>
  <c r="AB35" i="1"/>
  <c r="AB67" i="1"/>
  <c r="Z68" i="1"/>
  <c r="AB68" i="1"/>
  <c r="AA71" i="1"/>
  <c r="Z74" i="1"/>
  <c r="AB74" i="1"/>
  <c r="W74" i="1"/>
  <c r="Y74" i="1"/>
  <c r="T74" i="1"/>
  <c r="V74" i="1"/>
  <c r="Q74" i="1"/>
  <c r="S74" i="1"/>
  <c r="N64" i="1"/>
  <c r="P64" i="1"/>
  <c r="N65" i="1"/>
  <c r="P65" i="1"/>
  <c r="N31" i="1"/>
  <c r="N32" i="1"/>
  <c r="N33" i="1"/>
  <c r="N34" i="1"/>
  <c r="N35" i="1"/>
  <c r="N66" i="1"/>
  <c r="P66" i="1"/>
  <c r="N67" i="1"/>
  <c r="P31" i="1"/>
  <c r="P32" i="1"/>
  <c r="P33" i="1"/>
  <c r="P34" i="1"/>
  <c r="P35" i="1"/>
  <c r="P67" i="1"/>
  <c r="N68" i="1"/>
  <c r="P68" i="1"/>
  <c r="O71" i="1"/>
  <c r="N74" i="1"/>
  <c r="K74" i="1"/>
  <c r="M74" i="1"/>
  <c r="M86" i="1"/>
  <c r="M87" i="1"/>
  <c r="M81" i="1"/>
  <c r="N85" i="1"/>
  <c r="N36" i="1"/>
  <c r="K75" i="1"/>
  <c r="M75" i="1"/>
  <c r="H75" i="1"/>
  <c r="J75" i="1"/>
  <c r="J86" i="1"/>
  <c r="J87" i="1"/>
  <c r="J82" i="1"/>
  <c r="M82" i="1"/>
  <c r="P85" i="1"/>
  <c r="P36" i="1"/>
  <c r="N86" i="1"/>
  <c r="N87" i="1"/>
  <c r="P81" i="1"/>
  <c r="S81" i="1"/>
  <c r="V81" i="1"/>
  <c r="Y81" i="1"/>
  <c r="AB81" i="1"/>
  <c r="AE81" i="1"/>
  <c r="AU81" i="1"/>
  <c r="AC75" i="1"/>
  <c r="AE75" i="1"/>
  <c r="Z75" i="1"/>
  <c r="AB75" i="1"/>
  <c r="W75" i="1"/>
  <c r="Y75" i="1"/>
  <c r="T75" i="1"/>
  <c r="V75" i="1"/>
  <c r="Q75" i="1"/>
  <c r="S75" i="1"/>
  <c r="N75" i="1"/>
  <c r="P75" i="1"/>
  <c r="P86" i="1"/>
  <c r="P87" i="1"/>
  <c r="P82" i="1"/>
  <c r="S82" i="1"/>
  <c r="V82" i="1"/>
  <c r="Y82" i="1"/>
  <c r="AB82" i="1"/>
  <c r="AE82" i="1"/>
  <c r="AU82" i="1"/>
  <c r="E16" i="1"/>
  <c r="B83" i="1"/>
  <c r="AT83" i="1"/>
  <c r="AC76" i="1"/>
  <c r="AE76" i="1"/>
  <c r="Z76" i="1"/>
  <c r="AB76" i="1"/>
  <c r="W76" i="1"/>
  <c r="Y76" i="1"/>
  <c r="T76" i="1"/>
  <c r="V76" i="1"/>
  <c r="Q76" i="1"/>
  <c r="S76" i="1"/>
  <c r="N76" i="1"/>
  <c r="P76" i="1"/>
  <c r="K76" i="1"/>
  <c r="M76" i="1"/>
  <c r="H76" i="1"/>
  <c r="J76" i="1"/>
  <c r="E76" i="1"/>
  <c r="G76" i="1"/>
  <c r="B76" i="1"/>
  <c r="D76" i="1"/>
  <c r="C83" i="1"/>
  <c r="D83" i="1"/>
  <c r="G83" i="1"/>
  <c r="J83" i="1"/>
  <c r="M83" i="1"/>
  <c r="P83" i="1"/>
  <c r="S83" i="1"/>
  <c r="V83" i="1"/>
  <c r="Y83" i="1"/>
  <c r="AB83" i="1"/>
  <c r="AE83" i="1"/>
  <c r="AU83" i="1"/>
  <c r="E93" i="1"/>
  <c r="B164" i="1"/>
  <c r="AT164" i="1"/>
  <c r="AC116" i="1"/>
  <c r="AC117" i="1"/>
  <c r="AC118" i="1"/>
  <c r="AC119" i="1"/>
  <c r="AC120" i="1"/>
  <c r="AC149" i="1"/>
  <c r="AE149" i="1"/>
  <c r="AC150" i="1"/>
  <c r="AE116" i="1"/>
  <c r="AE117" i="1"/>
  <c r="AE118" i="1"/>
  <c r="AE119" i="1"/>
  <c r="AE120" i="1"/>
  <c r="AE150" i="1"/>
  <c r="AC151" i="1"/>
  <c r="AE151" i="1"/>
  <c r="AC152" i="1"/>
  <c r="AE152" i="1"/>
  <c r="AC153" i="1"/>
  <c r="AE153" i="1"/>
  <c r="AD156" i="1"/>
  <c r="AC157" i="1"/>
  <c r="AE157" i="1"/>
  <c r="Z157" i="1"/>
  <c r="AB157" i="1"/>
  <c r="W116" i="1"/>
  <c r="W117" i="1"/>
  <c r="W118" i="1"/>
  <c r="W119" i="1"/>
  <c r="W120" i="1"/>
  <c r="W149" i="1"/>
  <c r="Y149" i="1"/>
  <c r="W150" i="1"/>
  <c r="Y150" i="1"/>
  <c r="W151" i="1"/>
  <c r="Y151" i="1"/>
  <c r="W152" i="1"/>
  <c r="Y152" i="1"/>
  <c r="W153" i="1"/>
  <c r="Y116" i="1"/>
  <c r="Y117" i="1"/>
  <c r="Y118" i="1"/>
  <c r="Y119" i="1"/>
  <c r="Y120" i="1"/>
  <c r="Y153" i="1"/>
  <c r="X156" i="1"/>
  <c r="W157" i="1"/>
  <c r="Y157" i="1"/>
  <c r="T157" i="1"/>
  <c r="V157" i="1"/>
  <c r="Q116" i="1"/>
  <c r="Q117" i="1"/>
  <c r="Q118" i="1"/>
  <c r="Q119" i="1"/>
  <c r="Q120" i="1"/>
  <c r="Q149" i="1"/>
  <c r="S149" i="1"/>
  <c r="Q150" i="1"/>
  <c r="S116" i="1"/>
  <c r="S117" i="1"/>
  <c r="S118" i="1"/>
  <c r="S119" i="1"/>
  <c r="S120" i="1"/>
  <c r="S150" i="1"/>
  <c r="Q151" i="1"/>
  <c r="S151" i="1"/>
  <c r="Q152" i="1"/>
  <c r="S152" i="1"/>
  <c r="Q153" i="1"/>
  <c r="S153" i="1"/>
  <c r="R156" i="1"/>
  <c r="Q157" i="1"/>
  <c r="N157" i="1"/>
  <c r="P157" i="1"/>
  <c r="K116" i="1"/>
  <c r="K117" i="1"/>
  <c r="K118" i="1"/>
  <c r="K119" i="1"/>
  <c r="K120" i="1"/>
  <c r="K149" i="1"/>
  <c r="M149" i="1"/>
  <c r="K150" i="1"/>
  <c r="M150" i="1"/>
  <c r="K151" i="1"/>
  <c r="M116" i="1"/>
  <c r="M117" i="1"/>
  <c r="M118" i="1"/>
  <c r="M119" i="1"/>
  <c r="M120" i="1"/>
  <c r="M151" i="1"/>
  <c r="K152" i="1"/>
  <c r="M152" i="1"/>
  <c r="K153" i="1"/>
  <c r="M153" i="1"/>
  <c r="L156" i="1"/>
  <c r="K157" i="1"/>
  <c r="H157" i="1"/>
  <c r="J157" i="1"/>
  <c r="E116" i="1"/>
  <c r="E117" i="1"/>
  <c r="E118" i="1"/>
  <c r="E119" i="1"/>
  <c r="E120" i="1"/>
  <c r="E149" i="1"/>
  <c r="G149" i="1"/>
  <c r="E150" i="1"/>
  <c r="G150" i="1"/>
  <c r="E151" i="1"/>
  <c r="G151" i="1"/>
  <c r="E152" i="1"/>
  <c r="G116" i="1"/>
  <c r="G117" i="1"/>
  <c r="G118" i="1"/>
  <c r="G119" i="1"/>
  <c r="G120" i="1"/>
  <c r="G152" i="1"/>
  <c r="E153" i="1"/>
  <c r="G153" i="1"/>
  <c r="F156" i="1"/>
  <c r="E157" i="1"/>
  <c r="B157" i="1"/>
  <c r="D157" i="1"/>
  <c r="C164" i="1"/>
  <c r="D164" i="1"/>
  <c r="E170" i="1"/>
  <c r="E121" i="1"/>
  <c r="B160" i="1"/>
  <c r="D160" i="1"/>
  <c r="B167" i="1"/>
  <c r="C167" i="1"/>
  <c r="D167" i="1"/>
  <c r="G170" i="1"/>
  <c r="G121" i="1"/>
  <c r="E171" i="1"/>
  <c r="E172" i="1"/>
  <c r="G164" i="1"/>
  <c r="J164" i="1"/>
  <c r="K170" i="1"/>
  <c r="K121" i="1"/>
  <c r="H159" i="1"/>
  <c r="J159" i="1"/>
  <c r="E159" i="1"/>
  <c r="G159" i="1"/>
  <c r="B159" i="1"/>
  <c r="B149" i="1"/>
  <c r="D149" i="1"/>
  <c r="B116" i="1"/>
  <c r="B117" i="1"/>
  <c r="B118" i="1"/>
  <c r="B119" i="1"/>
  <c r="B120" i="1"/>
  <c r="B150" i="1"/>
  <c r="D150" i="1"/>
  <c r="B151" i="1"/>
  <c r="D116" i="1"/>
  <c r="D117" i="1"/>
  <c r="D118" i="1"/>
  <c r="D119" i="1"/>
  <c r="D120" i="1"/>
  <c r="D151" i="1"/>
  <c r="B152" i="1"/>
  <c r="D152" i="1"/>
  <c r="B153" i="1"/>
  <c r="D153" i="1"/>
  <c r="C156" i="1"/>
  <c r="D159" i="1"/>
  <c r="E97" i="1"/>
  <c r="B166" i="1"/>
  <c r="C166" i="1"/>
  <c r="D170" i="1"/>
  <c r="D121" i="1"/>
  <c r="E95" i="1"/>
  <c r="B165" i="1"/>
  <c r="C165" i="1"/>
  <c r="B170" i="1"/>
  <c r="B121" i="1"/>
  <c r="D171" i="1"/>
  <c r="D172" i="1"/>
  <c r="D166" i="1"/>
  <c r="G166" i="1"/>
  <c r="J166" i="1"/>
  <c r="M170" i="1"/>
  <c r="M121" i="1"/>
  <c r="K171" i="1"/>
  <c r="K172" i="1"/>
  <c r="M164" i="1"/>
  <c r="P164" i="1"/>
  <c r="Q170" i="1"/>
  <c r="Q121" i="1"/>
  <c r="N158" i="1"/>
  <c r="P158" i="1"/>
  <c r="K158" i="1"/>
  <c r="M158" i="1"/>
  <c r="H149" i="1"/>
  <c r="J149" i="1"/>
  <c r="H116" i="1"/>
  <c r="H117" i="1"/>
  <c r="H118" i="1"/>
  <c r="H119" i="1"/>
  <c r="H120" i="1"/>
  <c r="H150" i="1"/>
  <c r="J150" i="1"/>
  <c r="H151" i="1"/>
  <c r="J151" i="1"/>
  <c r="H152" i="1"/>
  <c r="J116" i="1"/>
  <c r="J117" i="1"/>
  <c r="J118" i="1"/>
  <c r="J119" i="1"/>
  <c r="J120" i="1"/>
  <c r="J152" i="1"/>
  <c r="H153" i="1"/>
  <c r="J153" i="1"/>
  <c r="I156" i="1"/>
  <c r="H158" i="1"/>
  <c r="E158" i="1"/>
  <c r="G158" i="1"/>
  <c r="B158" i="1"/>
  <c r="B171" i="1"/>
  <c r="B172" i="1"/>
  <c r="D165" i="1"/>
  <c r="G165" i="1"/>
  <c r="H170" i="1"/>
  <c r="H121" i="1"/>
  <c r="E160" i="1"/>
  <c r="G160" i="1"/>
  <c r="G171" i="1"/>
  <c r="G172" i="1"/>
  <c r="G167" i="1"/>
  <c r="J170" i="1"/>
  <c r="J121" i="1"/>
  <c r="H171" i="1"/>
  <c r="H172" i="1"/>
  <c r="J165" i="1"/>
  <c r="M165" i="1"/>
  <c r="P165" i="1"/>
  <c r="S170" i="1"/>
  <c r="S121" i="1"/>
  <c r="Q171" i="1"/>
  <c r="Q172" i="1"/>
  <c r="S164" i="1"/>
  <c r="V164" i="1"/>
  <c r="Y164" i="1"/>
  <c r="AB164" i="1"/>
  <c r="AE164" i="1"/>
  <c r="AU164" i="1"/>
  <c r="AT165" i="1"/>
  <c r="AC158" i="1"/>
  <c r="AE158" i="1"/>
  <c r="Z158" i="1"/>
  <c r="AB158" i="1"/>
  <c r="W158" i="1"/>
  <c r="Y158" i="1"/>
  <c r="T149" i="1"/>
  <c r="V149" i="1"/>
  <c r="T116" i="1"/>
  <c r="T117" i="1"/>
  <c r="T118" i="1"/>
  <c r="T119" i="1"/>
  <c r="T120" i="1"/>
  <c r="T150" i="1"/>
  <c r="V150" i="1"/>
  <c r="T151" i="1"/>
  <c r="V116" i="1"/>
  <c r="V117" i="1"/>
  <c r="V118" i="1"/>
  <c r="V119" i="1"/>
  <c r="V120" i="1"/>
  <c r="V151" i="1"/>
  <c r="T152" i="1"/>
  <c r="V152" i="1"/>
  <c r="T153" i="1"/>
  <c r="V153" i="1"/>
  <c r="U156" i="1"/>
  <c r="T158" i="1"/>
  <c r="V158" i="1"/>
  <c r="Q158" i="1"/>
  <c r="S158" i="1"/>
  <c r="S171" i="1"/>
  <c r="S172" i="1"/>
  <c r="S165" i="1"/>
  <c r="V165" i="1"/>
  <c r="Y165" i="1"/>
  <c r="AB165" i="1"/>
  <c r="AE165" i="1"/>
  <c r="AU165" i="1"/>
  <c r="AT166" i="1"/>
  <c r="AC159" i="1"/>
  <c r="AE159" i="1"/>
  <c r="Z149" i="1"/>
  <c r="AB149" i="1"/>
  <c r="Z150" i="1"/>
  <c r="AB150" i="1"/>
  <c r="Z116" i="1"/>
  <c r="Z117" i="1"/>
  <c r="Z118" i="1"/>
  <c r="Z119" i="1"/>
  <c r="Z120" i="1"/>
  <c r="Z151" i="1"/>
  <c r="AB151" i="1"/>
  <c r="Z152" i="1"/>
  <c r="AB116" i="1"/>
  <c r="AB117" i="1"/>
  <c r="AB118" i="1"/>
  <c r="AB119" i="1"/>
  <c r="AB120" i="1"/>
  <c r="AB152" i="1"/>
  <c r="Z153" i="1"/>
  <c r="AB153" i="1"/>
  <c r="AA156" i="1"/>
  <c r="Z159" i="1"/>
  <c r="AB159" i="1"/>
  <c r="W159" i="1"/>
  <c r="Y159" i="1"/>
  <c r="T159" i="1"/>
  <c r="V159" i="1"/>
  <c r="Q159" i="1"/>
  <c r="S159" i="1"/>
  <c r="N149" i="1"/>
  <c r="P149" i="1"/>
  <c r="N150" i="1"/>
  <c r="P150" i="1"/>
  <c r="N116" i="1"/>
  <c r="N117" i="1"/>
  <c r="N118" i="1"/>
  <c r="N119" i="1"/>
  <c r="N120" i="1"/>
  <c r="N151" i="1"/>
  <c r="P151" i="1"/>
  <c r="N152" i="1"/>
  <c r="P116" i="1"/>
  <c r="P117" i="1"/>
  <c r="P118" i="1"/>
  <c r="P119" i="1"/>
  <c r="P120" i="1"/>
  <c r="P152" i="1"/>
  <c r="N153" i="1"/>
  <c r="P153" i="1"/>
  <c r="O156" i="1"/>
  <c r="N159" i="1"/>
  <c r="K159" i="1"/>
  <c r="M159" i="1"/>
  <c r="M171" i="1"/>
  <c r="M172" i="1"/>
  <c r="M166" i="1"/>
  <c r="N170" i="1"/>
  <c r="N121" i="1"/>
  <c r="K160" i="1"/>
  <c r="M160" i="1"/>
  <c r="H160" i="1"/>
  <c r="J160" i="1"/>
  <c r="J171" i="1"/>
  <c r="J172" i="1"/>
  <c r="J167" i="1"/>
  <c r="M167" i="1"/>
  <c r="P170" i="1"/>
  <c r="P121" i="1"/>
  <c r="N171" i="1"/>
  <c r="N172" i="1"/>
  <c r="P166" i="1"/>
  <c r="S166" i="1"/>
  <c r="V166" i="1"/>
  <c r="Y166" i="1"/>
  <c r="AB166" i="1"/>
  <c r="AE166" i="1"/>
  <c r="AU166" i="1"/>
  <c r="AT167" i="1"/>
  <c r="AC160" i="1"/>
  <c r="AE160" i="1"/>
  <c r="Z160" i="1"/>
  <c r="AB160" i="1"/>
  <c r="W160" i="1"/>
  <c r="Y160" i="1"/>
  <c r="T160" i="1"/>
  <c r="V160" i="1"/>
  <c r="Q160" i="1"/>
  <c r="S160" i="1"/>
  <c r="N160" i="1"/>
  <c r="P160" i="1"/>
  <c r="P171" i="1"/>
  <c r="P172" i="1"/>
  <c r="P167" i="1"/>
  <c r="S167" i="1"/>
  <c r="V167" i="1"/>
  <c r="Y167" i="1"/>
  <c r="AB167" i="1"/>
  <c r="AE167" i="1"/>
  <c r="AU167" i="1"/>
  <c r="E101" i="1"/>
  <c r="B168" i="1"/>
  <c r="AT168" i="1"/>
  <c r="AC161" i="1"/>
  <c r="AE161" i="1"/>
  <c r="Z161" i="1"/>
  <c r="AB161" i="1"/>
  <c r="W161" i="1"/>
  <c r="Y161" i="1"/>
  <c r="T161" i="1"/>
  <c r="V161" i="1"/>
  <c r="Q161" i="1"/>
  <c r="S161" i="1"/>
  <c r="N161" i="1"/>
  <c r="P161" i="1"/>
  <c r="K161" i="1"/>
  <c r="M161" i="1"/>
  <c r="H161" i="1"/>
  <c r="J161" i="1"/>
  <c r="E161" i="1"/>
  <c r="G161" i="1"/>
  <c r="B161" i="1"/>
  <c r="D161" i="1"/>
  <c r="C168" i="1"/>
  <c r="D168" i="1"/>
  <c r="G168" i="1"/>
  <c r="J168" i="1"/>
  <c r="M168" i="1"/>
  <c r="P168" i="1"/>
  <c r="S168" i="1"/>
  <c r="V168" i="1"/>
  <c r="Y168" i="1"/>
  <c r="AB168" i="1"/>
  <c r="AE168" i="1"/>
  <c r="AU168" i="1"/>
  <c r="AX9" i="1"/>
  <c r="X230" i="1"/>
  <c r="Y231" i="1"/>
  <c r="W22" i="1"/>
  <c r="V179" i="1"/>
  <c r="X210" i="1"/>
  <c r="W227" i="1"/>
  <c r="AX10" i="1"/>
  <c r="X227" i="1"/>
  <c r="W231" i="1"/>
  <c r="Y232" i="1"/>
  <c r="Y233" i="1"/>
  <c r="Y230" i="1"/>
  <c r="AB230" i="1"/>
  <c r="AC231" i="1"/>
  <c r="AC219" i="1"/>
  <c r="AC220" i="1"/>
  <c r="AC221" i="1"/>
  <c r="AC222" i="1"/>
  <c r="AE219" i="1"/>
  <c r="AE220" i="1"/>
  <c r="AE221" i="1"/>
  <c r="AE222" i="1"/>
  <c r="Z219" i="1"/>
  <c r="Z220" i="1"/>
  <c r="Z221" i="1"/>
  <c r="Z222" i="1"/>
  <c r="AB219" i="1"/>
  <c r="AB220" i="1"/>
  <c r="AB221" i="1"/>
  <c r="AB222" i="1"/>
  <c r="AE218" i="1"/>
  <c r="AF179" i="1"/>
  <c r="X212" i="1"/>
  <c r="W229" i="1"/>
  <c r="AX7" i="1"/>
  <c r="X229" i="1"/>
  <c r="Y229" i="1"/>
  <c r="AB231" i="1"/>
  <c r="Z22" i="1"/>
  <c r="V180" i="1"/>
  <c r="X211" i="1"/>
  <c r="W228" i="1"/>
  <c r="AX8" i="1"/>
  <c r="X228" i="1"/>
  <c r="Y228" i="1"/>
  <c r="Z231" i="1"/>
  <c r="AB232" i="1"/>
  <c r="AB233" i="1"/>
  <c r="AB229" i="1"/>
  <c r="AE231" i="1"/>
  <c r="AC232" i="1"/>
  <c r="AC233" i="1"/>
  <c r="AE230" i="1"/>
  <c r="AU233" i="1"/>
  <c r="AT233" i="1"/>
  <c r="AC22" i="1"/>
  <c r="AE232" i="1"/>
  <c r="AE233" i="1"/>
  <c r="Z232" i="1"/>
  <c r="Z233" i="1"/>
  <c r="W232" i="1"/>
  <c r="W233" i="1"/>
  <c r="E219" i="1"/>
  <c r="E220" i="1"/>
  <c r="E221" i="1"/>
  <c r="E222" i="1"/>
  <c r="G219" i="1"/>
  <c r="G220" i="1"/>
  <c r="G221" i="1"/>
  <c r="G222" i="1"/>
  <c r="J218" i="1"/>
  <c r="B180" i="1"/>
  <c r="B211" i="1"/>
  <c r="B228" i="1"/>
  <c r="AX4" i="1"/>
  <c r="C228" i="1"/>
  <c r="D228" i="1"/>
  <c r="E231" i="1"/>
  <c r="L179" i="1"/>
  <c r="B212" i="1"/>
  <c r="B229" i="1"/>
  <c r="AX6" i="1"/>
  <c r="C229" i="1"/>
  <c r="D229" i="1"/>
  <c r="G231" i="1"/>
  <c r="E232" i="1"/>
  <c r="E233" i="1"/>
  <c r="G228" i="1"/>
  <c r="J231" i="1"/>
  <c r="J219" i="1"/>
  <c r="J220" i="1"/>
  <c r="J221" i="1"/>
  <c r="J222" i="1"/>
  <c r="H22" i="1"/>
  <c r="B219" i="1"/>
  <c r="B220" i="1"/>
  <c r="B221" i="1"/>
  <c r="B222" i="1"/>
  <c r="D219" i="1"/>
  <c r="D220" i="1"/>
  <c r="D221" i="1"/>
  <c r="D222" i="1"/>
  <c r="H218" i="1"/>
  <c r="B179" i="1"/>
  <c r="B210" i="1"/>
  <c r="B227" i="1"/>
  <c r="AX3" i="1"/>
  <c r="C227" i="1"/>
  <c r="B231" i="1"/>
  <c r="L180" i="1"/>
  <c r="B213" i="1"/>
  <c r="B230" i="1"/>
  <c r="AX5" i="1"/>
  <c r="C230" i="1"/>
  <c r="D231" i="1"/>
  <c r="B232" i="1"/>
  <c r="B233" i="1"/>
  <c r="D227" i="1"/>
  <c r="G227" i="1"/>
  <c r="H231" i="1"/>
  <c r="H219" i="1"/>
  <c r="H220" i="1"/>
  <c r="H221" i="1"/>
  <c r="H222" i="1"/>
  <c r="J232" i="1"/>
  <c r="J233" i="1"/>
  <c r="H232" i="1"/>
  <c r="H233" i="1"/>
  <c r="E22" i="1"/>
  <c r="G232" i="1"/>
  <c r="G233" i="1"/>
  <c r="D232" i="1"/>
  <c r="D233" i="1"/>
  <c r="AE229" i="1"/>
  <c r="AU232" i="1"/>
  <c r="AT232" i="1"/>
  <c r="AB228" i="1"/>
  <c r="AE228" i="1"/>
  <c r="AU231" i="1"/>
  <c r="AT231" i="1"/>
  <c r="Y227" i="1"/>
  <c r="AB227" i="1"/>
  <c r="AE227" i="1"/>
  <c r="AU230" i="1"/>
  <c r="AT230" i="1"/>
  <c r="D230" i="1"/>
  <c r="G230" i="1"/>
  <c r="J230" i="1"/>
  <c r="AU229" i="1"/>
  <c r="AT229" i="1"/>
  <c r="G229" i="1"/>
  <c r="J229" i="1"/>
  <c r="AU228" i="1"/>
  <c r="AT228" i="1"/>
  <c r="J228" i="1"/>
  <c r="AU227" i="1"/>
  <c r="AT227" i="1"/>
  <c r="J227" i="1"/>
  <c r="AU226" i="1"/>
  <c r="AT226" i="1"/>
  <c r="AF223" i="1"/>
  <c r="K223" i="1"/>
  <c r="E100" i="1"/>
  <c r="AL180" i="1"/>
  <c r="AG213" i="1"/>
  <c r="E96" i="1"/>
  <c r="R180" i="1"/>
  <c r="K213" i="1"/>
  <c r="E13" i="1"/>
  <c r="AL179" i="1"/>
  <c r="AG212" i="1"/>
  <c r="E11" i="1"/>
  <c r="R179" i="1"/>
  <c r="K212" i="1"/>
  <c r="E98" i="1"/>
  <c r="AB180" i="1"/>
  <c r="AG211" i="1"/>
  <c r="E94" i="1"/>
  <c r="H180" i="1"/>
  <c r="K211" i="1"/>
  <c r="E15" i="1"/>
  <c r="AB179" i="1"/>
  <c r="AG210" i="1"/>
  <c r="E9" i="1"/>
  <c r="H179" i="1"/>
  <c r="K210" i="1"/>
  <c r="U204" i="1"/>
  <c r="A204" i="1"/>
  <c r="AB203" i="1"/>
  <c r="F203" i="1"/>
  <c r="U199" i="1"/>
  <c r="A199" i="1"/>
  <c r="AF198" i="1"/>
  <c r="J198" i="1"/>
  <c r="U195" i="1"/>
  <c r="A195" i="1"/>
  <c r="AB193" i="1"/>
  <c r="T193" i="1"/>
  <c r="F193" i="1"/>
  <c r="A193" i="1"/>
  <c r="U190" i="1"/>
  <c r="A190" i="1"/>
  <c r="A174" i="1"/>
  <c r="AE170" i="1"/>
  <c r="AE121" i="1"/>
  <c r="AC170" i="1"/>
  <c r="AC121" i="1"/>
  <c r="AE171" i="1"/>
  <c r="AE172" i="1"/>
  <c r="AC171" i="1"/>
  <c r="AC172" i="1"/>
  <c r="AB170" i="1"/>
  <c r="AB121" i="1"/>
  <c r="Z170" i="1"/>
  <c r="Z121" i="1"/>
  <c r="AB171" i="1"/>
  <c r="AB172" i="1"/>
  <c r="Z171" i="1"/>
  <c r="Z172" i="1"/>
  <c r="Y170" i="1"/>
  <c r="Y121" i="1"/>
  <c r="W170" i="1"/>
  <c r="W121" i="1"/>
  <c r="Y171" i="1"/>
  <c r="Y172" i="1"/>
  <c r="W171" i="1"/>
  <c r="W172" i="1"/>
  <c r="V170" i="1"/>
  <c r="V121" i="1"/>
  <c r="T170" i="1"/>
  <c r="T121" i="1"/>
  <c r="V171" i="1"/>
  <c r="V172" i="1"/>
  <c r="T171" i="1"/>
  <c r="T172" i="1"/>
  <c r="AF161" i="1"/>
  <c r="AF160" i="1"/>
  <c r="P159" i="1"/>
  <c r="AF159" i="1"/>
  <c r="D158" i="1"/>
  <c r="J158" i="1"/>
  <c r="AF158" i="1"/>
  <c r="G157" i="1"/>
  <c r="M157" i="1"/>
  <c r="S157" i="1"/>
  <c r="AF157" i="1"/>
  <c r="AF153" i="1"/>
  <c r="AG153" i="1"/>
  <c r="AF152" i="1"/>
  <c r="AG152" i="1"/>
  <c r="AF151" i="1"/>
  <c r="AG151" i="1"/>
  <c r="AF150" i="1"/>
  <c r="AG150" i="1"/>
  <c r="AF149" i="1"/>
  <c r="AG149" i="1"/>
  <c r="B147" i="1"/>
  <c r="D147" i="1"/>
  <c r="E147" i="1"/>
  <c r="G147" i="1"/>
  <c r="H147" i="1"/>
  <c r="J147" i="1"/>
  <c r="K147" i="1"/>
  <c r="M147" i="1"/>
  <c r="N147" i="1"/>
  <c r="P147" i="1"/>
  <c r="Q147" i="1"/>
  <c r="S147" i="1"/>
  <c r="T147" i="1"/>
  <c r="V147" i="1"/>
  <c r="W147" i="1"/>
  <c r="W124" i="1"/>
  <c r="Y124" i="1"/>
  <c r="W125" i="1"/>
  <c r="Y125" i="1"/>
  <c r="W126" i="1"/>
  <c r="Y126" i="1"/>
  <c r="W127" i="1"/>
  <c r="Y127" i="1"/>
  <c r="W128" i="1"/>
  <c r="Y128" i="1"/>
  <c r="W129" i="1"/>
  <c r="Y147" i="1"/>
  <c r="Z147" i="1"/>
  <c r="AB147" i="1"/>
  <c r="AC147" i="1"/>
  <c r="AE147" i="1"/>
  <c r="AF147" i="1"/>
  <c r="B146" i="1"/>
  <c r="D146" i="1"/>
  <c r="E146" i="1"/>
  <c r="E124" i="1"/>
  <c r="G124" i="1"/>
  <c r="E125" i="1"/>
  <c r="G125" i="1"/>
  <c r="E126" i="1"/>
  <c r="G126" i="1"/>
  <c r="E127" i="1"/>
  <c r="G127" i="1"/>
  <c r="E128" i="1"/>
  <c r="G128" i="1"/>
  <c r="E129" i="1"/>
  <c r="G146" i="1"/>
  <c r="H146" i="1"/>
  <c r="H124" i="1"/>
  <c r="J124" i="1"/>
  <c r="H125" i="1"/>
  <c r="J125" i="1"/>
  <c r="H126" i="1"/>
  <c r="J126" i="1"/>
  <c r="H127" i="1"/>
  <c r="J127" i="1"/>
  <c r="H128" i="1"/>
  <c r="J128" i="1"/>
  <c r="H129" i="1"/>
  <c r="J146" i="1"/>
  <c r="K146" i="1"/>
  <c r="M146" i="1"/>
  <c r="N146" i="1"/>
  <c r="N124" i="1"/>
  <c r="P124" i="1"/>
  <c r="N125" i="1"/>
  <c r="P125" i="1"/>
  <c r="N126" i="1"/>
  <c r="P126" i="1"/>
  <c r="N127" i="1"/>
  <c r="P127" i="1"/>
  <c r="N128" i="1"/>
  <c r="P128" i="1"/>
  <c r="N129" i="1"/>
  <c r="P146" i="1"/>
  <c r="Q146" i="1"/>
  <c r="S146" i="1"/>
  <c r="T146" i="1"/>
  <c r="V146" i="1"/>
  <c r="W146" i="1"/>
  <c r="Y146" i="1"/>
  <c r="Z146" i="1"/>
  <c r="Z124" i="1"/>
  <c r="AB124" i="1"/>
  <c r="Z125" i="1"/>
  <c r="AB125" i="1"/>
  <c r="Z126" i="1"/>
  <c r="AB126" i="1"/>
  <c r="Z127" i="1"/>
  <c r="AB127" i="1"/>
  <c r="Z128" i="1"/>
  <c r="AB128" i="1"/>
  <c r="Z129" i="1"/>
  <c r="AB146" i="1"/>
  <c r="AC146" i="1"/>
  <c r="AE146" i="1"/>
  <c r="AF146" i="1"/>
  <c r="B145" i="1"/>
  <c r="B124" i="1"/>
  <c r="D124" i="1"/>
  <c r="B125" i="1"/>
  <c r="D125" i="1"/>
  <c r="B126" i="1"/>
  <c r="D126" i="1"/>
  <c r="B127" i="1"/>
  <c r="D127" i="1"/>
  <c r="B128" i="1"/>
  <c r="D128" i="1"/>
  <c r="B129" i="1"/>
  <c r="D145" i="1"/>
  <c r="E145" i="1"/>
  <c r="G145" i="1"/>
  <c r="H145" i="1"/>
  <c r="J145" i="1"/>
  <c r="K145" i="1"/>
  <c r="K124" i="1"/>
  <c r="M124" i="1"/>
  <c r="K125" i="1"/>
  <c r="M125" i="1"/>
  <c r="K126" i="1"/>
  <c r="M126" i="1"/>
  <c r="K127" i="1"/>
  <c r="M127" i="1"/>
  <c r="K128" i="1"/>
  <c r="M128" i="1"/>
  <c r="K129" i="1"/>
  <c r="M145" i="1"/>
  <c r="N145" i="1"/>
  <c r="P145" i="1"/>
  <c r="Q145" i="1"/>
  <c r="S145" i="1"/>
  <c r="T145" i="1"/>
  <c r="T124" i="1"/>
  <c r="V124" i="1"/>
  <c r="T125" i="1"/>
  <c r="V125" i="1"/>
  <c r="T126" i="1"/>
  <c r="V126" i="1"/>
  <c r="T127" i="1"/>
  <c r="V127" i="1"/>
  <c r="T128" i="1"/>
  <c r="V128" i="1"/>
  <c r="T129" i="1"/>
  <c r="V145" i="1"/>
  <c r="W145" i="1"/>
  <c r="Y145" i="1"/>
  <c r="Z145" i="1"/>
  <c r="AB145" i="1"/>
  <c r="AC145" i="1"/>
  <c r="AE145" i="1"/>
  <c r="AF145" i="1"/>
  <c r="B144" i="1"/>
  <c r="D144" i="1"/>
  <c r="E144" i="1"/>
  <c r="G144" i="1"/>
  <c r="H144" i="1"/>
  <c r="J144" i="1"/>
  <c r="K144" i="1"/>
  <c r="M144" i="1"/>
  <c r="N144" i="1"/>
  <c r="P144" i="1"/>
  <c r="Q144" i="1"/>
  <c r="Q124" i="1"/>
  <c r="S124" i="1"/>
  <c r="Q125" i="1"/>
  <c r="S125" i="1"/>
  <c r="Q126" i="1"/>
  <c r="S126" i="1"/>
  <c r="Q127" i="1"/>
  <c r="S127" i="1"/>
  <c r="Q128" i="1"/>
  <c r="S128" i="1"/>
  <c r="Q129" i="1"/>
  <c r="S144" i="1"/>
  <c r="T144" i="1"/>
  <c r="V144" i="1"/>
  <c r="W144" i="1"/>
  <c r="Y144" i="1"/>
  <c r="Z144" i="1"/>
  <c r="AB144" i="1"/>
  <c r="AC144" i="1"/>
  <c r="AC124" i="1"/>
  <c r="AE124" i="1"/>
  <c r="AC125" i="1"/>
  <c r="AE125" i="1"/>
  <c r="AC126" i="1"/>
  <c r="AE126" i="1"/>
  <c r="AC127" i="1"/>
  <c r="AE127" i="1"/>
  <c r="AC128" i="1"/>
  <c r="AE128" i="1"/>
  <c r="AC129" i="1"/>
  <c r="AE144" i="1"/>
  <c r="AF144" i="1"/>
  <c r="B143" i="1"/>
  <c r="D143" i="1"/>
  <c r="E143" i="1"/>
  <c r="G143" i="1"/>
  <c r="H143" i="1"/>
  <c r="J143" i="1"/>
  <c r="K143" i="1"/>
  <c r="M143" i="1"/>
  <c r="N143" i="1"/>
  <c r="P143" i="1"/>
  <c r="Q143" i="1"/>
  <c r="S143" i="1"/>
  <c r="T143" i="1"/>
  <c r="V143" i="1"/>
  <c r="W143" i="1"/>
  <c r="Y143" i="1"/>
  <c r="Z143" i="1"/>
  <c r="AB143" i="1"/>
  <c r="AC143" i="1"/>
  <c r="AE143" i="1"/>
  <c r="AF143" i="1"/>
  <c r="B141" i="1"/>
  <c r="D141" i="1"/>
  <c r="E141" i="1"/>
  <c r="G141" i="1"/>
  <c r="H141" i="1"/>
  <c r="J141" i="1"/>
  <c r="K141" i="1"/>
  <c r="M141" i="1"/>
  <c r="N141" i="1"/>
  <c r="P141" i="1"/>
  <c r="Q141" i="1"/>
  <c r="S141" i="1"/>
  <c r="T141" i="1"/>
  <c r="V141" i="1"/>
  <c r="W141" i="1"/>
  <c r="W122" i="1"/>
  <c r="Y122" i="1"/>
  <c r="X122" i="1"/>
  <c r="Y141" i="1"/>
  <c r="Z141" i="1"/>
  <c r="AB141" i="1"/>
  <c r="AC141" i="1"/>
  <c r="AE141" i="1"/>
  <c r="AF141" i="1"/>
  <c r="B140" i="1"/>
  <c r="D140" i="1"/>
  <c r="E140" i="1"/>
  <c r="E122" i="1"/>
  <c r="G122" i="1"/>
  <c r="F122" i="1"/>
  <c r="G140" i="1"/>
  <c r="H140" i="1"/>
  <c r="H122" i="1"/>
  <c r="J122" i="1"/>
  <c r="I122" i="1"/>
  <c r="J140" i="1"/>
  <c r="K140" i="1"/>
  <c r="M140" i="1"/>
  <c r="N140" i="1"/>
  <c r="N122" i="1"/>
  <c r="P122" i="1"/>
  <c r="O122" i="1"/>
  <c r="P140" i="1"/>
  <c r="Q140" i="1"/>
  <c r="S140" i="1"/>
  <c r="T140" i="1"/>
  <c r="V140" i="1"/>
  <c r="W140" i="1"/>
  <c r="Y140" i="1"/>
  <c r="Z140" i="1"/>
  <c r="Z122" i="1"/>
  <c r="AB122" i="1"/>
  <c r="AA122" i="1"/>
  <c r="AB140" i="1"/>
  <c r="AC140" i="1"/>
  <c r="AE140" i="1"/>
  <c r="AF140" i="1"/>
  <c r="B139" i="1"/>
  <c r="B122" i="1"/>
  <c r="D122" i="1"/>
  <c r="C122" i="1"/>
  <c r="D139" i="1"/>
  <c r="E139" i="1"/>
  <c r="G139" i="1"/>
  <c r="H139" i="1"/>
  <c r="J139" i="1"/>
  <c r="K139" i="1"/>
  <c r="K122" i="1"/>
  <c r="M122" i="1"/>
  <c r="L122" i="1"/>
  <c r="M139" i="1"/>
  <c r="N139" i="1"/>
  <c r="P139" i="1"/>
  <c r="Q139" i="1"/>
  <c r="S139" i="1"/>
  <c r="T139" i="1"/>
  <c r="T122" i="1"/>
  <c r="V122" i="1"/>
  <c r="U122" i="1"/>
  <c r="V139" i="1"/>
  <c r="W139" i="1"/>
  <c r="Y139" i="1"/>
  <c r="Z139" i="1"/>
  <c r="AB139" i="1"/>
  <c r="AC139" i="1"/>
  <c r="AE139" i="1"/>
  <c r="AF139" i="1"/>
  <c r="B138" i="1"/>
  <c r="D138" i="1"/>
  <c r="E138" i="1"/>
  <c r="G138" i="1"/>
  <c r="H138" i="1"/>
  <c r="J138" i="1"/>
  <c r="K138" i="1"/>
  <c r="M138" i="1"/>
  <c r="N138" i="1"/>
  <c r="P138" i="1"/>
  <c r="Q138" i="1"/>
  <c r="Q122" i="1"/>
  <c r="S122" i="1"/>
  <c r="R122" i="1"/>
  <c r="S138" i="1"/>
  <c r="T138" i="1"/>
  <c r="V138" i="1"/>
  <c r="W138" i="1"/>
  <c r="Y138" i="1"/>
  <c r="Z138" i="1"/>
  <c r="AB138" i="1"/>
  <c r="AC138" i="1"/>
  <c r="AC122" i="1"/>
  <c r="AE122" i="1"/>
  <c r="AD122" i="1"/>
  <c r="AE138" i="1"/>
  <c r="AF138" i="1"/>
  <c r="B137" i="1"/>
  <c r="D137" i="1"/>
  <c r="E137" i="1"/>
  <c r="G137" i="1"/>
  <c r="H137" i="1"/>
  <c r="J137" i="1"/>
  <c r="K137" i="1"/>
  <c r="M137" i="1"/>
  <c r="N137" i="1"/>
  <c r="P137" i="1"/>
  <c r="Q137" i="1"/>
  <c r="S137" i="1"/>
  <c r="T137" i="1"/>
  <c r="V137" i="1"/>
  <c r="W137" i="1"/>
  <c r="Y137" i="1"/>
  <c r="Z137" i="1"/>
  <c r="AB137" i="1"/>
  <c r="AC137" i="1"/>
  <c r="AE137" i="1"/>
  <c r="AF137" i="1"/>
  <c r="B135" i="1"/>
  <c r="D135" i="1"/>
  <c r="E135" i="1"/>
  <c r="G135" i="1"/>
  <c r="H135" i="1"/>
  <c r="J135" i="1"/>
  <c r="K135" i="1"/>
  <c r="M135" i="1"/>
  <c r="N135" i="1"/>
  <c r="P135" i="1"/>
  <c r="Q135" i="1"/>
  <c r="S135" i="1"/>
  <c r="T135" i="1"/>
  <c r="V135" i="1"/>
  <c r="W135" i="1"/>
  <c r="Y135" i="1"/>
  <c r="Z135" i="1"/>
  <c r="AB135" i="1"/>
  <c r="AC135" i="1"/>
  <c r="AE135" i="1"/>
  <c r="AF135" i="1"/>
  <c r="AG135" i="1"/>
  <c r="B134" i="1"/>
  <c r="D134" i="1"/>
  <c r="E134" i="1"/>
  <c r="G134" i="1"/>
  <c r="H134" i="1"/>
  <c r="J134" i="1"/>
  <c r="K134" i="1"/>
  <c r="M134" i="1"/>
  <c r="N134" i="1"/>
  <c r="P134" i="1"/>
  <c r="Q134" i="1"/>
  <c r="S134" i="1"/>
  <c r="T134" i="1"/>
  <c r="V134" i="1"/>
  <c r="W134" i="1"/>
  <c r="Y134" i="1"/>
  <c r="Z134" i="1"/>
  <c r="AB134" i="1"/>
  <c r="AC134" i="1"/>
  <c r="AE134" i="1"/>
  <c r="AF134" i="1"/>
  <c r="AG134" i="1"/>
  <c r="B133" i="1"/>
  <c r="D133" i="1"/>
  <c r="E133" i="1"/>
  <c r="G133" i="1"/>
  <c r="H133" i="1"/>
  <c r="J133" i="1"/>
  <c r="K133" i="1"/>
  <c r="M133" i="1"/>
  <c r="N133" i="1"/>
  <c r="P133" i="1"/>
  <c r="Q133" i="1"/>
  <c r="S133" i="1"/>
  <c r="T133" i="1"/>
  <c r="V133" i="1"/>
  <c r="W133" i="1"/>
  <c r="Y133" i="1"/>
  <c r="Z133" i="1"/>
  <c r="AB133" i="1"/>
  <c r="AC133" i="1"/>
  <c r="AE133" i="1"/>
  <c r="AF133" i="1"/>
  <c r="AG133" i="1"/>
  <c r="B132" i="1"/>
  <c r="D132" i="1"/>
  <c r="E132" i="1"/>
  <c r="G132" i="1"/>
  <c r="H132" i="1"/>
  <c r="J132" i="1"/>
  <c r="K132" i="1"/>
  <c r="M132" i="1"/>
  <c r="N132" i="1"/>
  <c r="P132" i="1"/>
  <c r="Q132" i="1"/>
  <c r="S132" i="1"/>
  <c r="T132" i="1"/>
  <c r="V132" i="1"/>
  <c r="W132" i="1"/>
  <c r="Y132" i="1"/>
  <c r="Z132" i="1"/>
  <c r="AB132" i="1"/>
  <c r="AC132" i="1"/>
  <c r="AE132" i="1"/>
  <c r="AF132" i="1"/>
  <c r="AG132" i="1"/>
  <c r="B131" i="1"/>
  <c r="D131" i="1"/>
  <c r="E131" i="1"/>
  <c r="G131" i="1"/>
  <c r="H131" i="1"/>
  <c r="J131" i="1"/>
  <c r="K131" i="1"/>
  <c r="M131" i="1"/>
  <c r="N131" i="1"/>
  <c r="P131" i="1"/>
  <c r="Q131" i="1"/>
  <c r="S131" i="1"/>
  <c r="T131" i="1"/>
  <c r="V131" i="1"/>
  <c r="W131" i="1"/>
  <c r="Y131" i="1"/>
  <c r="Z131" i="1"/>
  <c r="AB131" i="1"/>
  <c r="AC131" i="1"/>
  <c r="AE131" i="1"/>
  <c r="AF131" i="1"/>
  <c r="AG131" i="1"/>
  <c r="AE115" i="1"/>
  <c r="AC115" i="1"/>
  <c r="AB115" i="1"/>
  <c r="Z115" i="1"/>
  <c r="Y115" i="1"/>
  <c r="W115" i="1"/>
  <c r="V115" i="1"/>
  <c r="T115" i="1"/>
  <c r="S115" i="1"/>
  <c r="Q115" i="1"/>
  <c r="P115" i="1"/>
  <c r="N115" i="1"/>
  <c r="M115" i="1"/>
  <c r="K115" i="1"/>
  <c r="J115" i="1"/>
  <c r="H115" i="1"/>
  <c r="G115" i="1"/>
  <c r="E115" i="1"/>
  <c r="D115" i="1"/>
  <c r="B115" i="1"/>
  <c r="AD114" i="1"/>
  <c r="AA114" i="1"/>
  <c r="X114" i="1"/>
  <c r="U114" i="1"/>
  <c r="R114" i="1"/>
  <c r="O114" i="1"/>
  <c r="L114" i="1"/>
  <c r="I114" i="1"/>
  <c r="F114" i="1"/>
  <c r="A114" i="1"/>
  <c r="AG113" i="1"/>
  <c r="AH113" i="1"/>
  <c r="AI113" i="1"/>
  <c r="AJ113" i="1"/>
  <c r="AK113" i="1"/>
  <c r="AL113" i="1"/>
  <c r="AM113" i="1"/>
  <c r="AN113" i="1"/>
  <c r="AO113" i="1"/>
  <c r="AP113" i="1"/>
  <c r="AQ113" i="1"/>
  <c r="AF113" i="1"/>
  <c r="AD113" i="1"/>
  <c r="AA113" i="1"/>
  <c r="X113" i="1"/>
  <c r="U113" i="1"/>
  <c r="R113" i="1"/>
  <c r="O113" i="1"/>
  <c r="L113" i="1"/>
  <c r="I113" i="1"/>
  <c r="F113" i="1"/>
  <c r="A113" i="1"/>
  <c r="AG112" i="1"/>
  <c r="AH112" i="1"/>
  <c r="AI112" i="1"/>
  <c r="AJ112" i="1"/>
  <c r="AK112" i="1"/>
  <c r="AL112" i="1"/>
  <c r="AM112" i="1"/>
  <c r="AN112" i="1"/>
  <c r="AO112" i="1"/>
  <c r="AP112" i="1"/>
  <c r="AQ112" i="1"/>
  <c r="AF112" i="1"/>
  <c r="AD112" i="1"/>
  <c r="AA112" i="1"/>
  <c r="X112" i="1"/>
  <c r="U112" i="1"/>
  <c r="R112" i="1"/>
  <c r="O112" i="1"/>
  <c r="L112" i="1"/>
  <c r="I112" i="1"/>
  <c r="F112" i="1"/>
  <c r="A112" i="1"/>
  <c r="AG111" i="1"/>
  <c r="AH111" i="1"/>
  <c r="AI111" i="1"/>
  <c r="AJ111" i="1"/>
  <c r="AK111" i="1"/>
  <c r="AL111" i="1"/>
  <c r="AM111" i="1"/>
  <c r="AN111" i="1"/>
  <c r="AO111" i="1"/>
  <c r="AP111" i="1"/>
  <c r="AQ111" i="1"/>
  <c r="AF111" i="1"/>
  <c r="AD111" i="1"/>
  <c r="AA111" i="1"/>
  <c r="X111" i="1"/>
  <c r="U111" i="1"/>
  <c r="R111" i="1"/>
  <c r="O111" i="1"/>
  <c r="L111" i="1"/>
  <c r="I111" i="1"/>
  <c r="F111" i="1"/>
  <c r="A111" i="1"/>
  <c r="AG110" i="1"/>
  <c r="AH110" i="1"/>
  <c r="AI110" i="1"/>
  <c r="AJ110" i="1"/>
  <c r="AK110" i="1"/>
  <c r="AL110" i="1"/>
  <c r="AM110" i="1"/>
  <c r="AN110" i="1"/>
  <c r="AO110" i="1"/>
  <c r="AP110" i="1"/>
  <c r="AQ110" i="1"/>
  <c r="AF110" i="1"/>
  <c r="AD110" i="1"/>
  <c r="AA110" i="1"/>
  <c r="X110" i="1"/>
  <c r="U110" i="1"/>
  <c r="R110" i="1"/>
  <c r="O110" i="1"/>
  <c r="L110" i="1"/>
  <c r="I110" i="1"/>
  <c r="F110" i="1"/>
  <c r="AG109" i="1"/>
  <c r="AH109" i="1"/>
  <c r="AI109" i="1"/>
  <c r="AJ109" i="1"/>
  <c r="AK109" i="1"/>
  <c r="AL109" i="1"/>
  <c r="AM109" i="1"/>
  <c r="AN109" i="1"/>
  <c r="AO109" i="1"/>
  <c r="AP109" i="1"/>
  <c r="AQ109" i="1"/>
  <c r="AF109" i="1"/>
  <c r="AD109" i="1"/>
  <c r="AA109" i="1"/>
  <c r="X109" i="1"/>
  <c r="U109" i="1"/>
  <c r="R109" i="1"/>
  <c r="O109" i="1"/>
  <c r="L109" i="1"/>
  <c r="I109" i="1"/>
  <c r="F109" i="1"/>
  <c r="AC107" i="1"/>
  <c r="Z107" i="1"/>
  <c r="W107" i="1"/>
  <c r="T107" i="1"/>
  <c r="Q107" i="1"/>
  <c r="N107" i="1"/>
  <c r="K107" i="1"/>
  <c r="H107" i="1"/>
  <c r="E107" i="1"/>
  <c r="E102" i="1"/>
  <c r="AC101" i="1"/>
  <c r="Z101" i="1"/>
  <c r="W101" i="1"/>
  <c r="R101" i="1"/>
  <c r="L101" i="1"/>
  <c r="A101" i="1"/>
  <c r="AC99" i="1"/>
  <c r="Z99" i="1"/>
  <c r="W99" i="1"/>
  <c r="R99" i="1"/>
  <c r="L99" i="1"/>
  <c r="A99" i="1"/>
  <c r="AC97" i="1"/>
  <c r="Z97" i="1"/>
  <c r="W97" i="1"/>
  <c r="R97" i="1"/>
  <c r="L97" i="1"/>
  <c r="A97" i="1"/>
  <c r="AC95" i="1"/>
  <c r="Z95" i="1"/>
  <c r="W95" i="1"/>
  <c r="R95" i="1"/>
  <c r="L95" i="1"/>
  <c r="A95" i="1"/>
  <c r="AC93" i="1"/>
  <c r="Z93" i="1"/>
  <c r="W93" i="1"/>
  <c r="R93" i="1"/>
  <c r="L93" i="1"/>
  <c r="A93" i="1"/>
  <c r="R92" i="1"/>
  <c r="L92" i="1"/>
  <c r="K91" i="1"/>
  <c r="A89" i="1"/>
  <c r="AE85" i="1"/>
  <c r="AE36" i="1"/>
  <c r="AC85" i="1"/>
  <c r="AC36" i="1"/>
  <c r="AE86" i="1"/>
  <c r="AE87" i="1"/>
  <c r="AC86" i="1"/>
  <c r="AC87" i="1"/>
  <c r="AB85" i="1"/>
  <c r="AB36" i="1"/>
  <c r="Z85" i="1"/>
  <c r="Z36" i="1"/>
  <c r="AB86" i="1"/>
  <c r="AB87" i="1"/>
  <c r="Z86" i="1"/>
  <c r="Z87" i="1"/>
  <c r="Y85" i="1"/>
  <c r="Y36" i="1"/>
  <c r="W85" i="1"/>
  <c r="W36" i="1"/>
  <c r="Y86" i="1"/>
  <c r="Y87" i="1"/>
  <c r="W86" i="1"/>
  <c r="W87" i="1"/>
  <c r="V85" i="1"/>
  <c r="V36" i="1"/>
  <c r="T85" i="1"/>
  <c r="T36" i="1"/>
  <c r="V86" i="1"/>
  <c r="V87" i="1"/>
  <c r="T86" i="1"/>
  <c r="T87" i="1"/>
  <c r="AF76" i="1"/>
  <c r="AF75" i="1"/>
  <c r="P74" i="1"/>
  <c r="AF74" i="1"/>
  <c r="D73" i="1"/>
  <c r="J73" i="1"/>
  <c r="AF73" i="1"/>
  <c r="G72" i="1"/>
  <c r="M72" i="1"/>
  <c r="S72" i="1"/>
  <c r="AF72" i="1"/>
  <c r="AF68" i="1"/>
  <c r="AG68" i="1"/>
  <c r="AF67" i="1"/>
  <c r="AG67" i="1"/>
  <c r="AF66" i="1"/>
  <c r="AG66" i="1"/>
  <c r="AF65" i="1"/>
  <c r="AG65" i="1"/>
  <c r="AF64" i="1"/>
  <c r="AG64" i="1"/>
  <c r="B62" i="1"/>
  <c r="D62" i="1"/>
  <c r="E62" i="1"/>
  <c r="G62" i="1"/>
  <c r="H62" i="1"/>
  <c r="J62" i="1"/>
  <c r="K62" i="1"/>
  <c r="M62" i="1"/>
  <c r="N62" i="1"/>
  <c r="P62" i="1"/>
  <c r="Q62" i="1"/>
  <c r="S62" i="1"/>
  <c r="T62" i="1"/>
  <c r="V62" i="1"/>
  <c r="W62" i="1"/>
  <c r="W39" i="1"/>
  <c r="Y39" i="1"/>
  <c r="W40" i="1"/>
  <c r="Y40" i="1"/>
  <c r="W41" i="1"/>
  <c r="Y41" i="1"/>
  <c r="W42" i="1"/>
  <c r="Y42" i="1"/>
  <c r="W43" i="1"/>
  <c r="Y43" i="1"/>
  <c r="W44" i="1"/>
  <c r="Y62" i="1"/>
  <c r="Z62" i="1"/>
  <c r="AB62" i="1"/>
  <c r="AC62" i="1"/>
  <c r="AE62" i="1"/>
  <c r="AF62" i="1"/>
  <c r="B61" i="1"/>
  <c r="D61" i="1"/>
  <c r="E61" i="1"/>
  <c r="E39" i="1"/>
  <c r="G39" i="1"/>
  <c r="E40" i="1"/>
  <c r="G40" i="1"/>
  <c r="E41" i="1"/>
  <c r="G41" i="1"/>
  <c r="E42" i="1"/>
  <c r="G42" i="1"/>
  <c r="E43" i="1"/>
  <c r="G43" i="1"/>
  <c r="E44" i="1"/>
  <c r="G61" i="1"/>
  <c r="H61" i="1"/>
  <c r="H39" i="1"/>
  <c r="J39" i="1"/>
  <c r="H40" i="1"/>
  <c r="J40" i="1"/>
  <c r="H41" i="1"/>
  <c r="J41" i="1"/>
  <c r="H42" i="1"/>
  <c r="J42" i="1"/>
  <c r="H43" i="1"/>
  <c r="J43" i="1"/>
  <c r="H44" i="1"/>
  <c r="J61" i="1"/>
  <c r="K61" i="1"/>
  <c r="M61" i="1"/>
  <c r="N61" i="1"/>
  <c r="N39" i="1"/>
  <c r="P39" i="1"/>
  <c r="N40" i="1"/>
  <c r="P40" i="1"/>
  <c r="N41" i="1"/>
  <c r="P41" i="1"/>
  <c r="N42" i="1"/>
  <c r="P42" i="1"/>
  <c r="N43" i="1"/>
  <c r="P43" i="1"/>
  <c r="N44" i="1"/>
  <c r="P61" i="1"/>
  <c r="Q61" i="1"/>
  <c r="S61" i="1"/>
  <c r="T61" i="1"/>
  <c r="V61" i="1"/>
  <c r="W61" i="1"/>
  <c r="Y61" i="1"/>
  <c r="Z61" i="1"/>
  <c r="Z39" i="1"/>
  <c r="AB39" i="1"/>
  <c r="Z40" i="1"/>
  <c r="AB40" i="1"/>
  <c r="Z41" i="1"/>
  <c r="AB41" i="1"/>
  <c r="Z42" i="1"/>
  <c r="AB42" i="1"/>
  <c r="Z43" i="1"/>
  <c r="AB43" i="1"/>
  <c r="Z44" i="1"/>
  <c r="AB61" i="1"/>
  <c r="AC61" i="1"/>
  <c r="AE61" i="1"/>
  <c r="AF61" i="1"/>
  <c r="B60" i="1"/>
  <c r="B39" i="1"/>
  <c r="D39" i="1"/>
  <c r="B40" i="1"/>
  <c r="D40" i="1"/>
  <c r="B41" i="1"/>
  <c r="D41" i="1"/>
  <c r="B42" i="1"/>
  <c r="D42" i="1"/>
  <c r="B43" i="1"/>
  <c r="D43" i="1"/>
  <c r="B44" i="1"/>
  <c r="D60" i="1"/>
  <c r="E60" i="1"/>
  <c r="G60" i="1"/>
  <c r="H60" i="1"/>
  <c r="J60" i="1"/>
  <c r="K60" i="1"/>
  <c r="K39" i="1"/>
  <c r="M39" i="1"/>
  <c r="K40" i="1"/>
  <c r="M40" i="1"/>
  <c r="K41" i="1"/>
  <c r="M41" i="1"/>
  <c r="K42" i="1"/>
  <c r="M42" i="1"/>
  <c r="K43" i="1"/>
  <c r="M43" i="1"/>
  <c r="K44" i="1"/>
  <c r="M60" i="1"/>
  <c r="N60" i="1"/>
  <c r="P60" i="1"/>
  <c r="Q60" i="1"/>
  <c r="S60" i="1"/>
  <c r="T60" i="1"/>
  <c r="T39" i="1"/>
  <c r="V39" i="1"/>
  <c r="T40" i="1"/>
  <c r="V40" i="1"/>
  <c r="T41" i="1"/>
  <c r="V41" i="1"/>
  <c r="T42" i="1"/>
  <c r="V42" i="1"/>
  <c r="T43" i="1"/>
  <c r="V43" i="1"/>
  <c r="T44" i="1"/>
  <c r="V60" i="1"/>
  <c r="W60" i="1"/>
  <c r="Y60" i="1"/>
  <c r="Z60" i="1"/>
  <c r="AB60" i="1"/>
  <c r="AC60" i="1"/>
  <c r="AE60" i="1"/>
  <c r="AF60" i="1"/>
  <c r="B59" i="1"/>
  <c r="D59" i="1"/>
  <c r="E59" i="1"/>
  <c r="G59" i="1"/>
  <c r="H59" i="1"/>
  <c r="J59" i="1"/>
  <c r="K59" i="1"/>
  <c r="M59" i="1"/>
  <c r="N59" i="1"/>
  <c r="P59" i="1"/>
  <c r="Q59" i="1"/>
  <c r="Q39" i="1"/>
  <c r="S39" i="1"/>
  <c r="Q40" i="1"/>
  <c r="S40" i="1"/>
  <c r="Q41" i="1"/>
  <c r="S41" i="1"/>
  <c r="Q42" i="1"/>
  <c r="S42" i="1"/>
  <c r="Q43" i="1"/>
  <c r="S43" i="1"/>
  <c r="Q44" i="1"/>
  <c r="S59" i="1"/>
  <c r="T59" i="1"/>
  <c r="V59" i="1"/>
  <c r="W59" i="1"/>
  <c r="Y59" i="1"/>
  <c r="Z59" i="1"/>
  <c r="AB59" i="1"/>
  <c r="AC59" i="1"/>
  <c r="AC39" i="1"/>
  <c r="AE39" i="1"/>
  <c r="AC40" i="1"/>
  <c r="AE40" i="1"/>
  <c r="AC41" i="1"/>
  <c r="AE41" i="1"/>
  <c r="AC42" i="1"/>
  <c r="AE42" i="1"/>
  <c r="AC43" i="1"/>
  <c r="AE43" i="1"/>
  <c r="AC44" i="1"/>
  <c r="AE59" i="1"/>
  <c r="AF59" i="1"/>
  <c r="B58" i="1"/>
  <c r="D58" i="1"/>
  <c r="E58" i="1"/>
  <c r="G58" i="1"/>
  <c r="H58" i="1"/>
  <c r="J58" i="1"/>
  <c r="K58" i="1"/>
  <c r="M58" i="1"/>
  <c r="N58" i="1"/>
  <c r="P58" i="1"/>
  <c r="Q58" i="1"/>
  <c r="S58" i="1"/>
  <c r="T58" i="1"/>
  <c r="V58" i="1"/>
  <c r="W58" i="1"/>
  <c r="Y58" i="1"/>
  <c r="Z58" i="1"/>
  <c r="AB58" i="1"/>
  <c r="AC58" i="1"/>
  <c r="AE58" i="1"/>
  <c r="AF58" i="1"/>
  <c r="B56" i="1"/>
  <c r="D56" i="1"/>
  <c r="E56" i="1"/>
  <c r="G56" i="1"/>
  <c r="H56" i="1"/>
  <c r="J56" i="1"/>
  <c r="K56" i="1"/>
  <c r="M56" i="1"/>
  <c r="N56" i="1"/>
  <c r="P56" i="1"/>
  <c r="Q56" i="1"/>
  <c r="S56" i="1"/>
  <c r="T56" i="1"/>
  <c r="V56" i="1"/>
  <c r="W56" i="1"/>
  <c r="W37" i="1"/>
  <c r="Y37" i="1"/>
  <c r="X37" i="1"/>
  <c r="Y56" i="1"/>
  <c r="Z56" i="1"/>
  <c r="AB56" i="1"/>
  <c r="AC56" i="1"/>
  <c r="AE56" i="1"/>
  <c r="AF56" i="1"/>
  <c r="B55" i="1"/>
  <c r="D55" i="1"/>
  <c r="E55" i="1"/>
  <c r="E37" i="1"/>
  <c r="G37" i="1"/>
  <c r="F37" i="1"/>
  <c r="G55" i="1"/>
  <c r="H55" i="1"/>
  <c r="H37" i="1"/>
  <c r="J37" i="1"/>
  <c r="I37" i="1"/>
  <c r="J55" i="1"/>
  <c r="K55" i="1"/>
  <c r="M55" i="1"/>
  <c r="N55" i="1"/>
  <c r="N37" i="1"/>
  <c r="P37" i="1"/>
  <c r="O37" i="1"/>
  <c r="P55" i="1"/>
  <c r="Q55" i="1"/>
  <c r="S55" i="1"/>
  <c r="T55" i="1"/>
  <c r="V55" i="1"/>
  <c r="W55" i="1"/>
  <c r="Y55" i="1"/>
  <c r="Z55" i="1"/>
  <c r="Z37" i="1"/>
  <c r="AB37" i="1"/>
  <c r="AA37" i="1"/>
  <c r="AB55" i="1"/>
  <c r="AC55" i="1"/>
  <c r="AE55" i="1"/>
  <c r="AF55" i="1"/>
  <c r="B54" i="1"/>
  <c r="B37" i="1"/>
  <c r="D37" i="1"/>
  <c r="C37" i="1"/>
  <c r="D54" i="1"/>
  <c r="E54" i="1"/>
  <c r="G54" i="1"/>
  <c r="H54" i="1"/>
  <c r="J54" i="1"/>
  <c r="K54" i="1"/>
  <c r="K37" i="1"/>
  <c r="M37" i="1"/>
  <c r="L37" i="1"/>
  <c r="M54" i="1"/>
  <c r="N54" i="1"/>
  <c r="P54" i="1"/>
  <c r="Q54" i="1"/>
  <c r="S54" i="1"/>
  <c r="T54" i="1"/>
  <c r="T37" i="1"/>
  <c r="V37" i="1"/>
  <c r="U37" i="1"/>
  <c r="V54" i="1"/>
  <c r="W54" i="1"/>
  <c r="Y54" i="1"/>
  <c r="Z54" i="1"/>
  <c r="AB54" i="1"/>
  <c r="AC54" i="1"/>
  <c r="AE54" i="1"/>
  <c r="AF54" i="1"/>
  <c r="B53" i="1"/>
  <c r="D53" i="1"/>
  <c r="E53" i="1"/>
  <c r="G53" i="1"/>
  <c r="H53" i="1"/>
  <c r="J53" i="1"/>
  <c r="K53" i="1"/>
  <c r="M53" i="1"/>
  <c r="N53" i="1"/>
  <c r="P53" i="1"/>
  <c r="Q53" i="1"/>
  <c r="Q37" i="1"/>
  <c r="S37" i="1"/>
  <c r="R37" i="1"/>
  <c r="S53" i="1"/>
  <c r="T53" i="1"/>
  <c r="V53" i="1"/>
  <c r="W53" i="1"/>
  <c r="Y53" i="1"/>
  <c r="Z53" i="1"/>
  <c r="AB53" i="1"/>
  <c r="AC53" i="1"/>
  <c r="AC37" i="1"/>
  <c r="AE37" i="1"/>
  <c r="AD37" i="1"/>
  <c r="AE53" i="1"/>
  <c r="AF53" i="1"/>
  <c r="B52" i="1"/>
  <c r="D52" i="1"/>
  <c r="E52" i="1"/>
  <c r="G52" i="1"/>
  <c r="H52" i="1"/>
  <c r="J52" i="1"/>
  <c r="K52" i="1"/>
  <c r="M52" i="1"/>
  <c r="N52" i="1"/>
  <c r="P52" i="1"/>
  <c r="Q52" i="1"/>
  <c r="S52" i="1"/>
  <c r="T52" i="1"/>
  <c r="V52" i="1"/>
  <c r="W52" i="1"/>
  <c r="Y52" i="1"/>
  <c r="Z52" i="1"/>
  <c r="AB52" i="1"/>
  <c r="AC52" i="1"/>
  <c r="AE52" i="1"/>
  <c r="AF52" i="1"/>
  <c r="B50" i="1"/>
  <c r="D50" i="1"/>
  <c r="E50" i="1"/>
  <c r="G50" i="1"/>
  <c r="H50" i="1"/>
  <c r="J50" i="1"/>
  <c r="K50" i="1"/>
  <c r="M50" i="1"/>
  <c r="N50" i="1"/>
  <c r="P50" i="1"/>
  <c r="Q50" i="1"/>
  <c r="S50" i="1"/>
  <c r="T50" i="1"/>
  <c r="V50" i="1"/>
  <c r="W50" i="1"/>
  <c r="Y50" i="1"/>
  <c r="Z50" i="1"/>
  <c r="AB50" i="1"/>
  <c r="AC50" i="1"/>
  <c r="AE50" i="1"/>
  <c r="AF50" i="1"/>
  <c r="AG50" i="1"/>
  <c r="B49" i="1"/>
  <c r="D49" i="1"/>
  <c r="E49" i="1"/>
  <c r="G49" i="1"/>
  <c r="H49" i="1"/>
  <c r="J49" i="1"/>
  <c r="K49" i="1"/>
  <c r="M49" i="1"/>
  <c r="N49" i="1"/>
  <c r="P49" i="1"/>
  <c r="Q49" i="1"/>
  <c r="S49" i="1"/>
  <c r="T49" i="1"/>
  <c r="V49" i="1"/>
  <c r="W49" i="1"/>
  <c r="Y49" i="1"/>
  <c r="Z49" i="1"/>
  <c r="AB49" i="1"/>
  <c r="AC49" i="1"/>
  <c r="AE49" i="1"/>
  <c r="AF49" i="1"/>
  <c r="AG49" i="1"/>
  <c r="B48" i="1"/>
  <c r="D48" i="1"/>
  <c r="E48" i="1"/>
  <c r="G48" i="1"/>
  <c r="H48" i="1"/>
  <c r="J48" i="1"/>
  <c r="K48" i="1"/>
  <c r="M48" i="1"/>
  <c r="N48" i="1"/>
  <c r="P48" i="1"/>
  <c r="Q48" i="1"/>
  <c r="S48" i="1"/>
  <c r="T48" i="1"/>
  <c r="V48" i="1"/>
  <c r="W48" i="1"/>
  <c r="Y48" i="1"/>
  <c r="Z48" i="1"/>
  <c r="AB48" i="1"/>
  <c r="AC48" i="1"/>
  <c r="AE48" i="1"/>
  <c r="AF48" i="1"/>
  <c r="AG48" i="1"/>
  <c r="B47" i="1"/>
  <c r="D47" i="1"/>
  <c r="E47" i="1"/>
  <c r="G47" i="1"/>
  <c r="H47" i="1"/>
  <c r="J47" i="1"/>
  <c r="K47" i="1"/>
  <c r="M47" i="1"/>
  <c r="N47" i="1"/>
  <c r="P47" i="1"/>
  <c r="Q47" i="1"/>
  <c r="S47" i="1"/>
  <c r="T47" i="1"/>
  <c r="V47" i="1"/>
  <c r="W47" i="1"/>
  <c r="Y47" i="1"/>
  <c r="Z47" i="1"/>
  <c r="AB47" i="1"/>
  <c r="AC47" i="1"/>
  <c r="AE47" i="1"/>
  <c r="AF47" i="1"/>
  <c r="AG47" i="1"/>
  <c r="B46" i="1"/>
  <c r="D46" i="1"/>
  <c r="E46" i="1"/>
  <c r="G46" i="1"/>
  <c r="H46" i="1"/>
  <c r="J46" i="1"/>
  <c r="K46" i="1"/>
  <c r="M46" i="1"/>
  <c r="N46" i="1"/>
  <c r="P46" i="1"/>
  <c r="Q46" i="1"/>
  <c r="S46" i="1"/>
  <c r="T46" i="1"/>
  <c r="V46" i="1"/>
  <c r="W46" i="1"/>
  <c r="Y46" i="1"/>
  <c r="Z46" i="1"/>
  <c r="AB46" i="1"/>
  <c r="AC46" i="1"/>
  <c r="AE46" i="1"/>
  <c r="AF46" i="1"/>
  <c r="AG46" i="1"/>
  <c r="AE30" i="1"/>
  <c r="AC30" i="1"/>
  <c r="AB30" i="1"/>
  <c r="Z30" i="1"/>
  <c r="Y30" i="1"/>
  <c r="W30" i="1"/>
  <c r="V30" i="1"/>
  <c r="T30" i="1"/>
  <c r="S30" i="1"/>
  <c r="Q30" i="1"/>
  <c r="P30" i="1"/>
  <c r="N30" i="1"/>
  <c r="M30" i="1"/>
  <c r="K30" i="1"/>
  <c r="J30" i="1"/>
  <c r="H30" i="1"/>
  <c r="G30" i="1"/>
  <c r="E30" i="1"/>
  <c r="D30" i="1"/>
  <c r="B30" i="1"/>
  <c r="AD29" i="1"/>
  <c r="AA29" i="1"/>
  <c r="X29" i="1"/>
  <c r="U29" i="1"/>
  <c r="R29" i="1"/>
  <c r="O29" i="1"/>
  <c r="L29" i="1"/>
  <c r="I29" i="1"/>
  <c r="F29" i="1"/>
  <c r="A29" i="1"/>
  <c r="AG28" i="1"/>
  <c r="AH28" i="1"/>
  <c r="AI28" i="1"/>
  <c r="AJ28" i="1"/>
  <c r="AK28" i="1"/>
  <c r="AL28" i="1"/>
  <c r="AM28" i="1"/>
  <c r="AN28" i="1"/>
  <c r="AO28" i="1"/>
  <c r="AP28" i="1"/>
  <c r="AQ28" i="1"/>
  <c r="AF28" i="1"/>
  <c r="AD28" i="1"/>
  <c r="AA28" i="1"/>
  <c r="X28" i="1"/>
  <c r="U28" i="1"/>
  <c r="R28" i="1"/>
  <c r="O28" i="1"/>
  <c r="L28" i="1"/>
  <c r="I28" i="1"/>
  <c r="F28" i="1"/>
  <c r="A28" i="1"/>
  <c r="AG27" i="1"/>
  <c r="AH27" i="1"/>
  <c r="AI27" i="1"/>
  <c r="AJ27" i="1"/>
  <c r="AK27" i="1"/>
  <c r="AL27" i="1"/>
  <c r="AM27" i="1"/>
  <c r="AN27" i="1"/>
  <c r="AO27" i="1"/>
  <c r="AP27" i="1"/>
  <c r="AQ27" i="1"/>
  <c r="AF27" i="1"/>
  <c r="AD27" i="1"/>
  <c r="AA27" i="1"/>
  <c r="X27" i="1"/>
  <c r="U27" i="1"/>
  <c r="R27" i="1"/>
  <c r="O27" i="1"/>
  <c r="L27" i="1"/>
  <c r="I27" i="1"/>
  <c r="F27" i="1"/>
  <c r="A27" i="1"/>
  <c r="AG26" i="1"/>
  <c r="AH26" i="1"/>
  <c r="AI26" i="1"/>
  <c r="AJ26" i="1"/>
  <c r="AK26" i="1"/>
  <c r="AL26" i="1"/>
  <c r="AM26" i="1"/>
  <c r="AN26" i="1"/>
  <c r="AO26" i="1"/>
  <c r="AP26" i="1"/>
  <c r="AQ26" i="1"/>
  <c r="AF26" i="1"/>
  <c r="AD26" i="1"/>
  <c r="AA26" i="1"/>
  <c r="X26" i="1"/>
  <c r="U26" i="1"/>
  <c r="R26" i="1"/>
  <c r="O26" i="1"/>
  <c r="L26" i="1"/>
  <c r="I26" i="1"/>
  <c r="F26" i="1"/>
  <c r="A26" i="1"/>
  <c r="AG25" i="1"/>
  <c r="AH25" i="1"/>
  <c r="AI25" i="1"/>
  <c r="AJ25" i="1"/>
  <c r="AK25" i="1"/>
  <c r="AL25" i="1"/>
  <c r="AM25" i="1"/>
  <c r="AN25" i="1"/>
  <c r="AO25" i="1"/>
  <c r="AP25" i="1"/>
  <c r="AQ25" i="1"/>
  <c r="AF25" i="1"/>
  <c r="AD25" i="1"/>
  <c r="AA25" i="1"/>
  <c r="X25" i="1"/>
  <c r="U25" i="1"/>
  <c r="R25" i="1"/>
  <c r="O25" i="1"/>
  <c r="L25" i="1"/>
  <c r="I25" i="1"/>
  <c r="F25" i="1"/>
  <c r="AG24" i="1"/>
  <c r="AH24" i="1"/>
  <c r="AI24" i="1"/>
  <c r="AJ24" i="1"/>
  <c r="AK24" i="1"/>
  <c r="AL24" i="1"/>
  <c r="AM24" i="1"/>
  <c r="AN24" i="1"/>
  <c r="AO24" i="1"/>
  <c r="AP24" i="1"/>
  <c r="AQ24" i="1"/>
  <c r="AF24" i="1"/>
  <c r="AD24" i="1"/>
  <c r="AA24" i="1"/>
  <c r="X24" i="1"/>
  <c r="U24" i="1"/>
  <c r="R24" i="1"/>
  <c r="O24" i="1"/>
  <c r="L24" i="1"/>
  <c r="I24" i="1"/>
  <c r="F24" i="1"/>
  <c r="T22" i="1"/>
  <c r="Q22" i="1"/>
  <c r="N22" i="1"/>
  <c r="K22" i="1"/>
  <c r="E17" i="1"/>
  <c r="AC16" i="1"/>
  <c r="Z16" i="1"/>
  <c r="W16" i="1"/>
  <c r="R16" i="1"/>
  <c r="L16" i="1"/>
  <c r="A16" i="1"/>
  <c r="AC14" i="1"/>
  <c r="Z14" i="1"/>
  <c r="W14" i="1"/>
  <c r="R14" i="1"/>
  <c r="L14" i="1"/>
  <c r="A14" i="1"/>
  <c r="AC12" i="1"/>
  <c r="Z12" i="1"/>
  <c r="W12" i="1"/>
  <c r="R12" i="1"/>
  <c r="L12" i="1"/>
  <c r="A12" i="1"/>
  <c r="AY10" i="1"/>
  <c r="AC10" i="1"/>
  <c r="Z10" i="1"/>
  <c r="W10" i="1"/>
  <c r="R10" i="1"/>
  <c r="L10" i="1"/>
  <c r="A10" i="1"/>
  <c r="AY9" i="1"/>
  <c r="AY8" i="1"/>
  <c r="AC8" i="1"/>
  <c r="Z8" i="1"/>
  <c r="W8" i="1"/>
  <c r="R8" i="1"/>
  <c r="L8" i="1"/>
  <c r="A8" i="1"/>
  <c r="AY7" i="1"/>
  <c r="R7" i="1"/>
  <c r="L7" i="1"/>
  <c r="AY6" i="1"/>
  <c r="K6" i="1"/>
  <c r="AY5" i="1"/>
  <c r="AY4" i="1"/>
  <c r="AY3" i="1"/>
</calcChain>
</file>

<file path=xl/sharedStrings.xml><?xml version="1.0" encoding="utf-8"?>
<sst xmlns="http://schemas.openxmlformats.org/spreadsheetml/2006/main" count="8347" uniqueCount="1070">
  <si>
    <t>copywrited program: May not be used or reproduced without the consent of Chip Moseley</t>
  </si>
  <si>
    <t>Version : 5.1</t>
  </si>
  <si>
    <t>Seeding</t>
  </si>
  <si>
    <t>Final Ranking</t>
  </si>
  <si>
    <t xml:space="preserve">Pool Ranking Multiplier = </t>
  </si>
  <si>
    <t>Tournament Name</t>
  </si>
  <si>
    <t>Winter Heat Power</t>
  </si>
  <si>
    <t>Date</t>
  </si>
  <si>
    <t>Feb 25th</t>
  </si>
  <si>
    <t>#</t>
  </si>
  <si>
    <t>Team Name</t>
  </si>
  <si>
    <t>Team Code</t>
  </si>
  <si>
    <t>Initial Ranking</t>
  </si>
  <si>
    <t>Pool Play</t>
  </si>
  <si>
    <t>Finals</t>
  </si>
  <si>
    <t xml:space="preserve">Playoff Ranking Multiplier = </t>
  </si>
  <si>
    <t>Site:</t>
  </si>
  <si>
    <t>Grovetown HS</t>
  </si>
  <si>
    <t>Age</t>
  </si>
  <si>
    <t>Division</t>
  </si>
  <si>
    <t>Club</t>
  </si>
  <si>
    <t>Power</t>
  </si>
  <si>
    <t>Crossfire 13 Power</t>
  </si>
  <si>
    <t>fj3crosf1pm</t>
  </si>
  <si>
    <t>Gym Supervisor</t>
  </si>
  <si>
    <t>See worksheet</t>
  </si>
  <si>
    <t>Notes</t>
  </si>
  <si>
    <t>Check back for revisions</t>
  </si>
  <si>
    <t xml:space="preserve">updated </t>
  </si>
  <si>
    <t>CSRA Heat 13 Gold</t>
  </si>
  <si>
    <t>fj3csrah1pm</t>
  </si>
  <si>
    <t xml:space="preserve"> </t>
  </si>
  <si>
    <t>Intense 13 Elite Columbia</t>
  </si>
  <si>
    <t>fj3inten1pm</t>
  </si>
  <si>
    <t>POOL:</t>
  </si>
  <si>
    <t>A</t>
  </si>
  <si>
    <t>COURT:</t>
  </si>
  <si>
    <t>C1VB 13 Power Grvl</t>
  </si>
  <si>
    <t>fj3crone2pm</t>
  </si>
  <si>
    <t>Team #</t>
  </si>
  <si>
    <t>Total Pool Net Points</t>
  </si>
  <si>
    <t>% Total
Net Points</t>
  </si>
  <si>
    <t>Game Win %</t>
  </si>
  <si>
    <t>Pool Finish</t>
  </si>
  <si>
    <t>Playoff Finish</t>
  </si>
  <si>
    <t>Games per Match (1-5)</t>
  </si>
  <si>
    <t>Chas Jrs 13 Red</t>
  </si>
  <si>
    <t>fj3charl1pm</t>
  </si>
  <si>
    <t>Matches (1-10)</t>
  </si>
  <si>
    <t>SC Midlands 13 Perf</t>
  </si>
  <si>
    <t>fj3scmid1pm</t>
  </si>
  <si>
    <t>Teams in Pool (1-5)</t>
  </si>
  <si>
    <t>Fort Mill 13 Purple</t>
  </si>
  <si>
    <t>fj3fortm1pm</t>
  </si>
  <si>
    <t>0-Count Games 1-Count Matches</t>
  </si>
  <si>
    <t xml:space="preserve">CSRA Heat 14 Black </t>
  </si>
  <si>
    <t>Game Win % 0 = No  1 = Yes</t>
  </si>
  <si>
    <t># of Matches/Games per Team</t>
  </si>
  <si>
    <t>Warning -- Do not use CUT/PASTE to move teams in table.  Only use COPY/PASTE or seeded cells will be corrupted.</t>
  </si>
  <si>
    <t>POOL PLAY FORMAT: Best of 3 (25-25-15) 2 pt cap</t>
  </si>
  <si>
    <t>Sch Start</t>
  </si>
  <si>
    <t>Note: The Pool Finish Summary at the bottom of the sheet will fill in AUTOMATICALLY once the POOL FINISH column (at left) is filled in.</t>
  </si>
  <si>
    <t>Actual Start</t>
  </si>
  <si>
    <t>End Time</t>
  </si>
  <si>
    <t>Match 1</t>
  </si>
  <si>
    <t>1 refs</t>
  </si>
  <si>
    <t>2 refs</t>
  </si>
  <si>
    <t>3 refs</t>
  </si>
  <si>
    <t>4 refs</t>
  </si>
  <si>
    <t>5  refs</t>
  </si>
  <si>
    <t>Net Points</t>
  </si>
  <si>
    <t>Total</t>
  </si>
  <si>
    <t>v</t>
  </si>
  <si>
    <t>Game 1</t>
  </si>
  <si>
    <t>/</t>
  </si>
  <si>
    <t>Gm1 Win</t>
  </si>
  <si>
    <t>Gm2 Win</t>
  </si>
  <si>
    <t>Gm3 Win</t>
  </si>
  <si>
    <t>Gm4 Win</t>
  </si>
  <si>
    <t>Gm5 Win</t>
  </si>
  <si>
    <t>Sum Game Win/Loss</t>
  </si>
  <si>
    <t>Match Won/Lost</t>
  </si>
  <si>
    <t>Gm1 Pts</t>
  </si>
  <si>
    <t>Gm2 Pts</t>
  </si>
  <si>
    <t>Gm3 Pts</t>
  </si>
  <si>
    <t>Gm4 Pts</t>
  </si>
  <si>
    <t>Gm5 Pts</t>
  </si>
  <si>
    <t>Sum Match Points</t>
  </si>
  <si>
    <t>Matches</t>
  </si>
  <si>
    <t>Match Wins by Team</t>
  </si>
  <si>
    <t>Match Losses by Team</t>
  </si>
  <si>
    <t>Tm1 Wins</t>
  </si>
  <si>
    <t>Tm2 Wins</t>
  </si>
  <si>
    <t>Tm3 Wins</t>
  </si>
  <si>
    <t>Tm4 Wins</t>
  </si>
  <si>
    <t>Tm5 Wins</t>
  </si>
  <si>
    <t>Matches played by team</t>
  </si>
  <si>
    <t>Tm1 Play</t>
  </si>
  <si>
    <t>Tm2 Play</t>
  </si>
  <si>
    <t>Tm3 Play</t>
  </si>
  <si>
    <t>Tm4 Play</t>
  </si>
  <si>
    <t>Tm5 Play</t>
  </si>
  <si>
    <t>Total Points played by team</t>
  </si>
  <si>
    <t>Games</t>
  </si>
  <si>
    <t>Game Wins by Team</t>
  </si>
  <si>
    <t>Game Losses by Team</t>
  </si>
  <si>
    <t>Games Played this Match</t>
  </si>
  <si>
    <t>Games played by team</t>
  </si>
  <si>
    <t>Init</t>
  </si>
  <si>
    <t>End of Pool</t>
  </si>
  <si>
    <t>Init Rating</t>
  </si>
  <si>
    <t>Exp wins</t>
  </si>
  <si>
    <t>New Rating</t>
  </si>
  <si>
    <t>B</t>
  </si>
  <si>
    <t>POOL FINISH SUMMARY</t>
  </si>
  <si>
    <t>Enter Pool Name</t>
  </si>
  <si>
    <t>First</t>
  </si>
  <si>
    <t>Second</t>
  </si>
  <si>
    <t>Third</t>
  </si>
  <si>
    <t>Fourth</t>
  </si>
  <si>
    <t>Code</t>
  </si>
  <si>
    <t>Court 1</t>
  </si>
  <si>
    <t>Court 2</t>
  </si>
  <si>
    <t>TOURNAMENT PLAYOFF</t>
  </si>
  <si>
    <t>Playoff Format : All teams Before 4pm 25-25-15 start at 6.  If after 4pm, semi's 1 game to 25, finals 25-25-15 start at 6- no cap.  Warmups 2-4-4</t>
  </si>
  <si>
    <t xml:space="preserve"> 5th place from each pool does not advance, will be 9th &amp; 10th  place overall based on net pts</t>
  </si>
  <si>
    <t>Record each teams name and 11 digit code</t>
  </si>
  <si>
    <t>GOLD DIVISION</t>
  </si>
  <si>
    <t>SILVER DIVISION</t>
  </si>
  <si>
    <t>1st Place  Crt 1</t>
  </si>
  <si>
    <t>3rd Place  Crt 1</t>
  </si>
  <si>
    <t>Loser is 3rd place</t>
  </si>
  <si>
    <t>Loser is 7th place</t>
  </si>
  <si>
    <t>2nd Place Crt 2</t>
  </si>
  <si>
    <t>4th Place Crt 2</t>
  </si>
  <si>
    <t>Loser M2 refs</t>
  </si>
  <si>
    <t>Loser is 2nd place</t>
  </si>
  <si>
    <t xml:space="preserve"> Gold Champ 1st place</t>
  </si>
  <si>
    <t>Loser is 6th place</t>
  </si>
  <si>
    <t xml:space="preserve"> Silver Champ 5th place</t>
  </si>
  <si>
    <t>1st Place Crt 2</t>
  </si>
  <si>
    <t>3rd Place Crt 2</t>
  </si>
  <si>
    <t>Winner M1 refs</t>
  </si>
  <si>
    <t>2nd Place Crt 1</t>
  </si>
  <si>
    <t>4th Place Crt 1</t>
  </si>
  <si>
    <t>GOLD DIVISION PLAYOFFS</t>
  </si>
  <si>
    <t>SILVER DIVISION PLAYOFFS</t>
  </si>
  <si>
    <t>TEAM</t>
  </si>
  <si>
    <t>Enter Playoff Team Names</t>
  </si>
  <si>
    <t>Enter Playoff Team Codes</t>
  </si>
  <si>
    <t>Semi Final</t>
  </si>
  <si>
    <t>Make sure to complete
"Playoff Finish"
on Pool Sheet</t>
  </si>
  <si>
    <t>Offic. Team</t>
  </si>
  <si>
    <t>Win M1</t>
  </si>
  <si>
    <t>Loser M2</t>
  </si>
  <si>
    <t>Match 2</t>
  </si>
  <si>
    <t>Match 3</t>
  </si>
  <si>
    <t>Winner</t>
  </si>
  <si>
    <t>Game 2</t>
  </si>
  <si>
    <t>Game 3</t>
  </si>
  <si>
    <t>M1</t>
  </si>
  <si>
    <t>M2</t>
  </si>
  <si>
    <t>M3</t>
  </si>
  <si>
    <t>If match is a BYE enter B for opponent</t>
  </si>
  <si>
    <t>Riverview Park</t>
  </si>
  <si>
    <t>SC Midlands 14 National</t>
  </si>
  <si>
    <t>fj4scmid1pm</t>
  </si>
  <si>
    <t>Magnum 14 Elite</t>
  </si>
  <si>
    <t>fj4magnm2pm</t>
  </si>
  <si>
    <t>Magnum Aiken 14 Green</t>
  </si>
  <si>
    <t>fj4magnm3pm</t>
  </si>
  <si>
    <t>Crossfire 14 Power</t>
  </si>
  <si>
    <t>fj4crosf1pm</t>
  </si>
  <si>
    <t>Intense 14 Hyper Elite</t>
  </si>
  <si>
    <t>fj4inten1pm</t>
  </si>
  <si>
    <t>Intense 14 Elite</t>
  </si>
  <si>
    <t>fj4inten2pm</t>
  </si>
  <si>
    <t>Intense 14 Elite Rock Hil</t>
  </si>
  <si>
    <t>fj4inten6pm</t>
  </si>
  <si>
    <t>C1VB 14 Power Grvl</t>
  </si>
  <si>
    <t>fj4crone2pm</t>
  </si>
  <si>
    <t>Kershaw 14 Black</t>
  </si>
  <si>
    <t>fj4kersh1pm</t>
  </si>
  <si>
    <t>Fort Mill 14 Bayley</t>
  </si>
  <si>
    <t>fj4fortm1pm</t>
  </si>
  <si>
    <t>Chas Jrs 14 Red</t>
  </si>
  <si>
    <t>fj4charl1pm</t>
  </si>
  <si>
    <t>CSRA Heat 14 Gold</t>
  </si>
  <si>
    <t>fj4csrah2pm</t>
  </si>
  <si>
    <t>Vision 14-Kristen &amp; Rach</t>
  </si>
  <si>
    <t>fj4vison2pm</t>
  </si>
  <si>
    <t>MOTO 14-1 IGNITE</t>
  </si>
  <si>
    <t>fj4motoj1pm</t>
  </si>
  <si>
    <t>Intense 14 performace</t>
  </si>
  <si>
    <t>fj4inten3pm</t>
  </si>
  <si>
    <t xml:space="preserve"> POOL PLAY FORMAT:  Two games to 25, start at 6. Warmups 2-4-4  2pt cap</t>
  </si>
  <si>
    <t>SC Midlands 14 Perf</t>
  </si>
  <si>
    <t>fj4scmid2pm</t>
  </si>
  <si>
    <t>Intense 14 Performance Ro</t>
  </si>
  <si>
    <t>fj4inten5pm</t>
  </si>
  <si>
    <t>MOTO 14-2 IGNITE</t>
  </si>
  <si>
    <t>fj4motoj2pm</t>
  </si>
  <si>
    <t>Columbia SC Starlings 14</t>
  </si>
  <si>
    <t>fj4starl1pm</t>
  </si>
  <si>
    <t>5 refs</t>
  </si>
  <si>
    <t>C</t>
  </si>
  <si>
    <t>D</t>
  </si>
  <si>
    <t xml:space="preserve"> POOL PLAY FORMAT:  Best of 3 (25-25-15) 2 Pt cap.    Warmups 2-4-4</t>
  </si>
  <si>
    <t>Court 3</t>
  </si>
  <si>
    <t>Court 4</t>
  </si>
  <si>
    <t xml:space="preserve">                                                        17th-19th will be determined by Total Pool Net Points from the three 5th place teams</t>
  </si>
  <si>
    <t>2nd Place Court 1</t>
  </si>
  <si>
    <t>1st Place Court 4</t>
  </si>
  <si>
    <t>2nd Place Court 4</t>
  </si>
  <si>
    <t>Silver Champ 5th place</t>
  </si>
  <si>
    <t>2nd Place Court 2</t>
  </si>
  <si>
    <t>1st Place Court 3</t>
  </si>
  <si>
    <t>2nd Place Court 3</t>
  </si>
  <si>
    <t>BRONZE DIVISION</t>
  </si>
  <si>
    <t>COPPER DIVISION</t>
  </si>
  <si>
    <t>3rd Place Court 1</t>
  </si>
  <si>
    <t>4th Place Court 1</t>
  </si>
  <si>
    <t>Loser is 11th place</t>
  </si>
  <si>
    <t>Loser is 15th place</t>
  </si>
  <si>
    <t>3rd Place Court 4</t>
  </si>
  <si>
    <t>4th Place Court 4</t>
  </si>
  <si>
    <t>Loser is 10th place</t>
  </si>
  <si>
    <t xml:space="preserve"> Bronze Champ 9th place</t>
  </si>
  <si>
    <t>Loser is 14th place</t>
  </si>
  <si>
    <t>Copper Champ 13th place</t>
  </si>
  <si>
    <t>3rd Place Court 2</t>
  </si>
  <si>
    <t>4th Place Court 2</t>
  </si>
  <si>
    <t>3rd Place Court 3</t>
  </si>
  <si>
    <t>4th Place Court 3</t>
  </si>
  <si>
    <t>BRONZE DIVISION PLAYOFFS</t>
  </si>
  <si>
    <t>COPPER DIVISION PLAYOFFS</t>
  </si>
  <si>
    <t>Grenbrier HS</t>
  </si>
  <si>
    <t>16 Open</t>
  </si>
  <si>
    <t>Magnum Aiken 16 Green</t>
  </si>
  <si>
    <t>fj6magnm2pm</t>
  </si>
  <si>
    <t>Intense 16 Elite Orange R</t>
  </si>
  <si>
    <t>fj6inten6pm</t>
  </si>
  <si>
    <t>Lake Murray 16 Red</t>
  </si>
  <si>
    <t>fj6lakem1pm</t>
  </si>
  <si>
    <t>Beaufort Sweet 16's</t>
  </si>
  <si>
    <t>fj6beauf1pm</t>
  </si>
  <si>
    <t>Intense 16 Elite Black RH</t>
  </si>
  <si>
    <t>fj6inten5pm</t>
  </si>
  <si>
    <t>Kershaw 16 Black</t>
  </si>
  <si>
    <t>fj6kersh1pm</t>
  </si>
  <si>
    <t>SC Midlands 16 National</t>
  </si>
  <si>
    <t>fj6scmid1pm</t>
  </si>
  <si>
    <t>CSRA Heat 16 National</t>
  </si>
  <si>
    <t>fj6csrah1pm</t>
  </si>
  <si>
    <t>SC Midlands 15 National</t>
  </si>
  <si>
    <t>fj5scmid1pm</t>
  </si>
  <si>
    <t>Intense 15 Hyper Elite</t>
  </si>
  <si>
    <t>fj5inten1pm</t>
  </si>
  <si>
    <t>Playoff Format : All teams Before 4pm 25-25-15 start at 6.  If after 4pm, semi's 1 game to 25-start at 0, finals 25-25-15 start at 6, 3rd game 0 - no cap.  Warmups 2-4-4</t>
  </si>
  <si>
    <t xml:space="preserve">                                   5th place from each pool does not advance, will be 9th &amp; 10th  place overall based on net pts</t>
  </si>
  <si>
    <t>Kroc Center</t>
  </si>
  <si>
    <t>16 Power</t>
  </si>
  <si>
    <t>Vision 16-Erika &amp; Marissa</t>
  </si>
  <si>
    <t>fj6vison1pm</t>
  </si>
  <si>
    <t>High Velocity 16's</t>
  </si>
  <si>
    <t>fj6hvelo1pm</t>
  </si>
  <si>
    <t>MOTO 16 IGNITE</t>
  </si>
  <si>
    <t>fj6motoj1pm</t>
  </si>
  <si>
    <t>SC Midlands 16 Perf</t>
  </si>
  <si>
    <t>fj6scmid2pm</t>
  </si>
  <si>
    <t>Low Country 16 Power</t>
  </si>
  <si>
    <t>fj6lowco1pm</t>
  </si>
  <si>
    <t>Crossfire 16 Power</t>
  </si>
  <si>
    <t>fj6crosf1pm</t>
  </si>
  <si>
    <t>Intense 16 Perf Columbia</t>
  </si>
  <si>
    <t>fj6inten2pm</t>
  </si>
  <si>
    <t>CSRA Heat 16 Gold</t>
  </si>
  <si>
    <t>fj6csrah2pm</t>
  </si>
  <si>
    <t>MOTO 16-2 IGNITE</t>
  </si>
  <si>
    <t>fj6motojdpm</t>
  </si>
  <si>
    <t>Hurricane VBC 16 Tsunami</t>
  </si>
  <si>
    <t>fj6hurrc1pm</t>
  </si>
  <si>
    <t>Entries</t>
  </si>
  <si>
    <t>R</t>
  </si>
  <si>
    <t>Rank</t>
  </si>
  <si>
    <t>Reg</t>
  </si>
  <si>
    <t>Team code</t>
  </si>
  <si>
    <t>Club name</t>
  </si>
  <si>
    <t>Level</t>
  </si>
  <si>
    <t>Current Rating</t>
  </si>
  <si>
    <t>Chas
1/7/2016</t>
  </si>
  <si>
    <t>MB
1/7/2016</t>
  </si>
  <si>
    <t>fj1mvpjc1pm</t>
  </si>
  <si>
    <t>MVP</t>
  </si>
  <si>
    <t>MVP 11-Gold</t>
  </si>
  <si>
    <t>fj1crone1pm</t>
  </si>
  <si>
    <t>Carolina One</t>
  </si>
  <si>
    <t>C1VB 11 State Greenville</t>
  </si>
  <si>
    <t>fj1excel3pm</t>
  </si>
  <si>
    <t>Excell Sports</t>
  </si>
  <si>
    <t>Excell Dev. 11 2017</t>
  </si>
  <si>
    <t>Dev</t>
  </si>
  <si>
    <t>fj2caris1pm</t>
  </si>
  <si>
    <t>Carolina Islanders</t>
  </si>
  <si>
    <t>Car. Islanders 12 Elite</t>
  </si>
  <si>
    <t>fj2kersh1pm</t>
  </si>
  <si>
    <t>Kershaw County Juniors</t>
  </si>
  <si>
    <t>Kershaw 12 Black</t>
  </si>
  <si>
    <t>fj2lakem1pm</t>
  </si>
  <si>
    <t>Lake Murray Volleyball Club</t>
  </si>
  <si>
    <t>Lake Murray 12 Red</t>
  </si>
  <si>
    <t>fj2mvpjc1pm</t>
  </si>
  <si>
    <t>MVP 12-Gold</t>
  </si>
  <si>
    <t>fj2mvpjc2pm</t>
  </si>
  <si>
    <t>MVP 12-Black</t>
  </si>
  <si>
    <t>fj2upwrd1pm</t>
  </si>
  <si>
    <t>Upward Stars</t>
  </si>
  <si>
    <t>Upward Stars 12 Angie</t>
  </si>
  <si>
    <t>mj2pstri1pm</t>
  </si>
  <si>
    <t>Palmetto Strikers</t>
  </si>
  <si>
    <t>Palm Strikers 12B Plat</t>
  </si>
  <si>
    <t>Palm Strikers 12 Boys</t>
  </si>
  <si>
    <t>fj2pstri1pm</t>
  </si>
  <si>
    <t>Palm Strikers 12 Platinum</t>
  </si>
  <si>
    <t>fj2excel1pm</t>
  </si>
  <si>
    <t>Excell 12 Power 2017</t>
  </si>
  <si>
    <t>fj2motoj1pm</t>
  </si>
  <si>
    <t>MOTO</t>
  </si>
  <si>
    <t>MOTO 12 IGNITE</t>
  </si>
  <si>
    <t>fj2magnm1pm</t>
  </si>
  <si>
    <t>Magnum Volleyball Club</t>
  </si>
  <si>
    <t>Magnum 12 Black</t>
  </si>
  <si>
    <t>fj2pstri2pm</t>
  </si>
  <si>
    <t>Palm Strikers 12 Premier</t>
  </si>
  <si>
    <t>fj2vison1pm</t>
  </si>
  <si>
    <t>Vision</t>
  </si>
  <si>
    <t>12 Vision-Ben</t>
  </si>
  <si>
    <t>fj2scmid1pm</t>
  </si>
  <si>
    <t>SC Midlands Volleyball</t>
  </si>
  <si>
    <t>SC Midlands 12 Black</t>
  </si>
  <si>
    <t>fj2vonea1pm</t>
  </si>
  <si>
    <t>VolleyOne</t>
  </si>
  <si>
    <t>VolleyOneAcademy 12-Chels</t>
  </si>
  <si>
    <t>fj2crone1pm</t>
  </si>
  <si>
    <t>C1VB 12 Regional Grvl</t>
  </si>
  <si>
    <t>fj2crone2pm</t>
  </si>
  <si>
    <t>C1VB 12 State Grvl</t>
  </si>
  <si>
    <t>fj2crone3pm</t>
  </si>
  <si>
    <t>C1VB 12 State Pickens</t>
  </si>
  <si>
    <t>fj2crosf1pm</t>
  </si>
  <si>
    <t>Crossfire Volleyball</t>
  </si>
  <si>
    <t>Crossfire 12</t>
  </si>
  <si>
    <t>fj2csrah1pm</t>
  </si>
  <si>
    <t>CSRA Heat</t>
  </si>
  <si>
    <t>CSRA Heat 12 Gold</t>
  </si>
  <si>
    <t>fj2csrah2pm</t>
  </si>
  <si>
    <t>CSRA Heat 12 Black</t>
  </si>
  <si>
    <t>fj2ecity1pm</t>
  </si>
  <si>
    <t>Emerald City</t>
  </si>
  <si>
    <t>Emerald City 12-1</t>
  </si>
  <si>
    <t>fj2ecity2pm</t>
  </si>
  <si>
    <t>Emerald City 12-2</t>
  </si>
  <si>
    <t>fj2excel2pm</t>
  </si>
  <si>
    <t>Excell 12 Club 2017</t>
  </si>
  <si>
    <t>fj2footh1pm</t>
  </si>
  <si>
    <t>Foothills Volleyball Club</t>
  </si>
  <si>
    <t>Foothills 12 King</t>
  </si>
  <si>
    <t>fj2fortm1pm</t>
  </si>
  <si>
    <t>Fort Mill VBC</t>
  </si>
  <si>
    <t>Fort Mill 12 Carrie</t>
  </si>
  <si>
    <t>fj2grand1pm</t>
  </si>
  <si>
    <t>GRAND STRAND JUNIORS VOLLEYBALL</t>
  </si>
  <si>
    <t>GSJ 12 Hannah</t>
  </si>
  <si>
    <t>fj2inten3pm</t>
  </si>
  <si>
    <t>Intense Volleyball</t>
  </si>
  <si>
    <t>Intense 12 Rock hill</t>
  </si>
  <si>
    <t>fj2inten5pm</t>
  </si>
  <si>
    <t>Region 12 Intense gvl</t>
  </si>
  <si>
    <t>fj2kersh2pm</t>
  </si>
  <si>
    <t>Kershaw 12 White</t>
  </si>
  <si>
    <t>fj2magnm2pm</t>
  </si>
  <si>
    <t>Magnum Aiken 12 Green</t>
  </si>
  <si>
    <t>fj2magnm3pm</t>
  </si>
  <si>
    <t>Magnum 12 Red</t>
  </si>
  <si>
    <t>fj2magnm4pm</t>
  </si>
  <si>
    <t>Magnum 12 Blue</t>
  </si>
  <si>
    <t>fj2magnm5pm</t>
  </si>
  <si>
    <t>Magnum Aiken 12 Yellow</t>
  </si>
  <si>
    <t>fj2scmid2pm</t>
  </si>
  <si>
    <t>SC Midlands 12 Garnet</t>
  </si>
  <si>
    <t>fj2scwea1pm</t>
  </si>
  <si>
    <t>SCWE</t>
  </si>
  <si>
    <t>SCWE12FLYERS</t>
  </si>
  <si>
    <t>fj2inten2pm</t>
  </si>
  <si>
    <t>Intense 12 Lexington</t>
  </si>
  <si>
    <t>fj2ccoas1pm</t>
  </si>
  <si>
    <t>club coastal volleyball</t>
  </si>
  <si>
    <t>Club Coastal 12 Gray</t>
  </si>
  <si>
    <t>fj2scmid3pm</t>
  </si>
  <si>
    <t>SC Midlands KP Boys</t>
  </si>
  <si>
    <t>fj2vison2pm</t>
  </si>
  <si>
    <t>12 Vision-Erica</t>
  </si>
  <si>
    <t>fj2crone4pm</t>
  </si>
  <si>
    <t>C1VB Juniors Black</t>
  </si>
  <si>
    <t>fj2crone5pm</t>
  </si>
  <si>
    <t>C1VB Juniors Royal</t>
  </si>
  <si>
    <t>fj2crone6pm</t>
  </si>
  <si>
    <t>C1VB Juniors White</t>
  </si>
  <si>
    <t>fj2csout1pm</t>
  </si>
  <si>
    <t>CSNS</t>
  </si>
  <si>
    <t>CSNS 12-1</t>
  </si>
  <si>
    <t>fj2footh2pm</t>
  </si>
  <si>
    <t>Foothills 12 Steph</t>
  </si>
  <si>
    <t>fj2footh3pm</t>
  </si>
  <si>
    <t>Foothills 12 Kim</t>
  </si>
  <si>
    <t>fj2footh5pm</t>
  </si>
  <si>
    <t>Foothills 12 Rachel</t>
  </si>
  <si>
    <t>fj2inten4pm</t>
  </si>
  <si>
    <t>Kidz Power Intense col</t>
  </si>
  <si>
    <t>fj2inten6pm</t>
  </si>
  <si>
    <t>Kidz Power Intense RH</t>
  </si>
  <si>
    <t>fj2kersh3pm</t>
  </si>
  <si>
    <t>Kershaw Dev 12 Black</t>
  </si>
  <si>
    <t>fj2kersh4pm</t>
  </si>
  <si>
    <t>Kershaw Dev 12 White</t>
  </si>
  <si>
    <t>fj2kvcjr1pm</t>
  </si>
  <si>
    <t>KVC Jrs</t>
  </si>
  <si>
    <t>KVC 12 Dev</t>
  </si>
  <si>
    <t>fj2magnm6pm</t>
  </si>
  <si>
    <t>Magnum Youth Academy</t>
  </si>
  <si>
    <t>fj2mtnel1pm</t>
  </si>
  <si>
    <t>Mountain Elite Volleyball Club</t>
  </si>
  <si>
    <t>MEVC11Josie</t>
  </si>
  <si>
    <t>fj2scmid4pm</t>
  </si>
  <si>
    <t>SC Midlands KP Black</t>
  </si>
  <si>
    <t>fj2scmid5pm</t>
  </si>
  <si>
    <t>SC Midlands KP Garnet</t>
  </si>
  <si>
    <t>Charleston Juniors</t>
  </si>
  <si>
    <t>fj3crone1pm</t>
  </si>
  <si>
    <t>C1VB 13 Power Pickens</t>
  </si>
  <si>
    <t>fj3magnm1pm</t>
  </si>
  <si>
    <t>Magnum 13 Mizuno</t>
  </si>
  <si>
    <t>fj3mvpjc1pm</t>
  </si>
  <si>
    <t>MVP 13-Gold</t>
  </si>
  <si>
    <t>fj3mvpjc2pm</t>
  </si>
  <si>
    <t>MVP 13-Black</t>
  </si>
  <si>
    <t>fj3mvpjc3pm</t>
  </si>
  <si>
    <t>MVP 13-White</t>
  </si>
  <si>
    <t>fj3pstri1pm</t>
  </si>
  <si>
    <t>Palm Strikers 13 Platinum</t>
  </si>
  <si>
    <t>fj3upwrd1pm</t>
  </si>
  <si>
    <t>Upward Stars 13 Amy</t>
  </si>
  <si>
    <t>fj3pstri2pm</t>
  </si>
  <si>
    <t>Palm Strikers 13 Premier</t>
  </si>
  <si>
    <t>fj3magnm2pm</t>
  </si>
  <si>
    <t>Magnum 13 Blue</t>
  </si>
  <si>
    <t>fj3upwrd2pm</t>
  </si>
  <si>
    <t>Upward Stars 13 Bridgette</t>
  </si>
  <si>
    <t>fj3pstri3pm</t>
  </si>
  <si>
    <t>Palm Strikers 13 Select</t>
  </si>
  <si>
    <t>fj3charl2pm</t>
  </si>
  <si>
    <t>Chas Jrs 13 Blue</t>
  </si>
  <si>
    <t>fj3fortm2pm</t>
  </si>
  <si>
    <t>Fort Mill 13 Green</t>
  </si>
  <si>
    <t>fj3crone3pm</t>
  </si>
  <si>
    <t>C1VB 13 Regional Grvl</t>
  </si>
  <si>
    <t>fj3crone4pm</t>
  </si>
  <si>
    <t>C1VB 13 Regional Pickens</t>
  </si>
  <si>
    <t>fj3crone5pm</t>
  </si>
  <si>
    <t>C1VB 13 State Greenville</t>
  </si>
  <si>
    <t>fj3crosf2pm</t>
  </si>
  <si>
    <t>Crossfire 13</t>
  </si>
  <si>
    <t>fj3csrah2pm</t>
  </si>
  <si>
    <t>CSRA Heat 13 Black</t>
  </si>
  <si>
    <t>fj3footh1pm</t>
  </si>
  <si>
    <t>Foothills 13 Steve</t>
  </si>
  <si>
    <t>fj3inten2pm</t>
  </si>
  <si>
    <t>Intense 13 Orange</t>
  </si>
  <si>
    <t>fj3inten3pm</t>
  </si>
  <si>
    <t>Intense 13 Black Columbia</t>
  </si>
  <si>
    <t>fj3inten4pm</t>
  </si>
  <si>
    <t>Intense 13 Rock Hill</t>
  </si>
  <si>
    <t>fj3kersh1pm</t>
  </si>
  <si>
    <t>Kershaw 13 Black</t>
  </si>
  <si>
    <t>fj3ladyc1pm</t>
  </si>
  <si>
    <t>Orangeburg Lady Cubs</t>
  </si>
  <si>
    <t>OLC 13 Purple Elite</t>
  </si>
  <si>
    <t>fj3ladyc2pm</t>
  </si>
  <si>
    <t>OLC 13s Purple</t>
  </si>
  <si>
    <t>fj3mbeac2pm</t>
  </si>
  <si>
    <t>MBVC</t>
  </si>
  <si>
    <t>MBVC 13 Red Teresa</t>
  </si>
  <si>
    <t>fj3mtnel1pm</t>
  </si>
  <si>
    <t>MEVC13Kenny</t>
  </si>
  <si>
    <t>fj3prage1pm</t>
  </si>
  <si>
    <t>Palmetto Rage Volleyball Club</t>
  </si>
  <si>
    <t>PRV 13U Brittany</t>
  </si>
  <si>
    <t>fj3scmid2pm</t>
  </si>
  <si>
    <t>SC Midlands 13 Black</t>
  </si>
  <si>
    <t>fj3scmid3pm</t>
  </si>
  <si>
    <t>SC Midlands 13 Garnet</t>
  </si>
  <si>
    <t>fj3scwea1pm</t>
  </si>
  <si>
    <t>SCWE13WINGS</t>
  </si>
  <si>
    <t>fj3sumtr1pm</t>
  </si>
  <si>
    <t>Sumter VBC</t>
  </si>
  <si>
    <t>Sumter VBC 13</t>
  </si>
  <si>
    <t>fj3vison1pm</t>
  </si>
  <si>
    <t>13 Vision-Megan &amp; Katie</t>
  </si>
  <si>
    <t>fj3footh2pm</t>
  </si>
  <si>
    <t>Foothills 13 Caitlin</t>
  </si>
  <si>
    <t>fj4caris1pm</t>
  </si>
  <si>
    <t>Car. Islanders 14 Elite</t>
  </si>
  <si>
    <t>fj4caris2pm</t>
  </si>
  <si>
    <t>Car Islanders 14 Power</t>
  </si>
  <si>
    <t>fj4crone1pm</t>
  </si>
  <si>
    <t>C1VB 14 Elite Grvl</t>
  </si>
  <si>
    <t>fj4csrah1pm</t>
  </si>
  <si>
    <t>CSRA Heat 14 National</t>
  </si>
  <si>
    <t>fj4grand1pm</t>
  </si>
  <si>
    <t>GSJ 14 National Jason</t>
  </si>
  <si>
    <t>fj4grand2pm</t>
  </si>
  <si>
    <t>GSJ 14 Kristin</t>
  </si>
  <si>
    <t>fj4lowco1pm</t>
  </si>
  <si>
    <t>Low Country Volleyball Club</t>
  </si>
  <si>
    <t>Low Country 14N Aaron</t>
  </si>
  <si>
    <t>fj4lowco2pm</t>
  </si>
  <si>
    <t>Low Country 14N Tina</t>
  </si>
  <si>
    <t>fj4magnm1pm</t>
  </si>
  <si>
    <t>Magnum 14 Mizuno</t>
  </si>
  <si>
    <t>fj4mvpjc1pm</t>
  </si>
  <si>
    <t>MVP 14-Gold</t>
  </si>
  <si>
    <t>fj4pstri1pm</t>
  </si>
  <si>
    <t>Palm Strikers 14 Plat - H</t>
  </si>
  <si>
    <t>fj4pstri2pm</t>
  </si>
  <si>
    <t>Palm Strikers 14 Plat - L</t>
  </si>
  <si>
    <t>fj4upwrd2pm</t>
  </si>
  <si>
    <t>Upward Stars 14 Jenni</t>
  </si>
  <si>
    <t>fj4vison1pm</t>
  </si>
  <si>
    <t>Vision 14-Caty &amp; Erika</t>
  </si>
  <si>
    <t>mj4caris1pm</t>
  </si>
  <si>
    <t>Car. Islanders 14 Boys</t>
  </si>
  <si>
    <t>Car. Islanders 14 Boy</t>
  </si>
  <si>
    <t>fj4hhbtc1pm</t>
  </si>
  <si>
    <t>HHI SHARKS</t>
  </si>
  <si>
    <t>HHI SHARKS 14U</t>
  </si>
  <si>
    <t>fj4mtnel1pm</t>
  </si>
  <si>
    <t>MEVC14Cori</t>
  </si>
  <si>
    <t>fj4upwrd3pm</t>
  </si>
  <si>
    <t>Upward Stars 14 Tara</t>
  </si>
  <si>
    <t>fj4ccoas1pm</t>
  </si>
  <si>
    <t>Club Coastal 14 Blue</t>
  </si>
  <si>
    <t>fj4pstri3pm</t>
  </si>
  <si>
    <t>Palm Strikers 14 Premier</t>
  </si>
  <si>
    <t>fj4atown1pm</t>
  </si>
  <si>
    <t>ATown Volleyball Academy</t>
  </si>
  <si>
    <t>ATown 14 Black</t>
  </si>
  <si>
    <t>fj4charl2pm</t>
  </si>
  <si>
    <t>Chas Jrs 14 Blue</t>
  </si>
  <si>
    <t>Columbia SC Starlings</t>
  </si>
  <si>
    <t>fj4vonea1pm</t>
  </si>
  <si>
    <t>VolleyOneAcademy 14-Taisa</t>
  </si>
  <si>
    <t>fj4ladyc1pm</t>
  </si>
  <si>
    <t>OLC 14s Purple Elite</t>
  </si>
  <si>
    <t>fj4mbeac1pm</t>
  </si>
  <si>
    <t>MBVC 14 Black Randy</t>
  </si>
  <si>
    <t>fj4ccoas2pm</t>
  </si>
  <si>
    <t>Club Coastal 14 White</t>
  </si>
  <si>
    <t>fj4celit1pm</t>
  </si>
  <si>
    <t>CHS Elite</t>
  </si>
  <si>
    <t>CHSElite 14-A</t>
  </si>
  <si>
    <t>fj4crone3pm</t>
  </si>
  <si>
    <t>C1VB 14 Reg Black Grvl</t>
  </si>
  <si>
    <t>fj4crone4pm</t>
  </si>
  <si>
    <t>C1VB 14 Reg Royal Grvl</t>
  </si>
  <si>
    <t>fj4crone5pm</t>
  </si>
  <si>
    <t>C1VB 14 State Grvl</t>
  </si>
  <si>
    <t>fj4crosf2pm</t>
  </si>
  <si>
    <t>Crossfire 14</t>
  </si>
  <si>
    <t>fj4csrah3pm</t>
  </si>
  <si>
    <t>CSRA Heat 14 Black</t>
  </si>
  <si>
    <t>fj4csrah4pm</t>
  </si>
  <si>
    <t>CSRA Heat 14 Red</t>
  </si>
  <si>
    <t>fj4csrah5pm</t>
  </si>
  <si>
    <t>CSRA Heat 14 White</t>
  </si>
  <si>
    <t>fj4ecity1pm</t>
  </si>
  <si>
    <t>Emerald City 14-1</t>
  </si>
  <si>
    <t>fj4ecity2pm</t>
  </si>
  <si>
    <t>Emerald City 14-2</t>
  </si>
  <si>
    <t>fj4footh1pm</t>
  </si>
  <si>
    <t>Foothills 14 May</t>
  </si>
  <si>
    <t>fj4inten4pm</t>
  </si>
  <si>
    <t>Intense 14 Region</t>
  </si>
  <si>
    <t>fj4kvcjr1pm</t>
  </si>
  <si>
    <t>KVC 14</t>
  </si>
  <si>
    <t>fj4lakem2pm</t>
  </si>
  <si>
    <t>Lake Murray 14 Black</t>
  </si>
  <si>
    <t>fj4magnm4pm</t>
  </si>
  <si>
    <t>Magnum 14 Black</t>
  </si>
  <si>
    <t>fj4magnm5pm</t>
  </si>
  <si>
    <t>Magnum Aiken 14 Yellow</t>
  </si>
  <si>
    <t>fj4magnm6pm</t>
  </si>
  <si>
    <t>Magnum 14 Blue</t>
  </si>
  <si>
    <t>fj4prage1pm</t>
  </si>
  <si>
    <t>PRV -14U Janice</t>
  </si>
  <si>
    <t>fj4scmid3pm</t>
  </si>
  <si>
    <t>SC Midlands 14 Black</t>
  </si>
  <si>
    <t>fj4scmid4pm</t>
  </si>
  <si>
    <t>SC Midlands 14 Garnet</t>
  </si>
  <si>
    <t>fj4scwea1pm</t>
  </si>
  <si>
    <t>SCWE14AERIES</t>
  </si>
  <si>
    <t>fj4scwea2pm</t>
  </si>
  <si>
    <t>SCWE14TALONS</t>
  </si>
  <si>
    <t>fj4sumtr1pm</t>
  </si>
  <si>
    <t>Sumter VBC 14</t>
  </si>
  <si>
    <t>fj5beauf1pm</t>
  </si>
  <si>
    <t>Beaufort Volleyball Club</t>
  </si>
  <si>
    <t>Beaufort 15 Grey</t>
  </si>
  <si>
    <t>fj5beauf2pm</t>
  </si>
  <si>
    <t>Beaufort 15 Pink</t>
  </si>
  <si>
    <t>fj5caris1pm</t>
  </si>
  <si>
    <t>Car .Islanders 15 Elite</t>
  </si>
  <si>
    <t>fj5caris2pm</t>
  </si>
  <si>
    <t>Car. Islanders 15 Power</t>
  </si>
  <si>
    <t>fj5charl1pm</t>
  </si>
  <si>
    <t>Chas Jrs 15 College Prep</t>
  </si>
  <si>
    <t>fj5charl2pm</t>
  </si>
  <si>
    <t>Chas Jrs 15 Power</t>
  </si>
  <si>
    <t>fj5cpeak2cr</t>
  </si>
  <si>
    <t>Carolina Peak 15 IT- Deb</t>
  </si>
  <si>
    <t>fj5cpeak4cr</t>
  </si>
  <si>
    <t>Carolina Peak 15 Jake</t>
  </si>
  <si>
    <t>fj5crone1pm</t>
  </si>
  <si>
    <t>C1VB 15 National Grvl</t>
  </si>
  <si>
    <t>fj5crone2pm</t>
  </si>
  <si>
    <t>C1VB 15 Elite Grvl</t>
  </si>
  <si>
    <t>fj5crone3pm</t>
  </si>
  <si>
    <t>C1VB 15 Power Grvl</t>
  </si>
  <si>
    <t>fj5crone4pm</t>
  </si>
  <si>
    <t>C1VB 15 Power Pickens</t>
  </si>
  <si>
    <t>fj5csrah1pm</t>
  </si>
  <si>
    <t>CSRA Heat 15 National</t>
  </si>
  <si>
    <t>fj5ecity1pm</t>
  </si>
  <si>
    <t>Emerald City 15-Power</t>
  </si>
  <si>
    <t>fj5excel1pm</t>
  </si>
  <si>
    <t>Excell 15 2017</t>
  </si>
  <si>
    <t>fj5grand1pm</t>
  </si>
  <si>
    <t>GSJ 15 National Courtney</t>
  </si>
  <si>
    <t>fj5inten2pm</t>
  </si>
  <si>
    <t>Intense 15 Elite Columbia</t>
  </si>
  <si>
    <t>fj5inten3pm</t>
  </si>
  <si>
    <t>Intense 15 Elite Rock Hil</t>
  </si>
  <si>
    <t>fj5kersh1pm</t>
  </si>
  <si>
    <t>Kershaw 15 Black</t>
  </si>
  <si>
    <t>fj5lakem1pm</t>
  </si>
  <si>
    <t>Lake Murray 15 Red</t>
  </si>
  <si>
    <t>fj5magnm1pm</t>
  </si>
  <si>
    <t>Magnum 15 Mizuno</t>
  </si>
  <si>
    <t>fj5magnm2pm</t>
  </si>
  <si>
    <t>Magnum 15 Elite</t>
  </si>
  <si>
    <t>fj5mtnel1pm</t>
  </si>
  <si>
    <t>MEVC15Kenny</t>
  </si>
  <si>
    <t>fj5pstri1pm</t>
  </si>
  <si>
    <t>Palm Strikers 15 National</t>
  </si>
  <si>
    <t>fj5scmid2pm</t>
  </si>
  <si>
    <t>SC Midlands 15 Perf</t>
  </si>
  <si>
    <t>fj5tlife1cr</t>
  </si>
  <si>
    <t>TLVC 15 Black</t>
  </si>
  <si>
    <t>fj5upsvc1pm</t>
  </si>
  <si>
    <t>Upstate Volleyball Club</t>
  </si>
  <si>
    <t>Upstate 15-1 Power</t>
  </si>
  <si>
    <t>fj5csrah2pm</t>
  </si>
  <si>
    <t>CSRA Heat 15 Gold</t>
  </si>
  <si>
    <t>fj5upwrd2pm</t>
  </si>
  <si>
    <t>Upward Stars 15 Zach</t>
  </si>
  <si>
    <t>fj5upwrd3pm</t>
  </si>
  <si>
    <t>Upward Stars 15 Mark</t>
  </si>
  <si>
    <t>fj5upwrd4pm</t>
  </si>
  <si>
    <t>Upward Stars 15 Erin</t>
  </si>
  <si>
    <t>fj5upwrd5pm</t>
  </si>
  <si>
    <t>Upward Stars 15 Brittni</t>
  </si>
  <si>
    <t>fj5atown1pm</t>
  </si>
  <si>
    <t>ATown 15 Black</t>
  </si>
  <si>
    <t>fj5mbeac1pm</t>
  </si>
  <si>
    <t>MBVC 15 Black Brittany</t>
  </si>
  <si>
    <t>fj5196891pm</t>
  </si>
  <si>
    <t>Carolina Express</t>
  </si>
  <si>
    <t>Carolina Express 15</t>
  </si>
  <si>
    <t>fj5branc2pm</t>
  </si>
  <si>
    <t>Branchville Juniors</t>
  </si>
  <si>
    <t>Branchville Jrs 15 U Pink</t>
  </si>
  <si>
    <t>fj5crone5pm</t>
  </si>
  <si>
    <t>C1VB 15 Regional Grvl</t>
  </si>
  <si>
    <t>fj5ecity2pm</t>
  </si>
  <si>
    <t>Emerald City 15-1</t>
  </si>
  <si>
    <t>fj5footh1pm</t>
  </si>
  <si>
    <t>Foothills 15 Tiffany</t>
  </si>
  <si>
    <t>fj5hvelo1pm</t>
  </si>
  <si>
    <t>High Velocity VBC</t>
  </si>
  <si>
    <t>High Velocity 15's</t>
  </si>
  <si>
    <t>fj5ignte1pm</t>
  </si>
  <si>
    <t>Ignite</t>
  </si>
  <si>
    <t>Ignite 15</t>
  </si>
  <si>
    <t>fj5lakem2pm</t>
  </si>
  <si>
    <t>Lake Murray 15 Black</t>
  </si>
  <si>
    <t>fj5magnm3pm</t>
  </si>
  <si>
    <t>Magnum 15 Black</t>
  </si>
  <si>
    <t>fj5magnm4pm</t>
  </si>
  <si>
    <t>Magnum Aiken 15 Green</t>
  </si>
  <si>
    <t>fj5pstri2pm</t>
  </si>
  <si>
    <t>Palm Strikers 15 Platinum</t>
  </si>
  <si>
    <t>fj5sandh1pm</t>
  </si>
  <si>
    <t>Sandhills Volleyball Club</t>
  </si>
  <si>
    <t>SVBC Blazers 15</t>
  </si>
  <si>
    <t>fj5scmid3pm</t>
  </si>
  <si>
    <t>SC Midlands 15 Black</t>
  </si>
  <si>
    <t>fj5scmid4pm</t>
  </si>
  <si>
    <t>SC Midlands 15 Garnet</t>
  </si>
  <si>
    <t>fj5sumtr1pm</t>
  </si>
  <si>
    <t>Sumter VBC 15</t>
  </si>
  <si>
    <t>fj5upsvc2pm</t>
  </si>
  <si>
    <t>Upstate 15-2 Club</t>
  </si>
  <si>
    <t>fj5vison1pm</t>
  </si>
  <si>
    <t>Vision 15-Serena &amp; Emily</t>
  </si>
  <si>
    <t>fj6charl1pm</t>
  </si>
  <si>
    <t>Chas Jrs 16 College Prep</t>
  </si>
  <si>
    <t>fj6cpeak2cr</t>
  </si>
  <si>
    <t>Carolina Peak 16- Green</t>
  </si>
  <si>
    <t>fj6crchv1cr</t>
  </si>
  <si>
    <t>Carolina Chaos 16-1</t>
  </si>
  <si>
    <t>fj6crone1pm</t>
  </si>
  <si>
    <t>C1VB 16 National Grvl</t>
  </si>
  <si>
    <t>fj6crone2pm</t>
  </si>
  <si>
    <t>C1VB 16 Elite Pickens</t>
  </si>
  <si>
    <t>fj6grand1pm</t>
  </si>
  <si>
    <t>GSJ 16 National Alex</t>
  </si>
  <si>
    <t>fj6grand2pm</t>
  </si>
  <si>
    <t>GSJ 16 Lee</t>
  </si>
  <si>
    <t>fj6grand3pm</t>
  </si>
  <si>
    <t>GSJ 16 Chiquita</t>
  </si>
  <si>
    <t>fj6inten1pm</t>
  </si>
  <si>
    <t>Intense 16 Hyper Elite</t>
  </si>
  <si>
    <t>fj6islun1pm</t>
  </si>
  <si>
    <t>United</t>
  </si>
  <si>
    <t>United 16-1</t>
  </si>
  <si>
    <t>fj6magnm1pm</t>
  </si>
  <si>
    <t>Magnum 16 Mizuno</t>
  </si>
  <si>
    <t>fj6tlife1cr</t>
  </si>
  <si>
    <t>TLVC 16U</t>
  </si>
  <si>
    <t>fj6upwrd1pm</t>
  </si>
  <si>
    <t>Upward Stars 16 Andrew</t>
  </si>
  <si>
    <t>fj6upwrd2pm</t>
  </si>
  <si>
    <t>Upward Stars 16 Christina</t>
  </si>
  <si>
    <t>fj6pstri1pm</t>
  </si>
  <si>
    <t>Palm Strikers 16 National</t>
  </si>
  <si>
    <t>Hurricane Volleyball Club</t>
  </si>
  <si>
    <t>fj6atown2pm</t>
  </si>
  <si>
    <t>ATown 16 Orange Angela</t>
  </si>
  <si>
    <t>fj6excel1pm</t>
  </si>
  <si>
    <t>Excell 16 2017</t>
  </si>
  <si>
    <t>fj6kvcjr1pm</t>
  </si>
  <si>
    <t>KVC 16</t>
  </si>
  <si>
    <t>fj6pstri2pm</t>
  </si>
  <si>
    <t>Palm Strikers 16 Platinum</t>
  </si>
  <si>
    <t>fj6upwrd3pm</t>
  </si>
  <si>
    <t>Upward Stars 16 Taylor</t>
  </si>
  <si>
    <t>fj6upwrd4pm</t>
  </si>
  <si>
    <t>Upward Stars 16 Tonja</t>
  </si>
  <si>
    <t>fj6upwrd5pm</t>
  </si>
  <si>
    <t>Upward Stars 16 Mark C</t>
  </si>
  <si>
    <t>fj6mbeac1pm</t>
  </si>
  <si>
    <t>MBVC 16 Red Todd</t>
  </si>
  <si>
    <t>fj6atown1pm</t>
  </si>
  <si>
    <t>ATown 16 Black</t>
  </si>
  <si>
    <t>fj6ccoas1pm</t>
  </si>
  <si>
    <t>Club Coastal 16 White</t>
  </si>
  <si>
    <t>fj6ladyc1pm</t>
  </si>
  <si>
    <t>OLC 16s Purple</t>
  </si>
  <si>
    <t>fj6aelit1pm</t>
  </si>
  <si>
    <t>Augusta Elite</t>
  </si>
  <si>
    <t>Augusta Elite 16 Fusion</t>
  </si>
  <si>
    <t>fj6aelit2pm</t>
  </si>
  <si>
    <t>Augusta Elite 16 Havoc</t>
  </si>
  <si>
    <t>fj6celit1pm</t>
  </si>
  <si>
    <t>CHSElite 16-1</t>
  </si>
  <si>
    <t>fj6crone3pm</t>
  </si>
  <si>
    <t>C1VB 16 Regional Grvl</t>
  </si>
  <si>
    <t>fj6hhbtc1pm</t>
  </si>
  <si>
    <t>HHI SHARKS 16U</t>
  </si>
  <si>
    <t>fj6inten3pm</t>
  </si>
  <si>
    <t>Intense 16 Region Columb</t>
  </si>
  <si>
    <t>fj6inten4pm</t>
  </si>
  <si>
    <t>Intense 16 Region Rock H</t>
  </si>
  <si>
    <t>fj6kersh2pm</t>
  </si>
  <si>
    <t>Kershaw 16 White</t>
  </si>
  <si>
    <t>fj6lakem2pm</t>
  </si>
  <si>
    <t>Lake Murray 16 Black</t>
  </si>
  <si>
    <t>fj6scmid3pm</t>
  </si>
  <si>
    <t>SC Midlands 16 Black</t>
  </si>
  <si>
    <t>fj6scwea1pm</t>
  </si>
  <si>
    <t>SCWE16RAPTORS</t>
  </si>
  <si>
    <t>fj6vonea1pm</t>
  </si>
  <si>
    <t>VolleyOneAcademy 16-Amy</t>
  </si>
  <si>
    <t>fj7c4vb11pm</t>
  </si>
  <si>
    <t>C4</t>
  </si>
  <si>
    <t>C4 17U Elite Ron</t>
  </si>
  <si>
    <t>fj7caris1pm</t>
  </si>
  <si>
    <t>Car. Islanders 17 Power</t>
  </si>
  <si>
    <t>fj7charl1pm</t>
  </si>
  <si>
    <t>Chas Jrs 17 College Prep</t>
  </si>
  <si>
    <t>fj7cpeak1cr</t>
  </si>
  <si>
    <t>Carolina Peak 17 Kathryn</t>
  </si>
  <si>
    <t>fj7crchv1cr</t>
  </si>
  <si>
    <t>Carolina Chaos 17-1</t>
  </si>
  <si>
    <t>fj7crosf1pm</t>
  </si>
  <si>
    <t>Crossfire 17 Power</t>
  </si>
  <si>
    <t>fj7csrah1pm</t>
  </si>
  <si>
    <t>CSRA Heat 17 National</t>
  </si>
  <si>
    <t>fj7ecity1pm</t>
  </si>
  <si>
    <t>Emerald City 17-Power</t>
  </si>
  <si>
    <t>fj7ecvc72cr</t>
  </si>
  <si>
    <t>Elite Charger Volleyball</t>
  </si>
  <si>
    <t>fj7grand1pm</t>
  </si>
  <si>
    <t>GSJ 17 National Steve</t>
  </si>
  <si>
    <t>fj7hurrc1pm</t>
  </si>
  <si>
    <t>Hurricane VBC 17 Cyclones</t>
  </si>
  <si>
    <t>fj7hurrc2pm</t>
  </si>
  <si>
    <t>Hurricane VBC 17 Typhoon</t>
  </si>
  <si>
    <t>fj7inten1pm</t>
  </si>
  <si>
    <t>Intense 17 Perf RH</t>
  </si>
  <si>
    <t>fj7lakem1pm</t>
  </si>
  <si>
    <t>Lake Murray 17 Red</t>
  </si>
  <si>
    <t>fj7magnm1pm</t>
  </si>
  <si>
    <t>Magnum 17 Mizuno</t>
  </si>
  <si>
    <t>fj7magnm2pm</t>
  </si>
  <si>
    <t>Magnum 17 Elite</t>
  </si>
  <si>
    <t>fj7motoj1pm</t>
  </si>
  <si>
    <t>MOTO 17 IGNITE</t>
  </si>
  <si>
    <t>fj7pstri1pm</t>
  </si>
  <si>
    <t>Palm Strikers 17 National</t>
  </si>
  <si>
    <t>fj7scmid1pm</t>
  </si>
  <si>
    <t>SC Midlands 17 National C</t>
  </si>
  <si>
    <t>fj7scmid2pm</t>
  </si>
  <si>
    <t>SC Midlands 17 National G</t>
  </si>
  <si>
    <t>fj7sumtr1pm</t>
  </si>
  <si>
    <t>Sumter 17 Heath</t>
  </si>
  <si>
    <t>fj7upsvc1pm</t>
  </si>
  <si>
    <t>Upstate 17-1 National</t>
  </si>
  <si>
    <t>fj7upwrd3pm</t>
  </si>
  <si>
    <t>Upward Stars 17 Brandon</t>
  </si>
  <si>
    <t>fj7ccoas1pm</t>
  </si>
  <si>
    <t>Club Coastal 17 Blue</t>
  </si>
  <si>
    <t>fj7prage1pm</t>
  </si>
  <si>
    <t>PRV 17U Alicia</t>
  </si>
  <si>
    <t>fj7upwrd2pm</t>
  </si>
  <si>
    <t>Upward Stars 17 Kara</t>
  </si>
  <si>
    <t>fj7atown1pm</t>
  </si>
  <si>
    <t>ATown 17 Black</t>
  </si>
  <si>
    <t>fj7beauf1pm</t>
  </si>
  <si>
    <t>Beaufort Seventeens</t>
  </si>
  <si>
    <t>fj7csrah2pm</t>
  </si>
  <si>
    <t>CSRA Heat 17 Gold</t>
  </si>
  <si>
    <t>fj7footh1pm</t>
  </si>
  <si>
    <t>Foothills 17 Matt</t>
  </si>
  <si>
    <t>fj7scmid3pm</t>
  </si>
  <si>
    <t>SC Midlands 17 Black</t>
  </si>
  <si>
    <t>fj7sumtr2pm</t>
  </si>
  <si>
    <t>Sumter VBC 17-2</t>
  </si>
  <si>
    <t>fj7vonea1pm</t>
  </si>
  <si>
    <t>VolleyOneAcademy 17-Jon</t>
  </si>
  <si>
    <t>fj8branc2pm</t>
  </si>
  <si>
    <t>Branchville Jrs 18U Pink</t>
  </si>
  <si>
    <t>fj8caris1pm</t>
  </si>
  <si>
    <t>Car. Islanders 18 Elite</t>
  </si>
  <si>
    <t>fj8charl1pm</t>
  </si>
  <si>
    <t>Chas Jrs 18 Red</t>
  </si>
  <si>
    <t>fj8crchv1cr</t>
  </si>
  <si>
    <t>Carolina Chaos 18</t>
  </si>
  <si>
    <t>fj8crone1pm</t>
  </si>
  <si>
    <t>C1VB 18 National</t>
  </si>
  <si>
    <t>fj8grand1pm</t>
  </si>
  <si>
    <t>GSJ 18 National Larry</t>
  </si>
  <si>
    <t>fj8hurrc1pm</t>
  </si>
  <si>
    <t>Hurricane VBC 18 Storm</t>
  </si>
  <si>
    <t>fj8kc11j1pm</t>
  </si>
  <si>
    <t>KC11 Volleyball Club</t>
  </si>
  <si>
    <t>KC11 18's</t>
  </si>
  <si>
    <t>fj8lakem1pm</t>
  </si>
  <si>
    <t>Lake Murray 18 Red</t>
  </si>
  <si>
    <t>fj8lowco1pm</t>
  </si>
  <si>
    <t>Low Country 18 National</t>
  </si>
  <si>
    <t>fj8magnm1pm</t>
  </si>
  <si>
    <t>Magnum 18 Mizuno</t>
  </si>
  <si>
    <t>fj8magnm2pm</t>
  </si>
  <si>
    <t>Magnum Aiken 18 Green</t>
  </si>
  <si>
    <t>fj8mtnel1pm</t>
  </si>
  <si>
    <t>MEVC18Hannah</t>
  </si>
  <si>
    <t>fj8mvpjc1pm</t>
  </si>
  <si>
    <t>MVP 18-Gold</t>
  </si>
  <si>
    <t>fj8tlife1cr</t>
  </si>
  <si>
    <t>TLVC 18U</t>
  </si>
  <si>
    <t>fj8upsvc1pm</t>
  </si>
  <si>
    <t>Upstate 18-1</t>
  </si>
  <si>
    <t>fj8upsvc2pm</t>
  </si>
  <si>
    <t>Upstate 18-2</t>
  </si>
  <si>
    <t>fj8scmid1pm</t>
  </si>
  <si>
    <t>SC Midlands 18 Perf</t>
  </si>
  <si>
    <t>fj8ladyc1pm</t>
  </si>
  <si>
    <t>OLC 18's Purple</t>
  </si>
  <si>
    <t>fj8starl1pm</t>
  </si>
  <si>
    <t>Columbia SC Starlings 18</t>
  </si>
  <si>
    <t>fj8actvb1od</t>
  </si>
  <si>
    <t>Active 18 Black</t>
  </si>
  <si>
    <t>fj8aelit1pm</t>
  </si>
  <si>
    <t>Augusta Elite 18 Fury</t>
  </si>
  <si>
    <t>fj8branc3pm</t>
  </si>
  <si>
    <t>Branchville Juniors 18U</t>
  </si>
  <si>
    <t>fj8celit1pm</t>
  </si>
  <si>
    <t>CHSElite 18-1</t>
  </si>
  <si>
    <t>fj8psvbc1cr</t>
  </si>
  <si>
    <t>Palmetto Starlings  18-1</t>
  </si>
  <si>
    <t>fj8sandh1pm</t>
  </si>
  <si>
    <t>SVBC Blazers 18</t>
  </si>
  <si>
    <t>fj8sumtr1pm</t>
  </si>
  <si>
    <t>Sumter VBC 18</t>
  </si>
  <si>
    <t>fj2biltm1cr</t>
  </si>
  <si>
    <t>BVA 12 Black</t>
  </si>
  <si>
    <t>fj2biltm2cr</t>
  </si>
  <si>
    <t>BVA 12 White</t>
  </si>
  <si>
    <t>fj3biltm1cr</t>
  </si>
  <si>
    <t>BVA 13 Black</t>
  </si>
  <si>
    <t>fj3biltm2cr</t>
  </si>
  <si>
    <t>BVA 13 White</t>
  </si>
  <si>
    <t>fj3extvb1so</t>
  </si>
  <si>
    <t>Extreme 13-1</t>
  </si>
  <si>
    <t>fj3tlife1cr</t>
  </si>
  <si>
    <t>TLVC 13U Black</t>
  </si>
  <si>
    <t>fj3tlife2cr</t>
  </si>
  <si>
    <t>TLVC 13U Yellow</t>
  </si>
  <si>
    <t>fj3biltm3cr</t>
  </si>
  <si>
    <t>BVA 13 Purple</t>
  </si>
  <si>
    <t>fj3mtxej1cr</t>
  </si>
  <si>
    <t>Shockers 13-1</t>
  </si>
  <si>
    <t>fj3ptvbc1so</t>
  </si>
  <si>
    <t>P31 13-1</t>
  </si>
  <si>
    <t>fj4biltm2cr</t>
  </si>
  <si>
    <t>BVA 14 Black</t>
  </si>
  <si>
    <t>fj4chovb1so</t>
  </si>
  <si>
    <t>CHOSEN 14-1</t>
  </si>
  <si>
    <t>fj4biltm1cr</t>
  </si>
  <si>
    <t>BVA 14N</t>
  </si>
  <si>
    <t>fj6cpeak1cr</t>
  </si>
  <si>
    <t>Carolina Peak 16 Concord</t>
  </si>
  <si>
    <t>fj7triex2so</t>
  </si>
  <si>
    <t>TEV 17 Gary</t>
  </si>
  <si>
    <t>fj7carun4cr</t>
  </si>
  <si>
    <t>CUVC 17 White</t>
  </si>
  <si>
    <t>fj8carun3cr</t>
  </si>
  <si>
    <t>CUVC 18 Orange</t>
  </si>
  <si>
    <t>fj8cpeak1cr</t>
  </si>
  <si>
    <t>PEAK 18 Brandi</t>
  </si>
  <si>
    <t>fj7carun3cr</t>
  </si>
  <si>
    <t>CUVC 17 Orange</t>
  </si>
  <si>
    <t>fj7triex6so</t>
  </si>
  <si>
    <t>TEV 17 Hilton</t>
  </si>
  <si>
    <t>fj2unsel3cr</t>
  </si>
  <si>
    <t>USA 12's Pink</t>
  </si>
  <si>
    <t>fj4shlby1cr</t>
  </si>
  <si>
    <t>Shelby Strikers</t>
  </si>
  <si>
    <t>fj2triex1so</t>
  </si>
  <si>
    <t>TEV 12 Tori</t>
  </si>
  <si>
    <t>fj2galxy1cr</t>
  </si>
  <si>
    <t>Gaston Galaxy VBC 12</t>
  </si>
  <si>
    <t>fj3lavaf3cr</t>
  </si>
  <si>
    <t>LAVA 13-ANNA</t>
  </si>
  <si>
    <t>fj3galxy1cr</t>
  </si>
  <si>
    <t>Gaston Galaxy VBC 13</t>
  </si>
  <si>
    <t>fj4triex1so</t>
  </si>
  <si>
    <t>TEV 14 Whitney</t>
  </si>
  <si>
    <t>fj4triex2so</t>
  </si>
  <si>
    <t>TEV 14 LeAnn</t>
  </si>
  <si>
    <t>fj6lavaf1cr</t>
  </si>
  <si>
    <t>LAVA 16U Purple</t>
  </si>
  <si>
    <t>fj6cpeak4cr</t>
  </si>
  <si>
    <t>PEAK 16-Chip</t>
  </si>
  <si>
    <t>fj6cpeak5cr</t>
  </si>
  <si>
    <t>PEAK 16-Andy</t>
  </si>
  <si>
    <t>FJ6SVAVC1SO</t>
  </si>
  <si>
    <t>Statesboro 16s</t>
  </si>
  <si>
    <t>fj3lavaf1cr</t>
  </si>
  <si>
    <t>LAVA 13U Purple</t>
  </si>
  <si>
    <t>fj7unsel1cr</t>
  </si>
  <si>
    <t>USA 17 Purple Joy</t>
  </si>
  <si>
    <t>fj3starl1pm</t>
  </si>
  <si>
    <t>columbia sc starlings 13</t>
  </si>
  <si>
    <t>fj3twinc1cr</t>
  </si>
  <si>
    <t>TCVA 13 Royal</t>
  </si>
  <si>
    <t>fj4twinc1cr</t>
  </si>
  <si>
    <t>TCVA 14 Royal</t>
  </si>
  <si>
    <t>fj5chmpv1cr</t>
  </si>
  <si>
    <t>Champion 15 National</t>
  </si>
  <si>
    <t>fj5cprmr1cr</t>
  </si>
  <si>
    <t>Carolina Premier 15 Black</t>
  </si>
  <si>
    <t>fj5favba1cr</t>
  </si>
  <si>
    <t>FAVA DEFENDERS 15</t>
  </si>
  <si>
    <t>fj5kyvip1pr</t>
  </si>
  <si>
    <t>15 ELITE COBRAS</t>
  </si>
  <si>
    <t>fj5twinc2cr</t>
  </si>
  <si>
    <t>TCVA 15 Black</t>
  </si>
  <si>
    <t>fj5vbrag1ge</t>
  </si>
  <si>
    <t>Team VB Rags 15N Carly</t>
  </si>
  <si>
    <t>fj5vbrag2ge</t>
  </si>
  <si>
    <t>Team VB Rags 15N Yaidy</t>
  </si>
  <si>
    <t>fj6favba2cr</t>
  </si>
  <si>
    <t>FAVA Enforcers 16-2</t>
  </si>
  <si>
    <t>fj6jammr1cr</t>
  </si>
  <si>
    <t>Jammers 16 Red</t>
  </si>
  <si>
    <t>fj6twinc2cr</t>
  </si>
  <si>
    <t>TCVA 16 Black</t>
  </si>
  <si>
    <t>fj7jammr1cr</t>
  </si>
  <si>
    <t>Jammers 17 Red</t>
  </si>
  <si>
    <t>fj8state1od</t>
  </si>
  <si>
    <t>State Line 18</t>
  </si>
  <si>
    <t>fj8triex2so</t>
  </si>
  <si>
    <t>TEV 18 Marquis</t>
  </si>
  <si>
    <t>fj7triex3so</t>
  </si>
  <si>
    <t>TEV 17 Taylor</t>
  </si>
  <si>
    <t>fj4scmid6pm</t>
  </si>
  <si>
    <t>SC Midlands 14 Boys</t>
  </si>
  <si>
    <t>Augusta Prep</t>
  </si>
  <si>
    <t>1st Place Court 2</t>
  </si>
  <si>
    <t>13 Power  8 tms</t>
  </si>
  <si>
    <t>14 Power 19 tms</t>
  </si>
  <si>
    <t>15 Power 16 tms</t>
  </si>
  <si>
    <t>16 Open  10 Tms</t>
  </si>
  <si>
    <t>16 Power  10 tms</t>
  </si>
  <si>
    <t>Patriots Park</t>
  </si>
  <si>
    <t>1st Place from Pool Play</t>
  </si>
  <si>
    <t>4th Place from Pool Play</t>
  </si>
  <si>
    <t>2nd Place fom Pool Play</t>
  </si>
  <si>
    <t>3rd Place from Pool Play</t>
  </si>
  <si>
    <t>DIVISION PLAYOFFS</t>
  </si>
  <si>
    <t>METRO-ATL 17 BLACK</t>
  </si>
  <si>
    <t>fj7metro1so</t>
  </si>
  <si>
    <t>Auggies</t>
  </si>
  <si>
    <t>fj7svavc1so</t>
  </si>
  <si>
    <t>METRO-ATL 16 BLACK</t>
  </si>
  <si>
    <t>fj6metro1so</t>
  </si>
  <si>
    <t xml:space="preserve"> POOL PLAY FORMAT:  Two games to 25 start at 6.   2 Pt cap   Warmups 2-4-4</t>
  </si>
  <si>
    <t>% Net</t>
  </si>
  <si>
    <t>First Place</t>
  </si>
  <si>
    <t>Second Place</t>
  </si>
  <si>
    <t>Third Place</t>
  </si>
  <si>
    <t>Fourth Place</t>
  </si>
  <si>
    <t>#1</t>
  </si>
  <si>
    <t>#2</t>
  </si>
  <si>
    <t>#3</t>
  </si>
  <si>
    <t xml:space="preserve">                                   5th place from pools A+B do not advance, will be 13th and 14th place overall based on Net Point %</t>
  </si>
  <si>
    <t xml:space="preserve">                                   Use pool Net Point % to determine Cross Pool placement. (i.e. #1 2nd place, #3 3rd place etc)</t>
  </si>
  <si>
    <t>#2 2nd Place</t>
  </si>
  <si>
    <t>#1 2nd Place</t>
  </si>
  <si>
    <t>#2 3rd Place</t>
  </si>
  <si>
    <t>#3 2nd Place</t>
  </si>
  <si>
    <t>1st Place Crt 3</t>
  </si>
  <si>
    <t>#1 3rd Place</t>
  </si>
  <si>
    <t>#3 3rd Place</t>
  </si>
  <si>
    <t>Paul Knox MS</t>
  </si>
  <si>
    <t>Rafael Salazar</t>
  </si>
  <si>
    <t>12Power 4 tms</t>
  </si>
  <si>
    <t>17 Power 14 Teams</t>
  </si>
  <si>
    <t>18 Power 8 tms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</si>
</sst>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4" formatCode="_(&quot;$&quot;* #,##0.00_);_(&quot;$&quot;* \(#,##0.00\);_(&quot;$&quot;* &quot;-&quot;??_);_(@_)"/>
    <numFmt numFmtId="164" formatCode="0.0%"/>
    <numFmt numFmtId="165" formatCode="0.##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b/>
      <sz val="14"/>
      <name val="Arial"/>
      <family val="2"/>
    </font>
    <font>
      <b/>
      <sz val="12"/>
      <name val="Arial"/>
      <family val="2"/>
    </font>
    <font>
      <sz val="14"/>
      <name val="Arial"/>
      <family val="2"/>
    </font>
    <font>
      <sz val="12"/>
      <name val="Arial"/>
      <family val="2"/>
    </font>
    <font>
      <b/>
      <sz val="8"/>
      <name val="Arial"/>
      <family val="2"/>
    </font>
    <font>
      <sz val="10"/>
      <color indexed="9"/>
      <name val="Arial"/>
      <family val="2"/>
    </font>
    <font>
      <sz val="8"/>
      <name val="Arial"/>
      <family val="2"/>
    </font>
    <font>
      <sz val="18"/>
      <name val="Arial"/>
      <family val="2"/>
    </font>
    <font>
      <sz val="8"/>
      <color rgb="FF222222"/>
      <name val="Arial"/>
      <family val="2"/>
    </font>
    <font>
      <sz val="10"/>
      <color indexed="55"/>
      <name val="Arial"/>
      <family val="2"/>
    </font>
    <font>
      <sz val="5"/>
      <name val="Arial"/>
      <family val="2"/>
    </font>
    <font>
      <sz val="16"/>
      <name val="Arial"/>
      <family val="2"/>
    </font>
    <font>
      <sz val="6"/>
      <name val="Arial"/>
      <family val="2"/>
    </font>
    <font>
      <sz val="10"/>
      <color theme="0"/>
      <name val="Arial"/>
      <family val="2"/>
    </font>
    <font>
      <sz val="20"/>
      <name val="Arial"/>
      <family val="2"/>
    </font>
    <font>
      <b/>
      <sz val="11"/>
      <color theme="1"/>
      <name val="Calibri"/>
      <family val="2"/>
      <scheme val="minor"/>
    </font>
    <font>
      <sz val="11"/>
      <name val="Arial"/>
      <family val="2"/>
    </font>
    <font>
      <sz val="11"/>
      <color rgb="FF000000"/>
      <name val="Calibri"/>
      <family val="2"/>
    </font>
    <font>
      <u/>
      <sz val="10"/>
      <color indexed="12"/>
      <name val="Arial"/>
      <family val="2"/>
    </font>
    <font>
      <u/>
      <sz val="10"/>
      <color theme="10"/>
      <name val="Arial"/>
      <family val="2"/>
    </font>
    <font>
      <sz val="11"/>
      <color rgb="FF9C5700"/>
      <name val="Calibri"/>
      <family val="2"/>
      <scheme val="minor"/>
    </font>
    <font>
      <sz val="10"/>
      <name val="Arial"/>
      <family val="2"/>
      <charset val="204"/>
    </font>
    <font>
      <sz val="10"/>
      <color rgb="FF000000"/>
      <name val="Arial"/>
      <family val="2"/>
    </font>
    <font>
      <sz val="18"/>
      <color theme="3"/>
      <name val="Cambria"/>
      <family val="2"/>
      <scheme val="major"/>
    </font>
    <font>
      <sz val="10"/>
      <color rgb="FFFF0000"/>
      <name val="Arial"/>
      <family val="2"/>
    </font>
    <font>
      <sz val="7"/>
      <name val="Arial"/>
      <family val="2"/>
    </font>
  </fonts>
  <fills count="38">
    <fill>
      <patternFill patternType="none"/>
    </fill>
    <fill>
      <patternFill patternType="gray125"/>
    </fill>
    <fill>
      <patternFill patternType="solid">
        <fgColor indexed="55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14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</fills>
  <borders count="62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rgb="FFAAAAAA"/>
      </left>
      <right style="medium">
        <color rgb="FFAAAAAA"/>
      </right>
      <top style="medium">
        <color rgb="FFAAAAAA"/>
      </top>
      <bottom style="medium">
        <color rgb="FFAAAAAA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45">
    <xf numFmtId="0" fontId="0" fillId="0" borderId="0"/>
    <xf numFmtId="0" fontId="2" fillId="0" borderId="0"/>
    <xf numFmtId="44" fontId="2" fillId="0" borderId="0" applyFont="0" applyFill="0" applyBorder="0" applyAlignment="0" applyProtection="0"/>
    <xf numFmtId="0" fontId="1" fillId="0" borderId="0"/>
    <xf numFmtId="0" fontId="1" fillId="0" borderId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44" fontId="2" fillId="0" borderId="0" applyFont="0" applyFill="0" applyBorder="0" applyAlignment="0" applyProtection="0"/>
    <xf numFmtId="0" fontId="22" fillId="0" borderId="0" applyNumberFormat="0" applyFill="0" applyBorder="0" applyAlignment="0" applyProtection="0">
      <alignment vertical="top"/>
      <protection locked="0"/>
    </xf>
    <xf numFmtId="0" fontId="23" fillId="0" borderId="0" applyNumberFormat="0" applyFill="0" applyBorder="0" applyAlignment="0" applyProtection="0"/>
    <xf numFmtId="0" fontId="24" fillId="16" borderId="0" applyNumberFormat="0" applyBorder="0" applyAlignment="0" applyProtection="0"/>
    <xf numFmtId="0" fontId="2" fillId="0" borderId="0"/>
    <xf numFmtId="0" fontId="25" fillId="0" borderId="0"/>
    <xf numFmtId="0" fontId="26" fillId="0" borderId="0"/>
    <xf numFmtId="0" fontId="2" fillId="0" borderId="0"/>
    <xf numFmtId="0" fontId="2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1" fillId="0" borderId="0"/>
    <xf numFmtId="0" fontId="1" fillId="17" borderId="60" applyNumberFormat="0" applyFont="0" applyAlignment="0" applyProtection="0"/>
    <xf numFmtId="0" fontId="27" fillId="0" borderId="0" applyNumberFormat="0" applyFill="0" applyBorder="0" applyAlignment="0" applyProtection="0"/>
  </cellStyleXfs>
  <cellXfs count="559">
    <xf numFmtId="0" fontId="0" fillId="0" borderId="0" xfId="0"/>
    <xf numFmtId="0" fontId="2" fillId="2" borderId="0" xfId="1" applyFill="1" applyProtection="1"/>
    <xf numFmtId="0" fontId="2" fillId="2" borderId="0" xfId="1" applyFont="1" applyFill="1" applyAlignment="1" applyProtection="1">
      <alignment horizontal="center"/>
    </xf>
    <xf numFmtId="0" fontId="2" fillId="0" borderId="0" xfId="1" applyFill="1"/>
    <xf numFmtId="0" fontId="2" fillId="0" borderId="0" xfId="1"/>
    <xf numFmtId="0" fontId="3" fillId="0" borderId="5" xfId="1" applyFont="1" applyBorder="1" applyAlignment="1">
      <alignment horizontal="center"/>
    </xf>
    <xf numFmtId="0" fontId="2" fillId="0" borderId="0" xfId="1" applyAlignment="1">
      <alignment horizontal="right"/>
    </xf>
    <xf numFmtId="0" fontId="2" fillId="0" borderId="0" xfId="1" applyProtection="1">
      <protection locked="0"/>
    </xf>
    <xf numFmtId="0" fontId="2" fillId="2" borderId="0" xfId="1" applyFill="1"/>
    <xf numFmtId="0" fontId="2" fillId="0" borderId="5" xfId="1" applyFont="1" applyBorder="1" applyAlignment="1" applyProtection="1">
      <alignment horizontal="center"/>
      <protection locked="0"/>
    </xf>
    <xf numFmtId="0" fontId="3" fillId="0" borderId="7" xfId="1" applyFont="1" applyBorder="1" applyAlignment="1" applyProtection="1">
      <alignment horizontal="center"/>
      <protection locked="0"/>
    </xf>
    <xf numFmtId="0" fontId="3" fillId="0" borderId="8" xfId="1" applyFont="1" applyBorder="1" applyAlignment="1" applyProtection="1">
      <alignment horizontal="center"/>
      <protection locked="0"/>
    </xf>
    <xf numFmtId="0" fontId="3" fillId="0" borderId="6" xfId="1" applyFont="1" applyBorder="1" applyAlignment="1">
      <alignment horizontal="center"/>
    </xf>
    <xf numFmtId="0" fontId="3" fillId="0" borderId="9" xfId="1" applyFont="1" applyBorder="1" applyAlignment="1">
      <alignment horizontal="center"/>
    </xf>
    <xf numFmtId="0" fontId="6" fillId="3" borderId="10" xfId="1" applyFont="1" applyFill="1" applyBorder="1" applyAlignment="1" applyProtection="1">
      <alignment horizontal="center" vertical="center" wrapText="1"/>
      <protection locked="0"/>
    </xf>
    <xf numFmtId="0" fontId="2" fillId="0" borderId="11" xfId="1" applyBorder="1" applyAlignment="1" applyProtection="1">
      <alignment horizontal="center"/>
      <protection locked="0"/>
    </xf>
    <xf numFmtId="0" fontId="2" fillId="4" borderId="0" xfId="1" applyFill="1" applyProtection="1">
      <protection locked="0"/>
    </xf>
    <xf numFmtId="0" fontId="6" fillId="4" borderId="3" xfId="1" applyFont="1" applyFill="1" applyBorder="1" applyAlignment="1" applyProtection="1">
      <alignment wrapText="1"/>
      <protection locked="0"/>
    </xf>
    <xf numFmtId="0" fontId="2" fillId="0" borderId="2" xfId="1" applyBorder="1" applyAlignment="1" applyProtection="1">
      <alignment horizontal="center" vertical="center" wrapText="1"/>
      <protection locked="0"/>
    </xf>
    <xf numFmtId="0" fontId="2" fillId="0" borderId="13" xfId="1" applyFont="1" applyBorder="1" applyAlignment="1" applyProtection="1">
      <alignment horizontal="center"/>
      <protection locked="0"/>
    </xf>
    <xf numFmtId="0" fontId="2" fillId="0" borderId="14" xfId="0" applyFont="1" applyBorder="1" applyAlignment="1" applyProtection="1">
      <alignment vertical="top"/>
      <protection locked="0"/>
    </xf>
    <xf numFmtId="0" fontId="2" fillId="0" borderId="15" xfId="1" applyBorder="1" applyAlignment="1" applyProtection="1">
      <alignment horizontal="center"/>
      <protection locked="0"/>
    </xf>
    <xf numFmtId="2" fontId="2" fillId="0" borderId="16" xfId="1" applyNumberFormat="1" applyBorder="1" applyAlignment="1">
      <alignment horizontal="center"/>
    </xf>
    <xf numFmtId="2" fontId="2" fillId="0" borderId="17" xfId="1" applyNumberFormat="1" applyBorder="1" applyAlignment="1">
      <alignment horizontal="center"/>
    </xf>
    <xf numFmtId="0" fontId="2" fillId="0" borderId="18" xfId="1" applyFont="1" applyBorder="1" applyAlignment="1" applyProtection="1">
      <alignment horizontal="center"/>
      <protection locked="0"/>
    </xf>
    <xf numFmtId="2" fontId="2" fillId="0" borderId="18" xfId="1" applyNumberFormat="1" applyBorder="1" applyAlignment="1">
      <alignment horizontal="center"/>
    </xf>
    <xf numFmtId="2" fontId="2" fillId="0" borderId="19" xfId="1" applyNumberFormat="1" applyBorder="1" applyAlignment="1">
      <alignment horizontal="center"/>
    </xf>
    <xf numFmtId="0" fontId="3" fillId="0" borderId="10" xfId="1" applyFont="1" applyBorder="1" applyAlignment="1" applyProtection="1">
      <alignment horizontal="center" vertical="center"/>
    </xf>
    <xf numFmtId="0" fontId="7" fillId="0" borderId="10" xfId="1" applyFont="1" applyBorder="1" applyAlignment="1" applyProtection="1">
      <alignment horizontal="center" vertical="center"/>
      <protection locked="0"/>
    </xf>
    <xf numFmtId="0" fontId="3" fillId="3" borderId="10" xfId="1" applyFont="1" applyFill="1" applyBorder="1" applyAlignment="1">
      <alignment horizontal="center" vertical="center"/>
    </xf>
    <xf numFmtId="0" fontId="3" fillId="3" borderId="10" xfId="1" applyFont="1" applyFill="1" applyBorder="1" applyAlignment="1">
      <alignment horizontal="center" vertical="center" wrapText="1"/>
    </xf>
    <xf numFmtId="0" fontId="5" fillId="3" borderId="10" xfId="1" applyFont="1" applyFill="1" applyBorder="1" applyAlignment="1">
      <alignment horizontal="center" vertical="center"/>
    </xf>
    <xf numFmtId="0" fontId="2" fillId="2" borderId="0" xfId="1" applyFill="1" applyBorder="1" applyAlignment="1"/>
    <xf numFmtId="0" fontId="9" fillId="2" borderId="0" xfId="1" applyFont="1" applyFill="1" applyAlignment="1" applyProtection="1">
      <alignment horizontal="center"/>
      <protection locked="0"/>
    </xf>
    <xf numFmtId="0" fontId="9" fillId="2" borderId="0" xfId="1" applyFont="1" applyFill="1" applyBorder="1" applyAlignment="1"/>
    <xf numFmtId="0" fontId="9" fillId="0" borderId="0" xfId="1" applyFont="1" applyFill="1" applyBorder="1" applyAlignment="1"/>
    <xf numFmtId="0" fontId="12" fillId="0" borderId="0" xfId="0" applyFont="1" applyProtection="1">
      <protection locked="0"/>
    </xf>
    <xf numFmtId="0" fontId="2" fillId="8" borderId="18" xfId="1" applyFont="1" applyFill="1" applyBorder="1" applyAlignment="1" applyProtection="1">
      <alignment horizontal="center"/>
      <protection locked="0"/>
    </xf>
    <xf numFmtId="0" fontId="2" fillId="8" borderId="37" xfId="1" applyFill="1" applyBorder="1" applyAlignment="1" applyProtection="1">
      <alignment horizontal="center"/>
      <protection locked="0"/>
    </xf>
    <xf numFmtId="0" fontId="2" fillId="8" borderId="38" xfId="1" applyFill="1" applyBorder="1" applyAlignment="1" applyProtection="1">
      <alignment horizontal="center"/>
      <protection locked="0"/>
    </xf>
    <xf numFmtId="0" fontId="2" fillId="8" borderId="19" xfId="1" applyFill="1" applyBorder="1" applyAlignment="1" applyProtection="1">
      <alignment horizontal="center"/>
      <protection locked="0"/>
    </xf>
    <xf numFmtId="2" fontId="2" fillId="8" borderId="18" xfId="1" applyNumberFormat="1" applyFill="1" applyBorder="1" applyAlignment="1">
      <alignment horizontal="center"/>
    </xf>
    <xf numFmtId="2" fontId="2" fillId="8" borderId="19" xfId="1" applyNumberFormat="1" applyFill="1" applyBorder="1" applyAlignment="1">
      <alignment horizontal="center"/>
    </xf>
    <xf numFmtId="0" fontId="2" fillId="2" borderId="0" xfId="1" applyFill="1" applyAlignment="1"/>
    <xf numFmtId="0" fontId="9" fillId="2" borderId="0" xfId="1" applyFont="1" applyFill="1"/>
    <xf numFmtId="0" fontId="2" fillId="8" borderId="40" xfId="1" applyFont="1" applyFill="1" applyBorder="1" applyAlignment="1" applyProtection="1">
      <alignment horizontal="center"/>
      <protection locked="0"/>
    </xf>
    <xf numFmtId="0" fontId="2" fillId="8" borderId="41" xfId="1" applyFill="1" applyBorder="1" applyAlignment="1" applyProtection="1">
      <alignment horizontal="center"/>
      <protection locked="0"/>
    </xf>
    <xf numFmtId="0" fontId="2" fillId="8" borderId="42" xfId="1" applyFill="1" applyBorder="1" applyAlignment="1" applyProtection="1">
      <alignment horizontal="center"/>
      <protection locked="0"/>
    </xf>
    <xf numFmtId="0" fontId="2" fillId="8" borderId="43" xfId="1" applyFill="1" applyBorder="1" applyAlignment="1" applyProtection="1">
      <alignment horizontal="center"/>
      <protection locked="0"/>
    </xf>
    <xf numFmtId="2" fontId="2" fillId="8" borderId="40" xfId="1" applyNumberFormat="1" applyFill="1" applyBorder="1" applyAlignment="1">
      <alignment horizontal="center"/>
    </xf>
    <xf numFmtId="2" fontId="2" fillId="8" borderId="43" xfId="1" applyNumberFormat="1" applyFill="1" applyBorder="1" applyAlignment="1">
      <alignment horizontal="center"/>
    </xf>
    <xf numFmtId="0" fontId="5" fillId="2" borderId="0" xfId="1" applyFont="1" applyFill="1" applyBorder="1" applyAlignment="1" applyProtection="1">
      <alignment vertical="center" wrapText="1"/>
      <protection locked="0"/>
    </xf>
    <xf numFmtId="0" fontId="3" fillId="2" borderId="0" xfId="1" applyFont="1" applyFill="1" applyBorder="1" applyAlignment="1" applyProtection="1">
      <alignment vertical="center" wrapText="1"/>
      <protection locked="0"/>
    </xf>
    <xf numFmtId="0" fontId="2" fillId="0" borderId="0" xfId="1" applyFont="1" applyBorder="1" applyAlignment="1" applyProtection="1">
      <alignment horizontal="center"/>
      <protection locked="0"/>
    </xf>
    <xf numFmtId="0" fontId="2" fillId="0" borderId="0" xfId="1" applyBorder="1" applyAlignment="1" applyProtection="1">
      <alignment horizontal="center"/>
      <protection locked="0"/>
    </xf>
    <xf numFmtId="0" fontId="2" fillId="2" borderId="0" xfId="1" applyFill="1" applyBorder="1" applyAlignment="1">
      <alignment horizontal="center" vertical="center"/>
    </xf>
    <xf numFmtId="0" fontId="10" fillId="0" borderId="0" xfId="1" applyFont="1" applyAlignment="1">
      <alignment horizontal="right"/>
    </xf>
    <xf numFmtId="0" fontId="2" fillId="3" borderId="54" xfId="1" applyFill="1" applyBorder="1" applyAlignment="1">
      <alignment horizontal="center" vertical="center"/>
    </xf>
    <xf numFmtId="0" fontId="2" fillId="7" borderId="37" xfId="1" applyFill="1" applyBorder="1" applyAlignment="1">
      <alignment horizontal="center"/>
    </xf>
    <xf numFmtId="0" fontId="2" fillId="3" borderId="37" xfId="1" applyFill="1" applyBorder="1" applyAlignment="1">
      <alignment horizontal="center" vertical="center"/>
    </xf>
    <xf numFmtId="0" fontId="2" fillId="0" borderId="0" xfId="1" applyFont="1" applyBorder="1" applyAlignment="1">
      <alignment horizontal="center"/>
    </xf>
    <xf numFmtId="0" fontId="5" fillId="3" borderId="37" xfId="1" applyFont="1" applyFill="1" applyBorder="1" applyProtection="1">
      <protection locked="0"/>
    </xf>
    <xf numFmtId="0" fontId="5" fillId="2" borderId="37" xfId="1" applyFont="1" applyFill="1" applyBorder="1" applyAlignment="1">
      <alignment horizontal="center"/>
    </xf>
    <xf numFmtId="0" fontId="5" fillId="3" borderId="37" xfId="1" applyFont="1" applyFill="1" applyBorder="1" applyAlignment="1" applyProtection="1">
      <alignment horizontal="left"/>
      <protection locked="0"/>
    </xf>
    <xf numFmtId="0" fontId="2" fillId="0" borderId="37" xfId="1" applyBorder="1" applyAlignment="1">
      <alignment horizontal="center" vertical="center"/>
    </xf>
    <xf numFmtId="0" fontId="7" fillId="0" borderId="38" xfId="1" applyFont="1" applyFill="1" applyBorder="1" applyProtection="1">
      <protection locked="0"/>
    </xf>
    <xf numFmtId="0" fontId="2" fillId="2" borderId="53" xfId="1" applyFill="1" applyBorder="1" applyAlignment="1">
      <alignment horizontal="center"/>
    </xf>
    <xf numFmtId="0" fontId="7" fillId="0" borderId="54" xfId="1" applyFont="1" applyFill="1" applyBorder="1" applyAlignment="1" applyProtection="1">
      <alignment horizontal="left"/>
      <protection locked="0"/>
    </xf>
    <xf numFmtId="0" fontId="2" fillId="0" borderId="54" xfId="1" applyBorder="1" applyAlignment="1">
      <alignment horizontal="center" vertical="center"/>
    </xf>
    <xf numFmtId="0" fontId="13" fillId="2" borderId="0" xfId="1" applyFont="1" applyFill="1"/>
    <xf numFmtId="0" fontId="2" fillId="0" borderId="0" xfId="1" applyFill="1" applyProtection="1">
      <protection hidden="1"/>
    </xf>
    <xf numFmtId="0" fontId="2" fillId="7" borderId="0" xfId="1" applyFill="1" applyProtection="1">
      <protection hidden="1"/>
    </xf>
    <xf numFmtId="0" fontId="2" fillId="7" borderId="0" xfId="1" applyFill="1" applyAlignment="1" applyProtection="1">
      <alignment horizontal="left"/>
      <protection hidden="1"/>
    </xf>
    <xf numFmtId="0" fontId="2" fillId="0" borderId="0" xfId="1" applyFill="1" applyAlignment="1" applyProtection="1">
      <alignment wrapText="1"/>
      <protection hidden="1"/>
    </xf>
    <xf numFmtId="0" fontId="2" fillId="0" borderId="0" xfId="1" applyFill="1" applyAlignment="1" applyProtection="1">
      <alignment horizontal="left"/>
      <protection hidden="1"/>
    </xf>
    <xf numFmtId="0" fontId="2" fillId="0" borderId="0" xfId="1" applyAlignment="1" applyProtection="1">
      <alignment horizontal="left"/>
    </xf>
    <xf numFmtId="0" fontId="2" fillId="0" borderId="0" xfId="1" applyAlignment="1" applyProtection="1">
      <alignment horizontal="center"/>
      <protection locked="0"/>
    </xf>
    <xf numFmtId="0" fontId="2" fillId="0" borderId="0" xfId="1" applyProtection="1">
      <protection hidden="1"/>
    </xf>
    <xf numFmtId="0" fontId="2" fillId="0" borderId="0" xfId="1" applyAlignment="1">
      <alignment horizontal="center"/>
    </xf>
    <xf numFmtId="0" fontId="3" fillId="0" borderId="0" xfId="1" applyFont="1"/>
    <xf numFmtId="0" fontId="3" fillId="0" borderId="0" xfId="1" applyFont="1" applyProtection="1">
      <protection hidden="1"/>
    </xf>
    <xf numFmtId="0" fontId="2" fillId="0" borderId="0" xfId="1" applyAlignment="1" applyProtection="1">
      <alignment horizontal="center"/>
      <protection hidden="1"/>
    </xf>
    <xf numFmtId="0" fontId="14" fillId="0" borderId="0" xfId="1" applyFont="1"/>
    <xf numFmtId="2" fontId="14" fillId="0" borderId="0" xfId="1" applyNumberFormat="1" applyFont="1"/>
    <xf numFmtId="2" fontId="2" fillId="0" borderId="0" xfId="1" applyNumberFormat="1"/>
    <xf numFmtId="2" fontId="2" fillId="0" borderId="0" xfId="1" applyNumberFormat="1" applyAlignment="1" applyProtection="1">
      <alignment horizontal="left"/>
    </xf>
    <xf numFmtId="2" fontId="2" fillId="0" borderId="0" xfId="1" applyNumberFormat="1" applyAlignment="1" applyProtection="1">
      <alignment horizontal="center"/>
      <protection locked="0"/>
    </xf>
    <xf numFmtId="2" fontId="2" fillId="0" borderId="0" xfId="1" applyNumberFormat="1" applyProtection="1">
      <protection hidden="1"/>
    </xf>
    <xf numFmtId="2" fontId="2" fillId="0" borderId="0" xfId="1" applyNumberFormat="1" applyAlignment="1" applyProtection="1">
      <alignment horizontal="center"/>
      <protection hidden="1"/>
    </xf>
    <xf numFmtId="1" fontId="14" fillId="0" borderId="0" xfId="1" applyNumberFormat="1" applyFont="1"/>
    <xf numFmtId="1" fontId="2" fillId="0" borderId="0" xfId="1" applyNumberFormat="1"/>
    <xf numFmtId="1" fontId="2" fillId="0" borderId="0" xfId="1" applyNumberFormat="1" applyAlignment="1" applyProtection="1">
      <alignment horizontal="left"/>
    </xf>
    <xf numFmtId="1" fontId="2" fillId="0" borderId="0" xfId="1" applyNumberFormat="1" applyAlignment="1" applyProtection="1">
      <alignment horizontal="center"/>
      <protection locked="0"/>
    </xf>
    <xf numFmtId="1" fontId="2" fillId="0" borderId="0" xfId="1" applyNumberFormat="1" applyProtection="1">
      <protection hidden="1"/>
    </xf>
    <xf numFmtId="1" fontId="2" fillId="0" borderId="0" xfId="1" applyNumberFormat="1" applyAlignment="1" applyProtection="1">
      <alignment horizontal="center"/>
      <protection hidden="1"/>
    </xf>
    <xf numFmtId="0" fontId="2" fillId="0" borderId="0" xfId="1" applyAlignment="1" applyProtection="1">
      <alignment horizontal="left"/>
    </xf>
    <xf numFmtId="0" fontId="2" fillId="0" borderId="0" xfId="1" applyAlignment="1" applyProtection="1">
      <alignment horizontal="center"/>
      <protection locked="0"/>
    </xf>
    <xf numFmtId="0" fontId="2" fillId="0" borderId="45" xfId="1" applyBorder="1" applyProtection="1">
      <protection locked="0"/>
    </xf>
    <xf numFmtId="0" fontId="2" fillId="0" borderId="11" xfId="1" applyBorder="1" applyProtection="1">
      <protection locked="0"/>
    </xf>
    <xf numFmtId="0" fontId="2" fillId="0" borderId="0" xfId="1" applyFill="1" applyProtection="1">
      <protection locked="0"/>
    </xf>
    <xf numFmtId="0" fontId="16" fillId="0" borderId="0" xfId="1" applyFont="1" applyFill="1" applyBorder="1" applyAlignment="1">
      <alignment horizontal="center"/>
    </xf>
    <xf numFmtId="0" fontId="2" fillId="0" borderId="0" xfId="1" applyFont="1" applyAlignment="1">
      <alignment horizontal="left"/>
    </xf>
    <xf numFmtId="0" fontId="10" fillId="0" borderId="0" xfId="1" applyFont="1"/>
    <xf numFmtId="0" fontId="2" fillId="0" borderId="0" xfId="1" applyBorder="1"/>
    <xf numFmtId="0" fontId="2" fillId="0" borderId="0" xfId="1" applyBorder="1" applyAlignment="1">
      <alignment horizontal="center"/>
    </xf>
    <xf numFmtId="0" fontId="2" fillId="0" borderId="45" xfId="1" applyBorder="1"/>
    <xf numFmtId="0" fontId="10" fillId="0" borderId="0" xfId="1" applyFont="1" applyBorder="1" applyAlignment="1" applyProtection="1">
      <alignment horizontal="center"/>
      <protection locked="0"/>
    </xf>
    <xf numFmtId="0" fontId="2" fillId="0" borderId="46" xfId="1" applyBorder="1"/>
    <xf numFmtId="0" fontId="2" fillId="0" borderId="0" xfId="1" applyBorder="1" applyAlignment="1" applyProtection="1">
      <protection locked="0"/>
    </xf>
    <xf numFmtId="0" fontId="2" fillId="0" borderId="27" xfId="1" applyBorder="1" applyAlignment="1" applyProtection="1">
      <alignment horizontal="left"/>
      <protection locked="0"/>
    </xf>
    <xf numFmtId="0" fontId="2" fillId="0" borderId="28" xfId="1" applyBorder="1" applyAlignment="1" applyProtection="1">
      <alignment horizontal="left"/>
      <protection locked="0"/>
    </xf>
    <xf numFmtId="0" fontId="2" fillId="0" borderId="29" xfId="1" applyBorder="1" applyAlignment="1" applyProtection="1">
      <alignment horizontal="left"/>
      <protection locked="0"/>
    </xf>
    <xf numFmtId="0" fontId="2" fillId="0" borderId="45" xfId="1" applyBorder="1" applyAlignment="1" applyProtection="1">
      <alignment horizontal="left"/>
      <protection locked="0"/>
    </xf>
    <xf numFmtId="0" fontId="2" fillId="0" borderId="0" xfId="1" applyBorder="1" applyAlignment="1" applyProtection="1">
      <alignment horizontal="left"/>
      <protection locked="0"/>
    </xf>
    <xf numFmtId="0" fontId="2" fillId="0" borderId="0" xfId="1" applyBorder="1" applyProtection="1">
      <protection locked="0"/>
    </xf>
    <xf numFmtId="0" fontId="16" fillId="0" borderId="0" xfId="1" applyFont="1" applyBorder="1" applyAlignment="1" applyProtection="1">
      <protection locked="0"/>
    </xf>
    <xf numFmtId="0" fontId="10" fillId="0" borderId="0" xfId="1" applyFont="1" applyBorder="1" applyAlignment="1" applyProtection="1">
      <protection locked="0"/>
    </xf>
    <xf numFmtId="0" fontId="2" fillId="0" borderId="0" xfId="1" applyBorder="1" applyAlignment="1" applyProtection="1">
      <alignment horizontal="center"/>
      <protection locked="0"/>
    </xf>
    <xf numFmtId="0" fontId="2" fillId="0" borderId="0" xfId="1" applyBorder="1" applyAlignment="1"/>
    <xf numFmtId="0" fontId="2" fillId="0" borderId="46" xfId="1" applyBorder="1" applyAlignment="1"/>
    <xf numFmtId="0" fontId="2" fillId="0" borderId="45" xfId="1" applyBorder="1" applyAlignment="1" applyProtection="1">
      <alignment horizontal="center"/>
      <protection locked="0"/>
    </xf>
    <xf numFmtId="0" fontId="2" fillId="0" borderId="11" xfId="1" applyBorder="1" applyAlignment="1" applyProtection="1">
      <alignment horizontal="left"/>
      <protection locked="0"/>
    </xf>
    <xf numFmtId="0" fontId="2" fillId="0" borderId="1" xfId="1" applyBorder="1" applyAlignment="1" applyProtection="1">
      <alignment horizontal="left"/>
      <protection locked="0"/>
    </xf>
    <xf numFmtId="0" fontId="2" fillId="0" borderId="12" xfId="1" applyBorder="1" applyAlignment="1" applyProtection="1">
      <alignment horizontal="left"/>
      <protection locked="0"/>
    </xf>
    <xf numFmtId="0" fontId="5" fillId="0" borderId="0" xfId="1" applyFont="1" applyAlignment="1" applyProtection="1">
      <alignment horizontal="center"/>
      <protection locked="0"/>
    </xf>
    <xf numFmtId="0" fontId="5" fillId="0" borderId="0" xfId="1" applyFont="1" applyAlignment="1">
      <alignment horizontal="center"/>
    </xf>
    <xf numFmtId="0" fontId="2" fillId="0" borderId="10" xfId="1" applyBorder="1" applyAlignment="1">
      <alignment horizontal="center"/>
    </xf>
    <xf numFmtId="0" fontId="2" fillId="0" borderId="0" xfId="1" applyFill="1" applyBorder="1"/>
    <xf numFmtId="0" fontId="3" fillId="3" borderId="18" xfId="1" applyFont="1" applyFill="1" applyBorder="1" applyAlignment="1" applyProtection="1">
      <alignment horizontal="right"/>
      <protection locked="0"/>
    </xf>
    <xf numFmtId="0" fontId="3" fillId="2" borderId="37" xfId="1" applyFont="1" applyFill="1" applyBorder="1" applyAlignment="1">
      <alignment horizontal="center"/>
    </xf>
    <xf numFmtId="0" fontId="3" fillId="3" borderId="37" xfId="1" applyFont="1" applyFill="1" applyBorder="1" applyAlignment="1" applyProtection="1">
      <alignment horizontal="left"/>
      <protection locked="0"/>
    </xf>
    <xf numFmtId="0" fontId="3" fillId="3" borderId="37" xfId="1" applyFont="1" applyFill="1" applyBorder="1" applyProtection="1">
      <protection locked="0"/>
    </xf>
    <xf numFmtId="0" fontId="3" fillId="3" borderId="37" xfId="1" applyFont="1" applyFill="1" applyBorder="1" applyProtection="1"/>
    <xf numFmtId="0" fontId="3" fillId="2" borderId="37" xfId="1" applyFont="1" applyFill="1" applyBorder="1" applyAlignment="1" applyProtection="1">
      <alignment horizontal="center"/>
    </xf>
    <xf numFmtId="0" fontId="3" fillId="3" borderId="19" xfId="1" applyFont="1" applyFill="1" applyBorder="1" applyAlignment="1" applyProtection="1">
      <alignment horizontal="left"/>
    </xf>
    <xf numFmtId="0" fontId="3" fillId="3" borderId="56" xfId="1" applyFont="1" applyFill="1" applyBorder="1" applyAlignment="1" applyProtection="1">
      <alignment horizontal="right"/>
      <protection locked="0"/>
    </xf>
    <xf numFmtId="0" fontId="3" fillId="2" borderId="53" xfId="1" applyFont="1" applyFill="1" applyBorder="1" applyAlignment="1">
      <alignment horizontal="center"/>
    </xf>
    <xf numFmtId="0" fontId="3" fillId="3" borderId="53" xfId="1" applyFont="1" applyFill="1" applyBorder="1" applyAlignment="1" applyProtection="1">
      <alignment horizontal="left"/>
      <protection locked="0"/>
    </xf>
    <xf numFmtId="0" fontId="3" fillId="0" borderId="27" xfId="1" applyFont="1" applyFill="1" applyBorder="1" applyAlignment="1">
      <alignment horizontal="center"/>
    </xf>
    <xf numFmtId="0" fontId="3" fillId="0" borderId="28" xfId="1" applyFont="1" applyFill="1" applyBorder="1" applyAlignment="1">
      <alignment horizontal="center"/>
    </xf>
    <xf numFmtId="0" fontId="3" fillId="0" borderId="29" xfId="1" applyFont="1" applyFill="1" applyBorder="1" applyAlignment="1">
      <alignment horizontal="center"/>
    </xf>
    <xf numFmtId="0" fontId="3" fillId="0" borderId="2" xfId="1" applyFont="1" applyFill="1" applyBorder="1" applyAlignment="1">
      <alignment horizontal="center"/>
    </xf>
    <xf numFmtId="0" fontId="3" fillId="0" borderId="4" xfId="1" applyFont="1" applyFill="1" applyBorder="1" applyAlignment="1">
      <alignment horizontal="center"/>
    </xf>
    <xf numFmtId="0" fontId="2" fillId="0" borderId="56" xfId="1" applyFill="1" applyBorder="1" applyProtection="1">
      <protection locked="0"/>
    </xf>
    <xf numFmtId="0" fontId="2" fillId="0" borderId="54" xfId="1" applyFill="1" applyBorder="1" applyAlignment="1" applyProtection="1">
      <alignment horizontal="left"/>
      <protection locked="0"/>
    </xf>
    <xf numFmtId="0" fontId="2" fillId="0" borderId="38" xfId="1" applyFill="1" applyBorder="1" applyProtection="1">
      <protection locked="0"/>
    </xf>
    <xf numFmtId="0" fontId="2" fillId="0" borderId="57" xfId="1" applyFill="1" applyBorder="1" applyAlignment="1" applyProtection="1">
      <alignment horizontal="left"/>
      <protection locked="0"/>
    </xf>
    <xf numFmtId="0" fontId="2" fillId="0" borderId="0" xfId="1" applyFill="1" applyBorder="1" applyAlignment="1"/>
    <xf numFmtId="0" fontId="2" fillId="0" borderId="31" xfId="1" applyFill="1" applyBorder="1" applyProtection="1">
      <protection locked="0"/>
    </xf>
    <xf numFmtId="0" fontId="2" fillId="2" borderId="32" xfId="1" applyFill="1" applyBorder="1" applyAlignment="1">
      <alignment horizontal="center"/>
    </xf>
    <xf numFmtId="0" fontId="2" fillId="0" borderId="33" xfId="1" applyFill="1" applyBorder="1" applyAlignment="1" applyProtection="1">
      <alignment horizontal="left"/>
      <protection locked="0"/>
    </xf>
    <xf numFmtId="0" fontId="2" fillId="0" borderId="58" xfId="1" applyFill="1" applyBorder="1" applyProtection="1">
      <protection locked="0"/>
    </xf>
    <xf numFmtId="0" fontId="2" fillId="0" borderId="59" xfId="1" applyFill="1" applyBorder="1" applyAlignment="1" applyProtection="1">
      <alignment horizontal="left"/>
      <protection locked="0"/>
    </xf>
    <xf numFmtId="0" fontId="2" fillId="0" borderId="0" xfId="1" applyFill="1" applyBorder="1" applyAlignment="1">
      <alignment horizontal="center"/>
    </xf>
    <xf numFmtId="0" fontId="2" fillId="0" borderId="0" xfId="1" applyFill="1" applyAlignment="1" applyProtection="1">
      <alignment horizontal="center"/>
      <protection hidden="1"/>
    </xf>
    <xf numFmtId="0" fontId="2" fillId="0" borderId="0" xfId="1" applyAlignment="1"/>
    <xf numFmtId="0" fontId="2" fillId="0" borderId="0" xfId="1" applyAlignment="1">
      <alignment horizontal="center"/>
    </xf>
    <xf numFmtId="0" fontId="2" fillId="0" borderId="0" xfId="1" applyBorder="1" applyAlignment="1">
      <alignment horizontal="center"/>
    </xf>
    <xf numFmtId="1" fontId="2" fillId="0" borderId="0" xfId="1" applyNumberFormat="1" applyAlignment="1">
      <alignment horizontal="center"/>
    </xf>
    <xf numFmtId="0" fontId="2" fillId="0" borderId="0" xfId="1" applyBorder="1" applyAlignment="1">
      <alignment horizontal="center"/>
    </xf>
    <xf numFmtId="0" fontId="2" fillId="2" borderId="0" xfId="1" applyFill="1" applyBorder="1" applyAlignment="1">
      <alignment horizontal="center"/>
    </xf>
    <xf numFmtId="0" fontId="2" fillId="2" borderId="46" xfId="1" applyFill="1" applyBorder="1" applyAlignment="1">
      <alignment horizontal="center"/>
    </xf>
    <xf numFmtId="0" fontId="18" fillId="6" borderId="27" xfId="1" applyFont="1" applyFill="1" applyBorder="1" applyAlignment="1" applyProtection="1">
      <alignment horizontal="center" vertical="center"/>
    </xf>
    <xf numFmtId="0" fontId="18" fillId="6" borderId="28" xfId="1" applyFont="1" applyFill="1" applyBorder="1" applyAlignment="1" applyProtection="1">
      <alignment horizontal="center" vertical="center"/>
    </xf>
    <xf numFmtId="0" fontId="18" fillId="6" borderId="29" xfId="1" applyFont="1" applyFill="1" applyBorder="1" applyAlignment="1" applyProtection="1">
      <alignment horizontal="center" vertical="center"/>
    </xf>
    <xf numFmtId="0" fontId="18" fillId="6" borderId="45" xfId="1" applyFont="1" applyFill="1" applyBorder="1" applyAlignment="1" applyProtection="1">
      <alignment horizontal="center" vertical="center"/>
    </xf>
    <xf numFmtId="0" fontId="18" fillId="6" borderId="0" xfId="1" applyFont="1" applyFill="1" applyBorder="1" applyAlignment="1" applyProtection="1">
      <alignment horizontal="center" vertical="center"/>
    </xf>
    <xf numFmtId="0" fontId="18" fillId="6" borderId="46" xfId="1" applyFont="1" applyFill="1" applyBorder="1" applyAlignment="1" applyProtection="1">
      <alignment horizontal="center" vertical="center"/>
    </xf>
    <xf numFmtId="0" fontId="18" fillId="6" borderId="11" xfId="1" applyFont="1" applyFill="1" applyBorder="1" applyAlignment="1" applyProtection="1">
      <alignment horizontal="center" vertical="center"/>
    </xf>
    <xf numFmtId="0" fontId="18" fillId="6" borderId="1" xfId="1" applyFont="1" applyFill="1" applyBorder="1" applyAlignment="1" applyProtection="1">
      <alignment horizontal="center" vertical="center"/>
    </xf>
    <xf numFmtId="0" fontId="18" fillId="6" borderId="12" xfId="1" applyFont="1" applyFill="1" applyBorder="1" applyAlignment="1" applyProtection="1">
      <alignment horizontal="center" vertical="center"/>
    </xf>
    <xf numFmtId="0" fontId="2" fillId="0" borderId="0" xfId="1" applyAlignment="1">
      <alignment horizontal="center"/>
    </xf>
    <xf numFmtId="2" fontId="2" fillId="0" borderId="0" xfId="1" applyNumberFormat="1" applyAlignment="1">
      <alignment horizontal="center"/>
    </xf>
    <xf numFmtId="0" fontId="3" fillId="7" borderId="38" xfId="1" applyFont="1" applyFill="1" applyBorder="1" applyAlignment="1">
      <alignment horizontal="center"/>
    </xf>
    <xf numFmtId="0" fontId="3" fillId="7" borderId="53" xfId="1" applyFont="1" applyFill="1" applyBorder="1" applyAlignment="1">
      <alignment horizontal="center"/>
    </xf>
    <xf numFmtId="0" fontId="3" fillId="7" borderId="57" xfId="1" applyFont="1" applyFill="1" applyBorder="1" applyAlignment="1">
      <alignment horizontal="center"/>
    </xf>
    <xf numFmtId="0" fontId="3" fillId="0" borderId="2" xfId="1" applyFont="1" applyFill="1" applyBorder="1" applyAlignment="1">
      <alignment horizontal="center"/>
    </xf>
    <xf numFmtId="0" fontId="3" fillId="0" borderId="3" xfId="1" applyFont="1" applyFill="1" applyBorder="1" applyAlignment="1">
      <alignment horizontal="center"/>
    </xf>
    <xf numFmtId="0" fontId="3" fillId="0" borderId="4" xfId="1" applyFont="1" applyFill="1" applyBorder="1" applyAlignment="1">
      <alignment horizontal="center"/>
    </xf>
    <xf numFmtId="0" fontId="3" fillId="7" borderId="56" xfId="1" applyFont="1" applyFill="1" applyBorder="1" applyAlignment="1">
      <alignment horizontal="center"/>
    </xf>
    <xf numFmtId="0" fontId="3" fillId="7" borderId="54" xfId="1" applyFont="1" applyFill="1" applyBorder="1" applyAlignment="1">
      <alignment horizontal="center"/>
    </xf>
    <xf numFmtId="20" fontId="2" fillId="0" borderId="25" xfId="1" applyNumberFormat="1" applyFill="1" applyBorder="1" applyAlignment="1" applyProtection="1">
      <alignment horizontal="center"/>
      <protection locked="0"/>
    </xf>
    <xf numFmtId="0" fontId="2" fillId="0" borderId="23" xfId="1" applyFill="1" applyBorder="1" applyAlignment="1" applyProtection="1">
      <alignment horizontal="center"/>
      <protection locked="0"/>
    </xf>
    <xf numFmtId="0" fontId="2" fillId="0" borderId="24" xfId="1" applyFill="1" applyBorder="1" applyAlignment="1" applyProtection="1">
      <alignment horizontal="center"/>
      <protection locked="0"/>
    </xf>
    <xf numFmtId="0" fontId="2" fillId="0" borderId="26" xfId="1" applyFill="1" applyBorder="1" applyAlignment="1" applyProtection="1">
      <alignment horizontal="center"/>
      <protection locked="0"/>
    </xf>
    <xf numFmtId="0" fontId="17" fillId="5" borderId="27" xfId="1" applyFont="1" applyFill="1" applyBorder="1" applyAlignment="1" applyProtection="1">
      <alignment horizontal="center" vertical="center" wrapText="1"/>
    </xf>
    <xf numFmtId="0" fontId="17" fillId="5" borderId="28" xfId="1" applyFont="1" applyFill="1" applyBorder="1" applyAlignment="1" applyProtection="1">
      <alignment horizontal="center" vertical="center" wrapText="1"/>
    </xf>
    <xf numFmtId="0" fontId="17" fillId="5" borderId="29" xfId="1" applyFont="1" applyFill="1" applyBorder="1" applyAlignment="1" applyProtection="1">
      <alignment horizontal="center" vertical="center" wrapText="1"/>
    </xf>
    <xf numFmtId="0" fontId="17" fillId="5" borderId="45" xfId="1" applyFont="1" applyFill="1" applyBorder="1" applyAlignment="1" applyProtection="1">
      <alignment horizontal="center" vertical="center" wrapText="1"/>
    </xf>
    <xf numFmtId="0" fontId="17" fillId="5" borderId="0" xfId="1" applyFont="1" applyFill="1" applyBorder="1" applyAlignment="1" applyProtection="1">
      <alignment horizontal="center" vertical="center" wrapText="1"/>
    </xf>
    <xf numFmtId="0" fontId="17" fillId="5" borderId="46" xfId="1" applyFont="1" applyFill="1" applyBorder="1" applyAlignment="1" applyProtection="1">
      <alignment horizontal="center" vertical="center" wrapText="1"/>
    </xf>
    <xf numFmtId="0" fontId="17" fillId="5" borderId="11" xfId="1" applyFont="1" applyFill="1" applyBorder="1" applyAlignment="1" applyProtection="1">
      <alignment horizontal="center" vertical="center" wrapText="1"/>
    </xf>
    <xf numFmtId="0" fontId="17" fillId="5" borderId="1" xfId="1" applyFont="1" applyFill="1" applyBorder="1" applyAlignment="1" applyProtection="1">
      <alignment horizontal="center" vertical="center" wrapText="1"/>
    </xf>
    <xf numFmtId="0" fontId="17" fillId="5" borderId="12" xfId="1" applyFont="1" applyFill="1" applyBorder="1" applyAlignment="1" applyProtection="1">
      <alignment horizontal="center" vertical="center" wrapText="1"/>
    </xf>
    <xf numFmtId="1" fontId="2" fillId="0" borderId="56" xfId="1" applyNumberFormat="1" applyFill="1" applyBorder="1" applyAlignment="1" applyProtection="1">
      <alignment horizontal="center"/>
      <protection locked="0"/>
    </xf>
    <xf numFmtId="1" fontId="2" fillId="0" borderId="53" xfId="1" applyNumberFormat="1" applyFill="1" applyBorder="1" applyAlignment="1" applyProtection="1">
      <alignment horizontal="center"/>
      <protection locked="0"/>
    </xf>
    <xf numFmtId="1" fontId="2" fillId="0" borderId="54" xfId="1" applyNumberFormat="1" applyFill="1" applyBorder="1" applyAlignment="1" applyProtection="1">
      <alignment horizontal="center"/>
      <protection locked="0"/>
    </xf>
    <xf numFmtId="1" fontId="2" fillId="0" borderId="38" xfId="1" applyNumberFormat="1" applyFill="1" applyBorder="1" applyAlignment="1" applyProtection="1">
      <alignment horizontal="center"/>
      <protection locked="0"/>
    </xf>
    <xf numFmtId="1" fontId="2" fillId="0" borderId="57" xfId="1" applyNumberFormat="1" applyFill="1" applyBorder="1" applyAlignment="1" applyProtection="1">
      <alignment horizontal="center"/>
      <protection locked="0"/>
    </xf>
    <xf numFmtId="0" fontId="10" fillId="0" borderId="0" xfId="1" applyFont="1" applyAlignment="1">
      <alignment horizontal="center"/>
    </xf>
    <xf numFmtId="0" fontId="10" fillId="0" borderId="46" xfId="1" applyFont="1" applyBorder="1" applyAlignment="1">
      <alignment horizontal="center"/>
    </xf>
    <xf numFmtId="0" fontId="2" fillId="0" borderId="2" xfId="1" applyBorder="1" applyAlignment="1" applyProtection="1">
      <alignment horizontal="center" shrinkToFit="1"/>
    </xf>
    <xf numFmtId="0" fontId="2" fillId="0" borderId="3" xfId="1" applyBorder="1" applyAlignment="1" applyProtection="1">
      <alignment horizontal="center" shrinkToFit="1"/>
    </xf>
    <xf numFmtId="0" fontId="2" fillId="0" borderId="4" xfId="1" applyBorder="1" applyAlignment="1" applyProtection="1">
      <alignment horizontal="center" shrinkToFit="1"/>
    </xf>
    <xf numFmtId="0" fontId="2" fillId="0" borderId="2" xfId="1" applyBorder="1" applyAlignment="1" applyProtection="1">
      <alignment horizontal="center"/>
    </xf>
    <xf numFmtId="0" fontId="2" fillId="0" borderId="3" xfId="1" applyBorder="1" applyAlignment="1" applyProtection="1">
      <alignment horizontal="center"/>
    </xf>
    <xf numFmtId="0" fontId="2" fillId="0" borderId="4" xfId="1" applyBorder="1" applyAlignment="1" applyProtection="1">
      <alignment horizontal="center"/>
    </xf>
    <xf numFmtId="0" fontId="2" fillId="0" borderId="2" xfId="1" applyBorder="1" applyAlignment="1">
      <alignment horizontal="center"/>
    </xf>
    <xf numFmtId="0" fontId="2" fillId="0" borderId="3" xfId="1" applyBorder="1" applyAlignment="1">
      <alignment horizontal="center"/>
    </xf>
    <xf numFmtId="0" fontId="2" fillId="0" borderId="4" xfId="1" applyBorder="1" applyAlignment="1">
      <alignment horizontal="center"/>
    </xf>
    <xf numFmtId="20" fontId="2" fillId="0" borderId="22" xfId="1" applyNumberFormat="1" applyFill="1" applyBorder="1" applyAlignment="1" applyProtection="1">
      <alignment horizontal="center"/>
      <protection locked="0"/>
    </xf>
    <xf numFmtId="0" fontId="2" fillId="5" borderId="28" xfId="1" applyFill="1" applyBorder="1" applyAlignment="1" applyProtection="1">
      <alignment vertical="center"/>
    </xf>
    <xf numFmtId="0" fontId="2" fillId="5" borderId="29" xfId="1" applyFill="1" applyBorder="1" applyAlignment="1" applyProtection="1">
      <alignment vertical="center"/>
    </xf>
    <xf numFmtId="0" fontId="2" fillId="5" borderId="45" xfId="1" applyFill="1" applyBorder="1" applyAlignment="1" applyProtection="1">
      <alignment vertical="center"/>
    </xf>
    <xf numFmtId="0" fontId="2" fillId="5" borderId="0" xfId="1" applyFill="1" applyAlignment="1" applyProtection="1">
      <alignment vertical="center"/>
    </xf>
    <xf numFmtId="0" fontId="2" fillId="5" borderId="46" xfId="1" applyFill="1" applyBorder="1" applyAlignment="1" applyProtection="1">
      <alignment vertical="center"/>
    </xf>
    <xf numFmtId="0" fontId="2" fillId="5" borderId="11" xfId="1" applyFill="1" applyBorder="1" applyAlignment="1" applyProtection="1">
      <alignment vertical="center"/>
    </xf>
    <xf numFmtId="0" fontId="2" fillId="5" borderId="1" xfId="1" applyFill="1" applyBorder="1" applyAlignment="1" applyProtection="1">
      <alignment vertical="center"/>
    </xf>
    <xf numFmtId="0" fontId="2" fillId="5" borderId="12" xfId="1" applyFill="1" applyBorder="1" applyAlignment="1" applyProtection="1">
      <alignment vertical="center"/>
    </xf>
    <xf numFmtId="0" fontId="2" fillId="15" borderId="2" xfId="1" applyFill="1" applyBorder="1" applyAlignment="1">
      <alignment horizontal="center"/>
    </xf>
    <xf numFmtId="0" fontId="2" fillId="15" borderId="3" xfId="1" applyFill="1" applyBorder="1" applyAlignment="1">
      <alignment horizontal="center"/>
    </xf>
    <xf numFmtId="0" fontId="2" fillId="15" borderId="4" xfId="1" applyFill="1" applyBorder="1" applyAlignment="1">
      <alignment horizontal="center"/>
    </xf>
    <xf numFmtId="0" fontId="2" fillId="12" borderId="2" xfId="1" applyFill="1" applyBorder="1" applyAlignment="1">
      <alignment horizontal="center"/>
    </xf>
    <xf numFmtId="0" fontId="2" fillId="12" borderId="3" xfId="1" applyFill="1" applyBorder="1" applyAlignment="1">
      <alignment horizontal="center"/>
    </xf>
    <xf numFmtId="0" fontId="2" fillId="12" borderId="4" xfId="1" applyFill="1" applyBorder="1" applyAlignment="1">
      <alignment horizontal="center"/>
    </xf>
    <xf numFmtId="0" fontId="2" fillId="0" borderId="1" xfId="1" applyBorder="1" applyAlignment="1">
      <alignment horizontal="center" shrinkToFit="1"/>
    </xf>
    <xf numFmtId="0" fontId="2" fillId="0" borderId="12" xfId="1" applyBorder="1" applyAlignment="1">
      <alignment horizontal="center" shrinkToFit="1"/>
    </xf>
    <xf numFmtId="0" fontId="10" fillId="0" borderId="28" xfId="1" applyFont="1" applyBorder="1" applyAlignment="1" applyProtection="1">
      <alignment horizontal="center" shrinkToFit="1"/>
      <protection locked="0"/>
    </xf>
    <xf numFmtId="0" fontId="10" fillId="0" borderId="0" xfId="1" applyFont="1" applyBorder="1" applyAlignment="1" applyProtection="1">
      <alignment horizontal="center" shrinkToFit="1"/>
      <protection locked="0"/>
    </xf>
    <xf numFmtId="0" fontId="5" fillId="0" borderId="0" xfId="1" applyFont="1" applyAlignment="1" applyProtection="1">
      <alignment horizontal="center"/>
      <protection locked="0"/>
    </xf>
    <xf numFmtId="0" fontId="2" fillId="0" borderId="11" xfId="1" applyBorder="1" applyAlignment="1" applyProtection="1">
      <alignment horizontal="left"/>
      <protection locked="0"/>
    </xf>
    <xf numFmtId="0" fontId="2" fillId="0" borderId="1" xfId="1" applyBorder="1" applyAlignment="1" applyProtection="1">
      <alignment horizontal="left"/>
      <protection locked="0"/>
    </xf>
    <xf numFmtId="0" fontId="2" fillId="0" borderId="12" xfId="1" applyBorder="1" applyAlignment="1" applyProtection="1">
      <alignment horizontal="left"/>
      <protection locked="0"/>
    </xf>
    <xf numFmtId="0" fontId="2" fillId="0" borderId="45" xfId="1" applyBorder="1" applyAlignment="1" applyProtection="1">
      <alignment horizontal="left"/>
      <protection locked="0"/>
    </xf>
    <xf numFmtId="0" fontId="2" fillId="0" borderId="0" xfId="1" applyBorder="1" applyAlignment="1" applyProtection="1">
      <alignment horizontal="left"/>
      <protection locked="0"/>
    </xf>
    <xf numFmtId="0" fontId="16" fillId="0" borderId="0" xfId="1" applyFont="1" applyBorder="1" applyAlignment="1" applyProtection="1">
      <alignment horizontal="center" shrinkToFit="1"/>
      <protection locked="0"/>
    </xf>
    <xf numFmtId="0" fontId="16" fillId="0" borderId="46" xfId="1" applyFont="1" applyBorder="1" applyAlignment="1" applyProtection="1">
      <alignment horizontal="center" shrinkToFit="1"/>
      <protection locked="0"/>
    </xf>
    <xf numFmtId="0" fontId="2" fillId="0" borderId="45" xfId="1" applyBorder="1" applyAlignment="1">
      <alignment horizontal="left" shrinkToFit="1"/>
    </xf>
    <xf numFmtId="0" fontId="2" fillId="0" borderId="0" xfId="1" applyBorder="1" applyAlignment="1">
      <alignment horizontal="left" shrinkToFit="1"/>
    </xf>
    <xf numFmtId="0" fontId="16" fillId="0" borderId="0" xfId="1" applyFont="1" applyBorder="1" applyAlignment="1" applyProtection="1">
      <alignment horizontal="center"/>
      <protection locked="0"/>
    </xf>
    <xf numFmtId="0" fontId="2" fillId="0" borderId="45" xfId="1" applyBorder="1" applyAlignment="1" applyProtection="1">
      <alignment horizontal="center"/>
      <protection locked="0"/>
    </xf>
    <xf numFmtId="0" fontId="2" fillId="0" borderId="0" xfId="1" applyBorder="1" applyAlignment="1" applyProtection="1">
      <alignment horizontal="center"/>
      <protection locked="0"/>
    </xf>
    <xf numFmtId="0" fontId="10" fillId="0" borderId="46" xfId="1" applyFont="1" applyBorder="1" applyAlignment="1" applyProtection="1">
      <alignment horizontal="center" shrinkToFit="1"/>
      <protection locked="0"/>
    </xf>
    <xf numFmtId="0" fontId="2" fillId="0" borderId="0" xfId="1" applyBorder="1" applyAlignment="1" applyProtection="1">
      <alignment horizontal="center" shrinkToFit="1"/>
      <protection locked="0"/>
    </xf>
    <xf numFmtId="0" fontId="2" fillId="0" borderId="11" xfId="1" applyBorder="1" applyAlignment="1" applyProtection="1">
      <alignment horizontal="center" shrinkToFit="1"/>
    </xf>
    <xf numFmtId="0" fontId="2" fillId="0" borderId="1" xfId="1" applyBorder="1" applyAlignment="1" applyProtection="1">
      <alignment horizontal="center" shrinkToFit="1"/>
    </xf>
    <xf numFmtId="0" fontId="16" fillId="0" borderId="46" xfId="1" applyFont="1" applyBorder="1" applyAlignment="1" applyProtection="1">
      <alignment horizontal="center"/>
      <protection locked="0"/>
    </xf>
    <xf numFmtId="0" fontId="2" fillId="0" borderId="27" xfId="1" applyBorder="1" applyAlignment="1" applyProtection="1">
      <alignment horizontal="center"/>
      <protection locked="0"/>
    </xf>
    <xf numFmtId="0" fontId="2" fillId="0" borderId="28" xfId="1" applyBorder="1" applyAlignment="1" applyProtection="1">
      <alignment horizontal="center"/>
      <protection locked="0"/>
    </xf>
    <xf numFmtId="0" fontId="10" fillId="0" borderId="0" xfId="1" applyFont="1" applyAlignment="1" applyProtection="1">
      <alignment horizontal="center" shrinkToFit="1"/>
      <protection locked="0"/>
    </xf>
    <xf numFmtId="0" fontId="2" fillId="0" borderId="46" xfId="1" applyBorder="1" applyAlignment="1" applyProtection="1">
      <alignment horizontal="center"/>
      <protection locked="0"/>
    </xf>
    <xf numFmtId="0" fontId="2" fillId="0" borderId="27" xfId="1" applyBorder="1" applyAlignment="1" applyProtection="1">
      <alignment horizontal="left"/>
      <protection locked="0"/>
    </xf>
    <xf numFmtId="0" fontId="2" fillId="0" borderId="28" xfId="1" applyBorder="1" applyAlignment="1" applyProtection="1">
      <alignment horizontal="left"/>
      <protection locked="0"/>
    </xf>
    <xf numFmtId="0" fontId="2" fillId="0" borderId="29" xfId="1" applyBorder="1" applyAlignment="1" applyProtection="1">
      <alignment horizontal="left"/>
      <protection locked="0"/>
    </xf>
    <xf numFmtId="0" fontId="16" fillId="0" borderId="0" xfId="1" applyFont="1" applyBorder="1" applyAlignment="1">
      <alignment horizontal="center"/>
    </xf>
    <xf numFmtId="0" fontId="5" fillId="0" borderId="0" xfId="1" applyFont="1" applyAlignment="1">
      <alignment horizontal="center"/>
    </xf>
    <xf numFmtId="0" fontId="6" fillId="0" borderId="0" xfId="1" applyFont="1" applyAlignment="1" applyProtection="1">
      <alignment horizontal="left"/>
      <protection locked="0"/>
    </xf>
    <xf numFmtId="0" fontId="2" fillId="0" borderId="0" xfId="1" applyFill="1" applyAlignment="1" applyProtection="1">
      <alignment horizontal="left"/>
      <protection locked="0"/>
    </xf>
    <xf numFmtId="0" fontId="3" fillId="14" borderId="0" xfId="1" applyFont="1" applyFill="1" applyAlignment="1">
      <alignment horizontal="center"/>
    </xf>
    <xf numFmtId="0" fontId="2" fillId="0" borderId="0" xfId="1" applyAlignment="1" applyProtection="1">
      <alignment horizontal="center"/>
      <protection locked="0"/>
    </xf>
    <xf numFmtId="0" fontId="16" fillId="0" borderId="16" xfId="1" applyFont="1" applyFill="1" applyBorder="1" applyAlignment="1">
      <alignment horizontal="center" shrinkToFit="1"/>
    </xf>
    <xf numFmtId="0" fontId="16" fillId="0" borderId="39" xfId="1" applyFont="1" applyFill="1" applyBorder="1" applyAlignment="1">
      <alignment horizontal="center" shrinkToFit="1"/>
    </xf>
    <xf numFmtId="0" fontId="16" fillId="0" borderId="39" xfId="1" applyFont="1" applyFill="1" applyBorder="1" applyAlignment="1">
      <alignment horizontal="center"/>
    </xf>
    <xf numFmtId="0" fontId="16" fillId="0" borderId="17" xfId="1" applyFont="1" applyFill="1" applyBorder="1" applyAlignment="1">
      <alignment horizontal="center"/>
    </xf>
    <xf numFmtId="0" fontId="16" fillId="0" borderId="35" xfId="1" applyFont="1" applyFill="1" applyBorder="1" applyAlignment="1">
      <alignment horizontal="center" shrinkToFit="1"/>
    </xf>
    <xf numFmtId="0" fontId="16" fillId="0" borderId="36" xfId="1" applyFont="1" applyFill="1" applyBorder="1" applyAlignment="1">
      <alignment horizontal="center" shrinkToFit="1"/>
    </xf>
    <xf numFmtId="0" fontId="16" fillId="0" borderId="36" xfId="1" applyFont="1" applyFill="1" applyBorder="1" applyAlignment="1">
      <alignment horizontal="center"/>
    </xf>
    <xf numFmtId="0" fontId="16" fillId="0" borderId="55" xfId="1" applyFont="1" applyFill="1" applyBorder="1" applyAlignment="1">
      <alignment horizontal="center"/>
    </xf>
    <xf numFmtId="0" fontId="2" fillId="3" borderId="2" xfId="1" applyFill="1" applyBorder="1" applyAlignment="1">
      <alignment horizontal="center"/>
    </xf>
    <xf numFmtId="0" fontId="2" fillId="3" borderId="3" xfId="1" applyFill="1" applyBorder="1" applyAlignment="1">
      <alignment horizontal="center"/>
    </xf>
    <xf numFmtId="0" fontId="2" fillId="3" borderId="4" xfId="1" applyFill="1" applyBorder="1" applyAlignment="1">
      <alignment horizontal="center"/>
    </xf>
    <xf numFmtId="0" fontId="15" fillId="0" borderId="0" xfId="1" applyFont="1" applyAlignment="1">
      <alignment horizontal="center"/>
    </xf>
    <xf numFmtId="0" fontId="10" fillId="12" borderId="21" xfId="1" applyFont="1" applyFill="1" applyBorder="1" applyAlignment="1">
      <alignment horizontal="center" wrapText="1"/>
    </xf>
    <xf numFmtId="0" fontId="10" fillId="12" borderId="30" xfId="1" applyFont="1" applyFill="1" applyBorder="1" applyAlignment="1">
      <alignment horizontal="center" wrapText="1"/>
    </xf>
    <xf numFmtId="0" fontId="2" fillId="13" borderId="2" xfId="1" applyFill="1" applyBorder="1" applyAlignment="1">
      <alignment horizontal="center"/>
    </xf>
    <xf numFmtId="0" fontId="2" fillId="13" borderId="3" xfId="1" applyFill="1" applyBorder="1" applyAlignment="1">
      <alignment horizontal="center"/>
    </xf>
    <xf numFmtId="0" fontId="2" fillId="13" borderId="4" xfId="1" applyFill="1" applyBorder="1" applyAlignment="1">
      <alignment horizontal="center"/>
    </xf>
    <xf numFmtId="0" fontId="5" fillId="7" borderId="38" xfId="1" applyFont="1" applyFill="1" applyBorder="1" applyAlignment="1" applyProtection="1">
      <alignment horizontal="center"/>
      <protection locked="0"/>
    </xf>
    <xf numFmtId="0" fontId="5" fillId="7" borderId="53" xfId="1" applyFont="1" applyFill="1" applyBorder="1" applyAlignment="1" applyProtection="1">
      <alignment horizontal="center"/>
      <protection locked="0"/>
    </xf>
    <xf numFmtId="0" fontId="5" fillId="7" borderId="54" xfId="1" applyFont="1" applyFill="1" applyBorder="1" applyAlignment="1" applyProtection="1">
      <alignment horizontal="center"/>
      <protection locked="0"/>
    </xf>
    <xf numFmtId="0" fontId="2" fillId="0" borderId="0" xfId="1" applyFill="1" applyAlignment="1" applyProtection="1">
      <alignment horizontal="center" wrapText="1"/>
      <protection hidden="1"/>
    </xf>
    <xf numFmtId="0" fontId="2" fillId="0" borderId="0" xfId="1" applyAlignment="1" applyProtection="1">
      <alignment horizontal="left"/>
    </xf>
    <xf numFmtId="0" fontId="2" fillId="0" borderId="0" xfId="1" applyAlignment="1" applyProtection="1">
      <alignment horizontal="left"/>
      <protection locked="0"/>
    </xf>
    <xf numFmtId="20" fontId="2" fillId="0" borderId="38" xfId="1" applyNumberFormat="1" applyFill="1" applyBorder="1" applyAlignment="1" applyProtection="1">
      <alignment horizontal="center"/>
      <protection locked="0"/>
    </xf>
    <xf numFmtId="20" fontId="2" fillId="0" borderId="53" xfId="1" applyNumberFormat="1" applyFill="1" applyBorder="1" applyAlignment="1" applyProtection="1">
      <alignment horizontal="center"/>
      <protection locked="0"/>
    </xf>
    <xf numFmtId="20" fontId="2" fillId="0" borderId="54" xfId="1" applyNumberFormat="1" applyFill="1" applyBorder="1" applyAlignment="1" applyProtection="1">
      <alignment horizontal="center"/>
      <protection locked="0"/>
    </xf>
    <xf numFmtId="20" fontId="2" fillId="0" borderId="50" xfId="1" applyNumberFormat="1" applyFill="1" applyBorder="1" applyAlignment="1" applyProtection="1">
      <alignment horizontal="center"/>
      <protection locked="0"/>
    </xf>
    <xf numFmtId="0" fontId="2" fillId="0" borderId="51" xfId="1" applyFill="1" applyBorder="1" applyAlignment="1" applyProtection="1">
      <alignment horizontal="center"/>
      <protection locked="0"/>
    </xf>
    <xf numFmtId="0" fontId="2" fillId="0" borderId="52" xfId="1" applyFill="1" applyBorder="1" applyAlignment="1" applyProtection="1">
      <alignment horizontal="center"/>
      <protection locked="0"/>
    </xf>
    <xf numFmtId="0" fontId="3" fillId="11" borderId="45" xfId="1" applyFont="1" applyFill="1" applyBorder="1" applyAlignment="1">
      <alignment horizontal="center" vertical="center" wrapText="1"/>
    </xf>
    <xf numFmtId="0" fontId="3" fillId="11" borderId="0" xfId="1" applyFont="1" applyFill="1" applyBorder="1" applyAlignment="1">
      <alignment horizontal="center" vertical="center" wrapText="1"/>
    </xf>
    <xf numFmtId="0" fontId="3" fillId="11" borderId="28" xfId="1" applyFont="1" applyFill="1" applyBorder="1" applyAlignment="1">
      <alignment horizontal="center" vertical="center" wrapText="1"/>
    </xf>
    <xf numFmtId="0" fontId="3" fillId="11" borderId="29" xfId="1" applyFont="1" applyFill="1" applyBorder="1" applyAlignment="1">
      <alignment horizontal="center" vertical="center" wrapText="1"/>
    </xf>
    <xf numFmtId="0" fontId="3" fillId="11" borderId="46" xfId="1" applyFont="1" applyFill="1" applyBorder="1" applyAlignment="1">
      <alignment horizontal="center" vertical="center" wrapText="1"/>
    </xf>
    <xf numFmtId="0" fontId="3" fillId="11" borderId="11" xfId="1" applyFont="1" applyFill="1" applyBorder="1" applyAlignment="1">
      <alignment horizontal="center" vertical="center" wrapText="1"/>
    </xf>
    <xf numFmtId="0" fontId="3" fillId="11" borderId="1" xfId="1" applyFont="1" applyFill="1" applyBorder="1" applyAlignment="1">
      <alignment horizontal="center" vertical="center" wrapText="1"/>
    </xf>
    <xf numFmtId="0" fontId="3" fillId="11" borderId="12" xfId="1" applyFont="1" applyFill="1" applyBorder="1" applyAlignment="1">
      <alignment horizontal="center" vertical="center" wrapText="1"/>
    </xf>
    <xf numFmtId="0" fontId="6" fillId="10" borderId="47" xfId="1" applyFont="1" applyFill="1" applyBorder="1" applyAlignment="1" applyProtection="1">
      <alignment horizontal="left" vertical="center" wrapText="1"/>
      <protection locked="0"/>
    </xf>
    <xf numFmtId="0" fontId="6" fillId="10" borderId="48" xfId="1" applyFont="1" applyFill="1" applyBorder="1" applyAlignment="1" applyProtection="1">
      <alignment vertical="center" wrapText="1"/>
      <protection locked="0"/>
    </xf>
    <xf numFmtId="0" fontId="6" fillId="10" borderId="49" xfId="1" applyFont="1" applyFill="1" applyBorder="1" applyAlignment="1" applyProtection="1">
      <alignment vertical="center" wrapText="1"/>
      <protection locked="0"/>
    </xf>
    <xf numFmtId="10" fontId="2" fillId="0" borderId="27" xfId="1" applyNumberFormat="1" applyFont="1" applyBorder="1" applyAlignment="1">
      <alignment horizontal="center" vertical="center"/>
    </xf>
    <xf numFmtId="10" fontId="2" fillId="0" borderId="28" xfId="1" applyNumberFormat="1" applyFont="1" applyBorder="1" applyAlignment="1">
      <alignment horizontal="center" vertical="center"/>
    </xf>
    <xf numFmtId="10" fontId="2" fillId="0" borderId="45" xfId="1" applyNumberFormat="1" applyFont="1" applyBorder="1" applyAlignment="1">
      <alignment horizontal="center" vertical="center"/>
    </xf>
    <xf numFmtId="10" fontId="2" fillId="0" borderId="0" xfId="1" applyNumberFormat="1" applyFont="1" applyBorder="1" applyAlignment="1">
      <alignment horizontal="center" vertical="center"/>
    </xf>
    <xf numFmtId="164" fontId="2" fillId="0" borderId="27" xfId="1" applyNumberFormat="1" applyFont="1" applyBorder="1" applyAlignment="1" applyProtection="1">
      <alignment horizontal="center" vertical="center"/>
    </xf>
    <xf numFmtId="164" fontId="2" fillId="0" borderId="28" xfId="1" applyNumberFormat="1" applyFont="1" applyBorder="1" applyAlignment="1" applyProtection="1">
      <alignment horizontal="center" vertical="center"/>
    </xf>
    <xf numFmtId="164" fontId="2" fillId="0" borderId="29" xfId="1" applyNumberFormat="1" applyFont="1" applyBorder="1" applyAlignment="1" applyProtection="1">
      <alignment horizontal="center" vertical="center"/>
    </xf>
    <xf numFmtId="164" fontId="2" fillId="0" borderId="45" xfId="1" applyNumberFormat="1" applyFont="1" applyBorder="1" applyAlignment="1" applyProtection="1">
      <alignment horizontal="center" vertical="center"/>
    </xf>
    <xf numFmtId="164" fontId="2" fillId="0" borderId="0" xfId="1" applyNumberFormat="1" applyFont="1" applyBorder="1" applyAlignment="1" applyProtection="1">
      <alignment horizontal="center" vertical="center"/>
    </xf>
    <xf numFmtId="164" fontId="2" fillId="0" borderId="46" xfId="1" applyNumberFormat="1" applyFont="1" applyBorder="1" applyAlignment="1" applyProtection="1">
      <alignment horizontal="center" vertical="center"/>
    </xf>
    <xf numFmtId="0" fontId="11" fillId="0" borderId="21" xfId="1" applyFont="1" applyBorder="1" applyAlignment="1" applyProtection="1">
      <alignment horizontal="center" vertical="center"/>
      <protection locked="0"/>
    </xf>
    <xf numFmtId="0" fontId="11" fillId="0" borderId="20" xfId="1" applyFont="1" applyBorder="1" applyAlignment="1" applyProtection="1">
      <alignment horizontal="center" vertical="center"/>
      <protection locked="0"/>
    </xf>
    <xf numFmtId="0" fontId="11" fillId="7" borderId="27" xfId="1" applyFont="1" applyFill="1" applyBorder="1" applyAlignment="1" applyProtection="1">
      <alignment horizontal="center" vertical="center"/>
      <protection locked="0"/>
    </xf>
    <xf numFmtId="0" fontId="11" fillId="7" borderId="29" xfId="1" applyFont="1" applyFill="1" applyBorder="1" applyAlignment="1" applyProtection="1">
      <alignment horizontal="center" vertical="center"/>
      <protection locked="0"/>
    </xf>
    <xf numFmtId="0" fontId="11" fillId="7" borderId="45" xfId="1" applyFont="1" applyFill="1" applyBorder="1" applyAlignment="1" applyProtection="1">
      <alignment horizontal="center" vertical="center"/>
      <protection locked="0"/>
    </xf>
    <xf numFmtId="0" fontId="11" fillId="7" borderId="46" xfId="1" applyFont="1" applyFill="1" applyBorder="1" applyAlignment="1" applyProtection="1">
      <alignment horizontal="center" vertical="center"/>
      <protection locked="0"/>
    </xf>
    <xf numFmtId="0" fontId="10" fillId="0" borderId="40" xfId="1" applyFont="1" applyBorder="1" applyAlignment="1" applyProtection="1">
      <alignment horizontal="center" vertical="center"/>
    </xf>
    <xf numFmtId="0" fontId="10" fillId="0" borderId="41" xfId="1" applyFont="1" applyBorder="1" applyAlignment="1" applyProtection="1">
      <alignment horizontal="center" vertical="center"/>
    </xf>
    <xf numFmtId="0" fontId="2" fillId="0" borderId="44" xfId="1" applyFont="1" applyBorder="1" applyAlignment="1" applyProtection="1">
      <alignment horizontal="center" vertical="center" shrinkToFit="1"/>
    </xf>
    <xf numFmtId="0" fontId="2" fillId="0" borderId="0" xfId="1" applyFont="1" applyBorder="1" applyAlignment="1" applyProtection="1">
      <alignment horizontal="center" vertical="center" shrinkToFit="1"/>
    </xf>
    <xf numFmtId="0" fontId="6" fillId="0" borderId="21" xfId="1" applyFont="1" applyBorder="1" applyAlignment="1">
      <alignment horizontal="center" vertical="center"/>
    </xf>
    <xf numFmtId="0" fontId="6" fillId="0" borderId="30" xfId="1" applyFont="1" applyBorder="1" applyAlignment="1">
      <alignment horizontal="center" vertical="center"/>
    </xf>
    <xf numFmtId="0" fontId="10" fillId="0" borderId="16" xfId="1" applyFont="1" applyBorder="1" applyAlignment="1" applyProtection="1">
      <alignment horizontal="center" vertical="center"/>
    </xf>
    <xf numFmtId="0" fontId="10" fillId="0" borderId="39" xfId="1" applyFont="1" applyBorder="1" applyAlignment="1" applyProtection="1">
      <alignment horizontal="center" vertical="center"/>
    </xf>
    <xf numFmtId="0" fontId="3" fillId="0" borderId="25" xfId="1" applyFont="1" applyBorder="1" applyAlignment="1" applyProtection="1">
      <alignment horizontal="center" vertical="center" shrinkToFit="1"/>
    </xf>
    <xf numFmtId="0" fontId="3" fillId="0" borderId="23" xfId="1" applyFont="1" applyBorder="1" applyAlignment="1" applyProtection="1">
      <alignment horizontal="center" vertical="center" shrinkToFit="1"/>
    </xf>
    <xf numFmtId="0" fontId="3" fillId="0" borderId="26" xfId="1" applyFont="1" applyBorder="1" applyAlignment="1" applyProtection="1">
      <alignment horizontal="center" vertical="center" shrinkToFit="1"/>
    </xf>
    <xf numFmtId="0" fontId="11" fillId="0" borderId="27" xfId="1" applyFont="1" applyBorder="1" applyAlignment="1">
      <alignment horizontal="center" vertical="center"/>
    </xf>
    <xf numFmtId="0" fontId="11" fillId="0" borderId="28" xfId="1" applyFont="1" applyBorder="1" applyAlignment="1">
      <alignment horizontal="center" vertical="center"/>
    </xf>
    <xf numFmtId="0" fontId="11" fillId="0" borderId="45" xfId="1" applyFont="1" applyBorder="1" applyAlignment="1">
      <alignment horizontal="center" vertical="center"/>
    </xf>
    <xf numFmtId="0" fontId="11" fillId="0" borderId="0" xfId="1" applyFont="1" applyBorder="1" applyAlignment="1">
      <alignment horizontal="center" vertical="center"/>
    </xf>
    <xf numFmtId="10" fontId="2" fillId="0" borderId="11" xfId="1" applyNumberFormat="1" applyFont="1" applyBorder="1" applyAlignment="1">
      <alignment horizontal="center" vertical="center"/>
    </xf>
    <xf numFmtId="10" fontId="2" fillId="0" borderId="1" xfId="1" applyNumberFormat="1" applyFont="1" applyBorder="1" applyAlignment="1">
      <alignment horizontal="center" vertical="center"/>
    </xf>
    <xf numFmtId="164" fontId="2" fillId="0" borderId="11" xfId="1" applyNumberFormat="1" applyFont="1" applyBorder="1" applyAlignment="1" applyProtection="1">
      <alignment horizontal="center" vertical="center"/>
    </xf>
    <xf numFmtId="164" fontId="2" fillId="0" borderId="1" xfId="1" applyNumberFormat="1" applyFont="1" applyBorder="1" applyAlignment="1" applyProtection="1">
      <alignment horizontal="center" vertical="center"/>
    </xf>
    <xf numFmtId="164" fontId="2" fillId="0" borderId="12" xfId="1" applyNumberFormat="1" applyFont="1" applyBorder="1" applyAlignment="1" applyProtection="1">
      <alignment horizontal="center" vertical="center"/>
    </xf>
    <xf numFmtId="0" fontId="11" fillId="0" borderId="30" xfId="1" applyFont="1" applyBorder="1" applyAlignment="1" applyProtection="1">
      <alignment horizontal="center" vertical="center"/>
      <protection locked="0"/>
    </xf>
    <xf numFmtId="0" fontId="11" fillId="7" borderId="11" xfId="1" applyFont="1" applyFill="1" applyBorder="1" applyAlignment="1" applyProtection="1">
      <alignment horizontal="center" vertical="center"/>
      <protection locked="0"/>
    </xf>
    <xf numFmtId="0" fontId="11" fillId="7" borderId="12" xfId="1" applyFont="1" applyFill="1" applyBorder="1" applyAlignment="1" applyProtection="1">
      <alignment horizontal="center" vertical="center"/>
      <protection locked="0"/>
    </xf>
    <xf numFmtId="0" fontId="10" fillId="0" borderId="35" xfId="1" applyFont="1" applyBorder="1" applyAlignment="1" applyProtection="1">
      <alignment horizontal="center" vertical="center"/>
    </xf>
    <xf numFmtId="0" fontId="10" fillId="0" borderId="36" xfId="1" applyFont="1" applyBorder="1" applyAlignment="1" applyProtection="1">
      <alignment horizontal="center" vertical="center"/>
    </xf>
    <xf numFmtId="0" fontId="2" fillId="0" borderId="34" xfId="1" applyFont="1" applyBorder="1" applyAlignment="1" applyProtection="1">
      <alignment horizontal="center" vertical="center" shrinkToFit="1"/>
    </xf>
    <xf numFmtId="0" fontId="2" fillId="0" borderId="1" xfId="1" applyFont="1" applyBorder="1" applyAlignment="1" applyProtection="1">
      <alignment horizontal="center" vertical="center" shrinkToFit="1"/>
    </xf>
    <xf numFmtId="0" fontId="11" fillId="0" borderId="11" xfId="1" applyFont="1" applyBorder="1" applyAlignment="1">
      <alignment horizontal="center" vertical="center"/>
    </xf>
    <xf numFmtId="0" fontId="11" fillId="0" borderId="1" xfId="1" applyFont="1" applyBorder="1" applyAlignment="1">
      <alignment horizontal="center" vertical="center"/>
    </xf>
    <xf numFmtId="0" fontId="10" fillId="0" borderId="31" xfId="1" applyFont="1" applyBorder="1" applyAlignment="1" applyProtection="1">
      <alignment horizontal="center" vertical="center"/>
    </xf>
    <xf numFmtId="0" fontId="10" fillId="0" borderId="32" xfId="1" applyFont="1" applyBorder="1" applyAlignment="1" applyProtection="1">
      <alignment horizontal="center" vertical="center"/>
    </xf>
    <xf numFmtId="0" fontId="10" fillId="0" borderId="33" xfId="1" applyFont="1" applyBorder="1" applyAlignment="1" applyProtection="1">
      <alignment horizontal="center" vertical="center"/>
    </xf>
    <xf numFmtId="0" fontId="10" fillId="0" borderId="22" xfId="1" applyFont="1" applyBorder="1" applyAlignment="1" applyProtection="1">
      <alignment horizontal="center" vertical="center"/>
    </xf>
    <xf numFmtId="0" fontId="10" fillId="0" borderId="23" xfId="1" applyFont="1" applyBorder="1" applyAlignment="1" applyProtection="1">
      <alignment horizontal="center" vertical="center"/>
    </xf>
    <xf numFmtId="0" fontId="10" fillId="0" borderId="24" xfId="1" applyFont="1" applyBorder="1" applyAlignment="1" applyProtection="1">
      <alignment horizontal="center" vertical="center"/>
    </xf>
    <xf numFmtId="0" fontId="3" fillId="7" borderId="2" xfId="1" applyFont="1" applyFill="1" applyBorder="1" applyAlignment="1">
      <alignment horizontal="center" vertical="center" wrapText="1"/>
    </xf>
    <xf numFmtId="0" fontId="3" fillId="7" borderId="4" xfId="1" applyFont="1" applyFill="1" applyBorder="1" applyAlignment="1">
      <alignment horizontal="center" vertical="center" wrapText="1"/>
    </xf>
    <xf numFmtId="0" fontId="3" fillId="0" borderId="2" xfId="1" applyFont="1" applyBorder="1" applyAlignment="1">
      <alignment horizontal="center" vertical="center"/>
    </xf>
    <xf numFmtId="0" fontId="3" fillId="0" borderId="3" xfId="1" applyFont="1" applyBorder="1" applyAlignment="1">
      <alignment horizontal="center" vertical="center"/>
    </xf>
    <xf numFmtId="0" fontId="3" fillId="0" borderId="4" xfId="1" applyFont="1" applyBorder="1" applyAlignment="1">
      <alignment horizontal="center" vertical="center"/>
    </xf>
    <xf numFmtId="0" fontId="7" fillId="0" borderId="2" xfId="1" applyFont="1" applyBorder="1" applyAlignment="1" applyProtection="1">
      <alignment horizontal="center" vertical="center"/>
      <protection locked="0"/>
    </xf>
    <xf numFmtId="0" fontId="7" fillId="0" borderId="4" xfId="1" applyFont="1" applyBorder="1" applyAlignment="1" applyProtection="1">
      <alignment horizontal="center" vertical="center"/>
      <protection locked="0"/>
    </xf>
    <xf numFmtId="0" fontId="5" fillId="6" borderId="2" xfId="1" applyFont="1" applyFill="1" applyBorder="1" applyAlignment="1">
      <alignment horizontal="center" vertical="center" shrinkToFit="1"/>
    </xf>
    <xf numFmtId="0" fontId="5" fillId="6" borderId="3" xfId="1" applyFont="1" applyFill="1" applyBorder="1" applyAlignment="1">
      <alignment horizontal="center" vertical="center" shrinkToFit="1"/>
    </xf>
    <xf numFmtId="0" fontId="5" fillId="6" borderId="4" xfId="1" applyFont="1" applyFill="1" applyBorder="1" applyAlignment="1">
      <alignment horizontal="center" vertical="center" shrinkToFit="1"/>
    </xf>
    <xf numFmtId="0" fontId="3" fillId="3" borderId="2" xfId="1" applyFont="1" applyFill="1" applyBorder="1" applyAlignment="1">
      <alignment horizontal="center" vertical="center"/>
    </xf>
    <xf numFmtId="0" fontId="3" fillId="3" borderId="3" xfId="1" applyFont="1" applyFill="1" applyBorder="1" applyAlignment="1">
      <alignment horizontal="center" vertical="center"/>
    </xf>
    <xf numFmtId="0" fontId="3" fillId="2" borderId="20" xfId="1" applyFont="1" applyFill="1" applyBorder="1" applyAlignment="1">
      <alignment horizontal="center" vertical="center"/>
    </xf>
    <xf numFmtId="0" fontId="2" fillId="0" borderId="3" xfId="1" applyBorder="1"/>
    <xf numFmtId="0" fontId="2" fillId="0" borderId="4" xfId="1" applyBorder="1"/>
    <xf numFmtId="0" fontId="8" fillId="3" borderId="2" xfId="1" applyFont="1" applyFill="1" applyBorder="1" applyAlignment="1">
      <alignment horizontal="center" vertical="center" wrapText="1"/>
    </xf>
    <xf numFmtId="0" fontId="8" fillId="3" borderId="3" xfId="1" applyFont="1" applyFill="1" applyBorder="1" applyAlignment="1">
      <alignment horizontal="center" vertical="center" wrapText="1"/>
    </xf>
    <xf numFmtId="0" fontId="8" fillId="3" borderId="4" xfId="1" applyFont="1" applyFill="1" applyBorder="1" applyAlignment="1">
      <alignment horizontal="center" vertical="center" wrapText="1"/>
    </xf>
    <xf numFmtId="0" fontId="3" fillId="3" borderId="2" xfId="1" applyFont="1" applyFill="1" applyBorder="1" applyAlignment="1">
      <alignment horizontal="center" vertical="center" wrapText="1"/>
    </xf>
    <xf numFmtId="0" fontId="3" fillId="3" borderId="3" xfId="1" applyFont="1" applyFill="1" applyBorder="1" applyAlignment="1">
      <alignment horizontal="center" vertical="center" wrapText="1"/>
    </xf>
    <xf numFmtId="0" fontId="3" fillId="3" borderId="4" xfId="1" applyFont="1" applyFill="1" applyBorder="1" applyAlignment="1">
      <alignment horizontal="center" vertical="center" wrapText="1"/>
    </xf>
    <xf numFmtId="0" fontId="9" fillId="9" borderId="27" xfId="1" applyFont="1" applyFill="1" applyBorder="1" applyAlignment="1" applyProtection="1">
      <alignment horizontal="center" vertical="center" wrapText="1"/>
    </xf>
    <xf numFmtId="0" fontId="9" fillId="9" borderId="28" xfId="1" applyFont="1" applyFill="1" applyBorder="1" applyAlignment="1" applyProtection="1">
      <alignment horizontal="center" vertical="center" wrapText="1"/>
    </xf>
    <xf numFmtId="0" fontId="9" fillId="9" borderId="29" xfId="1" applyFont="1" applyFill="1" applyBorder="1" applyAlignment="1" applyProtection="1">
      <alignment horizontal="center" vertical="center" wrapText="1"/>
    </xf>
    <xf numFmtId="0" fontId="9" fillId="9" borderId="11" xfId="1" applyFont="1" applyFill="1" applyBorder="1" applyAlignment="1" applyProtection="1">
      <alignment horizontal="center" vertical="center" wrapText="1"/>
    </xf>
    <xf numFmtId="0" fontId="9" fillId="9" borderId="1" xfId="1" applyFont="1" applyFill="1" applyBorder="1" applyAlignment="1" applyProtection="1">
      <alignment horizontal="center" vertical="center" wrapText="1"/>
    </xf>
    <xf numFmtId="0" fontId="9" fillId="9" borderId="12" xfId="1" applyFont="1" applyFill="1" applyBorder="1" applyAlignment="1" applyProtection="1">
      <alignment horizontal="center" vertical="center" wrapText="1"/>
    </xf>
    <xf numFmtId="14" fontId="2" fillId="0" borderId="2" xfId="1" applyNumberFormat="1" applyBorder="1" applyAlignment="1" applyProtection="1">
      <alignment horizontal="center"/>
      <protection locked="0"/>
    </xf>
    <xf numFmtId="0" fontId="2" fillId="0" borderId="3" xfId="1" applyBorder="1" applyAlignment="1" applyProtection="1">
      <alignment horizontal="center"/>
      <protection locked="0"/>
    </xf>
    <xf numFmtId="0" fontId="2" fillId="0" borderId="4" xfId="1" applyBorder="1" applyAlignment="1" applyProtection="1">
      <alignment horizontal="center"/>
      <protection locked="0"/>
    </xf>
    <xf numFmtId="0" fontId="7" fillId="2" borderId="1" xfId="1" applyFont="1" applyFill="1" applyBorder="1" applyAlignment="1" applyProtection="1">
      <alignment horizontal="left"/>
    </xf>
    <xf numFmtId="0" fontId="7" fillId="2" borderId="0" xfId="1" applyFont="1" applyFill="1" applyBorder="1" applyAlignment="1" applyProtection="1">
      <alignment horizontal="left"/>
    </xf>
    <xf numFmtId="0" fontId="2" fillId="2" borderId="0" xfId="1" applyFill="1" applyBorder="1" applyAlignment="1" applyProtection="1">
      <alignment horizontal="center"/>
    </xf>
    <xf numFmtId="0" fontId="6" fillId="0" borderId="2" xfId="1" applyFont="1" applyFill="1" applyBorder="1" applyAlignment="1" applyProtection="1">
      <alignment horizontal="center" wrapText="1"/>
      <protection locked="0"/>
    </xf>
    <xf numFmtId="0" fontId="6" fillId="0" borderId="3" xfId="1" applyFont="1" applyFill="1" applyBorder="1" applyAlignment="1" applyProtection="1">
      <alignment horizontal="center" wrapText="1"/>
      <protection locked="0"/>
    </xf>
    <xf numFmtId="0" fontId="6" fillId="0" borderId="4" xfId="1" applyFont="1" applyFill="1" applyBorder="1" applyAlignment="1" applyProtection="1">
      <alignment horizontal="center" wrapText="1"/>
      <protection locked="0"/>
    </xf>
    <xf numFmtId="0" fontId="6" fillId="3" borderId="11" xfId="1" applyFont="1" applyFill="1" applyBorder="1" applyAlignment="1" applyProtection="1">
      <alignment horizontal="center" vertical="center" wrapText="1"/>
      <protection locked="0"/>
    </xf>
    <xf numFmtId="0" fontId="6" fillId="3" borderId="1" xfId="1" applyFont="1" applyFill="1" applyBorder="1" applyAlignment="1" applyProtection="1">
      <alignment horizontal="center" vertical="center" wrapText="1"/>
      <protection locked="0"/>
    </xf>
    <xf numFmtId="0" fontId="2" fillId="0" borderId="11" xfId="1" applyBorder="1" applyAlignment="1" applyProtection="1">
      <alignment horizontal="center"/>
      <protection locked="0"/>
    </xf>
    <xf numFmtId="0" fontId="2" fillId="0" borderId="1" xfId="1" applyBorder="1" applyAlignment="1" applyProtection="1">
      <alignment horizontal="center"/>
      <protection locked="0"/>
    </xf>
    <xf numFmtId="0" fontId="2" fillId="0" borderId="12" xfId="1" applyBorder="1" applyAlignment="1" applyProtection="1">
      <alignment horizontal="center"/>
      <protection locked="0"/>
    </xf>
    <xf numFmtId="0" fontId="6" fillId="3" borderId="2" xfId="1" applyFont="1" applyFill="1" applyBorder="1" applyAlignment="1" applyProtection="1">
      <alignment horizontal="center" wrapText="1"/>
      <protection locked="0"/>
    </xf>
    <xf numFmtId="0" fontId="6" fillId="3" borderId="3" xfId="1" applyFont="1" applyFill="1" applyBorder="1" applyAlignment="1" applyProtection="1">
      <alignment horizontal="center" wrapText="1"/>
      <protection locked="0"/>
    </xf>
    <xf numFmtId="0" fontId="6" fillId="3" borderId="4" xfId="1" applyFont="1" applyFill="1" applyBorder="1" applyAlignment="1" applyProtection="1">
      <alignment horizontal="center" wrapText="1"/>
      <protection locked="0"/>
    </xf>
    <xf numFmtId="0" fontId="2" fillId="5" borderId="3" xfId="1" applyFill="1" applyBorder="1" applyAlignment="1" applyProtection="1">
      <alignment horizontal="center" vertical="center" wrapText="1"/>
      <protection locked="0"/>
    </xf>
    <xf numFmtId="0" fontId="2" fillId="5" borderId="4" xfId="1" applyFill="1" applyBorder="1" applyAlignment="1" applyProtection="1">
      <alignment horizontal="center" vertical="center" wrapText="1"/>
      <protection locked="0"/>
    </xf>
    <xf numFmtId="0" fontId="3" fillId="3" borderId="2" xfId="1" applyFont="1" applyFill="1" applyBorder="1" applyAlignment="1" applyProtection="1">
      <alignment horizontal="center" vertical="center"/>
      <protection locked="0"/>
    </xf>
    <xf numFmtId="0" fontId="3" fillId="3" borderId="3" xfId="1" applyFont="1" applyFill="1" applyBorder="1" applyAlignment="1" applyProtection="1">
      <alignment horizontal="center" vertical="center"/>
      <protection locked="0"/>
    </xf>
    <xf numFmtId="0" fontId="3" fillId="3" borderId="4" xfId="1" applyFont="1" applyFill="1" applyBorder="1" applyAlignment="1" applyProtection="1">
      <alignment horizontal="center" vertical="center"/>
      <protection locked="0"/>
    </xf>
    <xf numFmtId="0" fontId="3" fillId="0" borderId="2" xfId="1" applyFont="1" applyFill="1" applyBorder="1" applyAlignment="1" applyProtection="1">
      <alignment horizontal="center" vertical="center"/>
      <protection locked="0"/>
    </xf>
    <xf numFmtId="0" fontId="3" fillId="0" borderId="3" xfId="1" applyFont="1" applyFill="1" applyBorder="1" applyAlignment="1" applyProtection="1">
      <alignment horizontal="center" vertical="center"/>
      <protection locked="0"/>
    </xf>
    <xf numFmtId="0" fontId="3" fillId="0" borderId="4" xfId="1" applyFont="1" applyFill="1" applyBorder="1" applyAlignment="1" applyProtection="1">
      <alignment horizontal="center" vertical="center"/>
      <protection locked="0"/>
    </xf>
    <xf numFmtId="0" fontId="2" fillId="0" borderId="2" xfId="1" applyBorder="1" applyAlignment="1" applyProtection="1">
      <alignment horizontal="center"/>
      <protection locked="0"/>
    </xf>
    <xf numFmtId="0" fontId="2" fillId="2" borderId="1" xfId="1" applyFill="1" applyBorder="1" applyAlignment="1" applyProtection="1">
      <alignment horizontal="center"/>
    </xf>
    <xf numFmtId="0" fontId="3" fillId="0" borderId="2" xfId="1" applyFont="1" applyBorder="1" applyAlignment="1" applyProtection="1">
      <alignment horizontal="center"/>
      <protection locked="0"/>
    </xf>
    <xf numFmtId="0" fontId="3" fillId="0" borderId="3" xfId="1" applyFont="1" applyBorder="1" applyAlignment="1" applyProtection="1">
      <alignment horizontal="center"/>
      <protection locked="0"/>
    </xf>
    <xf numFmtId="0" fontId="3" fillId="0" borderId="4" xfId="1" applyFont="1" applyBorder="1" applyAlignment="1" applyProtection="1">
      <alignment horizontal="center"/>
      <protection locked="0"/>
    </xf>
    <xf numFmtId="0" fontId="3" fillId="0" borderId="5" xfId="1" applyFont="1" applyBorder="1" applyAlignment="1">
      <alignment horizontal="center"/>
    </xf>
    <xf numFmtId="0" fontId="3" fillId="0" borderId="6" xfId="1" applyFont="1" applyBorder="1" applyAlignment="1">
      <alignment horizontal="center"/>
    </xf>
    <xf numFmtId="0" fontId="4" fillId="3" borderId="2" xfId="1" applyFont="1" applyFill="1" applyBorder="1" applyAlignment="1" applyProtection="1">
      <alignment horizontal="center"/>
      <protection locked="0"/>
    </xf>
    <xf numFmtId="0" fontId="4" fillId="3" borderId="3" xfId="1" applyFont="1" applyFill="1" applyBorder="1" applyAlignment="1" applyProtection="1">
      <alignment horizontal="center"/>
      <protection locked="0"/>
    </xf>
    <xf numFmtId="0" fontId="4" fillId="3" borderId="4" xfId="1" applyFont="1" applyFill="1" applyBorder="1" applyAlignment="1" applyProtection="1">
      <alignment horizontal="center"/>
      <protection locked="0"/>
    </xf>
    <xf numFmtId="0" fontId="5" fillId="0" borderId="2" xfId="1" applyFont="1" applyBorder="1" applyAlignment="1" applyProtection="1">
      <alignment horizontal="center" vertical="center"/>
      <protection locked="0"/>
    </xf>
    <xf numFmtId="0" fontId="5" fillId="0" borderId="3" xfId="1" applyFont="1" applyBorder="1" applyAlignment="1" applyProtection="1">
      <alignment horizontal="center" vertical="center"/>
      <protection locked="0"/>
    </xf>
    <xf numFmtId="0" fontId="5" fillId="0" borderId="4" xfId="1" applyFont="1" applyBorder="1" applyAlignment="1" applyProtection="1">
      <alignment horizontal="center" vertical="center"/>
      <protection locked="0"/>
    </xf>
    <xf numFmtId="0" fontId="6" fillId="3" borderId="2" xfId="1" applyFont="1" applyFill="1" applyBorder="1" applyAlignment="1" applyProtection="1">
      <alignment horizontal="center"/>
      <protection locked="0"/>
    </xf>
    <xf numFmtId="0" fontId="6" fillId="3" borderId="3" xfId="1" applyFont="1" applyFill="1" applyBorder="1" applyAlignment="1" applyProtection="1">
      <alignment horizontal="center"/>
      <protection locked="0"/>
    </xf>
    <xf numFmtId="0" fontId="6" fillId="3" borderId="4" xfId="1" applyFont="1" applyFill="1" applyBorder="1" applyAlignment="1" applyProtection="1">
      <alignment horizontal="center"/>
      <protection locked="0"/>
    </xf>
    <xf numFmtId="0" fontId="2" fillId="0" borderId="2" xfId="1" applyBorder="1" applyAlignment="1" applyProtection="1">
      <alignment horizontal="center" vertical="center" wrapText="1"/>
      <protection locked="0"/>
    </xf>
    <xf numFmtId="0" fontId="2" fillId="0" borderId="3" xfId="1" applyBorder="1" applyAlignment="1" applyProtection="1">
      <alignment horizontal="center" vertical="center" wrapText="1"/>
      <protection locked="0"/>
    </xf>
    <xf numFmtId="0" fontId="2" fillId="8" borderId="35" xfId="1" applyFont="1" applyFill="1" applyBorder="1" applyAlignment="1" applyProtection="1">
      <alignment horizontal="center"/>
      <protection locked="0"/>
    </xf>
    <xf numFmtId="0" fontId="2" fillId="8" borderId="36" xfId="1" applyFill="1" applyBorder="1" applyAlignment="1" applyProtection="1">
      <alignment horizontal="center"/>
      <protection locked="0"/>
    </xf>
    <xf numFmtId="0" fontId="2" fillId="8" borderId="58" xfId="1" applyFill="1" applyBorder="1" applyAlignment="1" applyProtection="1">
      <alignment horizontal="center"/>
      <protection locked="0"/>
    </xf>
    <xf numFmtId="0" fontId="2" fillId="8" borderId="55" xfId="1" applyFill="1" applyBorder="1" applyAlignment="1" applyProtection="1">
      <alignment horizontal="center"/>
      <protection locked="0"/>
    </xf>
    <xf numFmtId="2" fontId="2" fillId="8" borderId="35" xfId="1" applyNumberFormat="1" applyFill="1" applyBorder="1" applyAlignment="1">
      <alignment horizontal="center"/>
    </xf>
    <xf numFmtId="2" fontId="2" fillId="8" borderId="55" xfId="1" applyNumberFormat="1" applyFill="1" applyBorder="1" applyAlignment="1">
      <alignment horizontal="center"/>
    </xf>
    <xf numFmtId="0" fontId="3" fillId="0" borderId="25" xfId="1" applyFont="1" applyBorder="1" applyAlignment="1" applyProtection="1">
      <alignment horizontal="center" vertical="center" shrinkToFit="1"/>
      <protection locked="0"/>
    </xf>
    <xf numFmtId="0" fontId="3" fillId="0" borderId="23" xfId="1" applyFont="1" applyBorder="1" applyAlignment="1" applyProtection="1">
      <alignment horizontal="center" vertical="center" shrinkToFit="1"/>
      <protection locked="0"/>
    </xf>
    <xf numFmtId="0" fontId="3" fillId="0" borderId="26" xfId="1" applyFont="1" applyBorder="1" applyAlignment="1" applyProtection="1">
      <alignment horizontal="center" vertical="center" shrinkToFit="1"/>
      <protection locked="0"/>
    </xf>
    <xf numFmtId="0" fontId="2" fillId="0" borderId="44" xfId="1" applyFont="1" applyBorder="1" applyAlignment="1" applyProtection="1">
      <alignment horizontal="center" vertical="center" shrinkToFit="1"/>
      <protection locked="0"/>
    </xf>
    <xf numFmtId="0" fontId="2" fillId="0" borderId="0" xfId="1" applyFont="1" applyBorder="1" applyAlignment="1" applyProtection="1">
      <alignment horizontal="center" vertical="center" shrinkToFit="1"/>
      <protection locked="0"/>
    </xf>
    <xf numFmtId="0" fontId="16" fillId="0" borderId="18" xfId="1" applyFont="1" applyFill="1" applyBorder="1" applyAlignment="1">
      <alignment horizontal="center" shrinkToFit="1"/>
    </xf>
    <xf numFmtId="0" fontId="16" fillId="0" borderId="37" xfId="1" applyFont="1" applyFill="1" applyBorder="1" applyAlignment="1">
      <alignment horizontal="center" shrinkToFit="1"/>
    </xf>
    <xf numFmtId="0" fontId="16" fillId="0" borderId="37" xfId="1" applyFont="1" applyFill="1" applyBorder="1" applyAlignment="1">
      <alignment horizontal="center"/>
    </xf>
    <xf numFmtId="0" fontId="16" fillId="0" borderId="19" xfId="1" applyFont="1" applyFill="1" applyBorder="1" applyAlignment="1">
      <alignment horizontal="center"/>
    </xf>
    <xf numFmtId="0" fontId="10" fillId="0" borderId="29" xfId="1" applyFont="1" applyBorder="1" applyAlignment="1" applyProtection="1">
      <alignment horizontal="center" shrinkToFit="1"/>
      <protection locked="0"/>
    </xf>
    <xf numFmtId="0" fontId="2" fillId="0" borderId="0" xfId="1" applyBorder="1" applyAlignment="1">
      <alignment horizontal="left"/>
    </xf>
    <xf numFmtId="0" fontId="16" fillId="0" borderId="0" xfId="1" applyFont="1" applyBorder="1" applyAlignment="1"/>
    <xf numFmtId="0" fontId="2" fillId="0" borderId="0" xfId="1" applyFont="1" applyBorder="1" applyAlignment="1" applyProtection="1">
      <alignment horizontal="center"/>
      <protection locked="0"/>
    </xf>
    <xf numFmtId="0" fontId="2" fillId="0" borderId="40" xfId="1" applyFont="1" applyBorder="1" applyAlignment="1" applyProtection="1">
      <alignment horizontal="center"/>
      <protection locked="0"/>
    </xf>
    <xf numFmtId="2" fontId="2" fillId="0" borderId="40" xfId="1" applyNumberFormat="1" applyBorder="1" applyAlignment="1">
      <alignment horizontal="center"/>
    </xf>
    <xf numFmtId="2" fontId="2" fillId="0" borderId="43" xfId="1" applyNumberFormat="1" applyBorder="1" applyAlignment="1">
      <alignment horizontal="center"/>
    </xf>
    <xf numFmtId="0" fontId="20" fillId="0" borderId="0" xfId="1" applyFont="1" applyAlignment="1" applyProtection="1">
      <alignment horizontal="left"/>
      <protection locked="0"/>
    </xf>
    <xf numFmtId="0" fontId="19" fillId="36" borderId="0" xfId="4" applyFont="1" applyFill="1" applyBorder="1" applyAlignment="1">
      <alignment wrapText="1"/>
    </xf>
    <xf numFmtId="165" fontId="19" fillId="36" borderId="0" xfId="4" applyNumberFormat="1" applyFont="1" applyFill="1" applyBorder="1" applyAlignment="1">
      <alignment wrapText="1"/>
    </xf>
    <xf numFmtId="14" fontId="19" fillId="0" borderId="0" xfId="3" applyNumberFormat="1" applyFont="1" applyAlignment="1">
      <alignment wrapText="1"/>
    </xf>
    <xf numFmtId="0" fontId="19" fillId="0" borderId="0" xfId="3" applyFont="1" applyAlignment="1">
      <alignment wrapText="1"/>
    </xf>
    <xf numFmtId="0" fontId="1" fillId="36" borderId="0" xfId="4" applyFill="1" applyBorder="1"/>
    <xf numFmtId="0" fontId="21" fillId="36" borderId="0" xfId="4" applyFont="1" applyFill="1" applyBorder="1"/>
    <xf numFmtId="165" fontId="1" fillId="36" borderId="0" xfId="4" applyNumberFormat="1" applyFill="1" applyBorder="1"/>
    <xf numFmtId="0" fontId="1" fillId="0" borderId="0" xfId="3"/>
    <xf numFmtId="0" fontId="0" fillId="36" borderId="0" xfId="4" applyFont="1" applyFill="1" applyBorder="1"/>
    <xf numFmtId="0" fontId="2" fillId="0" borderId="0" xfId="1" applyAlignment="1">
      <alignment shrinkToFit="1"/>
    </xf>
    <xf numFmtId="0" fontId="0" fillId="0" borderId="0" xfId="0"/>
    <xf numFmtId="0" fontId="3" fillId="0" borderId="5" xfId="1" applyFont="1" applyBorder="1" applyAlignment="1" applyProtection="1">
      <alignment horizontal="center"/>
      <protection locked="0"/>
    </xf>
    <xf numFmtId="0" fontId="3" fillId="0" borderId="7" xfId="1" applyFont="1" applyBorder="1" applyAlignment="1" applyProtection="1">
      <alignment horizontal="center"/>
      <protection locked="0"/>
    </xf>
    <xf numFmtId="0" fontId="3" fillId="0" borderId="8" xfId="1" applyFont="1" applyBorder="1" applyAlignment="1" applyProtection="1">
      <alignment horizontal="center"/>
      <protection locked="0"/>
    </xf>
    <xf numFmtId="0" fontId="3" fillId="0" borderId="6" xfId="1" applyFont="1" applyBorder="1" applyAlignment="1" applyProtection="1">
      <protection locked="0"/>
    </xf>
    <xf numFmtId="0" fontId="16" fillId="0" borderId="5" xfId="1" applyFont="1" applyFill="1" applyBorder="1" applyAlignment="1">
      <alignment horizontal="center" shrinkToFit="1"/>
    </xf>
    <xf numFmtId="0" fontId="16" fillId="0" borderId="7" xfId="1" applyFont="1" applyFill="1" applyBorder="1" applyAlignment="1">
      <alignment horizontal="center" shrinkToFit="1"/>
    </xf>
    <xf numFmtId="0" fontId="16" fillId="0" borderId="7" xfId="1" applyFont="1" applyFill="1" applyBorder="1" applyAlignment="1">
      <alignment horizontal="center"/>
    </xf>
    <xf numFmtId="0" fontId="16" fillId="0" borderId="6" xfId="1" applyFont="1" applyFill="1" applyBorder="1" applyAlignment="1">
      <alignment horizontal="center"/>
    </xf>
    <xf numFmtId="0" fontId="2" fillId="0" borderId="0" xfId="1" applyFill="1" applyBorder="1" applyAlignment="1" applyProtection="1">
      <protection locked="0"/>
    </xf>
    <xf numFmtId="0" fontId="10" fillId="0" borderId="0" xfId="1" applyFont="1" applyFill="1" applyBorder="1" applyAlignment="1" applyProtection="1">
      <alignment horizontal="center"/>
      <protection locked="0"/>
    </xf>
    <xf numFmtId="0" fontId="10" fillId="0" borderId="0" xfId="1" applyFont="1" applyFill="1" applyBorder="1" applyAlignment="1" applyProtection="1">
      <protection locked="0"/>
    </xf>
    <xf numFmtId="0" fontId="2" fillId="0" borderId="27" xfId="1" applyBorder="1" applyAlignment="1" applyProtection="1">
      <alignment horizontal="left" shrinkToFit="1"/>
      <protection locked="0"/>
    </xf>
    <xf numFmtId="0" fontId="2" fillId="0" borderId="28" xfId="1" applyBorder="1" applyAlignment="1" applyProtection="1">
      <alignment horizontal="left" shrinkToFit="1"/>
      <protection locked="0"/>
    </xf>
    <xf numFmtId="0" fontId="2" fillId="0" borderId="29" xfId="1" applyBorder="1" applyAlignment="1" applyProtection="1">
      <alignment horizontal="left" shrinkToFit="1"/>
      <protection locked="0"/>
    </xf>
    <xf numFmtId="0" fontId="2" fillId="0" borderId="45" xfId="1" applyBorder="1" applyAlignment="1" applyProtection="1">
      <alignment horizontal="left" shrinkToFit="1"/>
      <protection locked="0"/>
    </xf>
    <xf numFmtId="0" fontId="2" fillId="0" borderId="0" xfId="1" applyBorder="1" applyAlignment="1" applyProtection="1">
      <alignment horizontal="left" shrinkToFit="1"/>
      <protection locked="0"/>
    </xf>
    <xf numFmtId="0" fontId="16" fillId="0" borderId="0" xfId="1" applyFont="1" applyFill="1" applyBorder="1" applyAlignment="1" applyProtection="1">
      <protection locked="0"/>
    </xf>
    <xf numFmtId="0" fontId="16" fillId="0" borderId="0" xfId="1" applyFont="1" applyFill="1" applyBorder="1" applyAlignment="1"/>
    <xf numFmtId="0" fontId="2" fillId="0" borderId="0" xfId="1" applyFill="1" applyBorder="1" applyAlignment="1" applyProtection="1"/>
    <xf numFmtId="0" fontId="5" fillId="0" borderId="0" xfId="1" applyFont="1" applyFill="1" applyBorder="1" applyAlignment="1">
      <alignment horizontal="center"/>
    </xf>
    <xf numFmtId="0" fontId="5" fillId="0" borderId="0" xfId="1" applyFont="1" applyFill="1" applyBorder="1" applyAlignment="1" applyProtection="1">
      <protection locked="0"/>
    </xf>
    <xf numFmtId="0" fontId="2" fillId="0" borderId="5" xfId="1" applyBorder="1" applyAlignment="1" applyProtection="1">
      <alignment horizontal="center" shrinkToFit="1"/>
    </xf>
    <xf numFmtId="0" fontId="2" fillId="0" borderId="7" xfId="1" applyBorder="1" applyAlignment="1" applyProtection="1">
      <alignment horizontal="center" shrinkToFit="1"/>
    </xf>
    <xf numFmtId="0" fontId="2" fillId="0" borderId="6" xfId="1" applyBorder="1" applyAlignment="1" applyProtection="1">
      <alignment horizontal="center" shrinkToFit="1"/>
    </xf>
    <xf numFmtId="20" fontId="2" fillId="0" borderId="0" xfId="1" applyNumberFormat="1" applyFill="1" applyBorder="1" applyAlignment="1" applyProtection="1">
      <protection locked="0"/>
    </xf>
    <xf numFmtId="0" fontId="10" fillId="0" borderId="0" xfId="1" applyFont="1" applyFill="1" applyBorder="1" applyAlignment="1"/>
    <xf numFmtId="1" fontId="2" fillId="0" borderId="0" xfId="1" applyNumberFormat="1" applyFill="1" applyBorder="1" applyAlignment="1" applyProtection="1">
      <protection locked="0"/>
    </xf>
    <xf numFmtId="0" fontId="3" fillId="0" borderId="0" xfId="1" applyFont="1" applyFill="1" applyBorder="1" applyAlignment="1"/>
    <xf numFmtId="0" fontId="3" fillId="0" borderId="0" xfId="1" applyFont="1" applyFill="1" applyBorder="1" applyAlignment="1" applyProtection="1">
      <alignment horizontal="right"/>
      <protection locked="0"/>
    </xf>
    <xf numFmtId="0" fontId="3" fillId="0" borderId="0" xfId="1" applyFont="1" applyFill="1" applyBorder="1" applyAlignment="1">
      <alignment horizontal="center"/>
    </xf>
    <xf numFmtId="0" fontId="3" fillId="0" borderId="0" xfId="1" applyFont="1" applyFill="1" applyBorder="1" applyAlignment="1" applyProtection="1">
      <alignment horizontal="left"/>
      <protection locked="0"/>
    </xf>
    <xf numFmtId="0" fontId="3" fillId="0" borderId="0" xfId="1" applyFont="1" applyFill="1" applyBorder="1" applyProtection="1">
      <protection locked="0"/>
    </xf>
    <xf numFmtId="0" fontId="3" fillId="0" borderId="0" xfId="1" applyFont="1" applyFill="1" applyBorder="1" applyProtection="1"/>
    <xf numFmtId="0" fontId="3" fillId="0" borderId="0" xfId="1" applyFont="1" applyFill="1" applyBorder="1" applyAlignment="1" applyProtection="1">
      <alignment horizontal="center"/>
    </xf>
    <xf numFmtId="0" fontId="3" fillId="0" borderId="0" xfId="1" applyFont="1" applyFill="1" applyBorder="1" applyAlignment="1" applyProtection="1">
      <alignment horizontal="left"/>
    </xf>
    <xf numFmtId="0" fontId="2" fillId="0" borderId="0" xfId="1" applyFill="1" applyBorder="1" applyAlignment="1">
      <alignment horizontal="right"/>
    </xf>
    <xf numFmtId="0" fontId="2" fillId="0" borderId="0" xfId="1" applyFill="1" applyBorder="1" applyProtection="1">
      <protection locked="0"/>
    </xf>
    <xf numFmtId="0" fontId="2" fillId="0" borderId="0" xfId="1" applyFill="1" applyBorder="1" applyAlignment="1" applyProtection="1">
      <alignment horizontal="left"/>
      <protection locked="0"/>
    </xf>
    <xf numFmtId="0" fontId="18" fillId="0" borderId="0" xfId="1" applyFont="1" applyFill="1" applyBorder="1" applyAlignment="1" applyProtection="1">
      <alignment vertical="center"/>
    </xf>
    <xf numFmtId="0" fontId="2" fillId="0" borderId="14" xfId="0" applyFont="1" applyBorder="1" applyAlignment="1">
      <alignment vertical="top"/>
    </xf>
    <xf numFmtId="0" fontId="28" fillId="0" borderId="14" xfId="0" applyFont="1" applyBorder="1" applyAlignment="1">
      <alignment vertical="top"/>
    </xf>
    <xf numFmtId="0" fontId="2" fillId="13" borderId="27" xfId="1" applyFill="1" applyBorder="1" applyAlignment="1">
      <alignment horizontal="center"/>
    </xf>
    <xf numFmtId="0" fontId="2" fillId="13" borderId="28" xfId="1" applyFill="1" applyBorder="1" applyAlignment="1">
      <alignment horizontal="center"/>
    </xf>
    <xf numFmtId="0" fontId="2" fillId="13" borderId="29" xfId="1" applyFill="1" applyBorder="1" applyAlignment="1">
      <alignment horizontal="center"/>
    </xf>
    <xf numFmtId="0" fontId="10" fillId="12" borderId="11" xfId="1" applyFont="1" applyFill="1" applyBorder="1" applyAlignment="1">
      <alignment horizontal="center" wrapText="1"/>
    </xf>
    <xf numFmtId="0" fontId="10" fillId="3" borderId="5" xfId="1" applyFont="1" applyFill="1" applyBorder="1" applyAlignment="1">
      <alignment horizontal="center"/>
    </xf>
    <xf numFmtId="0" fontId="10" fillId="3" borderId="7" xfId="1" applyFont="1" applyFill="1" applyBorder="1" applyAlignment="1">
      <alignment horizontal="center"/>
    </xf>
    <xf numFmtId="0" fontId="2" fillId="3" borderId="8" xfId="1" applyFill="1" applyBorder="1" applyAlignment="1">
      <alignment horizontal="center"/>
    </xf>
    <xf numFmtId="0" fontId="2" fillId="3" borderId="6" xfId="1" applyFill="1" applyBorder="1" applyAlignment="1">
      <alignment horizontal="center"/>
    </xf>
    <xf numFmtId="0" fontId="10" fillId="3" borderId="7" xfId="1" applyFont="1" applyFill="1" applyBorder="1" applyAlignment="1">
      <alignment horizontal="center"/>
    </xf>
    <xf numFmtId="0" fontId="14" fillId="0" borderId="13" xfId="1" applyFont="1" applyFill="1" applyBorder="1" applyAlignment="1">
      <alignment horizontal="center" shrinkToFit="1"/>
    </xf>
    <xf numFmtId="0" fontId="14" fillId="0" borderId="61" xfId="1" applyFont="1" applyFill="1" applyBorder="1" applyAlignment="1">
      <alignment horizontal="center" shrinkToFit="1"/>
    </xf>
    <xf numFmtId="0" fontId="14" fillId="0" borderId="61" xfId="1" applyFont="1" applyFill="1" applyBorder="1" applyAlignment="1">
      <alignment horizontal="center"/>
    </xf>
    <xf numFmtId="0" fontId="29" fillId="0" borderId="61" xfId="1" applyFont="1" applyFill="1" applyBorder="1" applyAlignment="1">
      <alignment horizontal="center"/>
    </xf>
    <xf numFmtId="0" fontId="29" fillId="0" borderId="50" xfId="1" applyFont="1" applyBorder="1" applyAlignment="1">
      <alignment horizontal="center"/>
    </xf>
    <xf numFmtId="0" fontId="29" fillId="0" borderId="15" xfId="1" applyFont="1" applyBorder="1" applyAlignment="1">
      <alignment horizontal="center"/>
    </xf>
    <xf numFmtId="0" fontId="14" fillId="0" borderId="16" xfId="1" applyFont="1" applyFill="1" applyBorder="1" applyAlignment="1">
      <alignment horizontal="center" shrinkToFit="1"/>
    </xf>
    <xf numFmtId="0" fontId="14" fillId="0" borderId="39" xfId="1" applyFont="1" applyFill="1" applyBorder="1" applyAlignment="1">
      <alignment horizontal="center" shrinkToFit="1"/>
    </xf>
    <xf numFmtId="0" fontId="14" fillId="0" borderId="39" xfId="1" applyFont="1" applyFill="1" applyBorder="1" applyAlignment="1">
      <alignment horizontal="center"/>
    </xf>
    <xf numFmtId="0" fontId="29" fillId="0" borderId="39" xfId="1" applyFont="1" applyFill="1" applyBorder="1" applyAlignment="1">
      <alignment horizontal="center"/>
    </xf>
    <xf numFmtId="0" fontId="14" fillId="0" borderId="18" xfId="1" applyFont="1" applyFill="1" applyBorder="1" applyAlignment="1">
      <alignment horizontal="center" shrinkToFit="1"/>
    </xf>
    <xf numFmtId="0" fontId="14" fillId="0" borderId="37" xfId="1" applyFont="1" applyFill="1" applyBorder="1" applyAlignment="1">
      <alignment horizontal="center" shrinkToFit="1"/>
    </xf>
    <xf numFmtId="0" fontId="14" fillId="0" borderId="37" xfId="1" applyFont="1" applyFill="1" applyBorder="1" applyAlignment="1">
      <alignment horizontal="center"/>
    </xf>
    <xf numFmtId="0" fontId="29" fillId="0" borderId="37" xfId="1" applyFont="1" applyFill="1" applyBorder="1" applyAlignment="1">
      <alignment horizontal="center"/>
    </xf>
    <xf numFmtId="0" fontId="29" fillId="0" borderId="38" xfId="1" applyFont="1" applyBorder="1" applyAlignment="1">
      <alignment horizontal="center"/>
    </xf>
    <xf numFmtId="0" fontId="29" fillId="0" borderId="19" xfId="1" applyFont="1" applyBorder="1" applyAlignment="1">
      <alignment horizontal="center"/>
    </xf>
    <xf numFmtId="0" fontId="29" fillId="0" borderId="37" xfId="1" applyFont="1" applyFill="1" applyBorder="1" applyAlignment="1">
      <alignment horizontal="center"/>
    </xf>
    <xf numFmtId="0" fontId="14" fillId="0" borderId="35" xfId="1" applyFont="1" applyFill="1" applyBorder="1" applyAlignment="1">
      <alignment horizontal="center" shrinkToFit="1"/>
    </xf>
    <xf numFmtId="0" fontId="14" fillId="0" borderId="36" xfId="1" applyFont="1" applyFill="1" applyBorder="1" applyAlignment="1">
      <alignment horizontal="center" shrinkToFit="1"/>
    </xf>
    <xf numFmtId="0" fontId="14" fillId="0" borderId="36" xfId="1" applyFont="1" applyFill="1" applyBorder="1" applyAlignment="1">
      <alignment horizontal="center"/>
    </xf>
    <xf numFmtId="0" fontId="29" fillId="0" borderId="36" xfId="1" applyFont="1" applyFill="1" applyBorder="1" applyAlignment="1">
      <alignment horizontal="center"/>
    </xf>
    <xf numFmtId="0" fontId="29" fillId="0" borderId="58" xfId="1" applyFont="1" applyBorder="1" applyAlignment="1">
      <alignment horizontal="center"/>
    </xf>
    <xf numFmtId="0" fontId="29" fillId="0" borderId="55" xfId="1" applyFont="1" applyBorder="1" applyAlignment="1">
      <alignment horizontal="center"/>
    </xf>
    <xf numFmtId="0" fontId="29" fillId="0" borderId="36" xfId="1" applyFont="1" applyFill="1" applyBorder="1" applyAlignment="1">
      <alignment horizontal="center"/>
    </xf>
    <xf numFmtId="0" fontId="2" fillId="12" borderId="21" xfId="1" applyFill="1" applyBorder="1" applyAlignment="1" applyProtection="1">
      <alignment horizontal="center" vertical="center"/>
      <protection locked="0"/>
    </xf>
    <xf numFmtId="0" fontId="2" fillId="13" borderId="2" xfId="1" applyFont="1" applyFill="1" applyBorder="1" applyAlignment="1">
      <alignment horizontal="center"/>
    </xf>
    <xf numFmtId="0" fontId="2" fillId="13" borderId="3" xfId="1" applyFont="1" applyFill="1" applyBorder="1" applyAlignment="1">
      <alignment horizontal="center"/>
    </xf>
    <xf numFmtId="0" fontId="2" fillId="13" borderId="4" xfId="1" applyFont="1" applyFill="1" applyBorder="1" applyAlignment="1">
      <alignment horizontal="center"/>
    </xf>
    <xf numFmtId="0" fontId="2" fillId="12" borderId="30" xfId="1" applyFill="1" applyBorder="1" applyAlignment="1" applyProtection="1">
      <alignment horizontal="center" vertical="center"/>
      <protection locked="0"/>
    </xf>
    <xf numFmtId="0" fontId="10" fillId="3" borderId="2" xfId="1" applyFont="1" applyFill="1" applyBorder="1" applyAlignment="1">
      <alignment horizontal="center"/>
    </xf>
    <xf numFmtId="0" fontId="10" fillId="3" borderId="3" xfId="1" applyFont="1" applyFill="1" applyBorder="1" applyAlignment="1">
      <alignment horizontal="center"/>
    </xf>
    <xf numFmtId="0" fontId="10" fillId="3" borderId="4" xfId="1" applyFont="1" applyFill="1" applyBorder="1" applyAlignment="1">
      <alignment horizontal="center"/>
    </xf>
    <xf numFmtId="0" fontId="2" fillId="3" borderId="3" xfId="1" applyFill="1" applyBorder="1" applyAlignment="1">
      <alignment horizontal="center" shrinkToFit="1"/>
    </xf>
    <xf numFmtId="0" fontId="2" fillId="3" borderId="4" xfId="1" applyFill="1" applyBorder="1" applyAlignment="1">
      <alignment horizontal="center" shrinkToFit="1"/>
    </xf>
    <xf numFmtId="0" fontId="16" fillId="0" borderId="13" xfId="1" applyFont="1" applyFill="1" applyBorder="1" applyAlignment="1">
      <alignment horizontal="center" shrinkToFit="1"/>
    </xf>
    <xf numFmtId="0" fontId="16" fillId="0" borderId="61" xfId="1" applyFont="1" applyFill="1" applyBorder="1" applyAlignment="1">
      <alignment horizontal="center" shrinkToFit="1"/>
    </xf>
    <xf numFmtId="0" fontId="16" fillId="0" borderId="61" xfId="1" applyFont="1" applyFill="1" applyBorder="1" applyAlignment="1">
      <alignment horizontal="center"/>
    </xf>
    <xf numFmtId="0" fontId="16" fillId="0" borderId="15" xfId="1" applyFont="1" applyFill="1" applyBorder="1" applyAlignment="1">
      <alignment horizontal="center"/>
    </xf>
    <xf numFmtId="0" fontId="16" fillId="0" borderId="13" xfId="1" applyFont="1" applyBorder="1" applyAlignment="1">
      <alignment horizontal="center" shrinkToFit="1"/>
    </xf>
    <xf numFmtId="0" fontId="16" fillId="0" borderId="61" xfId="1" applyFont="1" applyBorder="1" applyAlignment="1">
      <alignment horizontal="center" shrinkToFit="1"/>
    </xf>
    <xf numFmtId="0" fontId="16" fillId="0" borderId="61" xfId="1" applyFont="1" applyBorder="1" applyAlignment="1">
      <alignment horizontal="center"/>
    </xf>
    <xf numFmtId="0" fontId="16" fillId="0" borderId="15" xfId="1" applyFont="1" applyBorder="1" applyAlignment="1">
      <alignment horizontal="center"/>
    </xf>
    <xf numFmtId="0" fontId="16" fillId="0" borderId="52" xfId="1" applyFont="1" applyBorder="1" applyAlignment="1">
      <alignment horizontal="center" shrinkToFit="1"/>
    </xf>
    <xf numFmtId="0" fontId="16" fillId="0" borderId="18" xfId="1" applyFont="1" applyBorder="1" applyAlignment="1">
      <alignment horizontal="center" shrinkToFit="1"/>
    </xf>
    <xf numFmtId="0" fontId="16" fillId="0" borderId="37" xfId="1" applyFont="1" applyBorder="1" applyAlignment="1">
      <alignment horizontal="center" shrinkToFit="1"/>
    </xf>
    <xf numFmtId="0" fontId="16" fillId="0" borderId="37" xfId="1" applyFont="1" applyBorder="1" applyAlignment="1">
      <alignment horizontal="center"/>
    </xf>
    <xf numFmtId="0" fontId="16" fillId="0" borderId="19" xfId="1" applyFont="1" applyBorder="1" applyAlignment="1">
      <alignment horizontal="center"/>
    </xf>
    <xf numFmtId="0" fontId="16" fillId="0" borderId="54" xfId="1" applyFont="1" applyBorder="1" applyAlignment="1">
      <alignment horizontal="center" shrinkToFit="1"/>
    </xf>
    <xf numFmtId="0" fontId="16" fillId="0" borderId="33" xfId="1" applyFont="1" applyFill="1" applyBorder="1" applyAlignment="1">
      <alignment horizontal="center" shrinkToFit="1"/>
    </xf>
    <xf numFmtId="0" fontId="2" fillId="0" borderId="0" xfId="1" applyFill="1" applyAlignment="1">
      <alignment horizontal="center"/>
    </xf>
    <xf numFmtId="0" fontId="2" fillId="0" borderId="0" xfId="1" applyBorder="1" applyAlignment="1">
      <alignment shrinkToFit="1"/>
    </xf>
    <xf numFmtId="0" fontId="10" fillId="0" borderId="0" xfId="1" applyFont="1" applyFill="1" applyBorder="1" applyAlignment="1">
      <alignment horizontal="right"/>
    </xf>
    <xf numFmtId="0" fontId="18" fillId="0" borderId="0" xfId="1" applyFont="1" applyFill="1" applyBorder="1" applyAlignment="1" applyProtection="1">
      <alignment vertical="center"/>
      <protection locked="0"/>
    </xf>
    <xf numFmtId="0" fontId="2" fillId="37" borderId="15" xfId="1" applyFill="1" applyBorder="1" applyAlignment="1" applyProtection="1">
      <alignment horizontal="center"/>
      <protection locked="0"/>
    </xf>
  </cellXfs>
  <cellStyles count="45">
    <cellStyle name="20% - Accent1 2" xfId="5"/>
    <cellStyle name="20% - Accent2 2" xfId="6"/>
    <cellStyle name="20% - Accent3 2" xfId="7"/>
    <cellStyle name="20% - Accent4 2" xfId="8"/>
    <cellStyle name="20% - Accent5 2" xfId="9"/>
    <cellStyle name="20% - Accent6 2" xfId="10"/>
    <cellStyle name="40% - Accent1 2" xfId="11"/>
    <cellStyle name="40% - Accent2 2" xfId="12"/>
    <cellStyle name="40% - Accent3 2" xfId="13"/>
    <cellStyle name="40% - Accent4 2" xfId="14"/>
    <cellStyle name="40% - Accent5 2" xfId="15"/>
    <cellStyle name="40% - Accent6 2" xfId="16"/>
    <cellStyle name="60% - Accent1 2" xfId="17"/>
    <cellStyle name="60% - Accent1 3" xfId="18"/>
    <cellStyle name="60% - Accent2 2" xfId="19"/>
    <cellStyle name="60% - Accent2 3" xfId="20"/>
    <cellStyle name="60% - Accent3 2" xfId="21"/>
    <cellStyle name="60% - Accent3 3" xfId="22"/>
    <cellStyle name="60% - Accent4 2" xfId="23"/>
    <cellStyle name="60% - Accent4 3" xfId="24"/>
    <cellStyle name="60% - Accent5 2" xfId="25"/>
    <cellStyle name="60% - Accent5 3" xfId="26"/>
    <cellStyle name="60% - Accent6 2" xfId="27"/>
    <cellStyle name="60% - Accent6 3" xfId="28"/>
    <cellStyle name="Currency 2" xfId="2"/>
    <cellStyle name="Currency 2 2" xfId="29"/>
    <cellStyle name="Hyperlink 2" xfId="30"/>
    <cellStyle name="Hyperlink 3" xfId="31"/>
    <cellStyle name="Neutral 2" xfId="32"/>
    <cellStyle name="Normal" xfId="0" builtinId="0"/>
    <cellStyle name="Normal 2" xfId="33"/>
    <cellStyle name="Normal 2 2" xfId="3"/>
    <cellStyle name="Normal 2 2 2" xfId="1"/>
    <cellStyle name="Normal 2 2 2 2" xfId="34"/>
    <cellStyle name="Normal 2 3" xfId="35"/>
    <cellStyle name="Normal 3" xfId="36"/>
    <cellStyle name="Normal 4" xfId="37"/>
    <cellStyle name="Normal 4 2" xfId="38"/>
    <cellStyle name="Normal 5" xfId="39"/>
    <cellStyle name="Normal 6" xfId="40"/>
    <cellStyle name="Normal 7" xfId="41"/>
    <cellStyle name="Normal 8" xfId="42"/>
    <cellStyle name="Normal 9" xfId="4"/>
    <cellStyle name="Note 2" xfId="43"/>
    <cellStyle name="Title 2" xfId="44"/>
  </cellStyles>
  <dxfs count="5200"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ont>
        <color theme="0"/>
      </font>
      <fill>
        <patternFill patternType="none">
          <bgColor indexed="65"/>
        </patternFill>
      </fill>
    </dxf>
    <dxf>
      <font>
        <color theme="0"/>
      </font>
      <fill>
        <patternFill patternType="none">
          <bgColor indexed="6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ill>
        <patternFill>
          <bgColor indexed="55"/>
        </patternFill>
      </fill>
    </dxf>
    <dxf>
      <fill>
        <patternFill>
          <bgColor indexed="55"/>
        </patternFill>
      </fill>
    </dxf>
    <dxf>
      <fill>
        <patternFill>
          <bgColor indexed="55"/>
        </patternFill>
      </fill>
    </dxf>
    <dxf>
      <fill>
        <patternFill>
          <bgColor indexed="55"/>
        </patternFill>
      </fill>
    </dxf>
    <dxf>
      <fill>
        <patternFill>
          <bgColor indexed="55"/>
        </patternFill>
      </fill>
    </dxf>
    <dxf>
      <font>
        <color theme="0"/>
      </font>
      <fill>
        <patternFill patternType="none">
          <bgColor indexed="65"/>
        </patternFill>
      </fill>
    </dxf>
    <dxf>
      <font>
        <color theme="0"/>
      </font>
      <fill>
        <patternFill patternType="none">
          <bgColor indexed="65"/>
        </patternFill>
      </fill>
    </dxf>
    <dxf>
      <font>
        <color theme="0"/>
      </font>
      <fill>
        <patternFill patternType="none">
          <bgColor indexed="6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ill>
        <patternFill>
          <bgColor indexed="55"/>
        </patternFill>
      </fill>
    </dxf>
    <dxf>
      <fill>
        <patternFill>
          <bgColor indexed="55"/>
        </patternFill>
      </fill>
    </dxf>
    <dxf>
      <fill>
        <patternFill>
          <bgColor indexed="55"/>
        </patternFill>
      </fill>
    </dxf>
    <dxf>
      <fill>
        <patternFill>
          <bgColor indexed="55"/>
        </patternFill>
      </fill>
    </dxf>
    <dxf>
      <fill>
        <patternFill>
          <bgColor indexed="55"/>
        </patternFill>
      </fill>
    </dxf>
    <dxf>
      <font>
        <color theme="0"/>
      </font>
      <fill>
        <patternFill patternType="none">
          <bgColor indexed="65"/>
        </patternFill>
      </fill>
    </dxf>
    <dxf>
      <font>
        <color theme="0"/>
      </font>
      <fill>
        <patternFill patternType="none">
          <bgColor indexed="6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ill>
        <patternFill>
          <bgColor indexed="55"/>
        </patternFill>
      </fill>
    </dxf>
    <dxf>
      <fill>
        <patternFill>
          <bgColor indexed="55"/>
        </patternFill>
      </fill>
    </dxf>
    <dxf>
      <fill>
        <patternFill>
          <bgColor indexed="55"/>
        </patternFill>
      </fill>
    </dxf>
    <dxf>
      <fill>
        <patternFill>
          <bgColor indexed="55"/>
        </patternFill>
      </fill>
    </dxf>
    <dxf>
      <fill>
        <patternFill>
          <bgColor indexed="55"/>
        </patternFill>
      </fill>
    </dxf>
    <dxf>
      <font>
        <color theme="0"/>
      </font>
      <fill>
        <patternFill patternType="none">
          <bgColor indexed="65"/>
        </patternFill>
      </fill>
    </dxf>
    <dxf>
      <font>
        <color theme="0"/>
      </font>
      <fill>
        <patternFill patternType="none">
          <bgColor indexed="6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ill>
        <patternFill>
          <bgColor indexed="55"/>
        </patternFill>
      </fill>
    </dxf>
    <dxf>
      <fill>
        <patternFill>
          <bgColor indexed="55"/>
        </patternFill>
      </fill>
    </dxf>
    <dxf>
      <fill>
        <patternFill>
          <bgColor indexed="55"/>
        </patternFill>
      </fill>
    </dxf>
    <dxf>
      <fill>
        <patternFill>
          <bgColor indexed="55"/>
        </patternFill>
      </fill>
    </dxf>
    <dxf>
      <fill>
        <patternFill>
          <bgColor indexed="55"/>
        </patternFill>
      </fill>
    </dxf>
    <dxf>
      <font>
        <color theme="0"/>
      </font>
      <fill>
        <patternFill patternType="none">
          <bgColor indexed="65"/>
        </patternFill>
      </fill>
    </dxf>
    <dxf>
      <font>
        <color theme="0"/>
      </font>
      <fill>
        <patternFill patternType="none">
          <bgColor indexed="65"/>
        </patternFill>
      </fill>
    </dxf>
    <dxf>
      <font>
        <color theme="0"/>
      </font>
      <fill>
        <patternFill patternType="none">
          <bgColor indexed="65"/>
        </patternFill>
      </fill>
    </dxf>
    <dxf>
      <font>
        <color theme="0"/>
      </font>
      <fill>
        <patternFill patternType="none">
          <bgColor indexed="6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ill>
        <patternFill>
          <bgColor indexed="55"/>
        </patternFill>
      </fill>
    </dxf>
    <dxf>
      <fill>
        <patternFill>
          <bgColor indexed="55"/>
        </patternFill>
      </fill>
    </dxf>
    <dxf>
      <fill>
        <patternFill>
          <bgColor indexed="55"/>
        </patternFill>
      </fill>
    </dxf>
    <dxf>
      <fill>
        <patternFill>
          <bgColor indexed="55"/>
        </patternFill>
      </fill>
    </dxf>
    <dxf>
      <fill>
        <patternFill>
          <bgColor indexed="55"/>
        </patternFill>
      </fill>
    </dxf>
    <dxf>
      <font>
        <color theme="0"/>
      </font>
      <fill>
        <patternFill patternType="none">
          <bgColor indexed="65"/>
        </patternFill>
      </fill>
    </dxf>
    <dxf>
      <font>
        <color theme="0"/>
      </font>
      <fill>
        <patternFill patternType="none">
          <bgColor indexed="65"/>
        </patternFill>
      </fill>
    </dxf>
    <dxf>
      <font>
        <color theme="0"/>
      </font>
      <fill>
        <patternFill patternType="none">
          <bgColor indexed="65"/>
        </patternFill>
      </fill>
    </dxf>
    <dxf>
      <font>
        <color theme="0"/>
      </font>
      <fill>
        <patternFill patternType="none">
          <bgColor indexed="6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ill>
        <patternFill>
          <bgColor indexed="55"/>
        </patternFill>
      </fill>
    </dxf>
    <dxf>
      <fill>
        <patternFill>
          <bgColor indexed="55"/>
        </patternFill>
      </fill>
    </dxf>
    <dxf>
      <fill>
        <patternFill>
          <bgColor indexed="55"/>
        </patternFill>
      </fill>
    </dxf>
    <dxf>
      <fill>
        <patternFill>
          <bgColor indexed="55"/>
        </patternFill>
      </fill>
    </dxf>
    <dxf>
      <fill>
        <patternFill>
          <bgColor indexed="55"/>
        </patternFill>
      </fill>
    </dxf>
    <dxf>
      <font>
        <color theme="0"/>
      </font>
      <fill>
        <patternFill patternType="none">
          <bgColor indexed="65"/>
        </patternFill>
      </fill>
    </dxf>
    <dxf>
      <font>
        <color theme="0"/>
      </font>
      <fill>
        <patternFill patternType="none">
          <bgColor indexed="6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ill>
        <patternFill>
          <bgColor indexed="55"/>
        </patternFill>
      </fill>
    </dxf>
    <dxf>
      <fill>
        <patternFill>
          <bgColor indexed="55"/>
        </patternFill>
      </fill>
    </dxf>
    <dxf>
      <fill>
        <patternFill>
          <bgColor indexed="55"/>
        </patternFill>
      </fill>
    </dxf>
    <dxf>
      <fill>
        <patternFill>
          <bgColor indexed="55"/>
        </patternFill>
      </fill>
    </dxf>
    <dxf>
      <fill>
        <patternFill>
          <bgColor indexed="55"/>
        </patternFill>
      </fill>
    </dxf>
    <dxf>
      <font>
        <color theme="0"/>
      </font>
      <fill>
        <patternFill patternType="none">
          <bgColor indexed="6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ill>
        <patternFill>
          <bgColor indexed="55"/>
        </patternFill>
      </fill>
    </dxf>
    <dxf>
      <fill>
        <patternFill>
          <bgColor indexed="55"/>
        </patternFill>
      </fill>
    </dxf>
    <dxf>
      <fill>
        <patternFill>
          <bgColor indexed="55"/>
        </patternFill>
      </fill>
    </dxf>
    <dxf>
      <fill>
        <patternFill>
          <bgColor indexed="55"/>
        </patternFill>
      </fill>
    </dxf>
    <dxf>
      <fill>
        <patternFill>
          <bgColor indexed="5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18" Type="http://schemas.openxmlformats.org/officeDocument/2006/relationships/externalLink" Target="externalLinks/externalLink6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9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5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4.xml"/><Relationship Id="rId20" Type="http://schemas.openxmlformats.org/officeDocument/2006/relationships/externalLink" Target="externalLinks/externalLink8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3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7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2.xml"/><Relationship Id="rId22" Type="http://schemas.openxmlformats.org/officeDocument/2006/relationships/theme" Target="theme/theme1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10.xml.rels><?xml version="1.0" encoding="UTF-8" standalone="yes"?>
<Relationships xmlns="http://schemas.openxmlformats.org/package/2006/relationships"><Relationship Id="rId1" Type="http://schemas.microsoft.com/office/2006/relationships/activeXControlBinary" Target="activeX10.bin"/></Relationships>
</file>

<file path=xl/activeX/_rels/activeX11.xml.rels><?xml version="1.0" encoding="UTF-8" standalone="yes"?>
<Relationships xmlns="http://schemas.openxmlformats.org/package/2006/relationships"><Relationship Id="rId1" Type="http://schemas.microsoft.com/office/2006/relationships/activeXControlBinary" Target="activeX11.bin"/></Relationships>
</file>

<file path=xl/activeX/_rels/activeX12.xml.rels><?xml version="1.0" encoding="UTF-8" standalone="yes"?>
<Relationships xmlns="http://schemas.openxmlformats.org/package/2006/relationships"><Relationship Id="rId1" Type="http://schemas.microsoft.com/office/2006/relationships/activeXControlBinary" Target="activeX12.bin"/></Relationships>
</file>

<file path=xl/activeX/_rels/activeX13.xml.rels><?xml version="1.0" encoding="UTF-8" standalone="yes"?>
<Relationships xmlns="http://schemas.openxmlformats.org/package/2006/relationships"><Relationship Id="rId1" Type="http://schemas.microsoft.com/office/2006/relationships/activeXControlBinary" Target="activeX13.bin"/></Relationships>
</file>

<file path=xl/activeX/_rels/activeX14.xml.rels><?xml version="1.0" encoding="UTF-8" standalone="yes"?>
<Relationships xmlns="http://schemas.openxmlformats.org/package/2006/relationships"><Relationship Id="rId1" Type="http://schemas.microsoft.com/office/2006/relationships/activeXControlBinary" Target="activeX14.bin"/></Relationships>
</file>

<file path=xl/activeX/_rels/activeX15.xml.rels><?xml version="1.0" encoding="UTF-8" standalone="yes"?>
<Relationships xmlns="http://schemas.openxmlformats.org/package/2006/relationships"><Relationship Id="rId1" Type="http://schemas.microsoft.com/office/2006/relationships/activeXControlBinary" Target="activeX15.bin"/></Relationships>
</file>

<file path=xl/activeX/_rels/activeX16.xml.rels><?xml version="1.0" encoding="UTF-8" standalone="yes"?>
<Relationships xmlns="http://schemas.openxmlformats.org/package/2006/relationships"><Relationship Id="rId1" Type="http://schemas.microsoft.com/office/2006/relationships/activeXControlBinary" Target="activeX16.bin"/></Relationships>
</file>

<file path=xl/activeX/_rels/activeX17.xml.rels><?xml version="1.0" encoding="UTF-8" standalone="yes"?>
<Relationships xmlns="http://schemas.openxmlformats.org/package/2006/relationships"><Relationship Id="rId1" Type="http://schemas.microsoft.com/office/2006/relationships/activeXControlBinary" Target="activeX17.bin"/></Relationships>
</file>

<file path=xl/activeX/_rels/activeX18.xml.rels><?xml version="1.0" encoding="UTF-8" standalone="yes"?>
<Relationships xmlns="http://schemas.openxmlformats.org/package/2006/relationships"><Relationship Id="rId1" Type="http://schemas.microsoft.com/office/2006/relationships/activeXControlBinary" Target="activeX18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_rels/activeX3.xml.rels><?xml version="1.0" encoding="UTF-8" standalone="yes"?>
<Relationships xmlns="http://schemas.openxmlformats.org/package/2006/relationships"><Relationship Id="rId1" Type="http://schemas.microsoft.com/office/2006/relationships/activeXControlBinary" Target="activeX3.bin"/></Relationships>
</file>

<file path=xl/activeX/_rels/activeX4.xml.rels><?xml version="1.0" encoding="UTF-8" standalone="yes"?>
<Relationships xmlns="http://schemas.openxmlformats.org/package/2006/relationships"><Relationship Id="rId1" Type="http://schemas.microsoft.com/office/2006/relationships/activeXControlBinary" Target="activeX4.bin"/></Relationships>
</file>

<file path=xl/activeX/_rels/activeX5.xml.rels><?xml version="1.0" encoding="UTF-8" standalone="yes"?>
<Relationships xmlns="http://schemas.openxmlformats.org/package/2006/relationships"><Relationship Id="rId1" Type="http://schemas.microsoft.com/office/2006/relationships/activeXControlBinary" Target="activeX5.bin"/></Relationships>
</file>

<file path=xl/activeX/_rels/activeX6.xml.rels><?xml version="1.0" encoding="UTF-8" standalone="yes"?>
<Relationships xmlns="http://schemas.openxmlformats.org/package/2006/relationships"><Relationship Id="rId1" Type="http://schemas.microsoft.com/office/2006/relationships/activeXControlBinary" Target="activeX6.bin"/></Relationships>
</file>

<file path=xl/activeX/_rels/activeX7.xml.rels><?xml version="1.0" encoding="UTF-8" standalone="yes"?>
<Relationships xmlns="http://schemas.openxmlformats.org/package/2006/relationships"><Relationship Id="rId1" Type="http://schemas.microsoft.com/office/2006/relationships/activeXControlBinary" Target="activeX7.bin"/></Relationships>
</file>

<file path=xl/activeX/_rels/activeX8.xml.rels><?xml version="1.0" encoding="UTF-8" standalone="yes"?>
<Relationships xmlns="http://schemas.openxmlformats.org/package/2006/relationships"><Relationship Id="rId1" Type="http://schemas.microsoft.com/office/2006/relationships/activeXControlBinary" Target="activeX8.bin"/></Relationships>
</file>

<file path=xl/activeX/_rels/activeX9.xml.rels><?xml version="1.0" encoding="UTF-8" standalone="yes"?>
<Relationships xmlns="http://schemas.openxmlformats.org/package/2006/relationships"><Relationship Id="rId1" Type="http://schemas.microsoft.com/office/2006/relationships/activeXControlBinary" Target="activeX9.bin"/></Relationships>
</file>

<file path=xl/activeX/activeX1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10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11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12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13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14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15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16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17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18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2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3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4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5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6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7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8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9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jpeg"/><Relationship Id="rId1" Type="http://schemas.openxmlformats.org/officeDocument/2006/relationships/image" Target="../media/image5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5.jpe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9.jpeg"/><Relationship Id="rId1" Type="http://schemas.openxmlformats.org/officeDocument/2006/relationships/image" Target="../media/image28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emf"/><Relationship Id="rId1" Type="http://schemas.openxmlformats.org/officeDocument/2006/relationships/image" Target="../media/image3.emf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8.emf"/><Relationship Id="rId2" Type="http://schemas.openxmlformats.org/officeDocument/2006/relationships/image" Target="../media/image9.emf"/><Relationship Id="rId1" Type="http://schemas.openxmlformats.org/officeDocument/2006/relationships/image" Target="../media/image10.emf"/><Relationship Id="rId4" Type="http://schemas.openxmlformats.org/officeDocument/2006/relationships/image" Target="../media/image7.emf"/></Relationships>
</file>

<file path=xl/drawings/_rels/vmlDrawing4.vml.rels><?xml version="1.0" encoding="UTF-8" standalone="yes"?>
<Relationships xmlns="http://schemas.openxmlformats.org/package/2006/relationships"><Relationship Id="rId3" Type="http://schemas.openxmlformats.org/officeDocument/2006/relationships/image" Target="../media/image13.emf"/><Relationship Id="rId2" Type="http://schemas.openxmlformats.org/officeDocument/2006/relationships/image" Target="../media/image14.emf"/><Relationship Id="rId1" Type="http://schemas.openxmlformats.org/officeDocument/2006/relationships/image" Target="../media/image15.emf"/><Relationship Id="rId4" Type="http://schemas.openxmlformats.org/officeDocument/2006/relationships/image" Target="../media/image12.emf"/></Relationships>
</file>

<file path=xl/drawings/_rels/vmlDrawing5.vml.rels><?xml version="1.0" encoding="UTF-8" standalone="yes"?>
<Relationships xmlns="http://schemas.openxmlformats.org/package/2006/relationships"><Relationship Id="rId2" Type="http://schemas.openxmlformats.org/officeDocument/2006/relationships/image" Target="../media/image16.emf"/><Relationship Id="rId1" Type="http://schemas.openxmlformats.org/officeDocument/2006/relationships/image" Target="../media/image17.emf"/></Relationships>
</file>

<file path=xl/drawings/_rels/vmlDrawing6.vml.rels><?xml version="1.0" encoding="UTF-8" standalone="yes"?>
<Relationships xmlns="http://schemas.openxmlformats.org/package/2006/relationships"><Relationship Id="rId2" Type="http://schemas.openxmlformats.org/officeDocument/2006/relationships/image" Target="../media/image21.emf"/><Relationship Id="rId1" Type="http://schemas.openxmlformats.org/officeDocument/2006/relationships/image" Target="../media/image20.emf"/></Relationships>
</file>

<file path=xl/drawings/_rels/vmlDrawing7.vml.rels><?xml version="1.0" encoding="UTF-8" standalone="yes"?>
<Relationships xmlns="http://schemas.openxmlformats.org/package/2006/relationships"><Relationship Id="rId3" Type="http://schemas.openxmlformats.org/officeDocument/2006/relationships/image" Target="../media/image22.emf"/><Relationship Id="rId2" Type="http://schemas.openxmlformats.org/officeDocument/2006/relationships/image" Target="../media/image23.emf"/><Relationship Id="rId1" Type="http://schemas.openxmlformats.org/officeDocument/2006/relationships/image" Target="../media/image24.emf"/></Relationships>
</file>

<file path=xl/drawings/_rels/vmlDrawing8.vml.rels><?xml version="1.0" encoding="UTF-8" standalone="yes"?>
<Relationships xmlns="http://schemas.openxmlformats.org/package/2006/relationships"><Relationship Id="rId2" Type="http://schemas.openxmlformats.org/officeDocument/2006/relationships/image" Target="../media/image26.emf"/><Relationship Id="rId1" Type="http://schemas.openxmlformats.org/officeDocument/2006/relationships/image" Target="../media/image27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571500</xdr:colOff>
      <xdr:row>0</xdr:row>
      <xdr:rowOff>0</xdr:rowOff>
    </xdr:from>
    <xdr:to>
      <xdr:col>10</xdr:col>
      <xdr:colOff>381000</xdr:colOff>
      <xdr:row>0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1885950" y="0"/>
          <a:ext cx="8953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571500</xdr:colOff>
      <xdr:row>0</xdr:row>
      <xdr:rowOff>0</xdr:rowOff>
    </xdr:from>
    <xdr:to>
      <xdr:col>12</xdr:col>
      <xdr:colOff>381000</xdr:colOff>
      <xdr:row>0</xdr:row>
      <xdr:rowOff>0</xdr:rowOff>
    </xdr:to>
    <xdr:sp macro="" textlink="">
      <xdr:nvSpPr>
        <xdr:cNvPr id="3" name="Line 2"/>
        <xdr:cNvSpPr>
          <a:spLocks noChangeShapeType="1"/>
        </xdr:cNvSpPr>
      </xdr:nvSpPr>
      <xdr:spPr bwMode="auto">
        <a:xfrm>
          <a:off x="2286000" y="0"/>
          <a:ext cx="8953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571500</xdr:colOff>
      <xdr:row>0</xdr:row>
      <xdr:rowOff>0</xdr:rowOff>
    </xdr:from>
    <xdr:to>
      <xdr:col>14</xdr:col>
      <xdr:colOff>381000</xdr:colOff>
      <xdr:row>0</xdr:row>
      <xdr:rowOff>0</xdr:rowOff>
    </xdr:to>
    <xdr:sp macro="" textlink="">
      <xdr:nvSpPr>
        <xdr:cNvPr id="4" name="Line 3"/>
        <xdr:cNvSpPr>
          <a:spLocks noChangeShapeType="1"/>
        </xdr:cNvSpPr>
      </xdr:nvSpPr>
      <xdr:spPr bwMode="auto">
        <a:xfrm>
          <a:off x="2781300" y="0"/>
          <a:ext cx="8001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15</xdr:col>
      <xdr:colOff>180975</xdr:colOff>
      <xdr:row>137</xdr:row>
      <xdr:rowOff>19050</xdr:rowOff>
    </xdr:from>
    <xdr:to>
      <xdr:col>17</xdr:col>
      <xdr:colOff>85725</xdr:colOff>
      <xdr:row>139</xdr:row>
      <xdr:rowOff>0</xdr:rowOff>
    </xdr:to>
    <xdr:pic>
      <xdr:nvPicPr>
        <xdr:cNvPr id="5" name="Picture 4" descr="SCMAP-USAVOLLEYBALL_c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62375" y="14201775"/>
          <a:ext cx="40005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36</xdr:col>
          <xdr:colOff>104775</xdr:colOff>
          <xdr:row>13</xdr:row>
          <xdr:rowOff>9525</xdr:rowOff>
        </xdr:from>
        <xdr:to>
          <xdr:col>41</xdr:col>
          <xdr:colOff>228600</xdr:colOff>
          <xdr:row>16</xdr:row>
          <xdr:rowOff>104775</xdr:rowOff>
        </xdr:to>
        <xdr:sp macro="" textlink="">
          <xdr:nvSpPr>
            <xdr:cNvPr id="10241" name="Pool1RecalcFinish" hidden="1">
              <a:extLst>
                <a:ext uri="{63B3BB69-23CF-44E3-9099-C40C66FF867C}">
                  <a14:compatExt spid="_x0000_s102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571500</xdr:colOff>
      <xdr:row>0</xdr:row>
      <xdr:rowOff>0</xdr:rowOff>
    </xdr:from>
    <xdr:to>
      <xdr:col>10</xdr:col>
      <xdr:colOff>381000</xdr:colOff>
      <xdr:row>0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1885950" y="0"/>
          <a:ext cx="8953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571500</xdr:colOff>
      <xdr:row>0</xdr:row>
      <xdr:rowOff>0</xdr:rowOff>
    </xdr:from>
    <xdr:to>
      <xdr:col>12</xdr:col>
      <xdr:colOff>381000</xdr:colOff>
      <xdr:row>0</xdr:row>
      <xdr:rowOff>0</xdr:rowOff>
    </xdr:to>
    <xdr:sp macro="" textlink="">
      <xdr:nvSpPr>
        <xdr:cNvPr id="3" name="Line 2"/>
        <xdr:cNvSpPr>
          <a:spLocks noChangeShapeType="1"/>
        </xdr:cNvSpPr>
      </xdr:nvSpPr>
      <xdr:spPr bwMode="auto">
        <a:xfrm>
          <a:off x="2286000" y="0"/>
          <a:ext cx="8953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571500</xdr:colOff>
      <xdr:row>0</xdr:row>
      <xdr:rowOff>0</xdr:rowOff>
    </xdr:from>
    <xdr:to>
      <xdr:col>14</xdr:col>
      <xdr:colOff>381000</xdr:colOff>
      <xdr:row>0</xdr:row>
      <xdr:rowOff>0</xdr:rowOff>
    </xdr:to>
    <xdr:sp macro="" textlink="">
      <xdr:nvSpPr>
        <xdr:cNvPr id="4" name="Line 3"/>
        <xdr:cNvSpPr>
          <a:spLocks noChangeShapeType="1"/>
        </xdr:cNvSpPr>
      </xdr:nvSpPr>
      <xdr:spPr bwMode="auto">
        <a:xfrm>
          <a:off x="2781300" y="0"/>
          <a:ext cx="8001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35</xdr:col>
      <xdr:colOff>47625</xdr:colOff>
      <xdr:row>223</xdr:row>
      <xdr:rowOff>142875</xdr:rowOff>
    </xdr:from>
    <xdr:to>
      <xdr:col>36</xdr:col>
      <xdr:colOff>152400</xdr:colOff>
      <xdr:row>233</xdr:row>
      <xdr:rowOff>66675</xdr:rowOff>
    </xdr:to>
    <xdr:pic>
      <xdr:nvPicPr>
        <xdr:cNvPr id="5" name="Picture 4" descr="SCMAP-USAVOLLEYBALL_c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05825" y="20135850"/>
          <a:ext cx="3524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35</xdr:col>
      <xdr:colOff>19050</xdr:colOff>
      <xdr:row>224</xdr:row>
      <xdr:rowOff>0</xdr:rowOff>
    </xdr:from>
    <xdr:to>
      <xdr:col>36</xdr:col>
      <xdr:colOff>114300</xdr:colOff>
      <xdr:row>233</xdr:row>
      <xdr:rowOff>85725</xdr:rowOff>
    </xdr:to>
    <xdr:pic>
      <xdr:nvPicPr>
        <xdr:cNvPr id="6" name="Picture 7" descr="SCMAP-USAVOLLEYBALL_c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77250" y="20154900"/>
          <a:ext cx="3429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35</xdr:col>
      <xdr:colOff>19050</xdr:colOff>
      <xdr:row>224</xdr:row>
      <xdr:rowOff>0</xdr:rowOff>
    </xdr:from>
    <xdr:to>
      <xdr:col>36</xdr:col>
      <xdr:colOff>114300</xdr:colOff>
      <xdr:row>233</xdr:row>
      <xdr:rowOff>85725</xdr:rowOff>
    </xdr:to>
    <xdr:pic>
      <xdr:nvPicPr>
        <xdr:cNvPr id="7" name="Picture 8" descr="SCMAP-USAVOLLEYBALL_c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77250" y="20154900"/>
          <a:ext cx="3429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36</xdr:col>
          <xdr:colOff>104775</xdr:colOff>
          <xdr:row>13</xdr:row>
          <xdr:rowOff>9525</xdr:rowOff>
        </xdr:from>
        <xdr:to>
          <xdr:col>41</xdr:col>
          <xdr:colOff>228600</xdr:colOff>
          <xdr:row>16</xdr:row>
          <xdr:rowOff>104775</xdr:rowOff>
        </xdr:to>
        <xdr:sp macro="" textlink="">
          <xdr:nvSpPr>
            <xdr:cNvPr id="1025" name="Pool1RecalcFinish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36</xdr:col>
          <xdr:colOff>104775</xdr:colOff>
          <xdr:row>98</xdr:row>
          <xdr:rowOff>9525</xdr:rowOff>
        </xdr:from>
        <xdr:to>
          <xdr:col>41</xdr:col>
          <xdr:colOff>228600</xdr:colOff>
          <xdr:row>101</xdr:row>
          <xdr:rowOff>104775</xdr:rowOff>
        </xdr:to>
        <xdr:sp macro="" textlink="">
          <xdr:nvSpPr>
            <xdr:cNvPr id="1026" name="Pool2RecalcFinish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571500</xdr:colOff>
      <xdr:row>0</xdr:row>
      <xdr:rowOff>0</xdr:rowOff>
    </xdr:from>
    <xdr:to>
      <xdr:col>10</xdr:col>
      <xdr:colOff>381000</xdr:colOff>
      <xdr:row>0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1885950" y="0"/>
          <a:ext cx="8953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571500</xdr:colOff>
      <xdr:row>0</xdr:row>
      <xdr:rowOff>0</xdr:rowOff>
    </xdr:from>
    <xdr:to>
      <xdr:col>12</xdr:col>
      <xdr:colOff>381000</xdr:colOff>
      <xdr:row>0</xdr:row>
      <xdr:rowOff>0</xdr:rowOff>
    </xdr:to>
    <xdr:sp macro="" textlink="">
      <xdr:nvSpPr>
        <xdr:cNvPr id="3" name="Line 2"/>
        <xdr:cNvSpPr>
          <a:spLocks noChangeShapeType="1"/>
        </xdr:cNvSpPr>
      </xdr:nvSpPr>
      <xdr:spPr bwMode="auto">
        <a:xfrm>
          <a:off x="2286000" y="0"/>
          <a:ext cx="8953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571500</xdr:colOff>
      <xdr:row>0</xdr:row>
      <xdr:rowOff>0</xdr:rowOff>
    </xdr:from>
    <xdr:to>
      <xdr:col>14</xdr:col>
      <xdr:colOff>381000</xdr:colOff>
      <xdr:row>0</xdr:row>
      <xdr:rowOff>0</xdr:rowOff>
    </xdr:to>
    <xdr:sp macro="" textlink="">
      <xdr:nvSpPr>
        <xdr:cNvPr id="4" name="Line 3"/>
        <xdr:cNvSpPr>
          <a:spLocks noChangeShapeType="1"/>
        </xdr:cNvSpPr>
      </xdr:nvSpPr>
      <xdr:spPr bwMode="auto">
        <a:xfrm>
          <a:off x="2781300" y="0"/>
          <a:ext cx="8001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35</xdr:col>
      <xdr:colOff>76200</xdr:colOff>
      <xdr:row>443</xdr:row>
      <xdr:rowOff>19050</xdr:rowOff>
    </xdr:from>
    <xdr:to>
      <xdr:col>36</xdr:col>
      <xdr:colOff>171450</xdr:colOff>
      <xdr:row>444</xdr:row>
      <xdr:rowOff>133350</xdr:rowOff>
    </xdr:to>
    <xdr:pic>
      <xdr:nvPicPr>
        <xdr:cNvPr id="5" name="Picture 6" descr="SCMAP-USAVOLLEYBALL_c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34400" y="37719000"/>
          <a:ext cx="3429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36</xdr:col>
          <xdr:colOff>85725</xdr:colOff>
          <xdr:row>13</xdr:row>
          <xdr:rowOff>9525</xdr:rowOff>
        </xdr:from>
        <xdr:to>
          <xdr:col>41</xdr:col>
          <xdr:colOff>209550</xdr:colOff>
          <xdr:row>16</xdr:row>
          <xdr:rowOff>104775</xdr:rowOff>
        </xdr:to>
        <xdr:sp macro="" textlink="">
          <xdr:nvSpPr>
            <xdr:cNvPr id="2049" name="Pool1RecalcFinish" hidden="1">
              <a:extLst>
                <a:ext uri="{63B3BB69-23CF-44E3-9099-C40C66FF867C}">
                  <a14:compatExt spid="_x0000_s20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36</xdr:col>
          <xdr:colOff>104775</xdr:colOff>
          <xdr:row>97</xdr:row>
          <xdr:rowOff>219075</xdr:rowOff>
        </xdr:from>
        <xdr:to>
          <xdr:col>41</xdr:col>
          <xdr:colOff>228600</xdr:colOff>
          <xdr:row>101</xdr:row>
          <xdr:rowOff>76200</xdr:rowOff>
        </xdr:to>
        <xdr:sp macro="" textlink="">
          <xdr:nvSpPr>
            <xdr:cNvPr id="2050" name="Pool2RecalcFinish" hidden="1">
              <a:extLst>
                <a:ext uri="{63B3BB69-23CF-44E3-9099-C40C66FF867C}">
                  <a14:compatExt spid="_x0000_s20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36</xdr:col>
          <xdr:colOff>104775</xdr:colOff>
          <xdr:row>182</xdr:row>
          <xdr:rowOff>219075</xdr:rowOff>
        </xdr:from>
        <xdr:to>
          <xdr:col>41</xdr:col>
          <xdr:colOff>228600</xdr:colOff>
          <xdr:row>186</xdr:row>
          <xdr:rowOff>76200</xdr:rowOff>
        </xdr:to>
        <xdr:sp macro="" textlink="">
          <xdr:nvSpPr>
            <xdr:cNvPr id="2051" name="Pool3RecalcFinish" hidden="1">
              <a:extLst>
                <a:ext uri="{63B3BB69-23CF-44E3-9099-C40C66FF867C}">
                  <a14:compatExt spid="_x0000_s20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36</xdr:col>
          <xdr:colOff>114300</xdr:colOff>
          <xdr:row>267</xdr:row>
          <xdr:rowOff>228600</xdr:rowOff>
        </xdr:from>
        <xdr:to>
          <xdr:col>41</xdr:col>
          <xdr:colOff>228600</xdr:colOff>
          <xdr:row>271</xdr:row>
          <xdr:rowOff>85725</xdr:rowOff>
        </xdr:to>
        <xdr:sp macro="" textlink="">
          <xdr:nvSpPr>
            <xdr:cNvPr id="2052" name="Pool4RecalcFinish" hidden="1">
              <a:extLst>
                <a:ext uri="{63B3BB69-23CF-44E3-9099-C40C66FF867C}">
                  <a14:compatExt spid="_x0000_s20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571500</xdr:colOff>
      <xdr:row>0</xdr:row>
      <xdr:rowOff>0</xdr:rowOff>
    </xdr:from>
    <xdr:to>
      <xdr:col>10</xdr:col>
      <xdr:colOff>381000</xdr:colOff>
      <xdr:row>0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1885950" y="0"/>
          <a:ext cx="8953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571500</xdr:colOff>
      <xdr:row>0</xdr:row>
      <xdr:rowOff>0</xdr:rowOff>
    </xdr:from>
    <xdr:to>
      <xdr:col>12</xdr:col>
      <xdr:colOff>381000</xdr:colOff>
      <xdr:row>0</xdr:row>
      <xdr:rowOff>0</xdr:rowOff>
    </xdr:to>
    <xdr:sp macro="" textlink="">
      <xdr:nvSpPr>
        <xdr:cNvPr id="3" name="Line 2"/>
        <xdr:cNvSpPr>
          <a:spLocks noChangeShapeType="1"/>
        </xdr:cNvSpPr>
      </xdr:nvSpPr>
      <xdr:spPr bwMode="auto">
        <a:xfrm>
          <a:off x="2286000" y="0"/>
          <a:ext cx="8953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571500</xdr:colOff>
      <xdr:row>0</xdr:row>
      <xdr:rowOff>0</xdr:rowOff>
    </xdr:from>
    <xdr:to>
      <xdr:col>14</xdr:col>
      <xdr:colOff>381000</xdr:colOff>
      <xdr:row>0</xdr:row>
      <xdr:rowOff>0</xdr:rowOff>
    </xdr:to>
    <xdr:sp macro="" textlink="">
      <xdr:nvSpPr>
        <xdr:cNvPr id="4" name="Line 3"/>
        <xdr:cNvSpPr>
          <a:spLocks noChangeShapeType="1"/>
        </xdr:cNvSpPr>
      </xdr:nvSpPr>
      <xdr:spPr bwMode="auto">
        <a:xfrm>
          <a:off x="2781300" y="0"/>
          <a:ext cx="8001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35</xdr:col>
      <xdr:colOff>76200</xdr:colOff>
      <xdr:row>443</xdr:row>
      <xdr:rowOff>19050</xdr:rowOff>
    </xdr:from>
    <xdr:to>
      <xdr:col>36</xdr:col>
      <xdr:colOff>171450</xdr:colOff>
      <xdr:row>444</xdr:row>
      <xdr:rowOff>133350</xdr:rowOff>
    </xdr:to>
    <xdr:pic>
      <xdr:nvPicPr>
        <xdr:cNvPr id="5" name="Picture 7" descr="SCMAP-USAVOLLEYBALL_c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34400" y="37690425"/>
          <a:ext cx="3429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36</xdr:col>
          <xdr:colOff>114300</xdr:colOff>
          <xdr:row>13</xdr:row>
          <xdr:rowOff>0</xdr:rowOff>
        </xdr:from>
        <xdr:to>
          <xdr:col>41</xdr:col>
          <xdr:colOff>228600</xdr:colOff>
          <xdr:row>16</xdr:row>
          <xdr:rowOff>95250</xdr:rowOff>
        </xdr:to>
        <xdr:sp macro="" textlink="">
          <xdr:nvSpPr>
            <xdr:cNvPr id="6145" name="Pool1RecalcFinish" hidden="1">
              <a:extLst>
                <a:ext uri="{63B3BB69-23CF-44E3-9099-C40C66FF867C}">
                  <a14:compatExt spid="_x0000_s61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36</xdr:col>
          <xdr:colOff>114300</xdr:colOff>
          <xdr:row>98</xdr:row>
          <xdr:rowOff>0</xdr:rowOff>
        </xdr:from>
        <xdr:to>
          <xdr:col>41</xdr:col>
          <xdr:colOff>228600</xdr:colOff>
          <xdr:row>101</xdr:row>
          <xdr:rowOff>95250</xdr:rowOff>
        </xdr:to>
        <xdr:sp macro="" textlink="">
          <xdr:nvSpPr>
            <xdr:cNvPr id="6146" name="Pool2RecalcFinish" hidden="1">
              <a:extLst>
                <a:ext uri="{63B3BB69-23CF-44E3-9099-C40C66FF867C}">
                  <a14:compatExt spid="_x0000_s61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36</xdr:col>
          <xdr:colOff>133350</xdr:colOff>
          <xdr:row>183</xdr:row>
          <xdr:rowOff>0</xdr:rowOff>
        </xdr:from>
        <xdr:to>
          <xdr:col>42</xdr:col>
          <xdr:colOff>19050</xdr:colOff>
          <xdr:row>186</xdr:row>
          <xdr:rowOff>95250</xdr:rowOff>
        </xdr:to>
        <xdr:sp macro="" textlink="">
          <xdr:nvSpPr>
            <xdr:cNvPr id="6147" name="Pool3RecalcFinish" hidden="1">
              <a:extLst>
                <a:ext uri="{63B3BB69-23CF-44E3-9099-C40C66FF867C}">
                  <a14:compatExt spid="_x0000_s61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36</xdr:col>
          <xdr:colOff>114300</xdr:colOff>
          <xdr:row>267</xdr:row>
          <xdr:rowOff>219075</xdr:rowOff>
        </xdr:from>
        <xdr:to>
          <xdr:col>41</xdr:col>
          <xdr:colOff>228600</xdr:colOff>
          <xdr:row>271</xdr:row>
          <xdr:rowOff>76200</xdr:rowOff>
        </xdr:to>
        <xdr:sp macro="" textlink="">
          <xdr:nvSpPr>
            <xdr:cNvPr id="6148" name="Pool4RecalcFinish" hidden="1">
              <a:extLst>
                <a:ext uri="{63B3BB69-23CF-44E3-9099-C40C66FF867C}">
                  <a14:compatExt spid="_x0000_s61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552450</xdr:colOff>
      <xdr:row>0</xdr:row>
      <xdr:rowOff>0</xdr:rowOff>
    </xdr:from>
    <xdr:to>
      <xdr:col>10</xdr:col>
      <xdr:colOff>371475</xdr:colOff>
      <xdr:row>0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1866900" y="0"/>
          <a:ext cx="8763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609600</xdr:colOff>
      <xdr:row>0</xdr:row>
      <xdr:rowOff>0</xdr:rowOff>
    </xdr:from>
    <xdr:to>
      <xdr:col>12</xdr:col>
      <xdr:colOff>371475</xdr:colOff>
      <xdr:row>0</xdr:row>
      <xdr:rowOff>0</xdr:rowOff>
    </xdr:to>
    <xdr:sp macro="" textlink="">
      <xdr:nvSpPr>
        <xdr:cNvPr id="3" name="Line 2"/>
        <xdr:cNvSpPr>
          <a:spLocks noChangeShapeType="1"/>
        </xdr:cNvSpPr>
      </xdr:nvSpPr>
      <xdr:spPr bwMode="auto">
        <a:xfrm>
          <a:off x="2266950" y="0"/>
          <a:ext cx="8763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552450</xdr:colOff>
      <xdr:row>0</xdr:row>
      <xdr:rowOff>0</xdr:rowOff>
    </xdr:from>
    <xdr:to>
      <xdr:col>14</xdr:col>
      <xdr:colOff>409575</xdr:colOff>
      <xdr:row>0</xdr:row>
      <xdr:rowOff>0</xdr:rowOff>
    </xdr:to>
    <xdr:sp macro="" textlink="">
      <xdr:nvSpPr>
        <xdr:cNvPr id="4" name="Line 3"/>
        <xdr:cNvSpPr>
          <a:spLocks noChangeShapeType="1"/>
        </xdr:cNvSpPr>
      </xdr:nvSpPr>
      <xdr:spPr bwMode="auto">
        <a:xfrm>
          <a:off x="2743200" y="0"/>
          <a:ext cx="8001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35</xdr:col>
      <xdr:colOff>28575</xdr:colOff>
      <xdr:row>224</xdr:row>
      <xdr:rowOff>0</xdr:rowOff>
    </xdr:from>
    <xdr:to>
      <xdr:col>36</xdr:col>
      <xdr:colOff>104775</xdr:colOff>
      <xdr:row>233</xdr:row>
      <xdr:rowOff>85725</xdr:rowOff>
    </xdr:to>
    <xdr:pic>
      <xdr:nvPicPr>
        <xdr:cNvPr id="5" name="Picture 4" descr="SCMAP-USAVOLLEYBALL_c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53425" y="20107275"/>
          <a:ext cx="3143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36</xdr:col>
          <xdr:colOff>95250</xdr:colOff>
          <xdr:row>13</xdr:row>
          <xdr:rowOff>9525</xdr:rowOff>
        </xdr:from>
        <xdr:to>
          <xdr:col>41</xdr:col>
          <xdr:colOff>209550</xdr:colOff>
          <xdr:row>16</xdr:row>
          <xdr:rowOff>104775</xdr:rowOff>
        </xdr:to>
        <xdr:sp macro="" textlink="">
          <xdr:nvSpPr>
            <xdr:cNvPr id="3073" name="Pool1RecalcFinish" hidden="1">
              <a:extLst>
                <a:ext uri="{63B3BB69-23CF-44E3-9099-C40C66FF867C}">
                  <a14:compatExt spid="_x0000_s30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36</xdr:col>
          <xdr:colOff>95250</xdr:colOff>
          <xdr:row>98</xdr:row>
          <xdr:rowOff>9525</xdr:rowOff>
        </xdr:from>
        <xdr:to>
          <xdr:col>41</xdr:col>
          <xdr:colOff>209550</xdr:colOff>
          <xdr:row>101</xdr:row>
          <xdr:rowOff>104775</xdr:rowOff>
        </xdr:to>
        <xdr:sp macro="" textlink="">
          <xdr:nvSpPr>
            <xdr:cNvPr id="3074" name="Pool2RecalcFinish" hidden="1">
              <a:extLst>
                <a:ext uri="{63B3BB69-23CF-44E3-9099-C40C66FF867C}">
                  <a14:compatExt spid="_x0000_s30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647700</xdr:colOff>
      <xdr:row>0</xdr:row>
      <xdr:rowOff>0</xdr:rowOff>
    </xdr:from>
    <xdr:to>
      <xdr:col>10</xdr:col>
      <xdr:colOff>431800</xdr:colOff>
      <xdr:row>0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1885950" y="0"/>
          <a:ext cx="8985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  <xdr:txBody>
        <a:bodyPr rtlCol="0"/>
        <a:lstStyle/>
        <a:p>
          <a:endParaRPr lang="en-US"/>
        </a:p>
      </xdr:txBody>
    </xdr:sp>
    <xdr:clientData/>
  </xdr:twoCellAnchor>
  <xdr:twoCellAnchor>
    <xdr:from>
      <xdr:col>8</xdr:col>
      <xdr:colOff>673100</xdr:colOff>
      <xdr:row>0</xdr:row>
      <xdr:rowOff>0</xdr:rowOff>
    </xdr:from>
    <xdr:to>
      <xdr:col>12</xdr:col>
      <xdr:colOff>431800</xdr:colOff>
      <xdr:row>0</xdr:row>
      <xdr:rowOff>0</xdr:rowOff>
    </xdr:to>
    <xdr:sp macro="" textlink="">
      <xdr:nvSpPr>
        <xdr:cNvPr id="3" name="Line 2"/>
        <xdr:cNvSpPr>
          <a:spLocks noChangeShapeType="1"/>
        </xdr:cNvSpPr>
      </xdr:nvSpPr>
      <xdr:spPr bwMode="auto">
        <a:xfrm>
          <a:off x="2282825" y="0"/>
          <a:ext cx="9017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  <xdr:txBody>
        <a:bodyPr rtlCol="0"/>
        <a:lstStyle/>
        <a:p>
          <a:endParaRPr lang="en-US"/>
        </a:p>
      </xdr:txBody>
    </xdr:sp>
    <xdr:clientData/>
  </xdr:twoCellAnchor>
  <xdr:twoCellAnchor>
    <xdr:from>
      <xdr:col>10</xdr:col>
      <xdr:colOff>647700</xdr:colOff>
      <xdr:row>0</xdr:row>
      <xdr:rowOff>0</xdr:rowOff>
    </xdr:from>
    <xdr:to>
      <xdr:col>14</xdr:col>
      <xdr:colOff>444500</xdr:colOff>
      <xdr:row>0</xdr:row>
      <xdr:rowOff>0</xdr:rowOff>
    </xdr:to>
    <xdr:sp macro="" textlink="">
      <xdr:nvSpPr>
        <xdr:cNvPr id="4" name="Line 3"/>
        <xdr:cNvSpPr>
          <a:spLocks noChangeShapeType="1"/>
        </xdr:cNvSpPr>
      </xdr:nvSpPr>
      <xdr:spPr bwMode="auto">
        <a:xfrm>
          <a:off x="2781300" y="0"/>
          <a:ext cx="7969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  <xdr:txBody>
        <a:bodyPr rtlCol="0"/>
        <a:lstStyle/>
        <a:p>
          <a:endParaRPr lang="en-US"/>
        </a:p>
      </xdr:txBody>
    </xdr:sp>
    <xdr:clientData/>
  </xdr:twoCellAnchor>
  <xdr:twoCellAnchor editAs="oneCell">
    <xdr:from>
      <xdr:col>35</xdr:col>
      <xdr:colOff>19050</xdr:colOff>
      <xdr:row>224</xdr:row>
      <xdr:rowOff>0</xdr:rowOff>
    </xdr:from>
    <xdr:to>
      <xdr:col>36</xdr:col>
      <xdr:colOff>114300</xdr:colOff>
      <xdr:row>233</xdr:row>
      <xdr:rowOff>85725</xdr:rowOff>
    </xdr:to>
    <xdr:pic>
      <xdr:nvPicPr>
        <xdr:cNvPr id="5" name="Picture 4" descr="SCMAP-USAVOLLEYBALL_c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77250" y="20107275"/>
          <a:ext cx="3429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36</xdr:col>
          <xdr:colOff>104775</xdr:colOff>
          <xdr:row>13</xdr:row>
          <xdr:rowOff>9525</xdr:rowOff>
        </xdr:from>
        <xdr:to>
          <xdr:col>41</xdr:col>
          <xdr:colOff>228600</xdr:colOff>
          <xdr:row>16</xdr:row>
          <xdr:rowOff>104775</xdr:rowOff>
        </xdr:to>
        <xdr:sp macro="" textlink="">
          <xdr:nvSpPr>
            <xdr:cNvPr id="6" name="Pool1RecalcFinish" hidden="1">
              <a:extLst>
                <a:ext uri="{63B3BB69-23CF-44E3-9099-C40C66FF867C}">
                  <a14:compatExt spid="_x0000_s40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36</xdr:col>
          <xdr:colOff>104775</xdr:colOff>
          <xdr:row>98</xdr:row>
          <xdr:rowOff>9525</xdr:rowOff>
        </xdr:from>
        <xdr:to>
          <xdr:col>41</xdr:col>
          <xdr:colOff>228600</xdr:colOff>
          <xdr:row>101</xdr:row>
          <xdr:rowOff>104775</xdr:rowOff>
        </xdr:to>
        <xdr:sp macro="" textlink="">
          <xdr:nvSpPr>
            <xdr:cNvPr id="7" name="Pool2RecalcFinish" hidden="1">
              <a:extLst>
                <a:ext uri="{63B3BB69-23CF-44E3-9099-C40C66FF867C}">
                  <a14:compatExt spid="_x0000_s40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571500</xdr:colOff>
      <xdr:row>0</xdr:row>
      <xdr:rowOff>0</xdr:rowOff>
    </xdr:from>
    <xdr:to>
      <xdr:col>10</xdr:col>
      <xdr:colOff>381000</xdr:colOff>
      <xdr:row>0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1885950" y="0"/>
          <a:ext cx="8953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571500</xdr:colOff>
      <xdr:row>0</xdr:row>
      <xdr:rowOff>0</xdr:rowOff>
    </xdr:from>
    <xdr:to>
      <xdr:col>12</xdr:col>
      <xdr:colOff>381000</xdr:colOff>
      <xdr:row>0</xdr:row>
      <xdr:rowOff>0</xdr:rowOff>
    </xdr:to>
    <xdr:sp macro="" textlink="">
      <xdr:nvSpPr>
        <xdr:cNvPr id="3" name="Line 2"/>
        <xdr:cNvSpPr>
          <a:spLocks noChangeShapeType="1"/>
        </xdr:cNvSpPr>
      </xdr:nvSpPr>
      <xdr:spPr bwMode="auto">
        <a:xfrm>
          <a:off x="2286000" y="0"/>
          <a:ext cx="8953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571500</xdr:colOff>
      <xdr:row>0</xdr:row>
      <xdr:rowOff>0</xdr:rowOff>
    </xdr:from>
    <xdr:to>
      <xdr:col>14</xdr:col>
      <xdr:colOff>381000</xdr:colOff>
      <xdr:row>0</xdr:row>
      <xdr:rowOff>0</xdr:rowOff>
    </xdr:to>
    <xdr:sp macro="" textlink="">
      <xdr:nvSpPr>
        <xdr:cNvPr id="4" name="Line 3"/>
        <xdr:cNvSpPr>
          <a:spLocks noChangeShapeType="1"/>
        </xdr:cNvSpPr>
      </xdr:nvSpPr>
      <xdr:spPr bwMode="auto">
        <a:xfrm>
          <a:off x="2781300" y="0"/>
          <a:ext cx="8001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16</xdr:col>
      <xdr:colOff>28575</xdr:colOff>
      <xdr:row>361</xdr:row>
      <xdr:rowOff>142875</xdr:rowOff>
    </xdr:from>
    <xdr:to>
      <xdr:col>17</xdr:col>
      <xdr:colOff>123825</xdr:colOff>
      <xdr:row>363</xdr:row>
      <xdr:rowOff>85725</xdr:rowOff>
    </xdr:to>
    <xdr:pic>
      <xdr:nvPicPr>
        <xdr:cNvPr id="5" name="Picture 6" descr="SCMAP-USAVOLLEYBALL_c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57625" y="32670750"/>
          <a:ext cx="3429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36</xdr:col>
          <xdr:colOff>104775</xdr:colOff>
          <xdr:row>13</xdr:row>
          <xdr:rowOff>9525</xdr:rowOff>
        </xdr:from>
        <xdr:to>
          <xdr:col>41</xdr:col>
          <xdr:colOff>228600</xdr:colOff>
          <xdr:row>16</xdr:row>
          <xdr:rowOff>104775</xdr:rowOff>
        </xdr:to>
        <xdr:sp macro="" textlink="">
          <xdr:nvSpPr>
            <xdr:cNvPr id="11265" name="Pool1RecalcFinish" hidden="1">
              <a:extLst>
                <a:ext uri="{63B3BB69-23CF-44E3-9099-C40C66FF867C}">
                  <a14:compatExt spid="_x0000_s112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36</xdr:col>
          <xdr:colOff>104775</xdr:colOff>
          <xdr:row>98</xdr:row>
          <xdr:rowOff>9525</xdr:rowOff>
        </xdr:from>
        <xdr:to>
          <xdr:col>41</xdr:col>
          <xdr:colOff>228600</xdr:colOff>
          <xdr:row>101</xdr:row>
          <xdr:rowOff>104775</xdr:rowOff>
        </xdr:to>
        <xdr:sp macro="" textlink="">
          <xdr:nvSpPr>
            <xdr:cNvPr id="11266" name="Pool2RecalcFinish" hidden="1">
              <a:extLst>
                <a:ext uri="{63B3BB69-23CF-44E3-9099-C40C66FF867C}">
                  <a14:compatExt spid="_x0000_s112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36</xdr:col>
          <xdr:colOff>104775</xdr:colOff>
          <xdr:row>183</xdr:row>
          <xdr:rowOff>9525</xdr:rowOff>
        </xdr:from>
        <xdr:to>
          <xdr:col>41</xdr:col>
          <xdr:colOff>228600</xdr:colOff>
          <xdr:row>186</xdr:row>
          <xdr:rowOff>104775</xdr:rowOff>
        </xdr:to>
        <xdr:sp macro="" textlink="">
          <xdr:nvSpPr>
            <xdr:cNvPr id="11267" name="Pool3RecalcFinish" hidden="1">
              <a:extLst>
                <a:ext uri="{63B3BB69-23CF-44E3-9099-C40C66FF867C}">
                  <a14:compatExt spid="_x0000_s112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571500</xdr:colOff>
      <xdr:row>0</xdr:row>
      <xdr:rowOff>0</xdr:rowOff>
    </xdr:from>
    <xdr:to>
      <xdr:col>10</xdr:col>
      <xdr:colOff>381000</xdr:colOff>
      <xdr:row>0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1885950" y="0"/>
          <a:ext cx="8953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571500</xdr:colOff>
      <xdr:row>0</xdr:row>
      <xdr:rowOff>0</xdr:rowOff>
    </xdr:from>
    <xdr:to>
      <xdr:col>12</xdr:col>
      <xdr:colOff>381000</xdr:colOff>
      <xdr:row>0</xdr:row>
      <xdr:rowOff>0</xdr:rowOff>
    </xdr:to>
    <xdr:sp macro="" textlink="">
      <xdr:nvSpPr>
        <xdr:cNvPr id="3" name="Line 2"/>
        <xdr:cNvSpPr>
          <a:spLocks noChangeShapeType="1"/>
        </xdr:cNvSpPr>
      </xdr:nvSpPr>
      <xdr:spPr bwMode="auto">
        <a:xfrm>
          <a:off x="2286000" y="0"/>
          <a:ext cx="8953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571500</xdr:colOff>
      <xdr:row>0</xdr:row>
      <xdr:rowOff>0</xdr:rowOff>
    </xdr:from>
    <xdr:to>
      <xdr:col>14</xdr:col>
      <xdr:colOff>381000</xdr:colOff>
      <xdr:row>0</xdr:row>
      <xdr:rowOff>0</xdr:rowOff>
    </xdr:to>
    <xdr:sp macro="" textlink="">
      <xdr:nvSpPr>
        <xdr:cNvPr id="4" name="Line 3"/>
        <xdr:cNvSpPr>
          <a:spLocks noChangeShapeType="1"/>
        </xdr:cNvSpPr>
      </xdr:nvSpPr>
      <xdr:spPr bwMode="auto">
        <a:xfrm>
          <a:off x="2781300" y="0"/>
          <a:ext cx="8001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35</xdr:col>
      <xdr:colOff>47625</xdr:colOff>
      <xdr:row>223</xdr:row>
      <xdr:rowOff>142875</xdr:rowOff>
    </xdr:from>
    <xdr:to>
      <xdr:col>36</xdr:col>
      <xdr:colOff>152400</xdr:colOff>
      <xdr:row>233</xdr:row>
      <xdr:rowOff>66675</xdr:rowOff>
    </xdr:to>
    <xdr:pic>
      <xdr:nvPicPr>
        <xdr:cNvPr id="5" name="Picture 4" descr="SCMAP-USAVOLLEYBALL_c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05825" y="20135850"/>
          <a:ext cx="3524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35</xdr:col>
      <xdr:colOff>19050</xdr:colOff>
      <xdr:row>224</xdr:row>
      <xdr:rowOff>0</xdr:rowOff>
    </xdr:from>
    <xdr:to>
      <xdr:col>36</xdr:col>
      <xdr:colOff>114300</xdr:colOff>
      <xdr:row>233</xdr:row>
      <xdr:rowOff>85725</xdr:rowOff>
    </xdr:to>
    <xdr:pic>
      <xdr:nvPicPr>
        <xdr:cNvPr id="6" name="Picture 7" descr="SCMAP-USAVOLLEYBALL_c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77250" y="20154900"/>
          <a:ext cx="3429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35</xdr:col>
      <xdr:colOff>19050</xdr:colOff>
      <xdr:row>224</xdr:row>
      <xdr:rowOff>0</xdr:rowOff>
    </xdr:from>
    <xdr:to>
      <xdr:col>36</xdr:col>
      <xdr:colOff>114300</xdr:colOff>
      <xdr:row>233</xdr:row>
      <xdr:rowOff>85725</xdr:rowOff>
    </xdr:to>
    <xdr:pic>
      <xdr:nvPicPr>
        <xdr:cNvPr id="7" name="Picture 8" descr="SCMAP-USAVOLLEYBALL_c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77250" y="20154900"/>
          <a:ext cx="3429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36</xdr:col>
          <xdr:colOff>104775</xdr:colOff>
          <xdr:row>13</xdr:row>
          <xdr:rowOff>9525</xdr:rowOff>
        </xdr:from>
        <xdr:to>
          <xdr:col>41</xdr:col>
          <xdr:colOff>228600</xdr:colOff>
          <xdr:row>16</xdr:row>
          <xdr:rowOff>104775</xdr:rowOff>
        </xdr:to>
        <xdr:sp macro="" textlink="">
          <xdr:nvSpPr>
            <xdr:cNvPr id="12289" name="Pool1RecalcFinish" hidden="1">
              <a:extLst>
                <a:ext uri="{63B3BB69-23CF-44E3-9099-C40C66FF867C}">
                  <a14:compatExt spid="_x0000_s122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36</xdr:col>
          <xdr:colOff>104775</xdr:colOff>
          <xdr:row>98</xdr:row>
          <xdr:rowOff>9525</xdr:rowOff>
        </xdr:from>
        <xdr:to>
          <xdr:col>41</xdr:col>
          <xdr:colOff>228600</xdr:colOff>
          <xdr:row>101</xdr:row>
          <xdr:rowOff>104775</xdr:rowOff>
        </xdr:to>
        <xdr:sp macro="" textlink="">
          <xdr:nvSpPr>
            <xdr:cNvPr id="12290" name="Pool2RecalcFinish" hidden="1">
              <a:extLst>
                <a:ext uri="{63B3BB69-23CF-44E3-9099-C40C66FF867C}">
                  <a14:compatExt spid="_x0000_s122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immy/Downloads/Ranking%20Pool%20Sheet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CSmasterTshirtSales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Michael%20Vahjen/My%20Documents/Email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Michael%20Vahjen/My%20Documents/adult%20regionals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Michael%20Vahjen/My%20Documents/CS02tryouts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Lance/Documents/Volleyball%2017/Ratings/Season/2017-02-18/2017-02-18%20Consolidated.xlsm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palmettoregionvb.org/Documents%20and%20Settings/Michael%20Vahjen/My%20Documents/Email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palmettoregionvb.org/Documents%20and%20Settings/Michael%20Vahjen/My%20Documents/adult%20regionals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palmettoregionvb.org/Documents%20and%20Settings/Michael%20Vahjen/My%20Documents/CS02tryout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ample"/>
      <sheetName val="1 Pool Example"/>
      <sheetName val="2 Pool Example"/>
      <sheetName val="3 Pool 15 tms"/>
      <sheetName val="3 Pool - wide Example"/>
      <sheetName val="4 Pool example"/>
      <sheetName val="Expected Outcomes"/>
    </sheetNames>
    <sheetDataSet>
      <sheetData sheetId="0">
        <row r="2">
          <cell r="AS2">
            <v>32</v>
          </cell>
        </row>
        <row r="3">
          <cell r="AS3">
            <v>16</v>
          </cell>
        </row>
      </sheetData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ster Shirt Sales"/>
      <sheetName val="Master Consignment Sales (2)"/>
      <sheetName val="Master Consignment Sales"/>
      <sheetName val="Hillcrest"/>
      <sheetName val="VB sale Sheet"/>
      <sheetName val="Uniform Billing 03"/>
      <sheetName val="VB Inventory Sales"/>
      <sheetName val="OK.ACTIVATE_x000e_ASSIGN.TO.TOOL_x0000__x0009_COP"/>
      <sheetName val="1st Quar 2004"/>
      <sheetName val="4th quarter 03"/>
      <sheetName val="3rd quar 03"/>
      <sheetName val="Sales Records"/>
      <sheetName val="SC 04 big orders"/>
      <sheetName val="Orders"/>
      <sheetName val="Prices"/>
      <sheetName val="Consignment Sales"/>
      <sheetName val="Sheet1"/>
      <sheetName val=""/>
      <sheetName val="OK.ACTIVATE_x000e_ASSIGN.TO.TOOL?_x0009_COP"/>
      <sheetName val="OK.ACTIVATE_x000e_ASSIGN.TO.TOOL_x0000_ COP"/>
      <sheetName val="OK.ACTIVATE_x000e_ASSIGN.TO.TOOL? COP"/>
      <sheetName val="OK.ACTIVATE_x000e_ASSIGN.TO.TOOL"/>
      <sheetName val="OK.ACTIVATE_x000e_ASSIGN.TO.TOOL__x0009_COP"/>
      <sheetName val="OK.ACTIVATE_x000e_ASSIGN.TO.TOOL_ COP"/>
      <sheetName val="OK.ACTIVATE_x000e_ASSIGN.TO.TOOL_x0000__x0009_COPY.TOOL_x000a_RESET.TOOL_x0011_CONSTRAIN.NUMERIC_x000a_PASTE.TOOL_x0000__x0009_"/>
      <sheetName val="OK.ACTIVATE_x000e_ASSIGN.TO.TOOL?_x0009_COPY.TOOL_x000a_RESET.TOOL_x0011_CONSTRAIN.NUMERIC_x000a_PASTE.TOOL?_x0009_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S email addresses"/>
      <sheetName val="School Email by Region"/>
      <sheetName val="Sheet6"/>
      <sheetName val="Sheet5"/>
      <sheetName val="HIgh Sch"/>
      <sheetName val="Sheet4"/>
      <sheetName val="SC Clubs"/>
      <sheetName val="captains pva 02"/>
      <sheetName val="PVA BOD"/>
      <sheetName val="Va Clubs"/>
      <sheetName val="sports news"/>
      <sheetName val="referees"/>
      <sheetName val="Friends"/>
      <sheetName val="NC Clubs"/>
      <sheetName val="Tampa"/>
      <sheetName val="Ga.Clubs"/>
      <sheetName val="Ky Clubs"/>
      <sheetName val="Md clubs"/>
      <sheetName val="Tn clubs"/>
      <sheetName val="Ala Clubs"/>
      <sheetName val="College Web sites"/>
      <sheetName val="Sheet3"/>
      <sheetName val="Coll Coaches"/>
      <sheetName val="USAV"/>
      <sheetName val="2003 emails CS"/>
      <sheetName val="Sheet2"/>
      <sheetName val="Sheet1"/>
      <sheetName val="clash VB"/>
      <sheetName val="Com other "/>
      <sheetName val="CS sports em list"/>
      <sheetName val="VB mailing list"/>
      <sheetName val="VB Address"/>
      <sheetName val="Church League INFO"/>
      <sheetName val="SChool Prin and AD li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ym ck off"/>
      <sheetName val="Gym supervisor"/>
      <sheetName val="Mens B BB"/>
      <sheetName val="Mens A"/>
      <sheetName val="Examp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3 test"/>
      <sheetName val="Week1 (2)"/>
      <sheetName val="Sheet2"/>
      <sheetName val="Sheet3"/>
      <sheetName val="Sheet1"/>
      <sheetName val="evalua (2)"/>
      <sheetName val="Results wk1"/>
      <sheetName val="Week1"/>
      <sheetName val="Week 2"/>
      <sheetName val="Examp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w AM rnd 2 7 tms"/>
      <sheetName val="New AM wave r1 7 tms"/>
      <sheetName val="new PM rnd 2 7 tms"/>
      <sheetName val="New PM wave r1 7 tms"/>
      <sheetName val="12 A Division  8 tms"/>
      <sheetName val="12 B Division  8 tms "/>
      <sheetName val="13 Club 20 tms"/>
      <sheetName val="14 Club 20 tms"/>
      <sheetName val="15 Club 15 teams"/>
      <sheetName val="RatingResultsSummary"/>
      <sheetName val="16 Club A 10 tms"/>
      <sheetName val="16 Club B 5 tms"/>
      <sheetName val="17 Club 10 tms"/>
      <sheetName val="18 Club 10 tms"/>
      <sheetName val="Initial"/>
      <sheetName val="Final"/>
      <sheetName val="Final-P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S email addresses"/>
      <sheetName val="School Email by Region"/>
      <sheetName val="Sheet6"/>
      <sheetName val="Sheet5"/>
      <sheetName val="HIgh Sch"/>
      <sheetName val="Sheet4"/>
      <sheetName val="SC Clubs"/>
      <sheetName val="captains pva 02"/>
      <sheetName val="PVA BOD"/>
      <sheetName val="Va Clubs"/>
      <sheetName val="sports news"/>
      <sheetName val="referees"/>
      <sheetName val="Friends"/>
      <sheetName val="NC Clubs"/>
      <sheetName val="Tampa"/>
      <sheetName val="Ga.Clubs"/>
      <sheetName val="Ky Clubs"/>
      <sheetName val="Md clubs"/>
      <sheetName val="Tn clubs"/>
      <sheetName val="Ala Clubs"/>
      <sheetName val="College Web sites"/>
      <sheetName val="Sheet3"/>
      <sheetName val="Coll Coaches"/>
      <sheetName val="USAV"/>
      <sheetName val="2003 emails CS"/>
      <sheetName val="Sheet2"/>
      <sheetName val="Sheet1"/>
      <sheetName val="clash VB"/>
      <sheetName val="Com other "/>
      <sheetName val="CS sports em list"/>
      <sheetName val="VB mailing list"/>
      <sheetName val="VB Address"/>
      <sheetName val="Church League INFO"/>
      <sheetName val="SChool Prin and AD li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ym ck off"/>
      <sheetName val="Gym supervisor"/>
      <sheetName val="Mens B BB"/>
      <sheetName val="Mens A"/>
      <sheetName val="Examp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3 test"/>
      <sheetName val="Week1 (2)"/>
      <sheetName val="Sheet2"/>
      <sheetName val="Sheet3"/>
      <sheetName val="Sheet1"/>
      <sheetName val="evalua (2)"/>
      <sheetName val="Results wk1"/>
      <sheetName val="Week1"/>
      <sheetName val="Week 2"/>
      <sheetName val="Examp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control" Target="../activeX/activeX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7" Type="http://schemas.openxmlformats.org/officeDocument/2006/relationships/image" Target="../media/image4.emf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6" Type="http://schemas.openxmlformats.org/officeDocument/2006/relationships/control" Target="../activeX/activeX3.xml"/><Relationship Id="rId5" Type="http://schemas.openxmlformats.org/officeDocument/2006/relationships/image" Target="../media/image3.emf"/><Relationship Id="rId4" Type="http://schemas.openxmlformats.org/officeDocument/2006/relationships/control" Target="../activeX/activeX2.xm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6.xml"/><Relationship Id="rId3" Type="http://schemas.openxmlformats.org/officeDocument/2006/relationships/vmlDrawing" Target="../drawings/vmlDrawing3.vml"/><Relationship Id="rId7" Type="http://schemas.openxmlformats.org/officeDocument/2006/relationships/image" Target="../media/image8.emf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6" Type="http://schemas.openxmlformats.org/officeDocument/2006/relationships/control" Target="../activeX/activeX5.xml"/><Relationship Id="rId11" Type="http://schemas.openxmlformats.org/officeDocument/2006/relationships/image" Target="../media/image10.emf"/><Relationship Id="rId5" Type="http://schemas.openxmlformats.org/officeDocument/2006/relationships/image" Target="../media/image7.emf"/><Relationship Id="rId10" Type="http://schemas.openxmlformats.org/officeDocument/2006/relationships/control" Target="../activeX/activeX7.xml"/><Relationship Id="rId4" Type="http://schemas.openxmlformats.org/officeDocument/2006/relationships/control" Target="../activeX/activeX4.xml"/><Relationship Id="rId9" Type="http://schemas.openxmlformats.org/officeDocument/2006/relationships/image" Target="../media/image9.emf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10.xml"/><Relationship Id="rId3" Type="http://schemas.openxmlformats.org/officeDocument/2006/relationships/vmlDrawing" Target="../drawings/vmlDrawing4.vml"/><Relationship Id="rId7" Type="http://schemas.openxmlformats.org/officeDocument/2006/relationships/image" Target="../media/image13.emf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control" Target="../activeX/activeX9.xml"/><Relationship Id="rId11" Type="http://schemas.openxmlformats.org/officeDocument/2006/relationships/image" Target="../media/image15.emf"/><Relationship Id="rId5" Type="http://schemas.openxmlformats.org/officeDocument/2006/relationships/image" Target="../media/image12.emf"/><Relationship Id="rId10" Type="http://schemas.openxmlformats.org/officeDocument/2006/relationships/control" Target="../activeX/activeX11.xml"/><Relationship Id="rId4" Type="http://schemas.openxmlformats.org/officeDocument/2006/relationships/control" Target="../activeX/activeX8.xml"/><Relationship Id="rId9" Type="http://schemas.openxmlformats.org/officeDocument/2006/relationships/image" Target="../media/image14.emf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7" Type="http://schemas.openxmlformats.org/officeDocument/2006/relationships/image" Target="../media/image17.emf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control" Target="../activeX/activeX13.xml"/><Relationship Id="rId5" Type="http://schemas.openxmlformats.org/officeDocument/2006/relationships/image" Target="../media/image16.emf"/><Relationship Id="rId4" Type="http://schemas.openxmlformats.org/officeDocument/2006/relationships/control" Target="../activeX/activeX12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16.xml"/><Relationship Id="rId3" Type="http://schemas.openxmlformats.org/officeDocument/2006/relationships/vmlDrawing" Target="../drawings/vmlDrawing7.vml"/><Relationship Id="rId7" Type="http://schemas.openxmlformats.org/officeDocument/2006/relationships/image" Target="../media/image23.emf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Relationship Id="rId6" Type="http://schemas.openxmlformats.org/officeDocument/2006/relationships/control" Target="../activeX/activeX15.xml"/><Relationship Id="rId5" Type="http://schemas.openxmlformats.org/officeDocument/2006/relationships/image" Target="../media/image22.emf"/><Relationship Id="rId4" Type="http://schemas.openxmlformats.org/officeDocument/2006/relationships/control" Target="../activeX/activeX14.xml"/><Relationship Id="rId9" Type="http://schemas.openxmlformats.org/officeDocument/2006/relationships/image" Target="../media/image24.emf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7" Type="http://schemas.openxmlformats.org/officeDocument/2006/relationships/image" Target="../media/image27.emf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Relationship Id="rId6" Type="http://schemas.openxmlformats.org/officeDocument/2006/relationships/control" Target="../activeX/activeX18.xml"/><Relationship Id="rId5" Type="http://schemas.openxmlformats.org/officeDocument/2006/relationships/image" Target="../media/image26.emf"/><Relationship Id="rId4" Type="http://schemas.openxmlformats.org/officeDocument/2006/relationships/control" Target="../activeX/activeX17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5">
    <tabColor indexed="11"/>
  </sheetPr>
  <dimension ref="A1:BY430"/>
  <sheetViews>
    <sheetView topLeftCell="AF1" zoomScaleNormal="100" workbookViewId="0">
      <selection activeCell="AW3" sqref="AW3:AW6"/>
    </sheetView>
  </sheetViews>
  <sheetFormatPr defaultColWidth="8.85546875" defaultRowHeight="12.75" x14ac:dyDescent="0.2"/>
  <cols>
    <col min="1" max="1" width="8.85546875" style="4"/>
    <col min="2" max="2" width="3.7109375" style="4" customWidth="1"/>
    <col min="3" max="3" width="2.28515625" style="4" customWidth="1"/>
    <col min="4" max="5" width="3.7109375" style="4" customWidth="1"/>
    <col min="6" max="6" width="2.28515625" style="4" customWidth="1"/>
    <col min="7" max="8" width="3.7109375" style="4" customWidth="1"/>
    <col min="9" max="9" width="2.28515625" style="4" customWidth="1"/>
    <col min="10" max="11" width="3.7109375" style="4" customWidth="1"/>
    <col min="12" max="12" width="2.28515625" style="4" customWidth="1"/>
    <col min="13" max="14" width="3.7109375" style="4" customWidth="1"/>
    <col min="15" max="15" width="2.28515625" style="4" customWidth="1"/>
    <col min="16" max="17" width="3.7109375" style="4" customWidth="1"/>
    <col min="18" max="18" width="2.28515625" style="4" customWidth="1"/>
    <col min="19" max="20" width="3.7109375" style="4" customWidth="1"/>
    <col min="21" max="21" width="2.28515625" style="4" customWidth="1"/>
    <col min="22" max="23" width="3.7109375" style="4" customWidth="1"/>
    <col min="24" max="24" width="2.28515625" style="4" customWidth="1"/>
    <col min="25" max="26" width="3.7109375" style="4" customWidth="1"/>
    <col min="27" max="27" width="2.28515625" style="4" customWidth="1"/>
    <col min="28" max="29" width="3.7109375" style="4" customWidth="1"/>
    <col min="30" max="30" width="2.28515625" style="4" customWidth="1"/>
    <col min="31" max="31" width="3.7109375" style="4" customWidth="1"/>
    <col min="32" max="32" width="9.7109375" style="4" customWidth="1"/>
    <col min="33" max="42" width="3.7109375" style="4" customWidth="1"/>
    <col min="43" max="43" width="11" style="4" customWidth="1"/>
    <col min="44" max="45" width="8.85546875" style="4"/>
    <col min="46" max="46" width="10.7109375" style="4" customWidth="1"/>
    <col min="47" max="47" width="26.5703125" style="4" customWidth="1"/>
    <col min="48" max="48" width="18.28515625" style="4" customWidth="1"/>
    <col min="49" max="49" width="14.28515625" style="4" customWidth="1"/>
    <col min="50" max="51" width="10.28515625" style="4" customWidth="1"/>
    <col min="52" max="52" width="25" style="4" customWidth="1"/>
    <col min="53" max="53" width="6" style="4" customWidth="1"/>
    <col min="54" max="257" width="8.85546875" style="4"/>
    <col min="258" max="258" width="3.7109375" style="4" customWidth="1"/>
    <col min="259" max="259" width="2.28515625" style="4" customWidth="1"/>
    <col min="260" max="261" width="3.7109375" style="4" customWidth="1"/>
    <col min="262" max="262" width="2.28515625" style="4" customWidth="1"/>
    <col min="263" max="264" width="3.7109375" style="4" customWidth="1"/>
    <col min="265" max="265" width="2.28515625" style="4" customWidth="1"/>
    <col min="266" max="267" width="3.7109375" style="4" customWidth="1"/>
    <col min="268" max="268" width="2.28515625" style="4" customWidth="1"/>
    <col min="269" max="270" width="3.7109375" style="4" customWidth="1"/>
    <col min="271" max="271" width="2.28515625" style="4" customWidth="1"/>
    <col min="272" max="273" width="3.7109375" style="4" customWidth="1"/>
    <col min="274" max="274" width="2.28515625" style="4" customWidth="1"/>
    <col min="275" max="276" width="3.7109375" style="4" customWidth="1"/>
    <col min="277" max="277" width="2.28515625" style="4" customWidth="1"/>
    <col min="278" max="279" width="3.7109375" style="4" customWidth="1"/>
    <col min="280" max="280" width="2.28515625" style="4" customWidth="1"/>
    <col min="281" max="282" width="3.7109375" style="4" customWidth="1"/>
    <col min="283" max="283" width="2.28515625" style="4" customWidth="1"/>
    <col min="284" max="285" width="3.7109375" style="4" customWidth="1"/>
    <col min="286" max="286" width="2.28515625" style="4" customWidth="1"/>
    <col min="287" max="287" width="3.7109375" style="4" customWidth="1"/>
    <col min="288" max="288" width="9.7109375" style="4" customWidth="1"/>
    <col min="289" max="298" width="3.7109375" style="4" customWidth="1"/>
    <col min="299" max="299" width="11" style="4" customWidth="1"/>
    <col min="300" max="301" width="8.85546875" style="4"/>
    <col min="302" max="302" width="10.7109375" style="4" customWidth="1"/>
    <col min="303" max="303" width="26.5703125" style="4" customWidth="1"/>
    <col min="304" max="304" width="18.28515625" style="4" customWidth="1"/>
    <col min="305" max="305" width="14.28515625" style="4" customWidth="1"/>
    <col min="306" max="307" width="10.28515625" style="4" customWidth="1"/>
    <col min="308" max="308" width="25" style="4" customWidth="1"/>
    <col min="309" max="309" width="6" style="4" customWidth="1"/>
    <col min="310" max="513" width="8.85546875" style="4"/>
    <col min="514" max="514" width="3.7109375" style="4" customWidth="1"/>
    <col min="515" max="515" width="2.28515625" style="4" customWidth="1"/>
    <col min="516" max="517" width="3.7109375" style="4" customWidth="1"/>
    <col min="518" max="518" width="2.28515625" style="4" customWidth="1"/>
    <col min="519" max="520" width="3.7109375" style="4" customWidth="1"/>
    <col min="521" max="521" width="2.28515625" style="4" customWidth="1"/>
    <col min="522" max="523" width="3.7109375" style="4" customWidth="1"/>
    <col min="524" max="524" width="2.28515625" style="4" customWidth="1"/>
    <col min="525" max="526" width="3.7109375" style="4" customWidth="1"/>
    <col min="527" max="527" width="2.28515625" style="4" customWidth="1"/>
    <col min="528" max="529" width="3.7109375" style="4" customWidth="1"/>
    <col min="530" max="530" width="2.28515625" style="4" customWidth="1"/>
    <col min="531" max="532" width="3.7109375" style="4" customWidth="1"/>
    <col min="533" max="533" width="2.28515625" style="4" customWidth="1"/>
    <col min="534" max="535" width="3.7109375" style="4" customWidth="1"/>
    <col min="536" max="536" width="2.28515625" style="4" customWidth="1"/>
    <col min="537" max="538" width="3.7109375" style="4" customWidth="1"/>
    <col min="539" max="539" width="2.28515625" style="4" customWidth="1"/>
    <col min="540" max="541" width="3.7109375" style="4" customWidth="1"/>
    <col min="542" max="542" width="2.28515625" style="4" customWidth="1"/>
    <col min="543" max="543" width="3.7109375" style="4" customWidth="1"/>
    <col min="544" max="544" width="9.7109375" style="4" customWidth="1"/>
    <col min="545" max="554" width="3.7109375" style="4" customWidth="1"/>
    <col min="555" max="555" width="11" style="4" customWidth="1"/>
    <col min="556" max="557" width="8.85546875" style="4"/>
    <col min="558" max="558" width="10.7109375" style="4" customWidth="1"/>
    <col min="559" max="559" width="26.5703125" style="4" customWidth="1"/>
    <col min="560" max="560" width="18.28515625" style="4" customWidth="1"/>
    <col min="561" max="561" width="14.28515625" style="4" customWidth="1"/>
    <col min="562" max="563" width="10.28515625" style="4" customWidth="1"/>
    <col min="564" max="564" width="25" style="4" customWidth="1"/>
    <col min="565" max="565" width="6" style="4" customWidth="1"/>
    <col min="566" max="769" width="8.85546875" style="4"/>
    <col min="770" max="770" width="3.7109375" style="4" customWidth="1"/>
    <col min="771" max="771" width="2.28515625" style="4" customWidth="1"/>
    <col min="772" max="773" width="3.7109375" style="4" customWidth="1"/>
    <col min="774" max="774" width="2.28515625" style="4" customWidth="1"/>
    <col min="775" max="776" width="3.7109375" style="4" customWidth="1"/>
    <col min="777" max="777" width="2.28515625" style="4" customWidth="1"/>
    <col min="778" max="779" width="3.7109375" style="4" customWidth="1"/>
    <col min="780" max="780" width="2.28515625" style="4" customWidth="1"/>
    <col min="781" max="782" width="3.7109375" style="4" customWidth="1"/>
    <col min="783" max="783" width="2.28515625" style="4" customWidth="1"/>
    <col min="784" max="785" width="3.7109375" style="4" customWidth="1"/>
    <col min="786" max="786" width="2.28515625" style="4" customWidth="1"/>
    <col min="787" max="788" width="3.7109375" style="4" customWidth="1"/>
    <col min="789" max="789" width="2.28515625" style="4" customWidth="1"/>
    <col min="790" max="791" width="3.7109375" style="4" customWidth="1"/>
    <col min="792" max="792" width="2.28515625" style="4" customWidth="1"/>
    <col min="793" max="794" width="3.7109375" style="4" customWidth="1"/>
    <col min="795" max="795" width="2.28515625" style="4" customWidth="1"/>
    <col min="796" max="797" width="3.7109375" style="4" customWidth="1"/>
    <col min="798" max="798" width="2.28515625" style="4" customWidth="1"/>
    <col min="799" max="799" width="3.7109375" style="4" customWidth="1"/>
    <col min="800" max="800" width="9.7109375" style="4" customWidth="1"/>
    <col min="801" max="810" width="3.7109375" style="4" customWidth="1"/>
    <col min="811" max="811" width="11" style="4" customWidth="1"/>
    <col min="812" max="813" width="8.85546875" style="4"/>
    <col min="814" max="814" width="10.7109375" style="4" customWidth="1"/>
    <col min="815" max="815" width="26.5703125" style="4" customWidth="1"/>
    <col min="816" max="816" width="18.28515625" style="4" customWidth="1"/>
    <col min="817" max="817" width="14.28515625" style="4" customWidth="1"/>
    <col min="818" max="819" width="10.28515625" style="4" customWidth="1"/>
    <col min="820" max="820" width="25" style="4" customWidth="1"/>
    <col min="821" max="821" width="6" style="4" customWidth="1"/>
    <col min="822" max="1025" width="8.85546875" style="4"/>
    <col min="1026" max="1026" width="3.7109375" style="4" customWidth="1"/>
    <col min="1027" max="1027" width="2.28515625" style="4" customWidth="1"/>
    <col min="1028" max="1029" width="3.7109375" style="4" customWidth="1"/>
    <col min="1030" max="1030" width="2.28515625" style="4" customWidth="1"/>
    <col min="1031" max="1032" width="3.7109375" style="4" customWidth="1"/>
    <col min="1033" max="1033" width="2.28515625" style="4" customWidth="1"/>
    <col min="1034" max="1035" width="3.7109375" style="4" customWidth="1"/>
    <col min="1036" max="1036" width="2.28515625" style="4" customWidth="1"/>
    <col min="1037" max="1038" width="3.7109375" style="4" customWidth="1"/>
    <col min="1039" max="1039" width="2.28515625" style="4" customWidth="1"/>
    <col min="1040" max="1041" width="3.7109375" style="4" customWidth="1"/>
    <col min="1042" max="1042" width="2.28515625" style="4" customWidth="1"/>
    <col min="1043" max="1044" width="3.7109375" style="4" customWidth="1"/>
    <col min="1045" max="1045" width="2.28515625" style="4" customWidth="1"/>
    <col min="1046" max="1047" width="3.7109375" style="4" customWidth="1"/>
    <col min="1048" max="1048" width="2.28515625" style="4" customWidth="1"/>
    <col min="1049" max="1050" width="3.7109375" style="4" customWidth="1"/>
    <col min="1051" max="1051" width="2.28515625" style="4" customWidth="1"/>
    <col min="1052" max="1053" width="3.7109375" style="4" customWidth="1"/>
    <col min="1054" max="1054" width="2.28515625" style="4" customWidth="1"/>
    <col min="1055" max="1055" width="3.7109375" style="4" customWidth="1"/>
    <col min="1056" max="1056" width="9.7109375" style="4" customWidth="1"/>
    <col min="1057" max="1066" width="3.7109375" style="4" customWidth="1"/>
    <col min="1067" max="1067" width="11" style="4" customWidth="1"/>
    <col min="1068" max="1069" width="8.85546875" style="4"/>
    <col min="1070" max="1070" width="10.7109375" style="4" customWidth="1"/>
    <col min="1071" max="1071" width="26.5703125" style="4" customWidth="1"/>
    <col min="1072" max="1072" width="18.28515625" style="4" customWidth="1"/>
    <col min="1073" max="1073" width="14.28515625" style="4" customWidth="1"/>
    <col min="1074" max="1075" width="10.28515625" style="4" customWidth="1"/>
    <col min="1076" max="1076" width="25" style="4" customWidth="1"/>
    <col min="1077" max="1077" width="6" style="4" customWidth="1"/>
    <col min="1078" max="1281" width="8.85546875" style="4"/>
    <col min="1282" max="1282" width="3.7109375" style="4" customWidth="1"/>
    <col min="1283" max="1283" width="2.28515625" style="4" customWidth="1"/>
    <col min="1284" max="1285" width="3.7109375" style="4" customWidth="1"/>
    <col min="1286" max="1286" width="2.28515625" style="4" customWidth="1"/>
    <col min="1287" max="1288" width="3.7109375" style="4" customWidth="1"/>
    <col min="1289" max="1289" width="2.28515625" style="4" customWidth="1"/>
    <col min="1290" max="1291" width="3.7109375" style="4" customWidth="1"/>
    <col min="1292" max="1292" width="2.28515625" style="4" customWidth="1"/>
    <col min="1293" max="1294" width="3.7109375" style="4" customWidth="1"/>
    <col min="1295" max="1295" width="2.28515625" style="4" customWidth="1"/>
    <col min="1296" max="1297" width="3.7109375" style="4" customWidth="1"/>
    <col min="1298" max="1298" width="2.28515625" style="4" customWidth="1"/>
    <col min="1299" max="1300" width="3.7109375" style="4" customWidth="1"/>
    <col min="1301" max="1301" width="2.28515625" style="4" customWidth="1"/>
    <col min="1302" max="1303" width="3.7109375" style="4" customWidth="1"/>
    <col min="1304" max="1304" width="2.28515625" style="4" customWidth="1"/>
    <col min="1305" max="1306" width="3.7109375" style="4" customWidth="1"/>
    <col min="1307" max="1307" width="2.28515625" style="4" customWidth="1"/>
    <col min="1308" max="1309" width="3.7109375" style="4" customWidth="1"/>
    <col min="1310" max="1310" width="2.28515625" style="4" customWidth="1"/>
    <col min="1311" max="1311" width="3.7109375" style="4" customWidth="1"/>
    <col min="1312" max="1312" width="9.7109375" style="4" customWidth="1"/>
    <col min="1313" max="1322" width="3.7109375" style="4" customWidth="1"/>
    <col min="1323" max="1323" width="11" style="4" customWidth="1"/>
    <col min="1324" max="1325" width="8.85546875" style="4"/>
    <col min="1326" max="1326" width="10.7109375" style="4" customWidth="1"/>
    <col min="1327" max="1327" width="26.5703125" style="4" customWidth="1"/>
    <col min="1328" max="1328" width="18.28515625" style="4" customWidth="1"/>
    <col min="1329" max="1329" width="14.28515625" style="4" customWidth="1"/>
    <col min="1330" max="1331" width="10.28515625" style="4" customWidth="1"/>
    <col min="1332" max="1332" width="25" style="4" customWidth="1"/>
    <col min="1333" max="1333" width="6" style="4" customWidth="1"/>
    <col min="1334" max="1537" width="8.85546875" style="4"/>
    <col min="1538" max="1538" width="3.7109375" style="4" customWidth="1"/>
    <col min="1539" max="1539" width="2.28515625" style="4" customWidth="1"/>
    <col min="1540" max="1541" width="3.7109375" style="4" customWidth="1"/>
    <col min="1542" max="1542" width="2.28515625" style="4" customWidth="1"/>
    <col min="1543" max="1544" width="3.7109375" style="4" customWidth="1"/>
    <col min="1545" max="1545" width="2.28515625" style="4" customWidth="1"/>
    <col min="1546" max="1547" width="3.7109375" style="4" customWidth="1"/>
    <col min="1548" max="1548" width="2.28515625" style="4" customWidth="1"/>
    <col min="1549" max="1550" width="3.7109375" style="4" customWidth="1"/>
    <col min="1551" max="1551" width="2.28515625" style="4" customWidth="1"/>
    <col min="1552" max="1553" width="3.7109375" style="4" customWidth="1"/>
    <col min="1554" max="1554" width="2.28515625" style="4" customWidth="1"/>
    <col min="1555" max="1556" width="3.7109375" style="4" customWidth="1"/>
    <col min="1557" max="1557" width="2.28515625" style="4" customWidth="1"/>
    <col min="1558" max="1559" width="3.7109375" style="4" customWidth="1"/>
    <col min="1560" max="1560" width="2.28515625" style="4" customWidth="1"/>
    <col min="1561" max="1562" width="3.7109375" style="4" customWidth="1"/>
    <col min="1563" max="1563" width="2.28515625" style="4" customWidth="1"/>
    <col min="1564" max="1565" width="3.7109375" style="4" customWidth="1"/>
    <col min="1566" max="1566" width="2.28515625" style="4" customWidth="1"/>
    <col min="1567" max="1567" width="3.7109375" style="4" customWidth="1"/>
    <col min="1568" max="1568" width="9.7109375" style="4" customWidth="1"/>
    <col min="1569" max="1578" width="3.7109375" style="4" customWidth="1"/>
    <col min="1579" max="1579" width="11" style="4" customWidth="1"/>
    <col min="1580" max="1581" width="8.85546875" style="4"/>
    <col min="1582" max="1582" width="10.7109375" style="4" customWidth="1"/>
    <col min="1583" max="1583" width="26.5703125" style="4" customWidth="1"/>
    <col min="1584" max="1584" width="18.28515625" style="4" customWidth="1"/>
    <col min="1585" max="1585" width="14.28515625" style="4" customWidth="1"/>
    <col min="1586" max="1587" width="10.28515625" style="4" customWidth="1"/>
    <col min="1588" max="1588" width="25" style="4" customWidth="1"/>
    <col min="1589" max="1589" width="6" style="4" customWidth="1"/>
    <col min="1590" max="1793" width="8.85546875" style="4"/>
    <col min="1794" max="1794" width="3.7109375" style="4" customWidth="1"/>
    <col min="1795" max="1795" width="2.28515625" style="4" customWidth="1"/>
    <col min="1796" max="1797" width="3.7109375" style="4" customWidth="1"/>
    <col min="1798" max="1798" width="2.28515625" style="4" customWidth="1"/>
    <col min="1799" max="1800" width="3.7109375" style="4" customWidth="1"/>
    <col min="1801" max="1801" width="2.28515625" style="4" customWidth="1"/>
    <col min="1802" max="1803" width="3.7109375" style="4" customWidth="1"/>
    <col min="1804" max="1804" width="2.28515625" style="4" customWidth="1"/>
    <col min="1805" max="1806" width="3.7109375" style="4" customWidth="1"/>
    <col min="1807" max="1807" width="2.28515625" style="4" customWidth="1"/>
    <col min="1808" max="1809" width="3.7109375" style="4" customWidth="1"/>
    <col min="1810" max="1810" width="2.28515625" style="4" customWidth="1"/>
    <col min="1811" max="1812" width="3.7109375" style="4" customWidth="1"/>
    <col min="1813" max="1813" width="2.28515625" style="4" customWidth="1"/>
    <col min="1814" max="1815" width="3.7109375" style="4" customWidth="1"/>
    <col min="1816" max="1816" width="2.28515625" style="4" customWidth="1"/>
    <col min="1817" max="1818" width="3.7109375" style="4" customWidth="1"/>
    <col min="1819" max="1819" width="2.28515625" style="4" customWidth="1"/>
    <col min="1820" max="1821" width="3.7109375" style="4" customWidth="1"/>
    <col min="1822" max="1822" width="2.28515625" style="4" customWidth="1"/>
    <col min="1823" max="1823" width="3.7109375" style="4" customWidth="1"/>
    <col min="1824" max="1824" width="9.7109375" style="4" customWidth="1"/>
    <col min="1825" max="1834" width="3.7109375" style="4" customWidth="1"/>
    <col min="1835" max="1835" width="11" style="4" customWidth="1"/>
    <col min="1836" max="1837" width="8.85546875" style="4"/>
    <col min="1838" max="1838" width="10.7109375" style="4" customWidth="1"/>
    <col min="1839" max="1839" width="26.5703125" style="4" customWidth="1"/>
    <col min="1840" max="1840" width="18.28515625" style="4" customWidth="1"/>
    <col min="1841" max="1841" width="14.28515625" style="4" customWidth="1"/>
    <col min="1842" max="1843" width="10.28515625" style="4" customWidth="1"/>
    <col min="1844" max="1844" width="25" style="4" customWidth="1"/>
    <col min="1845" max="1845" width="6" style="4" customWidth="1"/>
    <col min="1846" max="2049" width="8.85546875" style="4"/>
    <col min="2050" max="2050" width="3.7109375" style="4" customWidth="1"/>
    <col min="2051" max="2051" width="2.28515625" style="4" customWidth="1"/>
    <col min="2052" max="2053" width="3.7109375" style="4" customWidth="1"/>
    <col min="2054" max="2054" width="2.28515625" style="4" customWidth="1"/>
    <col min="2055" max="2056" width="3.7109375" style="4" customWidth="1"/>
    <col min="2057" max="2057" width="2.28515625" style="4" customWidth="1"/>
    <col min="2058" max="2059" width="3.7109375" style="4" customWidth="1"/>
    <col min="2060" max="2060" width="2.28515625" style="4" customWidth="1"/>
    <col min="2061" max="2062" width="3.7109375" style="4" customWidth="1"/>
    <col min="2063" max="2063" width="2.28515625" style="4" customWidth="1"/>
    <col min="2064" max="2065" width="3.7109375" style="4" customWidth="1"/>
    <col min="2066" max="2066" width="2.28515625" style="4" customWidth="1"/>
    <col min="2067" max="2068" width="3.7109375" style="4" customWidth="1"/>
    <col min="2069" max="2069" width="2.28515625" style="4" customWidth="1"/>
    <col min="2070" max="2071" width="3.7109375" style="4" customWidth="1"/>
    <col min="2072" max="2072" width="2.28515625" style="4" customWidth="1"/>
    <col min="2073" max="2074" width="3.7109375" style="4" customWidth="1"/>
    <col min="2075" max="2075" width="2.28515625" style="4" customWidth="1"/>
    <col min="2076" max="2077" width="3.7109375" style="4" customWidth="1"/>
    <col min="2078" max="2078" width="2.28515625" style="4" customWidth="1"/>
    <col min="2079" max="2079" width="3.7109375" style="4" customWidth="1"/>
    <col min="2080" max="2080" width="9.7109375" style="4" customWidth="1"/>
    <col min="2081" max="2090" width="3.7109375" style="4" customWidth="1"/>
    <col min="2091" max="2091" width="11" style="4" customWidth="1"/>
    <col min="2092" max="2093" width="8.85546875" style="4"/>
    <col min="2094" max="2094" width="10.7109375" style="4" customWidth="1"/>
    <col min="2095" max="2095" width="26.5703125" style="4" customWidth="1"/>
    <col min="2096" max="2096" width="18.28515625" style="4" customWidth="1"/>
    <col min="2097" max="2097" width="14.28515625" style="4" customWidth="1"/>
    <col min="2098" max="2099" width="10.28515625" style="4" customWidth="1"/>
    <col min="2100" max="2100" width="25" style="4" customWidth="1"/>
    <col min="2101" max="2101" width="6" style="4" customWidth="1"/>
    <col min="2102" max="2305" width="8.85546875" style="4"/>
    <col min="2306" max="2306" width="3.7109375" style="4" customWidth="1"/>
    <col min="2307" max="2307" width="2.28515625" style="4" customWidth="1"/>
    <col min="2308" max="2309" width="3.7109375" style="4" customWidth="1"/>
    <col min="2310" max="2310" width="2.28515625" style="4" customWidth="1"/>
    <col min="2311" max="2312" width="3.7109375" style="4" customWidth="1"/>
    <col min="2313" max="2313" width="2.28515625" style="4" customWidth="1"/>
    <col min="2314" max="2315" width="3.7109375" style="4" customWidth="1"/>
    <col min="2316" max="2316" width="2.28515625" style="4" customWidth="1"/>
    <col min="2317" max="2318" width="3.7109375" style="4" customWidth="1"/>
    <col min="2319" max="2319" width="2.28515625" style="4" customWidth="1"/>
    <col min="2320" max="2321" width="3.7109375" style="4" customWidth="1"/>
    <col min="2322" max="2322" width="2.28515625" style="4" customWidth="1"/>
    <col min="2323" max="2324" width="3.7109375" style="4" customWidth="1"/>
    <col min="2325" max="2325" width="2.28515625" style="4" customWidth="1"/>
    <col min="2326" max="2327" width="3.7109375" style="4" customWidth="1"/>
    <col min="2328" max="2328" width="2.28515625" style="4" customWidth="1"/>
    <col min="2329" max="2330" width="3.7109375" style="4" customWidth="1"/>
    <col min="2331" max="2331" width="2.28515625" style="4" customWidth="1"/>
    <col min="2332" max="2333" width="3.7109375" style="4" customWidth="1"/>
    <col min="2334" max="2334" width="2.28515625" style="4" customWidth="1"/>
    <col min="2335" max="2335" width="3.7109375" style="4" customWidth="1"/>
    <col min="2336" max="2336" width="9.7109375" style="4" customWidth="1"/>
    <col min="2337" max="2346" width="3.7109375" style="4" customWidth="1"/>
    <col min="2347" max="2347" width="11" style="4" customWidth="1"/>
    <col min="2348" max="2349" width="8.85546875" style="4"/>
    <col min="2350" max="2350" width="10.7109375" style="4" customWidth="1"/>
    <col min="2351" max="2351" width="26.5703125" style="4" customWidth="1"/>
    <col min="2352" max="2352" width="18.28515625" style="4" customWidth="1"/>
    <col min="2353" max="2353" width="14.28515625" style="4" customWidth="1"/>
    <col min="2354" max="2355" width="10.28515625" style="4" customWidth="1"/>
    <col min="2356" max="2356" width="25" style="4" customWidth="1"/>
    <col min="2357" max="2357" width="6" style="4" customWidth="1"/>
    <col min="2358" max="2561" width="8.85546875" style="4"/>
    <col min="2562" max="2562" width="3.7109375" style="4" customWidth="1"/>
    <col min="2563" max="2563" width="2.28515625" style="4" customWidth="1"/>
    <col min="2564" max="2565" width="3.7109375" style="4" customWidth="1"/>
    <col min="2566" max="2566" width="2.28515625" style="4" customWidth="1"/>
    <col min="2567" max="2568" width="3.7109375" style="4" customWidth="1"/>
    <col min="2569" max="2569" width="2.28515625" style="4" customWidth="1"/>
    <col min="2570" max="2571" width="3.7109375" style="4" customWidth="1"/>
    <col min="2572" max="2572" width="2.28515625" style="4" customWidth="1"/>
    <col min="2573" max="2574" width="3.7109375" style="4" customWidth="1"/>
    <col min="2575" max="2575" width="2.28515625" style="4" customWidth="1"/>
    <col min="2576" max="2577" width="3.7109375" style="4" customWidth="1"/>
    <col min="2578" max="2578" width="2.28515625" style="4" customWidth="1"/>
    <col min="2579" max="2580" width="3.7109375" style="4" customWidth="1"/>
    <col min="2581" max="2581" width="2.28515625" style="4" customWidth="1"/>
    <col min="2582" max="2583" width="3.7109375" style="4" customWidth="1"/>
    <col min="2584" max="2584" width="2.28515625" style="4" customWidth="1"/>
    <col min="2585" max="2586" width="3.7109375" style="4" customWidth="1"/>
    <col min="2587" max="2587" width="2.28515625" style="4" customWidth="1"/>
    <col min="2588" max="2589" width="3.7109375" style="4" customWidth="1"/>
    <col min="2590" max="2590" width="2.28515625" style="4" customWidth="1"/>
    <col min="2591" max="2591" width="3.7109375" style="4" customWidth="1"/>
    <col min="2592" max="2592" width="9.7109375" style="4" customWidth="1"/>
    <col min="2593" max="2602" width="3.7109375" style="4" customWidth="1"/>
    <col min="2603" max="2603" width="11" style="4" customWidth="1"/>
    <col min="2604" max="2605" width="8.85546875" style="4"/>
    <col min="2606" max="2606" width="10.7109375" style="4" customWidth="1"/>
    <col min="2607" max="2607" width="26.5703125" style="4" customWidth="1"/>
    <col min="2608" max="2608" width="18.28515625" style="4" customWidth="1"/>
    <col min="2609" max="2609" width="14.28515625" style="4" customWidth="1"/>
    <col min="2610" max="2611" width="10.28515625" style="4" customWidth="1"/>
    <col min="2612" max="2612" width="25" style="4" customWidth="1"/>
    <col min="2613" max="2613" width="6" style="4" customWidth="1"/>
    <col min="2614" max="2817" width="8.85546875" style="4"/>
    <col min="2818" max="2818" width="3.7109375" style="4" customWidth="1"/>
    <col min="2819" max="2819" width="2.28515625" style="4" customWidth="1"/>
    <col min="2820" max="2821" width="3.7109375" style="4" customWidth="1"/>
    <col min="2822" max="2822" width="2.28515625" style="4" customWidth="1"/>
    <col min="2823" max="2824" width="3.7109375" style="4" customWidth="1"/>
    <col min="2825" max="2825" width="2.28515625" style="4" customWidth="1"/>
    <col min="2826" max="2827" width="3.7109375" style="4" customWidth="1"/>
    <col min="2828" max="2828" width="2.28515625" style="4" customWidth="1"/>
    <col min="2829" max="2830" width="3.7109375" style="4" customWidth="1"/>
    <col min="2831" max="2831" width="2.28515625" style="4" customWidth="1"/>
    <col min="2832" max="2833" width="3.7109375" style="4" customWidth="1"/>
    <col min="2834" max="2834" width="2.28515625" style="4" customWidth="1"/>
    <col min="2835" max="2836" width="3.7109375" style="4" customWidth="1"/>
    <col min="2837" max="2837" width="2.28515625" style="4" customWidth="1"/>
    <col min="2838" max="2839" width="3.7109375" style="4" customWidth="1"/>
    <col min="2840" max="2840" width="2.28515625" style="4" customWidth="1"/>
    <col min="2841" max="2842" width="3.7109375" style="4" customWidth="1"/>
    <col min="2843" max="2843" width="2.28515625" style="4" customWidth="1"/>
    <col min="2844" max="2845" width="3.7109375" style="4" customWidth="1"/>
    <col min="2846" max="2846" width="2.28515625" style="4" customWidth="1"/>
    <col min="2847" max="2847" width="3.7109375" style="4" customWidth="1"/>
    <col min="2848" max="2848" width="9.7109375" style="4" customWidth="1"/>
    <col min="2849" max="2858" width="3.7109375" style="4" customWidth="1"/>
    <col min="2859" max="2859" width="11" style="4" customWidth="1"/>
    <col min="2860" max="2861" width="8.85546875" style="4"/>
    <col min="2862" max="2862" width="10.7109375" style="4" customWidth="1"/>
    <col min="2863" max="2863" width="26.5703125" style="4" customWidth="1"/>
    <col min="2864" max="2864" width="18.28515625" style="4" customWidth="1"/>
    <col min="2865" max="2865" width="14.28515625" style="4" customWidth="1"/>
    <col min="2866" max="2867" width="10.28515625" style="4" customWidth="1"/>
    <col min="2868" max="2868" width="25" style="4" customWidth="1"/>
    <col min="2869" max="2869" width="6" style="4" customWidth="1"/>
    <col min="2870" max="3073" width="8.85546875" style="4"/>
    <col min="3074" max="3074" width="3.7109375" style="4" customWidth="1"/>
    <col min="3075" max="3075" width="2.28515625" style="4" customWidth="1"/>
    <col min="3076" max="3077" width="3.7109375" style="4" customWidth="1"/>
    <col min="3078" max="3078" width="2.28515625" style="4" customWidth="1"/>
    <col min="3079" max="3080" width="3.7109375" style="4" customWidth="1"/>
    <col min="3081" max="3081" width="2.28515625" style="4" customWidth="1"/>
    <col min="3082" max="3083" width="3.7109375" style="4" customWidth="1"/>
    <col min="3084" max="3084" width="2.28515625" style="4" customWidth="1"/>
    <col min="3085" max="3086" width="3.7109375" style="4" customWidth="1"/>
    <col min="3087" max="3087" width="2.28515625" style="4" customWidth="1"/>
    <col min="3088" max="3089" width="3.7109375" style="4" customWidth="1"/>
    <col min="3090" max="3090" width="2.28515625" style="4" customWidth="1"/>
    <col min="3091" max="3092" width="3.7109375" style="4" customWidth="1"/>
    <col min="3093" max="3093" width="2.28515625" style="4" customWidth="1"/>
    <col min="3094" max="3095" width="3.7109375" style="4" customWidth="1"/>
    <col min="3096" max="3096" width="2.28515625" style="4" customWidth="1"/>
    <col min="3097" max="3098" width="3.7109375" style="4" customWidth="1"/>
    <col min="3099" max="3099" width="2.28515625" style="4" customWidth="1"/>
    <col min="3100" max="3101" width="3.7109375" style="4" customWidth="1"/>
    <col min="3102" max="3102" width="2.28515625" style="4" customWidth="1"/>
    <col min="3103" max="3103" width="3.7109375" style="4" customWidth="1"/>
    <col min="3104" max="3104" width="9.7109375" style="4" customWidth="1"/>
    <col min="3105" max="3114" width="3.7109375" style="4" customWidth="1"/>
    <col min="3115" max="3115" width="11" style="4" customWidth="1"/>
    <col min="3116" max="3117" width="8.85546875" style="4"/>
    <col min="3118" max="3118" width="10.7109375" style="4" customWidth="1"/>
    <col min="3119" max="3119" width="26.5703125" style="4" customWidth="1"/>
    <col min="3120" max="3120" width="18.28515625" style="4" customWidth="1"/>
    <col min="3121" max="3121" width="14.28515625" style="4" customWidth="1"/>
    <col min="3122" max="3123" width="10.28515625" style="4" customWidth="1"/>
    <col min="3124" max="3124" width="25" style="4" customWidth="1"/>
    <col min="3125" max="3125" width="6" style="4" customWidth="1"/>
    <col min="3126" max="3329" width="8.85546875" style="4"/>
    <col min="3330" max="3330" width="3.7109375" style="4" customWidth="1"/>
    <col min="3331" max="3331" width="2.28515625" style="4" customWidth="1"/>
    <col min="3332" max="3333" width="3.7109375" style="4" customWidth="1"/>
    <col min="3334" max="3334" width="2.28515625" style="4" customWidth="1"/>
    <col min="3335" max="3336" width="3.7109375" style="4" customWidth="1"/>
    <col min="3337" max="3337" width="2.28515625" style="4" customWidth="1"/>
    <col min="3338" max="3339" width="3.7109375" style="4" customWidth="1"/>
    <col min="3340" max="3340" width="2.28515625" style="4" customWidth="1"/>
    <col min="3341" max="3342" width="3.7109375" style="4" customWidth="1"/>
    <col min="3343" max="3343" width="2.28515625" style="4" customWidth="1"/>
    <col min="3344" max="3345" width="3.7109375" style="4" customWidth="1"/>
    <col min="3346" max="3346" width="2.28515625" style="4" customWidth="1"/>
    <col min="3347" max="3348" width="3.7109375" style="4" customWidth="1"/>
    <col min="3349" max="3349" width="2.28515625" style="4" customWidth="1"/>
    <col min="3350" max="3351" width="3.7109375" style="4" customWidth="1"/>
    <col min="3352" max="3352" width="2.28515625" style="4" customWidth="1"/>
    <col min="3353" max="3354" width="3.7109375" style="4" customWidth="1"/>
    <col min="3355" max="3355" width="2.28515625" style="4" customWidth="1"/>
    <col min="3356" max="3357" width="3.7109375" style="4" customWidth="1"/>
    <col min="3358" max="3358" width="2.28515625" style="4" customWidth="1"/>
    <col min="3359" max="3359" width="3.7109375" style="4" customWidth="1"/>
    <col min="3360" max="3360" width="9.7109375" style="4" customWidth="1"/>
    <col min="3361" max="3370" width="3.7109375" style="4" customWidth="1"/>
    <col min="3371" max="3371" width="11" style="4" customWidth="1"/>
    <col min="3372" max="3373" width="8.85546875" style="4"/>
    <col min="3374" max="3374" width="10.7109375" style="4" customWidth="1"/>
    <col min="3375" max="3375" width="26.5703125" style="4" customWidth="1"/>
    <col min="3376" max="3376" width="18.28515625" style="4" customWidth="1"/>
    <col min="3377" max="3377" width="14.28515625" style="4" customWidth="1"/>
    <col min="3378" max="3379" width="10.28515625" style="4" customWidth="1"/>
    <col min="3380" max="3380" width="25" style="4" customWidth="1"/>
    <col min="3381" max="3381" width="6" style="4" customWidth="1"/>
    <col min="3382" max="3585" width="8.85546875" style="4"/>
    <col min="3586" max="3586" width="3.7109375" style="4" customWidth="1"/>
    <col min="3587" max="3587" width="2.28515625" style="4" customWidth="1"/>
    <col min="3588" max="3589" width="3.7109375" style="4" customWidth="1"/>
    <col min="3590" max="3590" width="2.28515625" style="4" customWidth="1"/>
    <col min="3591" max="3592" width="3.7109375" style="4" customWidth="1"/>
    <col min="3593" max="3593" width="2.28515625" style="4" customWidth="1"/>
    <col min="3594" max="3595" width="3.7109375" style="4" customWidth="1"/>
    <col min="3596" max="3596" width="2.28515625" style="4" customWidth="1"/>
    <col min="3597" max="3598" width="3.7109375" style="4" customWidth="1"/>
    <col min="3599" max="3599" width="2.28515625" style="4" customWidth="1"/>
    <col min="3600" max="3601" width="3.7109375" style="4" customWidth="1"/>
    <col min="3602" max="3602" width="2.28515625" style="4" customWidth="1"/>
    <col min="3603" max="3604" width="3.7109375" style="4" customWidth="1"/>
    <col min="3605" max="3605" width="2.28515625" style="4" customWidth="1"/>
    <col min="3606" max="3607" width="3.7109375" style="4" customWidth="1"/>
    <col min="3608" max="3608" width="2.28515625" style="4" customWidth="1"/>
    <col min="3609" max="3610" width="3.7109375" style="4" customWidth="1"/>
    <col min="3611" max="3611" width="2.28515625" style="4" customWidth="1"/>
    <col min="3612" max="3613" width="3.7109375" style="4" customWidth="1"/>
    <col min="3614" max="3614" width="2.28515625" style="4" customWidth="1"/>
    <col min="3615" max="3615" width="3.7109375" style="4" customWidth="1"/>
    <col min="3616" max="3616" width="9.7109375" style="4" customWidth="1"/>
    <col min="3617" max="3626" width="3.7109375" style="4" customWidth="1"/>
    <col min="3627" max="3627" width="11" style="4" customWidth="1"/>
    <col min="3628" max="3629" width="8.85546875" style="4"/>
    <col min="3630" max="3630" width="10.7109375" style="4" customWidth="1"/>
    <col min="3631" max="3631" width="26.5703125" style="4" customWidth="1"/>
    <col min="3632" max="3632" width="18.28515625" style="4" customWidth="1"/>
    <col min="3633" max="3633" width="14.28515625" style="4" customWidth="1"/>
    <col min="3634" max="3635" width="10.28515625" style="4" customWidth="1"/>
    <col min="3636" max="3636" width="25" style="4" customWidth="1"/>
    <col min="3637" max="3637" width="6" style="4" customWidth="1"/>
    <col min="3638" max="3841" width="8.85546875" style="4"/>
    <col min="3842" max="3842" width="3.7109375" style="4" customWidth="1"/>
    <col min="3843" max="3843" width="2.28515625" style="4" customWidth="1"/>
    <col min="3844" max="3845" width="3.7109375" style="4" customWidth="1"/>
    <col min="3846" max="3846" width="2.28515625" style="4" customWidth="1"/>
    <col min="3847" max="3848" width="3.7109375" style="4" customWidth="1"/>
    <col min="3849" max="3849" width="2.28515625" style="4" customWidth="1"/>
    <col min="3850" max="3851" width="3.7109375" style="4" customWidth="1"/>
    <col min="3852" max="3852" width="2.28515625" style="4" customWidth="1"/>
    <col min="3853" max="3854" width="3.7109375" style="4" customWidth="1"/>
    <col min="3855" max="3855" width="2.28515625" style="4" customWidth="1"/>
    <col min="3856" max="3857" width="3.7109375" style="4" customWidth="1"/>
    <col min="3858" max="3858" width="2.28515625" style="4" customWidth="1"/>
    <col min="3859" max="3860" width="3.7109375" style="4" customWidth="1"/>
    <col min="3861" max="3861" width="2.28515625" style="4" customWidth="1"/>
    <col min="3862" max="3863" width="3.7109375" style="4" customWidth="1"/>
    <col min="3864" max="3864" width="2.28515625" style="4" customWidth="1"/>
    <col min="3865" max="3866" width="3.7109375" style="4" customWidth="1"/>
    <col min="3867" max="3867" width="2.28515625" style="4" customWidth="1"/>
    <col min="3868" max="3869" width="3.7109375" style="4" customWidth="1"/>
    <col min="3870" max="3870" width="2.28515625" style="4" customWidth="1"/>
    <col min="3871" max="3871" width="3.7109375" style="4" customWidth="1"/>
    <col min="3872" max="3872" width="9.7109375" style="4" customWidth="1"/>
    <col min="3873" max="3882" width="3.7109375" style="4" customWidth="1"/>
    <col min="3883" max="3883" width="11" style="4" customWidth="1"/>
    <col min="3884" max="3885" width="8.85546875" style="4"/>
    <col min="3886" max="3886" width="10.7109375" style="4" customWidth="1"/>
    <col min="3887" max="3887" width="26.5703125" style="4" customWidth="1"/>
    <col min="3888" max="3888" width="18.28515625" style="4" customWidth="1"/>
    <col min="3889" max="3889" width="14.28515625" style="4" customWidth="1"/>
    <col min="3890" max="3891" width="10.28515625" style="4" customWidth="1"/>
    <col min="3892" max="3892" width="25" style="4" customWidth="1"/>
    <col min="3893" max="3893" width="6" style="4" customWidth="1"/>
    <col min="3894" max="4097" width="8.85546875" style="4"/>
    <col min="4098" max="4098" width="3.7109375" style="4" customWidth="1"/>
    <col min="4099" max="4099" width="2.28515625" style="4" customWidth="1"/>
    <col min="4100" max="4101" width="3.7109375" style="4" customWidth="1"/>
    <col min="4102" max="4102" width="2.28515625" style="4" customWidth="1"/>
    <col min="4103" max="4104" width="3.7109375" style="4" customWidth="1"/>
    <col min="4105" max="4105" width="2.28515625" style="4" customWidth="1"/>
    <col min="4106" max="4107" width="3.7109375" style="4" customWidth="1"/>
    <col min="4108" max="4108" width="2.28515625" style="4" customWidth="1"/>
    <col min="4109" max="4110" width="3.7109375" style="4" customWidth="1"/>
    <col min="4111" max="4111" width="2.28515625" style="4" customWidth="1"/>
    <col min="4112" max="4113" width="3.7109375" style="4" customWidth="1"/>
    <col min="4114" max="4114" width="2.28515625" style="4" customWidth="1"/>
    <col min="4115" max="4116" width="3.7109375" style="4" customWidth="1"/>
    <col min="4117" max="4117" width="2.28515625" style="4" customWidth="1"/>
    <col min="4118" max="4119" width="3.7109375" style="4" customWidth="1"/>
    <col min="4120" max="4120" width="2.28515625" style="4" customWidth="1"/>
    <col min="4121" max="4122" width="3.7109375" style="4" customWidth="1"/>
    <col min="4123" max="4123" width="2.28515625" style="4" customWidth="1"/>
    <col min="4124" max="4125" width="3.7109375" style="4" customWidth="1"/>
    <col min="4126" max="4126" width="2.28515625" style="4" customWidth="1"/>
    <col min="4127" max="4127" width="3.7109375" style="4" customWidth="1"/>
    <col min="4128" max="4128" width="9.7109375" style="4" customWidth="1"/>
    <col min="4129" max="4138" width="3.7109375" style="4" customWidth="1"/>
    <col min="4139" max="4139" width="11" style="4" customWidth="1"/>
    <col min="4140" max="4141" width="8.85546875" style="4"/>
    <col min="4142" max="4142" width="10.7109375" style="4" customWidth="1"/>
    <col min="4143" max="4143" width="26.5703125" style="4" customWidth="1"/>
    <col min="4144" max="4144" width="18.28515625" style="4" customWidth="1"/>
    <col min="4145" max="4145" width="14.28515625" style="4" customWidth="1"/>
    <col min="4146" max="4147" width="10.28515625" style="4" customWidth="1"/>
    <col min="4148" max="4148" width="25" style="4" customWidth="1"/>
    <col min="4149" max="4149" width="6" style="4" customWidth="1"/>
    <col min="4150" max="4353" width="8.85546875" style="4"/>
    <col min="4354" max="4354" width="3.7109375" style="4" customWidth="1"/>
    <col min="4355" max="4355" width="2.28515625" style="4" customWidth="1"/>
    <col min="4356" max="4357" width="3.7109375" style="4" customWidth="1"/>
    <col min="4358" max="4358" width="2.28515625" style="4" customWidth="1"/>
    <col min="4359" max="4360" width="3.7109375" style="4" customWidth="1"/>
    <col min="4361" max="4361" width="2.28515625" style="4" customWidth="1"/>
    <col min="4362" max="4363" width="3.7109375" style="4" customWidth="1"/>
    <col min="4364" max="4364" width="2.28515625" style="4" customWidth="1"/>
    <col min="4365" max="4366" width="3.7109375" style="4" customWidth="1"/>
    <col min="4367" max="4367" width="2.28515625" style="4" customWidth="1"/>
    <col min="4368" max="4369" width="3.7109375" style="4" customWidth="1"/>
    <col min="4370" max="4370" width="2.28515625" style="4" customWidth="1"/>
    <col min="4371" max="4372" width="3.7109375" style="4" customWidth="1"/>
    <col min="4373" max="4373" width="2.28515625" style="4" customWidth="1"/>
    <col min="4374" max="4375" width="3.7109375" style="4" customWidth="1"/>
    <col min="4376" max="4376" width="2.28515625" style="4" customWidth="1"/>
    <col min="4377" max="4378" width="3.7109375" style="4" customWidth="1"/>
    <col min="4379" max="4379" width="2.28515625" style="4" customWidth="1"/>
    <col min="4380" max="4381" width="3.7109375" style="4" customWidth="1"/>
    <col min="4382" max="4382" width="2.28515625" style="4" customWidth="1"/>
    <col min="4383" max="4383" width="3.7109375" style="4" customWidth="1"/>
    <col min="4384" max="4384" width="9.7109375" style="4" customWidth="1"/>
    <col min="4385" max="4394" width="3.7109375" style="4" customWidth="1"/>
    <col min="4395" max="4395" width="11" style="4" customWidth="1"/>
    <col min="4396" max="4397" width="8.85546875" style="4"/>
    <col min="4398" max="4398" width="10.7109375" style="4" customWidth="1"/>
    <col min="4399" max="4399" width="26.5703125" style="4" customWidth="1"/>
    <col min="4400" max="4400" width="18.28515625" style="4" customWidth="1"/>
    <col min="4401" max="4401" width="14.28515625" style="4" customWidth="1"/>
    <col min="4402" max="4403" width="10.28515625" style="4" customWidth="1"/>
    <col min="4404" max="4404" width="25" style="4" customWidth="1"/>
    <col min="4405" max="4405" width="6" style="4" customWidth="1"/>
    <col min="4406" max="4609" width="8.85546875" style="4"/>
    <col min="4610" max="4610" width="3.7109375" style="4" customWidth="1"/>
    <col min="4611" max="4611" width="2.28515625" style="4" customWidth="1"/>
    <col min="4612" max="4613" width="3.7109375" style="4" customWidth="1"/>
    <col min="4614" max="4614" width="2.28515625" style="4" customWidth="1"/>
    <col min="4615" max="4616" width="3.7109375" style="4" customWidth="1"/>
    <col min="4617" max="4617" width="2.28515625" style="4" customWidth="1"/>
    <col min="4618" max="4619" width="3.7109375" style="4" customWidth="1"/>
    <col min="4620" max="4620" width="2.28515625" style="4" customWidth="1"/>
    <col min="4621" max="4622" width="3.7109375" style="4" customWidth="1"/>
    <col min="4623" max="4623" width="2.28515625" style="4" customWidth="1"/>
    <col min="4624" max="4625" width="3.7109375" style="4" customWidth="1"/>
    <col min="4626" max="4626" width="2.28515625" style="4" customWidth="1"/>
    <col min="4627" max="4628" width="3.7109375" style="4" customWidth="1"/>
    <col min="4629" max="4629" width="2.28515625" style="4" customWidth="1"/>
    <col min="4630" max="4631" width="3.7109375" style="4" customWidth="1"/>
    <col min="4632" max="4632" width="2.28515625" style="4" customWidth="1"/>
    <col min="4633" max="4634" width="3.7109375" style="4" customWidth="1"/>
    <col min="4635" max="4635" width="2.28515625" style="4" customWidth="1"/>
    <col min="4636" max="4637" width="3.7109375" style="4" customWidth="1"/>
    <col min="4638" max="4638" width="2.28515625" style="4" customWidth="1"/>
    <col min="4639" max="4639" width="3.7109375" style="4" customWidth="1"/>
    <col min="4640" max="4640" width="9.7109375" style="4" customWidth="1"/>
    <col min="4641" max="4650" width="3.7109375" style="4" customWidth="1"/>
    <col min="4651" max="4651" width="11" style="4" customWidth="1"/>
    <col min="4652" max="4653" width="8.85546875" style="4"/>
    <col min="4654" max="4654" width="10.7109375" style="4" customWidth="1"/>
    <col min="4655" max="4655" width="26.5703125" style="4" customWidth="1"/>
    <col min="4656" max="4656" width="18.28515625" style="4" customWidth="1"/>
    <col min="4657" max="4657" width="14.28515625" style="4" customWidth="1"/>
    <col min="4658" max="4659" width="10.28515625" style="4" customWidth="1"/>
    <col min="4660" max="4660" width="25" style="4" customWidth="1"/>
    <col min="4661" max="4661" width="6" style="4" customWidth="1"/>
    <col min="4662" max="4865" width="8.85546875" style="4"/>
    <col min="4866" max="4866" width="3.7109375" style="4" customWidth="1"/>
    <col min="4867" max="4867" width="2.28515625" style="4" customWidth="1"/>
    <col min="4868" max="4869" width="3.7109375" style="4" customWidth="1"/>
    <col min="4870" max="4870" width="2.28515625" style="4" customWidth="1"/>
    <col min="4871" max="4872" width="3.7109375" style="4" customWidth="1"/>
    <col min="4873" max="4873" width="2.28515625" style="4" customWidth="1"/>
    <col min="4874" max="4875" width="3.7109375" style="4" customWidth="1"/>
    <col min="4876" max="4876" width="2.28515625" style="4" customWidth="1"/>
    <col min="4877" max="4878" width="3.7109375" style="4" customWidth="1"/>
    <col min="4879" max="4879" width="2.28515625" style="4" customWidth="1"/>
    <col min="4880" max="4881" width="3.7109375" style="4" customWidth="1"/>
    <col min="4882" max="4882" width="2.28515625" style="4" customWidth="1"/>
    <col min="4883" max="4884" width="3.7109375" style="4" customWidth="1"/>
    <col min="4885" max="4885" width="2.28515625" style="4" customWidth="1"/>
    <col min="4886" max="4887" width="3.7109375" style="4" customWidth="1"/>
    <col min="4888" max="4888" width="2.28515625" style="4" customWidth="1"/>
    <col min="4889" max="4890" width="3.7109375" style="4" customWidth="1"/>
    <col min="4891" max="4891" width="2.28515625" style="4" customWidth="1"/>
    <col min="4892" max="4893" width="3.7109375" style="4" customWidth="1"/>
    <col min="4894" max="4894" width="2.28515625" style="4" customWidth="1"/>
    <col min="4895" max="4895" width="3.7109375" style="4" customWidth="1"/>
    <col min="4896" max="4896" width="9.7109375" style="4" customWidth="1"/>
    <col min="4897" max="4906" width="3.7109375" style="4" customWidth="1"/>
    <col min="4907" max="4907" width="11" style="4" customWidth="1"/>
    <col min="4908" max="4909" width="8.85546875" style="4"/>
    <col min="4910" max="4910" width="10.7109375" style="4" customWidth="1"/>
    <col min="4911" max="4911" width="26.5703125" style="4" customWidth="1"/>
    <col min="4912" max="4912" width="18.28515625" style="4" customWidth="1"/>
    <col min="4913" max="4913" width="14.28515625" style="4" customWidth="1"/>
    <col min="4914" max="4915" width="10.28515625" style="4" customWidth="1"/>
    <col min="4916" max="4916" width="25" style="4" customWidth="1"/>
    <col min="4917" max="4917" width="6" style="4" customWidth="1"/>
    <col min="4918" max="5121" width="8.85546875" style="4"/>
    <col min="5122" max="5122" width="3.7109375" style="4" customWidth="1"/>
    <col min="5123" max="5123" width="2.28515625" style="4" customWidth="1"/>
    <col min="5124" max="5125" width="3.7109375" style="4" customWidth="1"/>
    <col min="5126" max="5126" width="2.28515625" style="4" customWidth="1"/>
    <col min="5127" max="5128" width="3.7109375" style="4" customWidth="1"/>
    <col min="5129" max="5129" width="2.28515625" style="4" customWidth="1"/>
    <col min="5130" max="5131" width="3.7109375" style="4" customWidth="1"/>
    <col min="5132" max="5132" width="2.28515625" style="4" customWidth="1"/>
    <col min="5133" max="5134" width="3.7109375" style="4" customWidth="1"/>
    <col min="5135" max="5135" width="2.28515625" style="4" customWidth="1"/>
    <col min="5136" max="5137" width="3.7109375" style="4" customWidth="1"/>
    <col min="5138" max="5138" width="2.28515625" style="4" customWidth="1"/>
    <col min="5139" max="5140" width="3.7109375" style="4" customWidth="1"/>
    <col min="5141" max="5141" width="2.28515625" style="4" customWidth="1"/>
    <col min="5142" max="5143" width="3.7109375" style="4" customWidth="1"/>
    <col min="5144" max="5144" width="2.28515625" style="4" customWidth="1"/>
    <col min="5145" max="5146" width="3.7109375" style="4" customWidth="1"/>
    <col min="5147" max="5147" width="2.28515625" style="4" customWidth="1"/>
    <col min="5148" max="5149" width="3.7109375" style="4" customWidth="1"/>
    <col min="5150" max="5150" width="2.28515625" style="4" customWidth="1"/>
    <col min="5151" max="5151" width="3.7109375" style="4" customWidth="1"/>
    <col min="5152" max="5152" width="9.7109375" style="4" customWidth="1"/>
    <col min="5153" max="5162" width="3.7109375" style="4" customWidth="1"/>
    <col min="5163" max="5163" width="11" style="4" customWidth="1"/>
    <col min="5164" max="5165" width="8.85546875" style="4"/>
    <col min="5166" max="5166" width="10.7109375" style="4" customWidth="1"/>
    <col min="5167" max="5167" width="26.5703125" style="4" customWidth="1"/>
    <col min="5168" max="5168" width="18.28515625" style="4" customWidth="1"/>
    <col min="5169" max="5169" width="14.28515625" style="4" customWidth="1"/>
    <col min="5170" max="5171" width="10.28515625" style="4" customWidth="1"/>
    <col min="5172" max="5172" width="25" style="4" customWidth="1"/>
    <col min="5173" max="5173" width="6" style="4" customWidth="1"/>
    <col min="5174" max="5377" width="8.85546875" style="4"/>
    <col min="5378" max="5378" width="3.7109375" style="4" customWidth="1"/>
    <col min="5379" max="5379" width="2.28515625" style="4" customWidth="1"/>
    <col min="5380" max="5381" width="3.7109375" style="4" customWidth="1"/>
    <col min="5382" max="5382" width="2.28515625" style="4" customWidth="1"/>
    <col min="5383" max="5384" width="3.7109375" style="4" customWidth="1"/>
    <col min="5385" max="5385" width="2.28515625" style="4" customWidth="1"/>
    <col min="5386" max="5387" width="3.7109375" style="4" customWidth="1"/>
    <col min="5388" max="5388" width="2.28515625" style="4" customWidth="1"/>
    <col min="5389" max="5390" width="3.7109375" style="4" customWidth="1"/>
    <col min="5391" max="5391" width="2.28515625" style="4" customWidth="1"/>
    <col min="5392" max="5393" width="3.7109375" style="4" customWidth="1"/>
    <col min="5394" max="5394" width="2.28515625" style="4" customWidth="1"/>
    <col min="5395" max="5396" width="3.7109375" style="4" customWidth="1"/>
    <col min="5397" max="5397" width="2.28515625" style="4" customWidth="1"/>
    <col min="5398" max="5399" width="3.7109375" style="4" customWidth="1"/>
    <col min="5400" max="5400" width="2.28515625" style="4" customWidth="1"/>
    <col min="5401" max="5402" width="3.7109375" style="4" customWidth="1"/>
    <col min="5403" max="5403" width="2.28515625" style="4" customWidth="1"/>
    <col min="5404" max="5405" width="3.7109375" style="4" customWidth="1"/>
    <col min="5406" max="5406" width="2.28515625" style="4" customWidth="1"/>
    <col min="5407" max="5407" width="3.7109375" style="4" customWidth="1"/>
    <col min="5408" max="5408" width="9.7109375" style="4" customWidth="1"/>
    <col min="5409" max="5418" width="3.7109375" style="4" customWidth="1"/>
    <col min="5419" max="5419" width="11" style="4" customWidth="1"/>
    <col min="5420" max="5421" width="8.85546875" style="4"/>
    <col min="5422" max="5422" width="10.7109375" style="4" customWidth="1"/>
    <col min="5423" max="5423" width="26.5703125" style="4" customWidth="1"/>
    <col min="5424" max="5424" width="18.28515625" style="4" customWidth="1"/>
    <col min="5425" max="5425" width="14.28515625" style="4" customWidth="1"/>
    <col min="5426" max="5427" width="10.28515625" style="4" customWidth="1"/>
    <col min="5428" max="5428" width="25" style="4" customWidth="1"/>
    <col min="5429" max="5429" width="6" style="4" customWidth="1"/>
    <col min="5430" max="5633" width="8.85546875" style="4"/>
    <col min="5634" max="5634" width="3.7109375" style="4" customWidth="1"/>
    <col min="5635" max="5635" width="2.28515625" style="4" customWidth="1"/>
    <col min="5636" max="5637" width="3.7109375" style="4" customWidth="1"/>
    <col min="5638" max="5638" width="2.28515625" style="4" customWidth="1"/>
    <col min="5639" max="5640" width="3.7109375" style="4" customWidth="1"/>
    <col min="5641" max="5641" width="2.28515625" style="4" customWidth="1"/>
    <col min="5642" max="5643" width="3.7109375" style="4" customWidth="1"/>
    <col min="5644" max="5644" width="2.28515625" style="4" customWidth="1"/>
    <col min="5645" max="5646" width="3.7109375" style="4" customWidth="1"/>
    <col min="5647" max="5647" width="2.28515625" style="4" customWidth="1"/>
    <col min="5648" max="5649" width="3.7109375" style="4" customWidth="1"/>
    <col min="5650" max="5650" width="2.28515625" style="4" customWidth="1"/>
    <col min="5651" max="5652" width="3.7109375" style="4" customWidth="1"/>
    <col min="5653" max="5653" width="2.28515625" style="4" customWidth="1"/>
    <col min="5654" max="5655" width="3.7109375" style="4" customWidth="1"/>
    <col min="5656" max="5656" width="2.28515625" style="4" customWidth="1"/>
    <col min="5657" max="5658" width="3.7109375" style="4" customWidth="1"/>
    <col min="5659" max="5659" width="2.28515625" style="4" customWidth="1"/>
    <col min="5660" max="5661" width="3.7109375" style="4" customWidth="1"/>
    <col min="5662" max="5662" width="2.28515625" style="4" customWidth="1"/>
    <col min="5663" max="5663" width="3.7109375" style="4" customWidth="1"/>
    <col min="5664" max="5664" width="9.7109375" style="4" customWidth="1"/>
    <col min="5665" max="5674" width="3.7109375" style="4" customWidth="1"/>
    <col min="5675" max="5675" width="11" style="4" customWidth="1"/>
    <col min="5676" max="5677" width="8.85546875" style="4"/>
    <col min="5678" max="5678" width="10.7109375" style="4" customWidth="1"/>
    <col min="5679" max="5679" width="26.5703125" style="4" customWidth="1"/>
    <col min="5680" max="5680" width="18.28515625" style="4" customWidth="1"/>
    <col min="5681" max="5681" width="14.28515625" style="4" customWidth="1"/>
    <col min="5682" max="5683" width="10.28515625" style="4" customWidth="1"/>
    <col min="5684" max="5684" width="25" style="4" customWidth="1"/>
    <col min="5685" max="5685" width="6" style="4" customWidth="1"/>
    <col min="5686" max="5889" width="8.85546875" style="4"/>
    <col min="5890" max="5890" width="3.7109375" style="4" customWidth="1"/>
    <col min="5891" max="5891" width="2.28515625" style="4" customWidth="1"/>
    <col min="5892" max="5893" width="3.7109375" style="4" customWidth="1"/>
    <col min="5894" max="5894" width="2.28515625" style="4" customWidth="1"/>
    <col min="5895" max="5896" width="3.7109375" style="4" customWidth="1"/>
    <col min="5897" max="5897" width="2.28515625" style="4" customWidth="1"/>
    <col min="5898" max="5899" width="3.7109375" style="4" customWidth="1"/>
    <col min="5900" max="5900" width="2.28515625" style="4" customWidth="1"/>
    <col min="5901" max="5902" width="3.7109375" style="4" customWidth="1"/>
    <col min="5903" max="5903" width="2.28515625" style="4" customWidth="1"/>
    <col min="5904" max="5905" width="3.7109375" style="4" customWidth="1"/>
    <col min="5906" max="5906" width="2.28515625" style="4" customWidth="1"/>
    <col min="5907" max="5908" width="3.7109375" style="4" customWidth="1"/>
    <col min="5909" max="5909" width="2.28515625" style="4" customWidth="1"/>
    <col min="5910" max="5911" width="3.7109375" style="4" customWidth="1"/>
    <col min="5912" max="5912" width="2.28515625" style="4" customWidth="1"/>
    <col min="5913" max="5914" width="3.7109375" style="4" customWidth="1"/>
    <col min="5915" max="5915" width="2.28515625" style="4" customWidth="1"/>
    <col min="5916" max="5917" width="3.7109375" style="4" customWidth="1"/>
    <col min="5918" max="5918" width="2.28515625" style="4" customWidth="1"/>
    <col min="5919" max="5919" width="3.7109375" style="4" customWidth="1"/>
    <col min="5920" max="5920" width="9.7109375" style="4" customWidth="1"/>
    <col min="5921" max="5930" width="3.7109375" style="4" customWidth="1"/>
    <col min="5931" max="5931" width="11" style="4" customWidth="1"/>
    <col min="5932" max="5933" width="8.85546875" style="4"/>
    <col min="5934" max="5934" width="10.7109375" style="4" customWidth="1"/>
    <col min="5935" max="5935" width="26.5703125" style="4" customWidth="1"/>
    <col min="5936" max="5936" width="18.28515625" style="4" customWidth="1"/>
    <col min="5937" max="5937" width="14.28515625" style="4" customWidth="1"/>
    <col min="5938" max="5939" width="10.28515625" style="4" customWidth="1"/>
    <col min="5940" max="5940" width="25" style="4" customWidth="1"/>
    <col min="5941" max="5941" width="6" style="4" customWidth="1"/>
    <col min="5942" max="6145" width="8.85546875" style="4"/>
    <col min="6146" max="6146" width="3.7109375" style="4" customWidth="1"/>
    <col min="6147" max="6147" width="2.28515625" style="4" customWidth="1"/>
    <col min="6148" max="6149" width="3.7109375" style="4" customWidth="1"/>
    <col min="6150" max="6150" width="2.28515625" style="4" customWidth="1"/>
    <col min="6151" max="6152" width="3.7109375" style="4" customWidth="1"/>
    <col min="6153" max="6153" width="2.28515625" style="4" customWidth="1"/>
    <col min="6154" max="6155" width="3.7109375" style="4" customWidth="1"/>
    <col min="6156" max="6156" width="2.28515625" style="4" customWidth="1"/>
    <col min="6157" max="6158" width="3.7109375" style="4" customWidth="1"/>
    <col min="6159" max="6159" width="2.28515625" style="4" customWidth="1"/>
    <col min="6160" max="6161" width="3.7109375" style="4" customWidth="1"/>
    <col min="6162" max="6162" width="2.28515625" style="4" customWidth="1"/>
    <col min="6163" max="6164" width="3.7109375" style="4" customWidth="1"/>
    <col min="6165" max="6165" width="2.28515625" style="4" customWidth="1"/>
    <col min="6166" max="6167" width="3.7109375" style="4" customWidth="1"/>
    <col min="6168" max="6168" width="2.28515625" style="4" customWidth="1"/>
    <col min="6169" max="6170" width="3.7109375" style="4" customWidth="1"/>
    <col min="6171" max="6171" width="2.28515625" style="4" customWidth="1"/>
    <col min="6172" max="6173" width="3.7109375" style="4" customWidth="1"/>
    <col min="6174" max="6174" width="2.28515625" style="4" customWidth="1"/>
    <col min="6175" max="6175" width="3.7109375" style="4" customWidth="1"/>
    <col min="6176" max="6176" width="9.7109375" style="4" customWidth="1"/>
    <col min="6177" max="6186" width="3.7109375" style="4" customWidth="1"/>
    <col min="6187" max="6187" width="11" style="4" customWidth="1"/>
    <col min="6188" max="6189" width="8.85546875" style="4"/>
    <col min="6190" max="6190" width="10.7109375" style="4" customWidth="1"/>
    <col min="6191" max="6191" width="26.5703125" style="4" customWidth="1"/>
    <col min="6192" max="6192" width="18.28515625" style="4" customWidth="1"/>
    <col min="6193" max="6193" width="14.28515625" style="4" customWidth="1"/>
    <col min="6194" max="6195" width="10.28515625" style="4" customWidth="1"/>
    <col min="6196" max="6196" width="25" style="4" customWidth="1"/>
    <col min="6197" max="6197" width="6" style="4" customWidth="1"/>
    <col min="6198" max="6401" width="8.85546875" style="4"/>
    <col min="6402" max="6402" width="3.7109375" style="4" customWidth="1"/>
    <col min="6403" max="6403" width="2.28515625" style="4" customWidth="1"/>
    <col min="6404" max="6405" width="3.7109375" style="4" customWidth="1"/>
    <col min="6406" max="6406" width="2.28515625" style="4" customWidth="1"/>
    <col min="6407" max="6408" width="3.7109375" style="4" customWidth="1"/>
    <col min="6409" max="6409" width="2.28515625" style="4" customWidth="1"/>
    <col min="6410" max="6411" width="3.7109375" style="4" customWidth="1"/>
    <col min="6412" max="6412" width="2.28515625" style="4" customWidth="1"/>
    <col min="6413" max="6414" width="3.7109375" style="4" customWidth="1"/>
    <col min="6415" max="6415" width="2.28515625" style="4" customWidth="1"/>
    <col min="6416" max="6417" width="3.7109375" style="4" customWidth="1"/>
    <col min="6418" max="6418" width="2.28515625" style="4" customWidth="1"/>
    <col min="6419" max="6420" width="3.7109375" style="4" customWidth="1"/>
    <col min="6421" max="6421" width="2.28515625" style="4" customWidth="1"/>
    <col min="6422" max="6423" width="3.7109375" style="4" customWidth="1"/>
    <col min="6424" max="6424" width="2.28515625" style="4" customWidth="1"/>
    <col min="6425" max="6426" width="3.7109375" style="4" customWidth="1"/>
    <col min="6427" max="6427" width="2.28515625" style="4" customWidth="1"/>
    <col min="6428" max="6429" width="3.7109375" style="4" customWidth="1"/>
    <col min="6430" max="6430" width="2.28515625" style="4" customWidth="1"/>
    <col min="6431" max="6431" width="3.7109375" style="4" customWidth="1"/>
    <col min="6432" max="6432" width="9.7109375" style="4" customWidth="1"/>
    <col min="6433" max="6442" width="3.7109375" style="4" customWidth="1"/>
    <col min="6443" max="6443" width="11" style="4" customWidth="1"/>
    <col min="6444" max="6445" width="8.85546875" style="4"/>
    <col min="6446" max="6446" width="10.7109375" style="4" customWidth="1"/>
    <col min="6447" max="6447" width="26.5703125" style="4" customWidth="1"/>
    <col min="6448" max="6448" width="18.28515625" style="4" customWidth="1"/>
    <col min="6449" max="6449" width="14.28515625" style="4" customWidth="1"/>
    <col min="6450" max="6451" width="10.28515625" style="4" customWidth="1"/>
    <col min="6452" max="6452" width="25" style="4" customWidth="1"/>
    <col min="6453" max="6453" width="6" style="4" customWidth="1"/>
    <col min="6454" max="6657" width="8.85546875" style="4"/>
    <col min="6658" max="6658" width="3.7109375" style="4" customWidth="1"/>
    <col min="6659" max="6659" width="2.28515625" style="4" customWidth="1"/>
    <col min="6660" max="6661" width="3.7109375" style="4" customWidth="1"/>
    <col min="6662" max="6662" width="2.28515625" style="4" customWidth="1"/>
    <col min="6663" max="6664" width="3.7109375" style="4" customWidth="1"/>
    <col min="6665" max="6665" width="2.28515625" style="4" customWidth="1"/>
    <col min="6666" max="6667" width="3.7109375" style="4" customWidth="1"/>
    <col min="6668" max="6668" width="2.28515625" style="4" customWidth="1"/>
    <col min="6669" max="6670" width="3.7109375" style="4" customWidth="1"/>
    <col min="6671" max="6671" width="2.28515625" style="4" customWidth="1"/>
    <col min="6672" max="6673" width="3.7109375" style="4" customWidth="1"/>
    <col min="6674" max="6674" width="2.28515625" style="4" customWidth="1"/>
    <col min="6675" max="6676" width="3.7109375" style="4" customWidth="1"/>
    <col min="6677" max="6677" width="2.28515625" style="4" customWidth="1"/>
    <col min="6678" max="6679" width="3.7109375" style="4" customWidth="1"/>
    <col min="6680" max="6680" width="2.28515625" style="4" customWidth="1"/>
    <col min="6681" max="6682" width="3.7109375" style="4" customWidth="1"/>
    <col min="6683" max="6683" width="2.28515625" style="4" customWidth="1"/>
    <col min="6684" max="6685" width="3.7109375" style="4" customWidth="1"/>
    <col min="6686" max="6686" width="2.28515625" style="4" customWidth="1"/>
    <col min="6687" max="6687" width="3.7109375" style="4" customWidth="1"/>
    <col min="6688" max="6688" width="9.7109375" style="4" customWidth="1"/>
    <col min="6689" max="6698" width="3.7109375" style="4" customWidth="1"/>
    <col min="6699" max="6699" width="11" style="4" customWidth="1"/>
    <col min="6700" max="6701" width="8.85546875" style="4"/>
    <col min="6702" max="6702" width="10.7109375" style="4" customWidth="1"/>
    <col min="6703" max="6703" width="26.5703125" style="4" customWidth="1"/>
    <col min="6704" max="6704" width="18.28515625" style="4" customWidth="1"/>
    <col min="6705" max="6705" width="14.28515625" style="4" customWidth="1"/>
    <col min="6706" max="6707" width="10.28515625" style="4" customWidth="1"/>
    <col min="6708" max="6708" width="25" style="4" customWidth="1"/>
    <col min="6709" max="6709" width="6" style="4" customWidth="1"/>
    <col min="6710" max="6913" width="8.85546875" style="4"/>
    <col min="6914" max="6914" width="3.7109375" style="4" customWidth="1"/>
    <col min="6915" max="6915" width="2.28515625" style="4" customWidth="1"/>
    <col min="6916" max="6917" width="3.7109375" style="4" customWidth="1"/>
    <col min="6918" max="6918" width="2.28515625" style="4" customWidth="1"/>
    <col min="6919" max="6920" width="3.7109375" style="4" customWidth="1"/>
    <col min="6921" max="6921" width="2.28515625" style="4" customWidth="1"/>
    <col min="6922" max="6923" width="3.7109375" style="4" customWidth="1"/>
    <col min="6924" max="6924" width="2.28515625" style="4" customWidth="1"/>
    <col min="6925" max="6926" width="3.7109375" style="4" customWidth="1"/>
    <col min="6927" max="6927" width="2.28515625" style="4" customWidth="1"/>
    <col min="6928" max="6929" width="3.7109375" style="4" customWidth="1"/>
    <col min="6930" max="6930" width="2.28515625" style="4" customWidth="1"/>
    <col min="6931" max="6932" width="3.7109375" style="4" customWidth="1"/>
    <col min="6933" max="6933" width="2.28515625" style="4" customWidth="1"/>
    <col min="6934" max="6935" width="3.7109375" style="4" customWidth="1"/>
    <col min="6936" max="6936" width="2.28515625" style="4" customWidth="1"/>
    <col min="6937" max="6938" width="3.7109375" style="4" customWidth="1"/>
    <col min="6939" max="6939" width="2.28515625" style="4" customWidth="1"/>
    <col min="6940" max="6941" width="3.7109375" style="4" customWidth="1"/>
    <col min="6942" max="6942" width="2.28515625" style="4" customWidth="1"/>
    <col min="6943" max="6943" width="3.7109375" style="4" customWidth="1"/>
    <col min="6944" max="6944" width="9.7109375" style="4" customWidth="1"/>
    <col min="6945" max="6954" width="3.7109375" style="4" customWidth="1"/>
    <col min="6955" max="6955" width="11" style="4" customWidth="1"/>
    <col min="6956" max="6957" width="8.85546875" style="4"/>
    <col min="6958" max="6958" width="10.7109375" style="4" customWidth="1"/>
    <col min="6959" max="6959" width="26.5703125" style="4" customWidth="1"/>
    <col min="6960" max="6960" width="18.28515625" style="4" customWidth="1"/>
    <col min="6961" max="6961" width="14.28515625" style="4" customWidth="1"/>
    <col min="6962" max="6963" width="10.28515625" style="4" customWidth="1"/>
    <col min="6964" max="6964" width="25" style="4" customWidth="1"/>
    <col min="6965" max="6965" width="6" style="4" customWidth="1"/>
    <col min="6966" max="7169" width="8.85546875" style="4"/>
    <col min="7170" max="7170" width="3.7109375" style="4" customWidth="1"/>
    <col min="7171" max="7171" width="2.28515625" style="4" customWidth="1"/>
    <col min="7172" max="7173" width="3.7109375" style="4" customWidth="1"/>
    <col min="7174" max="7174" width="2.28515625" style="4" customWidth="1"/>
    <col min="7175" max="7176" width="3.7109375" style="4" customWidth="1"/>
    <col min="7177" max="7177" width="2.28515625" style="4" customWidth="1"/>
    <col min="7178" max="7179" width="3.7109375" style="4" customWidth="1"/>
    <col min="7180" max="7180" width="2.28515625" style="4" customWidth="1"/>
    <col min="7181" max="7182" width="3.7109375" style="4" customWidth="1"/>
    <col min="7183" max="7183" width="2.28515625" style="4" customWidth="1"/>
    <col min="7184" max="7185" width="3.7109375" style="4" customWidth="1"/>
    <col min="7186" max="7186" width="2.28515625" style="4" customWidth="1"/>
    <col min="7187" max="7188" width="3.7109375" style="4" customWidth="1"/>
    <col min="7189" max="7189" width="2.28515625" style="4" customWidth="1"/>
    <col min="7190" max="7191" width="3.7109375" style="4" customWidth="1"/>
    <col min="7192" max="7192" width="2.28515625" style="4" customWidth="1"/>
    <col min="7193" max="7194" width="3.7109375" style="4" customWidth="1"/>
    <col min="7195" max="7195" width="2.28515625" style="4" customWidth="1"/>
    <col min="7196" max="7197" width="3.7109375" style="4" customWidth="1"/>
    <col min="7198" max="7198" width="2.28515625" style="4" customWidth="1"/>
    <col min="7199" max="7199" width="3.7109375" style="4" customWidth="1"/>
    <col min="7200" max="7200" width="9.7109375" style="4" customWidth="1"/>
    <col min="7201" max="7210" width="3.7109375" style="4" customWidth="1"/>
    <col min="7211" max="7211" width="11" style="4" customWidth="1"/>
    <col min="7212" max="7213" width="8.85546875" style="4"/>
    <col min="7214" max="7214" width="10.7109375" style="4" customWidth="1"/>
    <col min="7215" max="7215" width="26.5703125" style="4" customWidth="1"/>
    <col min="7216" max="7216" width="18.28515625" style="4" customWidth="1"/>
    <col min="7217" max="7217" width="14.28515625" style="4" customWidth="1"/>
    <col min="7218" max="7219" width="10.28515625" style="4" customWidth="1"/>
    <col min="7220" max="7220" width="25" style="4" customWidth="1"/>
    <col min="7221" max="7221" width="6" style="4" customWidth="1"/>
    <col min="7222" max="7425" width="8.85546875" style="4"/>
    <col min="7426" max="7426" width="3.7109375" style="4" customWidth="1"/>
    <col min="7427" max="7427" width="2.28515625" style="4" customWidth="1"/>
    <col min="7428" max="7429" width="3.7109375" style="4" customWidth="1"/>
    <col min="7430" max="7430" width="2.28515625" style="4" customWidth="1"/>
    <col min="7431" max="7432" width="3.7109375" style="4" customWidth="1"/>
    <col min="7433" max="7433" width="2.28515625" style="4" customWidth="1"/>
    <col min="7434" max="7435" width="3.7109375" style="4" customWidth="1"/>
    <col min="7436" max="7436" width="2.28515625" style="4" customWidth="1"/>
    <col min="7437" max="7438" width="3.7109375" style="4" customWidth="1"/>
    <col min="7439" max="7439" width="2.28515625" style="4" customWidth="1"/>
    <col min="7440" max="7441" width="3.7109375" style="4" customWidth="1"/>
    <col min="7442" max="7442" width="2.28515625" style="4" customWidth="1"/>
    <col min="7443" max="7444" width="3.7109375" style="4" customWidth="1"/>
    <col min="7445" max="7445" width="2.28515625" style="4" customWidth="1"/>
    <col min="7446" max="7447" width="3.7109375" style="4" customWidth="1"/>
    <col min="7448" max="7448" width="2.28515625" style="4" customWidth="1"/>
    <col min="7449" max="7450" width="3.7109375" style="4" customWidth="1"/>
    <col min="7451" max="7451" width="2.28515625" style="4" customWidth="1"/>
    <col min="7452" max="7453" width="3.7109375" style="4" customWidth="1"/>
    <col min="7454" max="7454" width="2.28515625" style="4" customWidth="1"/>
    <col min="7455" max="7455" width="3.7109375" style="4" customWidth="1"/>
    <col min="7456" max="7456" width="9.7109375" style="4" customWidth="1"/>
    <col min="7457" max="7466" width="3.7109375" style="4" customWidth="1"/>
    <col min="7467" max="7467" width="11" style="4" customWidth="1"/>
    <col min="7468" max="7469" width="8.85546875" style="4"/>
    <col min="7470" max="7470" width="10.7109375" style="4" customWidth="1"/>
    <col min="7471" max="7471" width="26.5703125" style="4" customWidth="1"/>
    <col min="7472" max="7472" width="18.28515625" style="4" customWidth="1"/>
    <col min="7473" max="7473" width="14.28515625" style="4" customWidth="1"/>
    <col min="7474" max="7475" width="10.28515625" style="4" customWidth="1"/>
    <col min="7476" max="7476" width="25" style="4" customWidth="1"/>
    <col min="7477" max="7477" width="6" style="4" customWidth="1"/>
    <col min="7478" max="7681" width="8.85546875" style="4"/>
    <col min="7682" max="7682" width="3.7109375" style="4" customWidth="1"/>
    <col min="7683" max="7683" width="2.28515625" style="4" customWidth="1"/>
    <col min="7684" max="7685" width="3.7109375" style="4" customWidth="1"/>
    <col min="7686" max="7686" width="2.28515625" style="4" customWidth="1"/>
    <col min="7687" max="7688" width="3.7109375" style="4" customWidth="1"/>
    <col min="7689" max="7689" width="2.28515625" style="4" customWidth="1"/>
    <col min="7690" max="7691" width="3.7109375" style="4" customWidth="1"/>
    <col min="7692" max="7692" width="2.28515625" style="4" customWidth="1"/>
    <col min="7693" max="7694" width="3.7109375" style="4" customWidth="1"/>
    <col min="7695" max="7695" width="2.28515625" style="4" customWidth="1"/>
    <col min="7696" max="7697" width="3.7109375" style="4" customWidth="1"/>
    <col min="7698" max="7698" width="2.28515625" style="4" customWidth="1"/>
    <col min="7699" max="7700" width="3.7109375" style="4" customWidth="1"/>
    <col min="7701" max="7701" width="2.28515625" style="4" customWidth="1"/>
    <col min="7702" max="7703" width="3.7109375" style="4" customWidth="1"/>
    <col min="7704" max="7704" width="2.28515625" style="4" customWidth="1"/>
    <col min="7705" max="7706" width="3.7109375" style="4" customWidth="1"/>
    <col min="7707" max="7707" width="2.28515625" style="4" customWidth="1"/>
    <col min="7708" max="7709" width="3.7109375" style="4" customWidth="1"/>
    <col min="7710" max="7710" width="2.28515625" style="4" customWidth="1"/>
    <col min="7711" max="7711" width="3.7109375" style="4" customWidth="1"/>
    <col min="7712" max="7712" width="9.7109375" style="4" customWidth="1"/>
    <col min="7713" max="7722" width="3.7109375" style="4" customWidth="1"/>
    <col min="7723" max="7723" width="11" style="4" customWidth="1"/>
    <col min="7724" max="7725" width="8.85546875" style="4"/>
    <col min="7726" max="7726" width="10.7109375" style="4" customWidth="1"/>
    <col min="7727" max="7727" width="26.5703125" style="4" customWidth="1"/>
    <col min="7728" max="7728" width="18.28515625" style="4" customWidth="1"/>
    <col min="7729" max="7729" width="14.28515625" style="4" customWidth="1"/>
    <col min="7730" max="7731" width="10.28515625" style="4" customWidth="1"/>
    <col min="7732" max="7732" width="25" style="4" customWidth="1"/>
    <col min="7733" max="7733" width="6" style="4" customWidth="1"/>
    <col min="7734" max="7937" width="8.85546875" style="4"/>
    <col min="7938" max="7938" width="3.7109375" style="4" customWidth="1"/>
    <col min="7939" max="7939" width="2.28515625" style="4" customWidth="1"/>
    <col min="7940" max="7941" width="3.7109375" style="4" customWidth="1"/>
    <col min="7942" max="7942" width="2.28515625" style="4" customWidth="1"/>
    <col min="7943" max="7944" width="3.7109375" style="4" customWidth="1"/>
    <col min="7945" max="7945" width="2.28515625" style="4" customWidth="1"/>
    <col min="7946" max="7947" width="3.7109375" style="4" customWidth="1"/>
    <col min="7948" max="7948" width="2.28515625" style="4" customWidth="1"/>
    <col min="7949" max="7950" width="3.7109375" style="4" customWidth="1"/>
    <col min="7951" max="7951" width="2.28515625" style="4" customWidth="1"/>
    <col min="7952" max="7953" width="3.7109375" style="4" customWidth="1"/>
    <col min="7954" max="7954" width="2.28515625" style="4" customWidth="1"/>
    <col min="7955" max="7956" width="3.7109375" style="4" customWidth="1"/>
    <col min="7957" max="7957" width="2.28515625" style="4" customWidth="1"/>
    <col min="7958" max="7959" width="3.7109375" style="4" customWidth="1"/>
    <col min="7960" max="7960" width="2.28515625" style="4" customWidth="1"/>
    <col min="7961" max="7962" width="3.7109375" style="4" customWidth="1"/>
    <col min="7963" max="7963" width="2.28515625" style="4" customWidth="1"/>
    <col min="7964" max="7965" width="3.7109375" style="4" customWidth="1"/>
    <col min="7966" max="7966" width="2.28515625" style="4" customWidth="1"/>
    <col min="7967" max="7967" width="3.7109375" style="4" customWidth="1"/>
    <col min="7968" max="7968" width="9.7109375" style="4" customWidth="1"/>
    <col min="7969" max="7978" width="3.7109375" style="4" customWidth="1"/>
    <col min="7979" max="7979" width="11" style="4" customWidth="1"/>
    <col min="7980" max="7981" width="8.85546875" style="4"/>
    <col min="7982" max="7982" width="10.7109375" style="4" customWidth="1"/>
    <col min="7983" max="7983" width="26.5703125" style="4" customWidth="1"/>
    <col min="7984" max="7984" width="18.28515625" style="4" customWidth="1"/>
    <col min="7985" max="7985" width="14.28515625" style="4" customWidth="1"/>
    <col min="7986" max="7987" width="10.28515625" style="4" customWidth="1"/>
    <col min="7988" max="7988" width="25" style="4" customWidth="1"/>
    <col min="7989" max="7989" width="6" style="4" customWidth="1"/>
    <col min="7990" max="8193" width="8.85546875" style="4"/>
    <col min="8194" max="8194" width="3.7109375" style="4" customWidth="1"/>
    <col min="8195" max="8195" width="2.28515625" style="4" customWidth="1"/>
    <col min="8196" max="8197" width="3.7109375" style="4" customWidth="1"/>
    <col min="8198" max="8198" width="2.28515625" style="4" customWidth="1"/>
    <col min="8199" max="8200" width="3.7109375" style="4" customWidth="1"/>
    <col min="8201" max="8201" width="2.28515625" style="4" customWidth="1"/>
    <col min="8202" max="8203" width="3.7109375" style="4" customWidth="1"/>
    <col min="8204" max="8204" width="2.28515625" style="4" customWidth="1"/>
    <col min="8205" max="8206" width="3.7109375" style="4" customWidth="1"/>
    <col min="8207" max="8207" width="2.28515625" style="4" customWidth="1"/>
    <col min="8208" max="8209" width="3.7109375" style="4" customWidth="1"/>
    <col min="8210" max="8210" width="2.28515625" style="4" customWidth="1"/>
    <col min="8211" max="8212" width="3.7109375" style="4" customWidth="1"/>
    <col min="8213" max="8213" width="2.28515625" style="4" customWidth="1"/>
    <col min="8214" max="8215" width="3.7109375" style="4" customWidth="1"/>
    <col min="8216" max="8216" width="2.28515625" style="4" customWidth="1"/>
    <col min="8217" max="8218" width="3.7109375" style="4" customWidth="1"/>
    <col min="8219" max="8219" width="2.28515625" style="4" customWidth="1"/>
    <col min="8220" max="8221" width="3.7109375" style="4" customWidth="1"/>
    <col min="8222" max="8222" width="2.28515625" style="4" customWidth="1"/>
    <col min="8223" max="8223" width="3.7109375" style="4" customWidth="1"/>
    <col min="8224" max="8224" width="9.7109375" style="4" customWidth="1"/>
    <col min="8225" max="8234" width="3.7109375" style="4" customWidth="1"/>
    <col min="8235" max="8235" width="11" style="4" customWidth="1"/>
    <col min="8236" max="8237" width="8.85546875" style="4"/>
    <col min="8238" max="8238" width="10.7109375" style="4" customWidth="1"/>
    <col min="8239" max="8239" width="26.5703125" style="4" customWidth="1"/>
    <col min="8240" max="8240" width="18.28515625" style="4" customWidth="1"/>
    <col min="8241" max="8241" width="14.28515625" style="4" customWidth="1"/>
    <col min="8242" max="8243" width="10.28515625" style="4" customWidth="1"/>
    <col min="8244" max="8244" width="25" style="4" customWidth="1"/>
    <col min="8245" max="8245" width="6" style="4" customWidth="1"/>
    <col min="8246" max="8449" width="8.85546875" style="4"/>
    <col min="8450" max="8450" width="3.7109375" style="4" customWidth="1"/>
    <col min="8451" max="8451" width="2.28515625" style="4" customWidth="1"/>
    <col min="8452" max="8453" width="3.7109375" style="4" customWidth="1"/>
    <col min="8454" max="8454" width="2.28515625" style="4" customWidth="1"/>
    <col min="8455" max="8456" width="3.7109375" style="4" customWidth="1"/>
    <col min="8457" max="8457" width="2.28515625" style="4" customWidth="1"/>
    <col min="8458" max="8459" width="3.7109375" style="4" customWidth="1"/>
    <col min="8460" max="8460" width="2.28515625" style="4" customWidth="1"/>
    <col min="8461" max="8462" width="3.7109375" style="4" customWidth="1"/>
    <col min="8463" max="8463" width="2.28515625" style="4" customWidth="1"/>
    <col min="8464" max="8465" width="3.7109375" style="4" customWidth="1"/>
    <col min="8466" max="8466" width="2.28515625" style="4" customWidth="1"/>
    <col min="8467" max="8468" width="3.7109375" style="4" customWidth="1"/>
    <col min="8469" max="8469" width="2.28515625" style="4" customWidth="1"/>
    <col min="8470" max="8471" width="3.7109375" style="4" customWidth="1"/>
    <col min="8472" max="8472" width="2.28515625" style="4" customWidth="1"/>
    <col min="8473" max="8474" width="3.7109375" style="4" customWidth="1"/>
    <col min="8475" max="8475" width="2.28515625" style="4" customWidth="1"/>
    <col min="8476" max="8477" width="3.7109375" style="4" customWidth="1"/>
    <col min="8478" max="8478" width="2.28515625" style="4" customWidth="1"/>
    <col min="8479" max="8479" width="3.7109375" style="4" customWidth="1"/>
    <col min="8480" max="8480" width="9.7109375" style="4" customWidth="1"/>
    <col min="8481" max="8490" width="3.7109375" style="4" customWidth="1"/>
    <col min="8491" max="8491" width="11" style="4" customWidth="1"/>
    <col min="8492" max="8493" width="8.85546875" style="4"/>
    <col min="8494" max="8494" width="10.7109375" style="4" customWidth="1"/>
    <col min="8495" max="8495" width="26.5703125" style="4" customWidth="1"/>
    <col min="8496" max="8496" width="18.28515625" style="4" customWidth="1"/>
    <col min="8497" max="8497" width="14.28515625" style="4" customWidth="1"/>
    <col min="8498" max="8499" width="10.28515625" style="4" customWidth="1"/>
    <col min="8500" max="8500" width="25" style="4" customWidth="1"/>
    <col min="8501" max="8501" width="6" style="4" customWidth="1"/>
    <col min="8502" max="8705" width="8.85546875" style="4"/>
    <col min="8706" max="8706" width="3.7109375" style="4" customWidth="1"/>
    <col min="8707" max="8707" width="2.28515625" style="4" customWidth="1"/>
    <col min="8708" max="8709" width="3.7109375" style="4" customWidth="1"/>
    <col min="8710" max="8710" width="2.28515625" style="4" customWidth="1"/>
    <col min="8711" max="8712" width="3.7109375" style="4" customWidth="1"/>
    <col min="8713" max="8713" width="2.28515625" style="4" customWidth="1"/>
    <col min="8714" max="8715" width="3.7109375" style="4" customWidth="1"/>
    <col min="8716" max="8716" width="2.28515625" style="4" customWidth="1"/>
    <col min="8717" max="8718" width="3.7109375" style="4" customWidth="1"/>
    <col min="8719" max="8719" width="2.28515625" style="4" customWidth="1"/>
    <col min="8720" max="8721" width="3.7109375" style="4" customWidth="1"/>
    <col min="8722" max="8722" width="2.28515625" style="4" customWidth="1"/>
    <col min="8723" max="8724" width="3.7109375" style="4" customWidth="1"/>
    <col min="8725" max="8725" width="2.28515625" style="4" customWidth="1"/>
    <col min="8726" max="8727" width="3.7109375" style="4" customWidth="1"/>
    <col min="8728" max="8728" width="2.28515625" style="4" customWidth="1"/>
    <col min="8729" max="8730" width="3.7109375" style="4" customWidth="1"/>
    <col min="8731" max="8731" width="2.28515625" style="4" customWidth="1"/>
    <col min="8732" max="8733" width="3.7109375" style="4" customWidth="1"/>
    <col min="8734" max="8734" width="2.28515625" style="4" customWidth="1"/>
    <col min="8735" max="8735" width="3.7109375" style="4" customWidth="1"/>
    <col min="8736" max="8736" width="9.7109375" style="4" customWidth="1"/>
    <col min="8737" max="8746" width="3.7109375" style="4" customWidth="1"/>
    <col min="8747" max="8747" width="11" style="4" customWidth="1"/>
    <col min="8748" max="8749" width="8.85546875" style="4"/>
    <col min="8750" max="8750" width="10.7109375" style="4" customWidth="1"/>
    <col min="8751" max="8751" width="26.5703125" style="4" customWidth="1"/>
    <col min="8752" max="8752" width="18.28515625" style="4" customWidth="1"/>
    <col min="8753" max="8753" width="14.28515625" style="4" customWidth="1"/>
    <col min="8754" max="8755" width="10.28515625" style="4" customWidth="1"/>
    <col min="8756" max="8756" width="25" style="4" customWidth="1"/>
    <col min="8757" max="8757" width="6" style="4" customWidth="1"/>
    <col min="8758" max="8961" width="8.85546875" style="4"/>
    <col min="8962" max="8962" width="3.7109375" style="4" customWidth="1"/>
    <col min="8963" max="8963" width="2.28515625" style="4" customWidth="1"/>
    <col min="8964" max="8965" width="3.7109375" style="4" customWidth="1"/>
    <col min="8966" max="8966" width="2.28515625" style="4" customWidth="1"/>
    <col min="8967" max="8968" width="3.7109375" style="4" customWidth="1"/>
    <col min="8969" max="8969" width="2.28515625" style="4" customWidth="1"/>
    <col min="8970" max="8971" width="3.7109375" style="4" customWidth="1"/>
    <col min="8972" max="8972" width="2.28515625" style="4" customWidth="1"/>
    <col min="8973" max="8974" width="3.7109375" style="4" customWidth="1"/>
    <col min="8975" max="8975" width="2.28515625" style="4" customWidth="1"/>
    <col min="8976" max="8977" width="3.7109375" style="4" customWidth="1"/>
    <col min="8978" max="8978" width="2.28515625" style="4" customWidth="1"/>
    <col min="8979" max="8980" width="3.7109375" style="4" customWidth="1"/>
    <col min="8981" max="8981" width="2.28515625" style="4" customWidth="1"/>
    <col min="8982" max="8983" width="3.7109375" style="4" customWidth="1"/>
    <col min="8984" max="8984" width="2.28515625" style="4" customWidth="1"/>
    <col min="8985" max="8986" width="3.7109375" style="4" customWidth="1"/>
    <col min="8987" max="8987" width="2.28515625" style="4" customWidth="1"/>
    <col min="8988" max="8989" width="3.7109375" style="4" customWidth="1"/>
    <col min="8990" max="8990" width="2.28515625" style="4" customWidth="1"/>
    <col min="8991" max="8991" width="3.7109375" style="4" customWidth="1"/>
    <col min="8992" max="8992" width="9.7109375" style="4" customWidth="1"/>
    <col min="8993" max="9002" width="3.7109375" style="4" customWidth="1"/>
    <col min="9003" max="9003" width="11" style="4" customWidth="1"/>
    <col min="9004" max="9005" width="8.85546875" style="4"/>
    <col min="9006" max="9006" width="10.7109375" style="4" customWidth="1"/>
    <col min="9007" max="9007" width="26.5703125" style="4" customWidth="1"/>
    <col min="9008" max="9008" width="18.28515625" style="4" customWidth="1"/>
    <col min="9009" max="9009" width="14.28515625" style="4" customWidth="1"/>
    <col min="9010" max="9011" width="10.28515625" style="4" customWidth="1"/>
    <col min="9012" max="9012" width="25" style="4" customWidth="1"/>
    <col min="9013" max="9013" width="6" style="4" customWidth="1"/>
    <col min="9014" max="9217" width="8.85546875" style="4"/>
    <col min="9218" max="9218" width="3.7109375" style="4" customWidth="1"/>
    <col min="9219" max="9219" width="2.28515625" style="4" customWidth="1"/>
    <col min="9220" max="9221" width="3.7109375" style="4" customWidth="1"/>
    <col min="9222" max="9222" width="2.28515625" style="4" customWidth="1"/>
    <col min="9223" max="9224" width="3.7109375" style="4" customWidth="1"/>
    <col min="9225" max="9225" width="2.28515625" style="4" customWidth="1"/>
    <col min="9226" max="9227" width="3.7109375" style="4" customWidth="1"/>
    <col min="9228" max="9228" width="2.28515625" style="4" customWidth="1"/>
    <col min="9229" max="9230" width="3.7109375" style="4" customWidth="1"/>
    <col min="9231" max="9231" width="2.28515625" style="4" customWidth="1"/>
    <col min="9232" max="9233" width="3.7109375" style="4" customWidth="1"/>
    <col min="9234" max="9234" width="2.28515625" style="4" customWidth="1"/>
    <col min="9235" max="9236" width="3.7109375" style="4" customWidth="1"/>
    <col min="9237" max="9237" width="2.28515625" style="4" customWidth="1"/>
    <col min="9238" max="9239" width="3.7109375" style="4" customWidth="1"/>
    <col min="9240" max="9240" width="2.28515625" style="4" customWidth="1"/>
    <col min="9241" max="9242" width="3.7109375" style="4" customWidth="1"/>
    <col min="9243" max="9243" width="2.28515625" style="4" customWidth="1"/>
    <col min="9244" max="9245" width="3.7109375" style="4" customWidth="1"/>
    <col min="9246" max="9246" width="2.28515625" style="4" customWidth="1"/>
    <col min="9247" max="9247" width="3.7109375" style="4" customWidth="1"/>
    <col min="9248" max="9248" width="9.7109375" style="4" customWidth="1"/>
    <col min="9249" max="9258" width="3.7109375" style="4" customWidth="1"/>
    <col min="9259" max="9259" width="11" style="4" customWidth="1"/>
    <col min="9260" max="9261" width="8.85546875" style="4"/>
    <col min="9262" max="9262" width="10.7109375" style="4" customWidth="1"/>
    <col min="9263" max="9263" width="26.5703125" style="4" customWidth="1"/>
    <col min="9264" max="9264" width="18.28515625" style="4" customWidth="1"/>
    <col min="9265" max="9265" width="14.28515625" style="4" customWidth="1"/>
    <col min="9266" max="9267" width="10.28515625" style="4" customWidth="1"/>
    <col min="9268" max="9268" width="25" style="4" customWidth="1"/>
    <col min="9269" max="9269" width="6" style="4" customWidth="1"/>
    <col min="9270" max="9473" width="8.85546875" style="4"/>
    <col min="9474" max="9474" width="3.7109375" style="4" customWidth="1"/>
    <col min="9475" max="9475" width="2.28515625" style="4" customWidth="1"/>
    <col min="9476" max="9477" width="3.7109375" style="4" customWidth="1"/>
    <col min="9478" max="9478" width="2.28515625" style="4" customWidth="1"/>
    <col min="9479" max="9480" width="3.7109375" style="4" customWidth="1"/>
    <col min="9481" max="9481" width="2.28515625" style="4" customWidth="1"/>
    <col min="9482" max="9483" width="3.7109375" style="4" customWidth="1"/>
    <col min="9484" max="9484" width="2.28515625" style="4" customWidth="1"/>
    <col min="9485" max="9486" width="3.7109375" style="4" customWidth="1"/>
    <col min="9487" max="9487" width="2.28515625" style="4" customWidth="1"/>
    <col min="9488" max="9489" width="3.7109375" style="4" customWidth="1"/>
    <col min="9490" max="9490" width="2.28515625" style="4" customWidth="1"/>
    <col min="9491" max="9492" width="3.7109375" style="4" customWidth="1"/>
    <col min="9493" max="9493" width="2.28515625" style="4" customWidth="1"/>
    <col min="9494" max="9495" width="3.7109375" style="4" customWidth="1"/>
    <col min="9496" max="9496" width="2.28515625" style="4" customWidth="1"/>
    <col min="9497" max="9498" width="3.7109375" style="4" customWidth="1"/>
    <col min="9499" max="9499" width="2.28515625" style="4" customWidth="1"/>
    <col min="9500" max="9501" width="3.7109375" style="4" customWidth="1"/>
    <col min="9502" max="9502" width="2.28515625" style="4" customWidth="1"/>
    <col min="9503" max="9503" width="3.7109375" style="4" customWidth="1"/>
    <col min="9504" max="9504" width="9.7109375" style="4" customWidth="1"/>
    <col min="9505" max="9514" width="3.7109375" style="4" customWidth="1"/>
    <col min="9515" max="9515" width="11" style="4" customWidth="1"/>
    <col min="9516" max="9517" width="8.85546875" style="4"/>
    <col min="9518" max="9518" width="10.7109375" style="4" customWidth="1"/>
    <col min="9519" max="9519" width="26.5703125" style="4" customWidth="1"/>
    <col min="9520" max="9520" width="18.28515625" style="4" customWidth="1"/>
    <col min="9521" max="9521" width="14.28515625" style="4" customWidth="1"/>
    <col min="9522" max="9523" width="10.28515625" style="4" customWidth="1"/>
    <col min="9524" max="9524" width="25" style="4" customWidth="1"/>
    <col min="9525" max="9525" width="6" style="4" customWidth="1"/>
    <col min="9526" max="9729" width="8.85546875" style="4"/>
    <col min="9730" max="9730" width="3.7109375" style="4" customWidth="1"/>
    <col min="9731" max="9731" width="2.28515625" style="4" customWidth="1"/>
    <col min="9732" max="9733" width="3.7109375" style="4" customWidth="1"/>
    <col min="9734" max="9734" width="2.28515625" style="4" customWidth="1"/>
    <col min="9735" max="9736" width="3.7109375" style="4" customWidth="1"/>
    <col min="9737" max="9737" width="2.28515625" style="4" customWidth="1"/>
    <col min="9738" max="9739" width="3.7109375" style="4" customWidth="1"/>
    <col min="9740" max="9740" width="2.28515625" style="4" customWidth="1"/>
    <col min="9741" max="9742" width="3.7109375" style="4" customWidth="1"/>
    <col min="9743" max="9743" width="2.28515625" style="4" customWidth="1"/>
    <col min="9744" max="9745" width="3.7109375" style="4" customWidth="1"/>
    <col min="9746" max="9746" width="2.28515625" style="4" customWidth="1"/>
    <col min="9747" max="9748" width="3.7109375" style="4" customWidth="1"/>
    <col min="9749" max="9749" width="2.28515625" style="4" customWidth="1"/>
    <col min="9750" max="9751" width="3.7109375" style="4" customWidth="1"/>
    <col min="9752" max="9752" width="2.28515625" style="4" customWidth="1"/>
    <col min="9753" max="9754" width="3.7109375" style="4" customWidth="1"/>
    <col min="9755" max="9755" width="2.28515625" style="4" customWidth="1"/>
    <col min="9756" max="9757" width="3.7109375" style="4" customWidth="1"/>
    <col min="9758" max="9758" width="2.28515625" style="4" customWidth="1"/>
    <col min="9759" max="9759" width="3.7109375" style="4" customWidth="1"/>
    <col min="9760" max="9760" width="9.7109375" style="4" customWidth="1"/>
    <col min="9761" max="9770" width="3.7109375" style="4" customWidth="1"/>
    <col min="9771" max="9771" width="11" style="4" customWidth="1"/>
    <col min="9772" max="9773" width="8.85546875" style="4"/>
    <col min="9774" max="9774" width="10.7109375" style="4" customWidth="1"/>
    <col min="9775" max="9775" width="26.5703125" style="4" customWidth="1"/>
    <col min="9776" max="9776" width="18.28515625" style="4" customWidth="1"/>
    <col min="9777" max="9777" width="14.28515625" style="4" customWidth="1"/>
    <col min="9778" max="9779" width="10.28515625" style="4" customWidth="1"/>
    <col min="9780" max="9780" width="25" style="4" customWidth="1"/>
    <col min="9781" max="9781" width="6" style="4" customWidth="1"/>
    <col min="9782" max="9985" width="8.85546875" style="4"/>
    <col min="9986" max="9986" width="3.7109375" style="4" customWidth="1"/>
    <col min="9987" max="9987" width="2.28515625" style="4" customWidth="1"/>
    <col min="9988" max="9989" width="3.7109375" style="4" customWidth="1"/>
    <col min="9990" max="9990" width="2.28515625" style="4" customWidth="1"/>
    <col min="9991" max="9992" width="3.7109375" style="4" customWidth="1"/>
    <col min="9993" max="9993" width="2.28515625" style="4" customWidth="1"/>
    <col min="9994" max="9995" width="3.7109375" style="4" customWidth="1"/>
    <col min="9996" max="9996" width="2.28515625" style="4" customWidth="1"/>
    <col min="9997" max="9998" width="3.7109375" style="4" customWidth="1"/>
    <col min="9999" max="9999" width="2.28515625" style="4" customWidth="1"/>
    <col min="10000" max="10001" width="3.7109375" style="4" customWidth="1"/>
    <col min="10002" max="10002" width="2.28515625" style="4" customWidth="1"/>
    <col min="10003" max="10004" width="3.7109375" style="4" customWidth="1"/>
    <col min="10005" max="10005" width="2.28515625" style="4" customWidth="1"/>
    <col min="10006" max="10007" width="3.7109375" style="4" customWidth="1"/>
    <col min="10008" max="10008" width="2.28515625" style="4" customWidth="1"/>
    <col min="10009" max="10010" width="3.7109375" style="4" customWidth="1"/>
    <col min="10011" max="10011" width="2.28515625" style="4" customWidth="1"/>
    <col min="10012" max="10013" width="3.7109375" style="4" customWidth="1"/>
    <col min="10014" max="10014" width="2.28515625" style="4" customWidth="1"/>
    <col min="10015" max="10015" width="3.7109375" style="4" customWidth="1"/>
    <col min="10016" max="10016" width="9.7109375" style="4" customWidth="1"/>
    <col min="10017" max="10026" width="3.7109375" style="4" customWidth="1"/>
    <col min="10027" max="10027" width="11" style="4" customWidth="1"/>
    <col min="10028" max="10029" width="8.85546875" style="4"/>
    <col min="10030" max="10030" width="10.7109375" style="4" customWidth="1"/>
    <col min="10031" max="10031" width="26.5703125" style="4" customWidth="1"/>
    <col min="10032" max="10032" width="18.28515625" style="4" customWidth="1"/>
    <col min="10033" max="10033" width="14.28515625" style="4" customWidth="1"/>
    <col min="10034" max="10035" width="10.28515625" style="4" customWidth="1"/>
    <col min="10036" max="10036" width="25" style="4" customWidth="1"/>
    <col min="10037" max="10037" width="6" style="4" customWidth="1"/>
    <col min="10038" max="10241" width="8.85546875" style="4"/>
    <col min="10242" max="10242" width="3.7109375" style="4" customWidth="1"/>
    <col min="10243" max="10243" width="2.28515625" style="4" customWidth="1"/>
    <col min="10244" max="10245" width="3.7109375" style="4" customWidth="1"/>
    <col min="10246" max="10246" width="2.28515625" style="4" customWidth="1"/>
    <col min="10247" max="10248" width="3.7109375" style="4" customWidth="1"/>
    <col min="10249" max="10249" width="2.28515625" style="4" customWidth="1"/>
    <col min="10250" max="10251" width="3.7109375" style="4" customWidth="1"/>
    <col min="10252" max="10252" width="2.28515625" style="4" customWidth="1"/>
    <col min="10253" max="10254" width="3.7109375" style="4" customWidth="1"/>
    <col min="10255" max="10255" width="2.28515625" style="4" customWidth="1"/>
    <col min="10256" max="10257" width="3.7109375" style="4" customWidth="1"/>
    <col min="10258" max="10258" width="2.28515625" style="4" customWidth="1"/>
    <col min="10259" max="10260" width="3.7109375" style="4" customWidth="1"/>
    <col min="10261" max="10261" width="2.28515625" style="4" customWidth="1"/>
    <col min="10262" max="10263" width="3.7109375" style="4" customWidth="1"/>
    <col min="10264" max="10264" width="2.28515625" style="4" customWidth="1"/>
    <col min="10265" max="10266" width="3.7109375" style="4" customWidth="1"/>
    <col min="10267" max="10267" width="2.28515625" style="4" customWidth="1"/>
    <col min="10268" max="10269" width="3.7109375" style="4" customWidth="1"/>
    <col min="10270" max="10270" width="2.28515625" style="4" customWidth="1"/>
    <col min="10271" max="10271" width="3.7109375" style="4" customWidth="1"/>
    <col min="10272" max="10272" width="9.7109375" style="4" customWidth="1"/>
    <col min="10273" max="10282" width="3.7109375" style="4" customWidth="1"/>
    <col min="10283" max="10283" width="11" style="4" customWidth="1"/>
    <col min="10284" max="10285" width="8.85546875" style="4"/>
    <col min="10286" max="10286" width="10.7109375" style="4" customWidth="1"/>
    <col min="10287" max="10287" width="26.5703125" style="4" customWidth="1"/>
    <col min="10288" max="10288" width="18.28515625" style="4" customWidth="1"/>
    <col min="10289" max="10289" width="14.28515625" style="4" customWidth="1"/>
    <col min="10290" max="10291" width="10.28515625" style="4" customWidth="1"/>
    <col min="10292" max="10292" width="25" style="4" customWidth="1"/>
    <col min="10293" max="10293" width="6" style="4" customWidth="1"/>
    <col min="10294" max="10497" width="8.85546875" style="4"/>
    <col min="10498" max="10498" width="3.7109375" style="4" customWidth="1"/>
    <col min="10499" max="10499" width="2.28515625" style="4" customWidth="1"/>
    <col min="10500" max="10501" width="3.7109375" style="4" customWidth="1"/>
    <col min="10502" max="10502" width="2.28515625" style="4" customWidth="1"/>
    <col min="10503" max="10504" width="3.7109375" style="4" customWidth="1"/>
    <col min="10505" max="10505" width="2.28515625" style="4" customWidth="1"/>
    <col min="10506" max="10507" width="3.7109375" style="4" customWidth="1"/>
    <col min="10508" max="10508" width="2.28515625" style="4" customWidth="1"/>
    <col min="10509" max="10510" width="3.7109375" style="4" customWidth="1"/>
    <col min="10511" max="10511" width="2.28515625" style="4" customWidth="1"/>
    <col min="10512" max="10513" width="3.7109375" style="4" customWidth="1"/>
    <col min="10514" max="10514" width="2.28515625" style="4" customWidth="1"/>
    <col min="10515" max="10516" width="3.7109375" style="4" customWidth="1"/>
    <col min="10517" max="10517" width="2.28515625" style="4" customWidth="1"/>
    <col min="10518" max="10519" width="3.7109375" style="4" customWidth="1"/>
    <col min="10520" max="10520" width="2.28515625" style="4" customWidth="1"/>
    <col min="10521" max="10522" width="3.7109375" style="4" customWidth="1"/>
    <col min="10523" max="10523" width="2.28515625" style="4" customWidth="1"/>
    <col min="10524" max="10525" width="3.7109375" style="4" customWidth="1"/>
    <col min="10526" max="10526" width="2.28515625" style="4" customWidth="1"/>
    <col min="10527" max="10527" width="3.7109375" style="4" customWidth="1"/>
    <col min="10528" max="10528" width="9.7109375" style="4" customWidth="1"/>
    <col min="10529" max="10538" width="3.7109375" style="4" customWidth="1"/>
    <col min="10539" max="10539" width="11" style="4" customWidth="1"/>
    <col min="10540" max="10541" width="8.85546875" style="4"/>
    <col min="10542" max="10542" width="10.7109375" style="4" customWidth="1"/>
    <col min="10543" max="10543" width="26.5703125" style="4" customWidth="1"/>
    <col min="10544" max="10544" width="18.28515625" style="4" customWidth="1"/>
    <col min="10545" max="10545" width="14.28515625" style="4" customWidth="1"/>
    <col min="10546" max="10547" width="10.28515625" style="4" customWidth="1"/>
    <col min="10548" max="10548" width="25" style="4" customWidth="1"/>
    <col min="10549" max="10549" width="6" style="4" customWidth="1"/>
    <col min="10550" max="10753" width="8.85546875" style="4"/>
    <col min="10754" max="10754" width="3.7109375" style="4" customWidth="1"/>
    <col min="10755" max="10755" width="2.28515625" style="4" customWidth="1"/>
    <col min="10756" max="10757" width="3.7109375" style="4" customWidth="1"/>
    <col min="10758" max="10758" width="2.28515625" style="4" customWidth="1"/>
    <col min="10759" max="10760" width="3.7109375" style="4" customWidth="1"/>
    <col min="10761" max="10761" width="2.28515625" style="4" customWidth="1"/>
    <col min="10762" max="10763" width="3.7109375" style="4" customWidth="1"/>
    <col min="10764" max="10764" width="2.28515625" style="4" customWidth="1"/>
    <col min="10765" max="10766" width="3.7109375" style="4" customWidth="1"/>
    <col min="10767" max="10767" width="2.28515625" style="4" customWidth="1"/>
    <col min="10768" max="10769" width="3.7109375" style="4" customWidth="1"/>
    <col min="10770" max="10770" width="2.28515625" style="4" customWidth="1"/>
    <col min="10771" max="10772" width="3.7109375" style="4" customWidth="1"/>
    <col min="10773" max="10773" width="2.28515625" style="4" customWidth="1"/>
    <col min="10774" max="10775" width="3.7109375" style="4" customWidth="1"/>
    <col min="10776" max="10776" width="2.28515625" style="4" customWidth="1"/>
    <col min="10777" max="10778" width="3.7109375" style="4" customWidth="1"/>
    <col min="10779" max="10779" width="2.28515625" style="4" customWidth="1"/>
    <col min="10780" max="10781" width="3.7109375" style="4" customWidth="1"/>
    <col min="10782" max="10782" width="2.28515625" style="4" customWidth="1"/>
    <col min="10783" max="10783" width="3.7109375" style="4" customWidth="1"/>
    <col min="10784" max="10784" width="9.7109375" style="4" customWidth="1"/>
    <col min="10785" max="10794" width="3.7109375" style="4" customWidth="1"/>
    <col min="10795" max="10795" width="11" style="4" customWidth="1"/>
    <col min="10796" max="10797" width="8.85546875" style="4"/>
    <col min="10798" max="10798" width="10.7109375" style="4" customWidth="1"/>
    <col min="10799" max="10799" width="26.5703125" style="4" customWidth="1"/>
    <col min="10800" max="10800" width="18.28515625" style="4" customWidth="1"/>
    <col min="10801" max="10801" width="14.28515625" style="4" customWidth="1"/>
    <col min="10802" max="10803" width="10.28515625" style="4" customWidth="1"/>
    <col min="10804" max="10804" width="25" style="4" customWidth="1"/>
    <col min="10805" max="10805" width="6" style="4" customWidth="1"/>
    <col min="10806" max="11009" width="8.85546875" style="4"/>
    <col min="11010" max="11010" width="3.7109375" style="4" customWidth="1"/>
    <col min="11011" max="11011" width="2.28515625" style="4" customWidth="1"/>
    <col min="11012" max="11013" width="3.7109375" style="4" customWidth="1"/>
    <col min="11014" max="11014" width="2.28515625" style="4" customWidth="1"/>
    <col min="11015" max="11016" width="3.7109375" style="4" customWidth="1"/>
    <col min="11017" max="11017" width="2.28515625" style="4" customWidth="1"/>
    <col min="11018" max="11019" width="3.7109375" style="4" customWidth="1"/>
    <col min="11020" max="11020" width="2.28515625" style="4" customWidth="1"/>
    <col min="11021" max="11022" width="3.7109375" style="4" customWidth="1"/>
    <col min="11023" max="11023" width="2.28515625" style="4" customWidth="1"/>
    <col min="11024" max="11025" width="3.7109375" style="4" customWidth="1"/>
    <col min="11026" max="11026" width="2.28515625" style="4" customWidth="1"/>
    <col min="11027" max="11028" width="3.7109375" style="4" customWidth="1"/>
    <col min="11029" max="11029" width="2.28515625" style="4" customWidth="1"/>
    <col min="11030" max="11031" width="3.7109375" style="4" customWidth="1"/>
    <col min="11032" max="11032" width="2.28515625" style="4" customWidth="1"/>
    <col min="11033" max="11034" width="3.7109375" style="4" customWidth="1"/>
    <col min="11035" max="11035" width="2.28515625" style="4" customWidth="1"/>
    <col min="11036" max="11037" width="3.7109375" style="4" customWidth="1"/>
    <col min="11038" max="11038" width="2.28515625" style="4" customWidth="1"/>
    <col min="11039" max="11039" width="3.7109375" style="4" customWidth="1"/>
    <col min="11040" max="11040" width="9.7109375" style="4" customWidth="1"/>
    <col min="11041" max="11050" width="3.7109375" style="4" customWidth="1"/>
    <col min="11051" max="11051" width="11" style="4" customWidth="1"/>
    <col min="11052" max="11053" width="8.85546875" style="4"/>
    <col min="11054" max="11054" width="10.7109375" style="4" customWidth="1"/>
    <col min="11055" max="11055" width="26.5703125" style="4" customWidth="1"/>
    <col min="11056" max="11056" width="18.28515625" style="4" customWidth="1"/>
    <col min="11057" max="11057" width="14.28515625" style="4" customWidth="1"/>
    <col min="11058" max="11059" width="10.28515625" style="4" customWidth="1"/>
    <col min="11060" max="11060" width="25" style="4" customWidth="1"/>
    <col min="11061" max="11061" width="6" style="4" customWidth="1"/>
    <col min="11062" max="11265" width="8.85546875" style="4"/>
    <col min="11266" max="11266" width="3.7109375" style="4" customWidth="1"/>
    <col min="11267" max="11267" width="2.28515625" style="4" customWidth="1"/>
    <col min="11268" max="11269" width="3.7109375" style="4" customWidth="1"/>
    <col min="11270" max="11270" width="2.28515625" style="4" customWidth="1"/>
    <col min="11271" max="11272" width="3.7109375" style="4" customWidth="1"/>
    <col min="11273" max="11273" width="2.28515625" style="4" customWidth="1"/>
    <col min="11274" max="11275" width="3.7109375" style="4" customWidth="1"/>
    <col min="11276" max="11276" width="2.28515625" style="4" customWidth="1"/>
    <col min="11277" max="11278" width="3.7109375" style="4" customWidth="1"/>
    <col min="11279" max="11279" width="2.28515625" style="4" customWidth="1"/>
    <col min="11280" max="11281" width="3.7109375" style="4" customWidth="1"/>
    <col min="11282" max="11282" width="2.28515625" style="4" customWidth="1"/>
    <col min="11283" max="11284" width="3.7109375" style="4" customWidth="1"/>
    <col min="11285" max="11285" width="2.28515625" style="4" customWidth="1"/>
    <col min="11286" max="11287" width="3.7109375" style="4" customWidth="1"/>
    <col min="11288" max="11288" width="2.28515625" style="4" customWidth="1"/>
    <col min="11289" max="11290" width="3.7109375" style="4" customWidth="1"/>
    <col min="11291" max="11291" width="2.28515625" style="4" customWidth="1"/>
    <col min="11292" max="11293" width="3.7109375" style="4" customWidth="1"/>
    <col min="11294" max="11294" width="2.28515625" style="4" customWidth="1"/>
    <col min="11295" max="11295" width="3.7109375" style="4" customWidth="1"/>
    <col min="11296" max="11296" width="9.7109375" style="4" customWidth="1"/>
    <col min="11297" max="11306" width="3.7109375" style="4" customWidth="1"/>
    <col min="11307" max="11307" width="11" style="4" customWidth="1"/>
    <col min="11308" max="11309" width="8.85546875" style="4"/>
    <col min="11310" max="11310" width="10.7109375" style="4" customWidth="1"/>
    <col min="11311" max="11311" width="26.5703125" style="4" customWidth="1"/>
    <col min="11312" max="11312" width="18.28515625" style="4" customWidth="1"/>
    <col min="11313" max="11313" width="14.28515625" style="4" customWidth="1"/>
    <col min="11314" max="11315" width="10.28515625" style="4" customWidth="1"/>
    <col min="11316" max="11316" width="25" style="4" customWidth="1"/>
    <col min="11317" max="11317" width="6" style="4" customWidth="1"/>
    <col min="11318" max="11521" width="8.85546875" style="4"/>
    <col min="11522" max="11522" width="3.7109375" style="4" customWidth="1"/>
    <col min="11523" max="11523" width="2.28515625" style="4" customWidth="1"/>
    <col min="11524" max="11525" width="3.7109375" style="4" customWidth="1"/>
    <col min="11526" max="11526" width="2.28515625" style="4" customWidth="1"/>
    <col min="11527" max="11528" width="3.7109375" style="4" customWidth="1"/>
    <col min="11529" max="11529" width="2.28515625" style="4" customWidth="1"/>
    <col min="11530" max="11531" width="3.7109375" style="4" customWidth="1"/>
    <col min="11532" max="11532" width="2.28515625" style="4" customWidth="1"/>
    <col min="11533" max="11534" width="3.7109375" style="4" customWidth="1"/>
    <col min="11535" max="11535" width="2.28515625" style="4" customWidth="1"/>
    <col min="11536" max="11537" width="3.7109375" style="4" customWidth="1"/>
    <col min="11538" max="11538" width="2.28515625" style="4" customWidth="1"/>
    <col min="11539" max="11540" width="3.7109375" style="4" customWidth="1"/>
    <col min="11541" max="11541" width="2.28515625" style="4" customWidth="1"/>
    <col min="11542" max="11543" width="3.7109375" style="4" customWidth="1"/>
    <col min="11544" max="11544" width="2.28515625" style="4" customWidth="1"/>
    <col min="11545" max="11546" width="3.7109375" style="4" customWidth="1"/>
    <col min="11547" max="11547" width="2.28515625" style="4" customWidth="1"/>
    <col min="11548" max="11549" width="3.7109375" style="4" customWidth="1"/>
    <col min="11550" max="11550" width="2.28515625" style="4" customWidth="1"/>
    <col min="11551" max="11551" width="3.7109375" style="4" customWidth="1"/>
    <col min="11552" max="11552" width="9.7109375" style="4" customWidth="1"/>
    <col min="11553" max="11562" width="3.7109375" style="4" customWidth="1"/>
    <col min="11563" max="11563" width="11" style="4" customWidth="1"/>
    <col min="11564" max="11565" width="8.85546875" style="4"/>
    <col min="11566" max="11566" width="10.7109375" style="4" customWidth="1"/>
    <col min="11567" max="11567" width="26.5703125" style="4" customWidth="1"/>
    <col min="11568" max="11568" width="18.28515625" style="4" customWidth="1"/>
    <col min="11569" max="11569" width="14.28515625" style="4" customWidth="1"/>
    <col min="11570" max="11571" width="10.28515625" style="4" customWidth="1"/>
    <col min="11572" max="11572" width="25" style="4" customWidth="1"/>
    <col min="11573" max="11573" width="6" style="4" customWidth="1"/>
    <col min="11574" max="11777" width="8.85546875" style="4"/>
    <col min="11778" max="11778" width="3.7109375" style="4" customWidth="1"/>
    <col min="11779" max="11779" width="2.28515625" style="4" customWidth="1"/>
    <col min="11780" max="11781" width="3.7109375" style="4" customWidth="1"/>
    <col min="11782" max="11782" width="2.28515625" style="4" customWidth="1"/>
    <col min="11783" max="11784" width="3.7109375" style="4" customWidth="1"/>
    <col min="11785" max="11785" width="2.28515625" style="4" customWidth="1"/>
    <col min="11786" max="11787" width="3.7109375" style="4" customWidth="1"/>
    <col min="11788" max="11788" width="2.28515625" style="4" customWidth="1"/>
    <col min="11789" max="11790" width="3.7109375" style="4" customWidth="1"/>
    <col min="11791" max="11791" width="2.28515625" style="4" customWidth="1"/>
    <col min="11792" max="11793" width="3.7109375" style="4" customWidth="1"/>
    <col min="11794" max="11794" width="2.28515625" style="4" customWidth="1"/>
    <col min="11795" max="11796" width="3.7109375" style="4" customWidth="1"/>
    <col min="11797" max="11797" width="2.28515625" style="4" customWidth="1"/>
    <col min="11798" max="11799" width="3.7109375" style="4" customWidth="1"/>
    <col min="11800" max="11800" width="2.28515625" style="4" customWidth="1"/>
    <col min="11801" max="11802" width="3.7109375" style="4" customWidth="1"/>
    <col min="11803" max="11803" width="2.28515625" style="4" customWidth="1"/>
    <col min="11804" max="11805" width="3.7109375" style="4" customWidth="1"/>
    <col min="11806" max="11806" width="2.28515625" style="4" customWidth="1"/>
    <col min="11807" max="11807" width="3.7109375" style="4" customWidth="1"/>
    <col min="11808" max="11808" width="9.7109375" style="4" customWidth="1"/>
    <col min="11809" max="11818" width="3.7109375" style="4" customWidth="1"/>
    <col min="11819" max="11819" width="11" style="4" customWidth="1"/>
    <col min="11820" max="11821" width="8.85546875" style="4"/>
    <col min="11822" max="11822" width="10.7109375" style="4" customWidth="1"/>
    <col min="11823" max="11823" width="26.5703125" style="4" customWidth="1"/>
    <col min="11824" max="11824" width="18.28515625" style="4" customWidth="1"/>
    <col min="11825" max="11825" width="14.28515625" style="4" customWidth="1"/>
    <col min="11826" max="11827" width="10.28515625" style="4" customWidth="1"/>
    <col min="11828" max="11828" width="25" style="4" customWidth="1"/>
    <col min="11829" max="11829" width="6" style="4" customWidth="1"/>
    <col min="11830" max="12033" width="8.85546875" style="4"/>
    <col min="12034" max="12034" width="3.7109375" style="4" customWidth="1"/>
    <col min="12035" max="12035" width="2.28515625" style="4" customWidth="1"/>
    <col min="12036" max="12037" width="3.7109375" style="4" customWidth="1"/>
    <col min="12038" max="12038" width="2.28515625" style="4" customWidth="1"/>
    <col min="12039" max="12040" width="3.7109375" style="4" customWidth="1"/>
    <col min="12041" max="12041" width="2.28515625" style="4" customWidth="1"/>
    <col min="12042" max="12043" width="3.7109375" style="4" customWidth="1"/>
    <col min="12044" max="12044" width="2.28515625" style="4" customWidth="1"/>
    <col min="12045" max="12046" width="3.7109375" style="4" customWidth="1"/>
    <col min="12047" max="12047" width="2.28515625" style="4" customWidth="1"/>
    <col min="12048" max="12049" width="3.7109375" style="4" customWidth="1"/>
    <col min="12050" max="12050" width="2.28515625" style="4" customWidth="1"/>
    <col min="12051" max="12052" width="3.7109375" style="4" customWidth="1"/>
    <col min="12053" max="12053" width="2.28515625" style="4" customWidth="1"/>
    <col min="12054" max="12055" width="3.7109375" style="4" customWidth="1"/>
    <col min="12056" max="12056" width="2.28515625" style="4" customWidth="1"/>
    <col min="12057" max="12058" width="3.7109375" style="4" customWidth="1"/>
    <col min="12059" max="12059" width="2.28515625" style="4" customWidth="1"/>
    <col min="12060" max="12061" width="3.7109375" style="4" customWidth="1"/>
    <col min="12062" max="12062" width="2.28515625" style="4" customWidth="1"/>
    <col min="12063" max="12063" width="3.7109375" style="4" customWidth="1"/>
    <col min="12064" max="12064" width="9.7109375" style="4" customWidth="1"/>
    <col min="12065" max="12074" width="3.7109375" style="4" customWidth="1"/>
    <col min="12075" max="12075" width="11" style="4" customWidth="1"/>
    <col min="12076" max="12077" width="8.85546875" style="4"/>
    <col min="12078" max="12078" width="10.7109375" style="4" customWidth="1"/>
    <col min="12079" max="12079" width="26.5703125" style="4" customWidth="1"/>
    <col min="12080" max="12080" width="18.28515625" style="4" customWidth="1"/>
    <col min="12081" max="12081" width="14.28515625" style="4" customWidth="1"/>
    <col min="12082" max="12083" width="10.28515625" style="4" customWidth="1"/>
    <col min="12084" max="12084" width="25" style="4" customWidth="1"/>
    <col min="12085" max="12085" width="6" style="4" customWidth="1"/>
    <col min="12086" max="12289" width="8.85546875" style="4"/>
    <col min="12290" max="12290" width="3.7109375" style="4" customWidth="1"/>
    <col min="12291" max="12291" width="2.28515625" style="4" customWidth="1"/>
    <col min="12292" max="12293" width="3.7109375" style="4" customWidth="1"/>
    <col min="12294" max="12294" width="2.28515625" style="4" customWidth="1"/>
    <col min="12295" max="12296" width="3.7109375" style="4" customWidth="1"/>
    <col min="12297" max="12297" width="2.28515625" style="4" customWidth="1"/>
    <col min="12298" max="12299" width="3.7109375" style="4" customWidth="1"/>
    <col min="12300" max="12300" width="2.28515625" style="4" customWidth="1"/>
    <col min="12301" max="12302" width="3.7109375" style="4" customWidth="1"/>
    <col min="12303" max="12303" width="2.28515625" style="4" customWidth="1"/>
    <col min="12304" max="12305" width="3.7109375" style="4" customWidth="1"/>
    <col min="12306" max="12306" width="2.28515625" style="4" customWidth="1"/>
    <col min="12307" max="12308" width="3.7109375" style="4" customWidth="1"/>
    <col min="12309" max="12309" width="2.28515625" style="4" customWidth="1"/>
    <col min="12310" max="12311" width="3.7109375" style="4" customWidth="1"/>
    <col min="12312" max="12312" width="2.28515625" style="4" customWidth="1"/>
    <col min="12313" max="12314" width="3.7109375" style="4" customWidth="1"/>
    <col min="12315" max="12315" width="2.28515625" style="4" customWidth="1"/>
    <col min="12316" max="12317" width="3.7109375" style="4" customWidth="1"/>
    <col min="12318" max="12318" width="2.28515625" style="4" customWidth="1"/>
    <col min="12319" max="12319" width="3.7109375" style="4" customWidth="1"/>
    <col min="12320" max="12320" width="9.7109375" style="4" customWidth="1"/>
    <col min="12321" max="12330" width="3.7109375" style="4" customWidth="1"/>
    <col min="12331" max="12331" width="11" style="4" customWidth="1"/>
    <col min="12332" max="12333" width="8.85546875" style="4"/>
    <col min="12334" max="12334" width="10.7109375" style="4" customWidth="1"/>
    <col min="12335" max="12335" width="26.5703125" style="4" customWidth="1"/>
    <col min="12336" max="12336" width="18.28515625" style="4" customWidth="1"/>
    <col min="12337" max="12337" width="14.28515625" style="4" customWidth="1"/>
    <col min="12338" max="12339" width="10.28515625" style="4" customWidth="1"/>
    <col min="12340" max="12340" width="25" style="4" customWidth="1"/>
    <col min="12341" max="12341" width="6" style="4" customWidth="1"/>
    <col min="12342" max="12545" width="8.85546875" style="4"/>
    <col min="12546" max="12546" width="3.7109375" style="4" customWidth="1"/>
    <col min="12547" max="12547" width="2.28515625" style="4" customWidth="1"/>
    <col min="12548" max="12549" width="3.7109375" style="4" customWidth="1"/>
    <col min="12550" max="12550" width="2.28515625" style="4" customWidth="1"/>
    <col min="12551" max="12552" width="3.7109375" style="4" customWidth="1"/>
    <col min="12553" max="12553" width="2.28515625" style="4" customWidth="1"/>
    <col min="12554" max="12555" width="3.7109375" style="4" customWidth="1"/>
    <col min="12556" max="12556" width="2.28515625" style="4" customWidth="1"/>
    <col min="12557" max="12558" width="3.7109375" style="4" customWidth="1"/>
    <col min="12559" max="12559" width="2.28515625" style="4" customWidth="1"/>
    <col min="12560" max="12561" width="3.7109375" style="4" customWidth="1"/>
    <col min="12562" max="12562" width="2.28515625" style="4" customWidth="1"/>
    <col min="12563" max="12564" width="3.7109375" style="4" customWidth="1"/>
    <col min="12565" max="12565" width="2.28515625" style="4" customWidth="1"/>
    <col min="12566" max="12567" width="3.7109375" style="4" customWidth="1"/>
    <col min="12568" max="12568" width="2.28515625" style="4" customWidth="1"/>
    <col min="12569" max="12570" width="3.7109375" style="4" customWidth="1"/>
    <col min="12571" max="12571" width="2.28515625" style="4" customWidth="1"/>
    <col min="12572" max="12573" width="3.7109375" style="4" customWidth="1"/>
    <col min="12574" max="12574" width="2.28515625" style="4" customWidth="1"/>
    <col min="12575" max="12575" width="3.7109375" style="4" customWidth="1"/>
    <col min="12576" max="12576" width="9.7109375" style="4" customWidth="1"/>
    <col min="12577" max="12586" width="3.7109375" style="4" customWidth="1"/>
    <col min="12587" max="12587" width="11" style="4" customWidth="1"/>
    <col min="12588" max="12589" width="8.85546875" style="4"/>
    <col min="12590" max="12590" width="10.7109375" style="4" customWidth="1"/>
    <col min="12591" max="12591" width="26.5703125" style="4" customWidth="1"/>
    <col min="12592" max="12592" width="18.28515625" style="4" customWidth="1"/>
    <col min="12593" max="12593" width="14.28515625" style="4" customWidth="1"/>
    <col min="12594" max="12595" width="10.28515625" style="4" customWidth="1"/>
    <col min="12596" max="12596" width="25" style="4" customWidth="1"/>
    <col min="12597" max="12597" width="6" style="4" customWidth="1"/>
    <col min="12598" max="12801" width="8.85546875" style="4"/>
    <col min="12802" max="12802" width="3.7109375" style="4" customWidth="1"/>
    <col min="12803" max="12803" width="2.28515625" style="4" customWidth="1"/>
    <col min="12804" max="12805" width="3.7109375" style="4" customWidth="1"/>
    <col min="12806" max="12806" width="2.28515625" style="4" customWidth="1"/>
    <col min="12807" max="12808" width="3.7109375" style="4" customWidth="1"/>
    <col min="12809" max="12809" width="2.28515625" style="4" customWidth="1"/>
    <col min="12810" max="12811" width="3.7109375" style="4" customWidth="1"/>
    <col min="12812" max="12812" width="2.28515625" style="4" customWidth="1"/>
    <col min="12813" max="12814" width="3.7109375" style="4" customWidth="1"/>
    <col min="12815" max="12815" width="2.28515625" style="4" customWidth="1"/>
    <col min="12816" max="12817" width="3.7109375" style="4" customWidth="1"/>
    <col min="12818" max="12818" width="2.28515625" style="4" customWidth="1"/>
    <col min="12819" max="12820" width="3.7109375" style="4" customWidth="1"/>
    <col min="12821" max="12821" width="2.28515625" style="4" customWidth="1"/>
    <col min="12822" max="12823" width="3.7109375" style="4" customWidth="1"/>
    <col min="12824" max="12824" width="2.28515625" style="4" customWidth="1"/>
    <col min="12825" max="12826" width="3.7109375" style="4" customWidth="1"/>
    <col min="12827" max="12827" width="2.28515625" style="4" customWidth="1"/>
    <col min="12828" max="12829" width="3.7109375" style="4" customWidth="1"/>
    <col min="12830" max="12830" width="2.28515625" style="4" customWidth="1"/>
    <col min="12831" max="12831" width="3.7109375" style="4" customWidth="1"/>
    <col min="12832" max="12832" width="9.7109375" style="4" customWidth="1"/>
    <col min="12833" max="12842" width="3.7109375" style="4" customWidth="1"/>
    <col min="12843" max="12843" width="11" style="4" customWidth="1"/>
    <col min="12844" max="12845" width="8.85546875" style="4"/>
    <col min="12846" max="12846" width="10.7109375" style="4" customWidth="1"/>
    <col min="12847" max="12847" width="26.5703125" style="4" customWidth="1"/>
    <col min="12848" max="12848" width="18.28515625" style="4" customWidth="1"/>
    <col min="12849" max="12849" width="14.28515625" style="4" customWidth="1"/>
    <col min="12850" max="12851" width="10.28515625" style="4" customWidth="1"/>
    <col min="12852" max="12852" width="25" style="4" customWidth="1"/>
    <col min="12853" max="12853" width="6" style="4" customWidth="1"/>
    <col min="12854" max="13057" width="8.85546875" style="4"/>
    <col min="13058" max="13058" width="3.7109375" style="4" customWidth="1"/>
    <col min="13059" max="13059" width="2.28515625" style="4" customWidth="1"/>
    <col min="13060" max="13061" width="3.7109375" style="4" customWidth="1"/>
    <col min="13062" max="13062" width="2.28515625" style="4" customWidth="1"/>
    <col min="13063" max="13064" width="3.7109375" style="4" customWidth="1"/>
    <col min="13065" max="13065" width="2.28515625" style="4" customWidth="1"/>
    <col min="13066" max="13067" width="3.7109375" style="4" customWidth="1"/>
    <col min="13068" max="13068" width="2.28515625" style="4" customWidth="1"/>
    <col min="13069" max="13070" width="3.7109375" style="4" customWidth="1"/>
    <col min="13071" max="13071" width="2.28515625" style="4" customWidth="1"/>
    <col min="13072" max="13073" width="3.7109375" style="4" customWidth="1"/>
    <col min="13074" max="13074" width="2.28515625" style="4" customWidth="1"/>
    <col min="13075" max="13076" width="3.7109375" style="4" customWidth="1"/>
    <col min="13077" max="13077" width="2.28515625" style="4" customWidth="1"/>
    <col min="13078" max="13079" width="3.7109375" style="4" customWidth="1"/>
    <col min="13080" max="13080" width="2.28515625" style="4" customWidth="1"/>
    <col min="13081" max="13082" width="3.7109375" style="4" customWidth="1"/>
    <col min="13083" max="13083" width="2.28515625" style="4" customWidth="1"/>
    <col min="13084" max="13085" width="3.7109375" style="4" customWidth="1"/>
    <col min="13086" max="13086" width="2.28515625" style="4" customWidth="1"/>
    <col min="13087" max="13087" width="3.7109375" style="4" customWidth="1"/>
    <col min="13088" max="13088" width="9.7109375" style="4" customWidth="1"/>
    <col min="13089" max="13098" width="3.7109375" style="4" customWidth="1"/>
    <col min="13099" max="13099" width="11" style="4" customWidth="1"/>
    <col min="13100" max="13101" width="8.85546875" style="4"/>
    <col min="13102" max="13102" width="10.7109375" style="4" customWidth="1"/>
    <col min="13103" max="13103" width="26.5703125" style="4" customWidth="1"/>
    <col min="13104" max="13104" width="18.28515625" style="4" customWidth="1"/>
    <col min="13105" max="13105" width="14.28515625" style="4" customWidth="1"/>
    <col min="13106" max="13107" width="10.28515625" style="4" customWidth="1"/>
    <col min="13108" max="13108" width="25" style="4" customWidth="1"/>
    <col min="13109" max="13109" width="6" style="4" customWidth="1"/>
    <col min="13110" max="13313" width="8.85546875" style="4"/>
    <col min="13314" max="13314" width="3.7109375" style="4" customWidth="1"/>
    <col min="13315" max="13315" width="2.28515625" style="4" customWidth="1"/>
    <col min="13316" max="13317" width="3.7109375" style="4" customWidth="1"/>
    <col min="13318" max="13318" width="2.28515625" style="4" customWidth="1"/>
    <col min="13319" max="13320" width="3.7109375" style="4" customWidth="1"/>
    <col min="13321" max="13321" width="2.28515625" style="4" customWidth="1"/>
    <col min="13322" max="13323" width="3.7109375" style="4" customWidth="1"/>
    <col min="13324" max="13324" width="2.28515625" style="4" customWidth="1"/>
    <col min="13325" max="13326" width="3.7109375" style="4" customWidth="1"/>
    <col min="13327" max="13327" width="2.28515625" style="4" customWidth="1"/>
    <col min="13328" max="13329" width="3.7109375" style="4" customWidth="1"/>
    <col min="13330" max="13330" width="2.28515625" style="4" customWidth="1"/>
    <col min="13331" max="13332" width="3.7109375" style="4" customWidth="1"/>
    <col min="13333" max="13333" width="2.28515625" style="4" customWidth="1"/>
    <col min="13334" max="13335" width="3.7109375" style="4" customWidth="1"/>
    <col min="13336" max="13336" width="2.28515625" style="4" customWidth="1"/>
    <col min="13337" max="13338" width="3.7109375" style="4" customWidth="1"/>
    <col min="13339" max="13339" width="2.28515625" style="4" customWidth="1"/>
    <col min="13340" max="13341" width="3.7109375" style="4" customWidth="1"/>
    <col min="13342" max="13342" width="2.28515625" style="4" customWidth="1"/>
    <col min="13343" max="13343" width="3.7109375" style="4" customWidth="1"/>
    <col min="13344" max="13344" width="9.7109375" style="4" customWidth="1"/>
    <col min="13345" max="13354" width="3.7109375" style="4" customWidth="1"/>
    <col min="13355" max="13355" width="11" style="4" customWidth="1"/>
    <col min="13356" max="13357" width="8.85546875" style="4"/>
    <col min="13358" max="13358" width="10.7109375" style="4" customWidth="1"/>
    <col min="13359" max="13359" width="26.5703125" style="4" customWidth="1"/>
    <col min="13360" max="13360" width="18.28515625" style="4" customWidth="1"/>
    <col min="13361" max="13361" width="14.28515625" style="4" customWidth="1"/>
    <col min="13362" max="13363" width="10.28515625" style="4" customWidth="1"/>
    <col min="13364" max="13364" width="25" style="4" customWidth="1"/>
    <col min="13365" max="13365" width="6" style="4" customWidth="1"/>
    <col min="13366" max="13569" width="8.85546875" style="4"/>
    <col min="13570" max="13570" width="3.7109375" style="4" customWidth="1"/>
    <col min="13571" max="13571" width="2.28515625" style="4" customWidth="1"/>
    <col min="13572" max="13573" width="3.7109375" style="4" customWidth="1"/>
    <col min="13574" max="13574" width="2.28515625" style="4" customWidth="1"/>
    <col min="13575" max="13576" width="3.7109375" style="4" customWidth="1"/>
    <col min="13577" max="13577" width="2.28515625" style="4" customWidth="1"/>
    <col min="13578" max="13579" width="3.7109375" style="4" customWidth="1"/>
    <col min="13580" max="13580" width="2.28515625" style="4" customWidth="1"/>
    <col min="13581" max="13582" width="3.7109375" style="4" customWidth="1"/>
    <col min="13583" max="13583" width="2.28515625" style="4" customWidth="1"/>
    <col min="13584" max="13585" width="3.7109375" style="4" customWidth="1"/>
    <col min="13586" max="13586" width="2.28515625" style="4" customWidth="1"/>
    <col min="13587" max="13588" width="3.7109375" style="4" customWidth="1"/>
    <col min="13589" max="13589" width="2.28515625" style="4" customWidth="1"/>
    <col min="13590" max="13591" width="3.7109375" style="4" customWidth="1"/>
    <col min="13592" max="13592" width="2.28515625" style="4" customWidth="1"/>
    <col min="13593" max="13594" width="3.7109375" style="4" customWidth="1"/>
    <col min="13595" max="13595" width="2.28515625" style="4" customWidth="1"/>
    <col min="13596" max="13597" width="3.7109375" style="4" customWidth="1"/>
    <col min="13598" max="13598" width="2.28515625" style="4" customWidth="1"/>
    <col min="13599" max="13599" width="3.7109375" style="4" customWidth="1"/>
    <col min="13600" max="13600" width="9.7109375" style="4" customWidth="1"/>
    <col min="13601" max="13610" width="3.7109375" style="4" customWidth="1"/>
    <col min="13611" max="13611" width="11" style="4" customWidth="1"/>
    <col min="13612" max="13613" width="8.85546875" style="4"/>
    <col min="13614" max="13614" width="10.7109375" style="4" customWidth="1"/>
    <col min="13615" max="13615" width="26.5703125" style="4" customWidth="1"/>
    <col min="13616" max="13616" width="18.28515625" style="4" customWidth="1"/>
    <col min="13617" max="13617" width="14.28515625" style="4" customWidth="1"/>
    <col min="13618" max="13619" width="10.28515625" style="4" customWidth="1"/>
    <col min="13620" max="13620" width="25" style="4" customWidth="1"/>
    <col min="13621" max="13621" width="6" style="4" customWidth="1"/>
    <col min="13622" max="13825" width="8.85546875" style="4"/>
    <col min="13826" max="13826" width="3.7109375" style="4" customWidth="1"/>
    <col min="13827" max="13827" width="2.28515625" style="4" customWidth="1"/>
    <col min="13828" max="13829" width="3.7109375" style="4" customWidth="1"/>
    <col min="13830" max="13830" width="2.28515625" style="4" customWidth="1"/>
    <col min="13831" max="13832" width="3.7109375" style="4" customWidth="1"/>
    <col min="13833" max="13833" width="2.28515625" style="4" customWidth="1"/>
    <col min="13834" max="13835" width="3.7109375" style="4" customWidth="1"/>
    <col min="13836" max="13836" width="2.28515625" style="4" customWidth="1"/>
    <col min="13837" max="13838" width="3.7109375" style="4" customWidth="1"/>
    <col min="13839" max="13839" width="2.28515625" style="4" customWidth="1"/>
    <col min="13840" max="13841" width="3.7109375" style="4" customWidth="1"/>
    <col min="13842" max="13842" width="2.28515625" style="4" customWidth="1"/>
    <col min="13843" max="13844" width="3.7109375" style="4" customWidth="1"/>
    <col min="13845" max="13845" width="2.28515625" style="4" customWidth="1"/>
    <col min="13846" max="13847" width="3.7109375" style="4" customWidth="1"/>
    <col min="13848" max="13848" width="2.28515625" style="4" customWidth="1"/>
    <col min="13849" max="13850" width="3.7109375" style="4" customWidth="1"/>
    <col min="13851" max="13851" width="2.28515625" style="4" customWidth="1"/>
    <col min="13852" max="13853" width="3.7109375" style="4" customWidth="1"/>
    <col min="13854" max="13854" width="2.28515625" style="4" customWidth="1"/>
    <col min="13855" max="13855" width="3.7109375" style="4" customWidth="1"/>
    <col min="13856" max="13856" width="9.7109375" style="4" customWidth="1"/>
    <col min="13857" max="13866" width="3.7109375" style="4" customWidth="1"/>
    <col min="13867" max="13867" width="11" style="4" customWidth="1"/>
    <col min="13868" max="13869" width="8.85546875" style="4"/>
    <col min="13870" max="13870" width="10.7109375" style="4" customWidth="1"/>
    <col min="13871" max="13871" width="26.5703125" style="4" customWidth="1"/>
    <col min="13872" max="13872" width="18.28515625" style="4" customWidth="1"/>
    <col min="13873" max="13873" width="14.28515625" style="4" customWidth="1"/>
    <col min="13874" max="13875" width="10.28515625" style="4" customWidth="1"/>
    <col min="13876" max="13876" width="25" style="4" customWidth="1"/>
    <col min="13877" max="13877" width="6" style="4" customWidth="1"/>
    <col min="13878" max="14081" width="8.85546875" style="4"/>
    <col min="14082" max="14082" width="3.7109375" style="4" customWidth="1"/>
    <col min="14083" max="14083" width="2.28515625" style="4" customWidth="1"/>
    <col min="14084" max="14085" width="3.7109375" style="4" customWidth="1"/>
    <col min="14086" max="14086" width="2.28515625" style="4" customWidth="1"/>
    <col min="14087" max="14088" width="3.7109375" style="4" customWidth="1"/>
    <col min="14089" max="14089" width="2.28515625" style="4" customWidth="1"/>
    <col min="14090" max="14091" width="3.7109375" style="4" customWidth="1"/>
    <col min="14092" max="14092" width="2.28515625" style="4" customWidth="1"/>
    <col min="14093" max="14094" width="3.7109375" style="4" customWidth="1"/>
    <col min="14095" max="14095" width="2.28515625" style="4" customWidth="1"/>
    <col min="14096" max="14097" width="3.7109375" style="4" customWidth="1"/>
    <col min="14098" max="14098" width="2.28515625" style="4" customWidth="1"/>
    <col min="14099" max="14100" width="3.7109375" style="4" customWidth="1"/>
    <col min="14101" max="14101" width="2.28515625" style="4" customWidth="1"/>
    <col min="14102" max="14103" width="3.7109375" style="4" customWidth="1"/>
    <col min="14104" max="14104" width="2.28515625" style="4" customWidth="1"/>
    <col min="14105" max="14106" width="3.7109375" style="4" customWidth="1"/>
    <col min="14107" max="14107" width="2.28515625" style="4" customWidth="1"/>
    <col min="14108" max="14109" width="3.7109375" style="4" customWidth="1"/>
    <col min="14110" max="14110" width="2.28515625" style="4" customWidth="1"/>
    <col min="14111" max="14111" width="3.7109375" style="4" customWidth="1"/>
    <col min="14112" max="14112" width="9.7109375" style="4" customWidth="1"/>
    <col min="14113" max="14122" width="3.7109375" style="4" customWidth="1"/>
    <col min="14123" max="14123" width="11" style="4" customWidth="1"/>
    <col min="14124" max="14125" width="8.85546875" style="4"/>
    <col min="14126" max="14126" width="10.7109375" style="4" customWidth="1"/>
    <col min="14127" max="14127" width="26.5703125" style="4" customWidth="1"/>
    <col min="14128" max="14128" width="18.28515625" style="4" customWidth="1"/>
    <col min="14129" max="14129" width="14.28515625" style="4" customWidth="1"/>
    <col min="14130" max="14131" width="10.28515625" style="4" customWidth="1"/>
    <col min="14132" max="14132" width="25" style="4" customWidth="1"/>
    <col min="14133" max="14133" width="6" style="4" customWidth="1"/>
    <col min="14134" max="14337" width="8.85546875" style="4"/>
    <col min="14338" max="14338" width="3.7109375" style="4" customWidth="1"/>
    <col min="14339" max="14339" width="2.28515625" style="4" customWidth="1"/>
    <col min="14340" max="14341" width="3.7109375" style="4" customWidth="1"/>
    <col min="14342" max="14342" width="2.28515625" style="4" customWidth="1"/>
    <col min="14343" max="14344" width="3.7109375" style="4" customWidth="1"/>
    <col min="14345" max="14345" width="2.28515625" style="4" customWidth="1"/>
    <col min="14346" max="14347" width="3.7109375" style="4" customWidth="1"/>
    <col min="14348" max="14348" width="2.28515625" style="4" customWidth="1"/>
    <col min="14349" max="14350" width="3.7109375" style="4" customWidth="1"/>
    <col min="14351" max="14351" width="2.28515625" style="4" customWidth="1"/>
    <col min="14352" max="14353" width="3.7109375" style="4" customWidth="1"/>
    <col min="14354" max="14354" width="2.28515625" style="4" customWidth="1"/>
    <col min="14355" max="14356" width="3.7109375" style="4" customWidth="1"/>
    <col min="14357" max="14357" width="2.28515625" style="4" customWidth="1"/>
    <col min="14358" max="14359" width="3.7109375" style="4" customWidth="1"/>
    <col min="14360" max="14360" width="2.28515625" style="4" customWidth="1"/>
    <col min="14361" max="14362" width="3.7109375" style="4" customWidth="1"/>
    <col min="14363" max="14363" width="2.28515625" style="4" customWidth="1"/>
    <col min="14364" max="14365" width="3.7109375" style="4" customWidth="1"/>
    <col min="14366" max="14366" width="2.28515625" style="4" customWidth="1"/>
    <col min="14367" max="14367" width="3.7109375" style="4" customWidth="1"/>
    <col min="14368" max="14368" width="9.7109375" style="4" customWidth="1"/>
    <col min="14369" max="14378" width="3.7109375" style="4" customWidth="1"/>
    <col min="14379" max="14379" width="11" style="4" customWidth="1"/>
    <col min="14380" max="14381" width="8.85546875" style="4"/>
    <col min="14382" max="14382" width="10.7109375" style="4" customWidth="1"/>
    <col min="14383" max="14383" width="26.5703125" style="4" customWidth="1"/>
    <col min="14384" max="14384" width="18.28515625" style="4" customWidth="1"/>
    <col min="14385" max="14385" width="14.28515625" style="4" customWidth="1"/>
    <col min="14386" max="14387" width="10.28515625" style="4" customWidth="1"/>
    <col min="14388" max="14388" width="25" style="4" customWidth="1"/>
    <col min="14389" max="14389" width="6" style="4" customWidth="1"/>
    <col min="14390" max="14593" width="8.85546875" style="4"/>
    <col min="14594" max="14594" width="3.7109375" style="4" customWidth="1"/>
    <col min="14595" max="14595" width="2.28515625" style="4" customWidth="1"/>
    <col min="14596" max="14597" width="3.7109375" style="4" customWidth="1"/>
    <col min="14598" max="14598" width="2.28515625" style="4" customWidth="1"/>
    <col min="14599" max="14600" width="3.7109375" style="4" customWidth="1"/>
    <col min="14601" max="14601" width="2.28515625" style="4" customWidth="1"/>
    <col min="14602" max="14603" width="3.7109375" style="4" customWidth="1"/>
    <col min="14604" max="14604" width="2.28515625" style="4" customWidth="1"/>
    <col min="14605" max="14606" width="3.7109375" style="4" customWidth="1"/>
    <col min="14607" max="14607" width="2.28515625" style="4" customWidth="1"/>
    <col min="14608" max="14609" width="3.7109375" style="4" customWidth="1"/>
    <col min="14610" max="14610" width="2.28515625" style="4" customWidth="1"/>
    <col min="14611" max="14612" width="3.7109375" style="4" customWidth="1"/>
    <col min="14613" max="14613" width="2.28515625" style="4" customWidth="1"/>
    <col min="14614" max="14615" width="3.7109375" style="4" customWidth="1"/>
    <col min="14616" max="14616" width="2.28515625" style="4" customWidth="1"/>
    <col min="14617" max="14618" width="3.7109375" style="4" customWidth="1"/>
    <col min="14619" max="14619" width="2.28515625" style="4" customWidth="1"/>
    <col min="14620" max="14621" width="3.7109375" style="4" customWidth="1"/>
    <col min="14622" max="14622" width="2.28515625" style="4" customWidth="1"/>
    <col min="14623" max="14623" width="3.7109375" style="4" customWidth="1"/>
    <col min="14624" max="14624" width="9.7109375" style="4" customWidth="1"/>
    <col min="14625" max="14634" width="3.7109375" style="4" customWidth="1"/>
    <col min="14635" max="14635" width="11" style="4" customWidth="1"/>
    <col min="14636" max="14637" width="8.85546875" style="4"/>
    <col min="14638" max="14638" width="10.7109375" style="4" customWidth="1"/>
    <col min="14639" max="14639" width="26.5703125" style="4" customWidth="1"/>
    <col min="14640" max="14640" width="18.28515625" style="4" customWidth="1"/>
    <col min="14641" max="14641" width="14.28515625" style="4" customWidth="1"/>
    <col min="14642" max="14643" width="10.28515625" style="4" customWidth="1"/>
    <col min="14644" max="14644" width="25" style="4" customWidth="1"/>
    <col min="14645" max="14645" width="6" style="4" customWidth="1"/>
    <col min="14646" max="14849" width="8.85546875" style="4"/>
    <col min="14850" max="14850" width="3.7109375" style="4" customWidth="1"/>
    <col min="14851" max="14851" width="2.28515625" style="4" customWidth="1"/>
    <col min="14852" max="14853" width="3.7109375" style="4" customWidth="1"/>
    <col min="14854" max="14854" width="2.28515625" style="4" customWidth="1"/>
    <col min="14855" max="14856" width="3.7109375" style="4" customWidth="1"/>
    <col min="14857" max="14857" width="2.28515625" style="4" customWidth="1"/>
    <col min="14858" max="14859" width="3.7109375" style="4" customWidth="1"/>
    <col min="14860" max="14860" width="2.28515625" style="4" customWidth="1"/>
    <col min="14861" max="14862" width="3.7109375" style="4" customWidth="1"/>
    <col min="14863" max="14863" width="2.28515625" style="4" customWidth="1"/>
    <col min="14864" max="14865" width="3.7109375" style="4" customWidth="1"/>
    <col min="14866" max="14866" width="2.28515625" style="4" customWidth="1"/>
    <col min="14867" max="14868" width="3.7109375" style="4" customWidth="1"/>
    <col min="14869" max="14869" width="2.28515625" style="4" customWidth="1"/>
    <col min="14870" max="14871" width="3.7109375" style="4" customWidth="1"/>
    <col min="14872" max="14872" width="2.28515625" style="4" customWidth="1"/>
    <col min="14873" max="14874" width="3.7109375" style="4" customWidth="1"/>
    <col min="14875" max="14875" width="2.28515625" style="4" customWidth="1"/>
    <col min="14876" max="14877" width="3.7109375" style="4" customWidth="1"/>
    <col min="14878" max="14878" width="2.28515625" style="4" customWidth="1"/>
    <col min="14879" max="14879" width="3.7109375" style="4" customWidth="1"/>
    <col min="14880" max="14880" width="9.7109375" style="4" customWidth="1"/>
    <col min="14881" max="14890" width="3.7109375" style="4" customWidth="1"/>
    <col min="14891" max="14891" width="11" style="4" customWidth="1"/>
    <col min="14892" max="14893" width="8.85546875" style="4"/>
    <col min="14894" max="14894" width="10.7109375" style="4" customWidth="1"/>
    <col min="14895" max="14895" width="26.5703125" style="4" customWidth="1"/>
    <col min="14896" max="14896" width="18.28515625" style="4" customWidth="1"/>
    <col min="14897" max="14897" width="14.28515625" style="4" customWidth="1"/>
    <col min="14898" max="14899" width="10.28515625" style="4" customWidth="1"/>
    <col min="14900" max="14900" width="25" style="4" customWidth="1"/>
    <col min="14901" max="14901" width="6" style="4" customWidth="1"/>
    <col min="14902" max="15105" width="8.85546875" style="4"/>
    <col min="15106" max="15106" width="3.7109375" style="4" customWidth="1"/>
    <col min="15107" max="15107" width="2.28515625" style="4" customWidth="1"/>
    <col min="15108" max="15109" width="3.7109375" style="4" customWidth="1"/>
    <col min="15110" max="15110" width="2.28515625" style="4" customWidth="1"/>
    <col min="15111" max="15112" width="3.7109375" style="4" customWidth="1"/>
    <col min="15113" max="15113" width="2.28515625" style="4" customWidth="1"/>
    <col min="15114" max="15115" width="3.7109375" style="4" customWidth="1"/>
    <col min="15116" max="15116" width="2.28515625" style="4" customWidth="1"/>
    <col min="15117" max="15118" width="3.7109375" style="4" customWidth="1"/>
    <col min="15119" max="15119" width="2.28515625" style="4" customWidth="1"/>
    <col min="15120" max="15121" width="3.7109375" style="4" customWidth="1"/>
    <col min="15122" max="15122" width="2.28515625" style="4" customWidth="1"/>
    <col min="15123" max="15124" width="3.7109375" style="4" customWidth="1"/>
    <col min="15125" max="15125" width="2.28515625" style="4" customWidth="1"/>
    <col min="15126" max="15127" width="3.7109375" style="4" customWidth="1"/>
    <col min="15128" max="15128" width="2.28515625" style="4" customWidth="1"/>
    <col min="15129" max="15130" width="3.7109375" style="4" customWidth="1"/>
    <col min="15131" max="15131" width="2.28515625" style="4" customWidth="1"/>
    <col min="15132" max="15133" width="3.7109375" style="4" customWidth="1"/>
    <col min="15134" max="15134" width="2.28515625" style="4" customWidth="1"/>
    <col min="15135" max="15135" width="3.7109375" style="4" customWidth="1"/>
    <col min="15136" max="15136" width="9.7109375" style="4" customWidth="1"/>
    <col min="15137" max="15146" width="3.7109375" style="4" customWidth="1"/>
    <col min="15147" max="15147" width="11" style="4" customWidth="1"/>
    <col min="15148" max="15149" width="8.85546875" style="4"/>
    <col min="15150" max="15150" width="10.7109375" style="4" customWidth="1"/>
    <col min="15151" max="15151" width="26.5703125" style="4" customWidth="1"/>
    <col min="15152" max="15152" width="18.28515625" style="4" customWidth="1"/>
    <col min="15153" max="15153" width="14.28515625" style="4" customWidth="1"/>
    <col min="15154" max="15155" width="10.28515625" style="4" customWidth="1"/>
    <col min="15156" max="15156" width="25" style="4" customWidth="1"/>
    <col min="15157" max="15157" width="6" style="4" customWidth="1"/>
    <col min="15158" max="15361" width="8.85546875" style="4"/>
    <col min="15362" max="15362" width="3.7109375" style="4" customWidth="1"/>
    <col min="15363" max="15363" width="2.28515625" style="4" customWidth="1"/>
    <col min="15364" max="15365" width="3.7109375" style="4" customWidth="1"/>
    <col min="15366" max="15366" width="2.28515625" style="4" customWidth="1"/>
    <col min="15367" max="15368" width="3.7109375" style="4" customWidth="1"/>
    <col min="15369" max="15369" width="2.28515625" style="4" customWidth="1"/>
    <col min="15370" max="15371" width="3.7109375" style="4" customWidth="1"/>
    <col min="15372" max="15372" width="2.28515625" style="4" customWidth="1"/>
    <col min="15373" max="15374" width="3.7109375" style="4" customWidth="1"/>
    <col min="15375" max="15375" width="2.28515625" style="4" customWidth="1"/>
    <col min="15376" max="15377" width="3.7109375" style="4" customWidth="1"/>
    <col min="15378" max="15378" width="2.28515625" style="4" customWidth="1"/>
    <col min="15379" max="15380" width="3.7109375" style="4" customWidth="1"/>
    <col min="15381" max="15381" width="2.28515625" style="4" customWidth="1"/>
    <col min="15382" max="15383" width="3.7109375" style="4" customWidth="1"/>
    <col min="15384" max="15384" width="2.28515625" style="4" customWidth="1"/>
    <col min="15385" max="15386" width="3.7109375" style="4" customWidth="1"/>
    <col min="15387" max="15387" width="2.28515625" style="4" customWidth="1"/>
    <col min="15388" max="15389" width="3.7109375" style="4" customWidth="1"/>
    <col min="15390" max="15390" width="2.28515625" style="4" customWidth="1"/>
    <col min="15391" max="15391" width="3.7109375" style="4" customWidth="1"/>
    <col min="15392" max="15392" width="9.7109375" style="4" customWidth="1"/>
    <col min="15393" max="15402" width="3.7109375" style="4" customWidth="1"/>
    <col min="15403" max="15403" width="11" style="4" customWidth="1"/>
    <col min="15404" max="15405" width="8.85546875" style="4"/>
    <col min="15406" max="15406" width="10.7109375" style="4" customWidth="1"/>
    <col min="15407" max="15407" width="26.5703125" style="4" customWidth="1"/>
    <col min="15408" max="15408" width="18.28515625" style="4" customWidth="1"/>
    <col min="15409" max="15409" width="14.28515625" style="4" customWidth="1"/>
    <col min="15410" max="15411" width="10.28515625" style="4" customWidth="1"/>
    <col min="15412" max="15412" width="25" style="4" customWidth="1"/>
    <col min="15413" max="15413" width="6" style="4" customWidth="1"/>
    <col min="15414" max="15617" width="8.85546875" style="4"/>
    <col min="15618" max="15618" width="3.7109375" style="4" customWidth="1"/>
    <col min="15619" max="15619" width="2.28515625" style="4" customWidth="1"/>
    <col min="15620" max="15621" width="3.7109375" style="4" customWidth="1"/>
    <col min="15622" max="15622" width="2.28515625" style="4" customWidth="1"/>
    <col min="15623" max="15624" width="3.7109375" style="4" customWidth="1"/>
    <col min="15625" max="15625" width="2.28515625" style="4" customWidth="1"/>
    <col min="15626" max="15627" width="3.7109375" style="4" customWidth="1"/>
    <col min="15628" max="15628" width="2.28515625" style="4" customWidth="1"/>
    <col min="15629" max="15630" width="3.7109375" style="4" customWidth="1"/>
    <col min="15631" max="15631" width="2.28515625" style="4" customWidth="1"/>
    <col min="15632" max="15633" width="3.7109375" style="4" customWidth="1"/>
    <col min="15634" max="15634" width="2.28515625" style="4" customWidth="1"/>
    <col min="15635" max="15636" width="3.7109375" style="4" customWidth="1"/>
    <col min="15637" max="15637" width="2.28515625" style="4" customWidth="1"/>
    <col min="15638" max="15639" width="3.7109375" style="4" customWidth="1"/>
    <col min="15640" max="15640" width="2.28515625" style="4" customWidth="1"/>
    <col min="15641" max="15642" width="3.7109375" style="4" customWidth="1"/>
    <col min="15643" max="15643" width="2.28515625" style="4" customWidth="1"/>
    <col min="15644" max="15645" width="3.7109375" style="4" customWidth="1"/>
    <col min="15646" max="15646" width="2.28515625" style="4" customWidth="1"/>
    <col min="15647" max="15647" width="3.7109375" style="4" customWidth="1"/>
    <col min="15648" max="15648" width="9.7109375" style="4" customWidth="1"/>
    <col min="15649" max="15658" width="3.7109375" style="4" customWidth="1"/>
    <col min="15659" max="15659" width="11" style="4" customWidth="1"/>
    <col min="15660" max="15661" width="8.85546875" style="4"/>
    <col min="15662" max="15662" width="10.7109375" style="4" customWidth="1"/>
    <col min="15663" max="15663" width="26.5703125" style="4" customWidth="1"/>
    <col min="15664" max="15664" width="18.28515625" style="4" customWidth="1"/>
    <col min="15665" max="15665" width="14.28515625" style="4" customWidth="1"/>
    <col min="15666" max="15667" width="10.28515625" style="4" customWidth="1"/>
    <col min="15668" max="15668" width="25" style="4" customWidth="1"/>
    <col min="15669" max="15669" width="6" style="4" customWidth="1"/>
    <col min="15670" max="15873" width="8.85546875" style="4"/>
    <col min="15874" max="15874" width="3.7109375" style="4" customWidth="1"/>
    <col min="15875" max="15875" width="2.28515625" style="4" customWidth="1"/>
    <col min="15876" max="15877" width="3.7109375" style="4" customWidth="1"/>
    <col min="15878" max="15878" width="2.28515625" style="4" customWidth="1"/>
    <col min="15879" max="15880" width="3.7109375" style="4" customWidth="1"/>
    <col min="15881" max="15881" width="2.28515625" style="4" customWidth="1"/>
    <col min="15882" max="15883" width="3.7109375" style="4" customWidth="1"/>
    <col min="15884" max="15884" width="2.28515625" style="4" customWidth="1"/>
    <col min="15885" max="15886" width="3.7109375" style="4" customWidth="1"/>
    <col min="15887" max="15887" width="2.28515625" style="4" customWidth="1"/>
    <col min="15888" max="15889" width="3.7109375" style="4" customWidth="1"/>
    <col min="15890" max="15890" width="2.28515625" style="4" customWidth="1"/>
    <col min="15891" max="15892" width="3.7109375" style="4" customWidth="1"/>
    <col min="15893" max="15893" width="2.28515625" style="4" customWidth="1"/>
    <col min="15894" max="15895" width="3.7109375" style="4" customWidth="1"/>
    <col min="15896" max="15896" width="2.28515625" style="4" customWidth="1"/>
    <col min="15897" max="15898" width="3.7109375" style="4" customWidth="1"/>
    <col min="15899" max="15899" width="2.28515625" style="4" customWidth="1"/>
    <col min="15900" max="15901" width="3.7109375" style="4" customWidth="1"/>
    <col min="15902" max="15902" width="2.28515625" style="4" customWidth="1"/>
    <col min="15903" max="15903" width="3.7109375" style="4" customWidth="1"/>
    <col min="15904" max="15904" width="9.7109375" style="4" customWidth="1"/>
    <col min="15905" max="15914" width="3.7109375" style="4" customWidth="1"/>
    <col min="15915" max="15915" width="11" style="4" customWidth="1"/>
    <col min="15916" max="15917" width="8.85546875" style="4"/>
    <col min="15918" max="15918" width="10.7109375" style="4" customWidth="1"/>
    <col min="15919" max="15919" width="26.5703125" style="4" customWidth="1"/>
    <col min="15920" max="15920" width="18.28515625" style="4" customWidth="1"/>
    <col min="15921" max="15921" width="14.28515625" style="4" customWidth="1"/>
    <col min="15922" max="15923" width="10.28515625" style="4" customWidth="1"/>
    <col min="15924" max="15924" width="25" style="4" customWidth="1"/>
    <col min="15925" max="15925" width="6" style="4" customWidth="1"/>
    <col min="15926" max="16129" width="8.85546875" style="4"/>
    <col min="16130" max="16130" width="3.7109375" style="4" customWidth="1"/>
    <col min="16131" max="16131" width="2.28515625" style="4" customWidth="1"/>
    <col min="16132" max="16133" width="3.7109375" style="4" customWidth="1"/>
    <col min="16134" max="16134" width="2.28515625" style="4" customWidth="1"/>
    <col min="16135" max="16136" width="3.7109375" style="4" customWidth="1"/>
    <col min="16137" max="16137" width="2.28515625" style="4" customWidth="1"/>
    <col min="16138" max="16139" width="3.7109375" style="4" customWidth="1"/>
    <col min="16140" max="16140" width="2.28515625" style="4" customWidth="1"/>
    <col min="16141" max="16142" width="3.7109375" style="4" customWidth="1"/>
    <col min="16143" max="16143" width="2.28515625" style="4" customWidth="1"/>
    <col min="16144" max="16145" width="3.7109375" style="4" customWidth="1"/>
    <col min="16146" max="16146" width="2.28515625" style="4" customWidth="1"/>
    <col min="16147" max="16148" width="3.7109375" style="4" customWidth="1"/>
    <col min="16149" max="16149" width="2.28515625" style="4" customWidth="1"/>
    <col min="16150" max="16151" width="3.7109375" style="4" customWidth="1"/>
    <col min="16152" max="16152" width="2.28515625" style="4" customWidth="1"/>
    <col min="16153" max="16154" width="3.7109375" style="4" customWidth="1"/>
    <col min="16155" max="16155" width="2.28515625" style="4" customWidth="1"/>
    <col min="16156" max="16157" width="3.7109375" style="4" customWidth="1"/>
    <col min="16158" max="16158" width="2.28515625" style="4" customWidth="1"/>
    <col min="16159" max="16159" width="3.7109375" style="4" customWidth="1"/>
    <col min="16160" max="16160" width="9.7109375" style="4" customWidth="1"/>
    <col min="16161" max="16170" width="3.7109375" style="4" customWidth="1"/>
    <col min="16171" max="16171" width="11" style="4" customWidth="1"/>
    <col min="16172" max="16173" width="8.85546875" style="4"/>
    <col min="16174" max="16174" width="10.7109375" style="4" customWidth="1"/>
    <col min="16175" max="16175" width="26.5703125" style="4" customWidth="1"/>
    <col min="16176" max="16176" width="18.28515625" style="4" customWidth="1"/>
    <col min="16177" max="16177" width="14.28515625" style="4" customWidth="1"/>
    <col min="16178" max="16179" width="10.28515625" style="4" customWidth="1"/>
    <col min="16180" max="16180" width="25" style="4" customWidth="1"/>
    <col min="16181" max="16181" width="6" style="4" customWidth="1"/>
    <col min="16182" max="16384" width="8.85546875" style="4"/>
  </cols>
  <sheetData>
    <row r="1" spans="1:53" ht="13.5" thickBot="1" x14ac:dyDescent="0.25">
      <c r="A1" s="404" t="s">
        <v>0</v>
      </c>
      <c r="B1" s="404"/>
      <c r="C1" s="404"/>
      <c r="D1" s="404"/>
      <c r="E1" s="404"/>
      <c r="F1" s="404"/>
      <c r="G1" s="404"/>
      <c r="H1" s="404"/>
      <c r="I1" s="404"/>
      <c r="J1" s="404"/>
      <c r="K1" s="404"/>
      <c r="L1" s="404"/>
      <c r="M1" s="404"/>
      <c r="N1" s="404"/>
      <c r="O1" s="404"/>
      <c r="P1" s="404"/>
      <c r="Q1" s="404"/>
      <c r="R1" s="404"/>
      <c r="S1" s="404"/>
      <c r="T1" s="404"/>
      <c r="U1" s="404"/>
      <c r="V1" s="404"/>
      <c r="W1" s="404"/>
      <c r="X1" s="404"/>
      <c r="Y1" s="404"/>
      <c r="Z1" s="404"/>
      <c r="AA1" s="404"/>
      <c r="AB1" s="404"/>
      <c r="AC1" s="404"/>
      <c r="AD1" s="404"/>
      <c r="AE1" s="404"/>
      <c r="AF1" s="404"/>
      <c r="AG1" s="404"/>
      <c r="AH1" s="404"/>
      <c r="AI1" s="404"/>
      <c r="AJ1" s="1"/>
      <c r="AK1" s="1"/>
      <c r="AL1" s="1"/>
      <c r="AM1" s="1"/>
      <c r="AN1" s="1"/>
      <c r="AO1" s="1"/>
      <c r="AP1" s="1"/>
      <c r="AQ1" s="2" t="s">
        <v>1</v>
      </c>
      <c r="AR1" s="3"/>
      <c r="AT1" s="455" t="s">
        <v>2</v>
      </c>
      <c r="AU1" s="456"/>
      <c r="AV1" s="457"/>
      <c r="AW1" s="458"/>
      <c r="AX1" s="408" t="s">
        <v>3</v>
      </c>
      <c r="AY1" s="409"/>
      <c r="AZ1" s="6" t="s">
        <v>4</v>
      </c>
      <c r="BA1" s="7">
        <v>32</v>
      </c>
    </row>
    <row r="2" spans="1:53" ht="18.75" customHeight="1" thickBot="1" x14ac:dyDescent="0.3">
      <c r="A2" s="410" t="s">
        <v>5</v>
      </c>
      <c r="B2" s="411"/>
      <c r="C2" s="411"/>
      <c r="D2" s="411"/>
      <c r="E2" s="411"/>
      <c r="F2" s="411"/>
      <c r="G2" s="411"/>
      <c r="H2" s="411"/>
      <c r="I2" s="412"/>
      <c r="J2" s="413" t="s">
        <v>6</v>
      </c>
      <c r="K2" s="414"/>
      <c r="L2" s="414"/>
      <c r="M2" s="414"/>
      <c r="N2" s="414"/>
      <c r="O2" s="414"/>
      <c r="P2" s="414"/>
      <c r="Q2" s="414"/>
      <c r="R2" s="414"/>
      <c r="S2" s="414"/>
      <c r="T2" s="414"/>
      <c r="U2" s="414"/>
      <c r="V2" s="414"/>
      <c r="W2" s="414"/>
      <c r="X2" s="415"/>
      <c r="Y2" s="416" t="s">
        <v>7</v>
      </c>
      <c r="Z2" s="417"/>
      <c r="AA2" s="417"/>
      <c r="AB2" s="417"/>
      <c r="AC2" s="418"/>
      <c r="AD2" s="379" t="s">
        <v>8</v>
      </c>
      <c r="AE2" s="379"/>
      <c r="AF2" s="379"/>
      <c r="AG2" s="379"/>
      <c r="AH2" s="379"/>
      <c r="AI2" s="380"/>
      <c r="AJ2" s="8"/>
      <c r="AK2" s="8"/>
      <c r="AL2" s="8"/>
      <c r="AM2" s="8"/>
      <c r="AN2" s="8"/>
      <c r="AO2" s="8"/>
      <c r="AP2" s="8"/>
      <c r="AQ2" s="8"/>
      <c r="AR2" s="3"/>
      <c r="AT2" s="9" t="s">
        <v>9</v>
      </c>
      <c r="AU2" s="10" t="s">
        <v>10</v>
      </c>
      <c r="AV2" s="11" t="s">
        <v>11</v>
      </c>
      <c r="AW2" s="12" t="s">
        <v>12</v>
      </c>
      <c r="AX2" s="13" t="s">
        <v>13</v>
      </c>
      <c r="AY2" s="12" t="s">
        <v>14</v>
      </c>
      <c r="AZ2" s="6" t="s">
        <v>15</v>
      </c>
      <c r="BA2" s="7">
        <v>16</v>
      </c>
    </row>
    <row r="3" spans="1:53" ht="18.75" customHeight="1" thickBot="1" x14ac:dyDescent="0.3">
      <c r="A3" s="14" t="s">
        <v>16</v>
      </c>
      <c r="B3" s="384" t="s">
        <v>1035</v>
      </c>
      <c r="C3" s="385"/>
      <c r="D3" s="385"/>
      <c r="E3" s="385"/>
      <c r="F3" s="385"/>
      <c r="G3" s="385"/>
      <c r="H3" s="385"/>
      <c r="I3" s="385"/>
      <c r="J3" s="385"/>
      <c r="K3" s="385"/>
      <c r="L3" s="385"/>
      <c r="M3" s="385"/>
      <c r="N3" s="385"/>
      <c r="O3" s="386"/>
      <c r="P3" s="387" t="s">
        <v>18</v>
      </c>
      <c r="Q3" s="388"/>
      <c r="R3" s="388"/>
      <c r="S3" s="389">
        <v>12</v>
      </c>
      <c r="T3" s="390"/>
      <c r="U3" s="390"/>
      <c r="V3" s="390"/>
      <c r="W3" s="390"/>
      <c r="X3" s="391"/>
      <c r="Y3" s="392" t="s">
        <v>19</v>
      </c>
      <c r="Z3" s="393"/>
      <c r="AA3" s="393"/>
      <c r="AB3" s="393"/>
      <c r="AC3" s="393"/>
      <c r="AD3" s="394"/>
      <c r="AE3" s="419" t="s">
        <v>20</v>
      </c>
      <c r="AF3" s="420"/>
      <c r="AG3" s="395" t="s">
        <v>21</v>
      </c>
      <c r="AH3" s="395"/>
      <c r="AI3" s="396"/>
      <c r="AJ3" s="8"/>
      <c r="AK3" s="8"/>
      <c r="AL3" s="8"/>
      <c r="AM3" s="8"/>
      <c r="AN3" s="8"/>
      <c r="AO3" s="8"/>
      <c r="AP3" s="8"/>
      <c r="AQ3" s="8"/>
      <c r="AR3" s="3"/>
      <c r="AT3" s="19">
        <v>1</v>
      </c>
      <c r="AU3" s="20" t="s">
        <v>310</v>
      </c>
      <c r="AV3" s="20" t="s">
        <v>308</v>
      </c>
      <c r="AW3" s="21">
        <f>VLOOKUP(AV3,Initial!G:K,5,FALSE)</f>
        <v>1765.8607290603154</v>
      </c>
      <c r="AX3" s="22">
        <f>VLOOKUP(AU3,AT$79:AU$83,2,FALSE)</f>
        <v>1795.9658583196606</v>
      </c>
      <c r="AY3" s="23">
        <f>IF(ISNA(VLOOKUP(AU3,AT$96:AU$148,2,FALSE)),AX3,VLOOKUP(AU3,AT$96:AU$148,2,FALSE))</f>
        <v>1806.1326638746696</v>
      </c>
    </row>
    <row r="4" spans="1:53" ht="24" customHeight="1" thickBot="1" x14ac:dyDescent="0.25">
      <c r="A4" s="397" t="s">
        <v>24</v>
      </c>
      <c r="B4" s="398"/>
      <c r="C4" s="398"/>
      <c r="D4" s="399"/>
      <c r="E4" s="400" t="s">
        <v>25</v>
      </c>
      <c r="F4" s="401"/>
      <c r="G4" s="401"/>
      <c r="H4" s="401"/>
      <c r="I4" s="401"/>
      <c r="J4" s="401"/>
      <c r="K4" s="401"/>
      <c r="L4" s="401"/>
      <c r="M4" s="402"/>
      <c r="N4" s="397" t="s">
        <v>26</v>
      </c>
      <c r="O4" s="398"/>
      <c r="P4" s="398"/>
      <c r="Q4" s="399"/>
      <c r="R4" s="403" t="s">
        <v>27</v>
      </c>
      <c r="S4" s="379"/>
      <c r="T4" s="379"/>
      <c r="U4" s="379"/>
      <c r="V4" s="379"/>
      <c r="W4" s="379"/>
      <c r="X4" s="379"/>
      <c r="Y4" s="379"/>
      <c r="Z4" s="379"/>
      <c r="AA4" s="380"/>
      <c r="AB4" s="397" t="s">
        <v>28</v>
      </c>
      <c r="AC4" s="398"/>
      <c r="AD4" s="398"/>
      <c r="AE4" s="399"/>
      <c r="AF4" s="378">
        <v>42786</v>
      </c>
      <c r="AG4" s="379"/>
      <c r="AH4" s="379"/>
      <c r="AI4" s="380"/>
      <c r="AJ4" s="8"/>
      <c r="AK4" s="8"/>
      <c r="AL4" s="8"/>
      <c r="AM4" s="8"/>
      <c r="AN4" s="8"/>
      <c r="AO4" s="8"/>
      <c r="AP4" s="8"/>
      <c r="AQ4" s="8"/>
      <c r="AR4" s="3"/>
      <c r="AT4" s="24">
        <v>2</v>
      </c>
      <c r="AU4" s="20" t="s">
        <v>307</v>
      </c>
      <c r="AV4" s="20" t="s">
        <v>305</v>
      </c>
      <c r="AW4" s="21">
        <f>VLOOKUP(AV4,Initial!G:K,5,FALSE)</f>
        <v>1599.5723816566881</v>
      </c>
      <c r="AX4" s="25">
        <f>VLOOKUP(AU4,AT$79:AU$83,2,FALSE)</f>
        <v>1516.9662693459616</v>
      </c>
      <c r="AY4" s="26">
        <f>IF(ISNA(VLOOKUP(AU4,AT$96:AU$148,2,FALSE)),AX4,VLOOKUP(AU4,AT$96:AU$148,2,FALSE))</f>
        <v>1511.6178648947346</v>
      </c>
    </row>
    <row r="5" spans="1:53" ht="15.75" thickBot="1" x14ac:dyDescent="0.25">
      <c r="A5" s="1" t="s">
        <v>31</v>
      </c>
      <c r="B5" s="381" t="s">
        <v>31</v>
      </c>
      <c r="C5" s="382"/>
      <c r="D5" s="382"/>
      <c r="E5" s="382"/>
      <c r="F5" s="382"/>
      <c r="G5" s="382"/>
      <c r="H5" s="382"/>
      <c r="I5" s="382"/>
      <c r="J5" s="382"/>
      <c r="K5" s="383" t="s">
        <v>31</v>
      </c>
      <c r="L5" s="383"/>
      <c r="M5" s="383"/>
      <c r="N5" s="383"/>
      <c r="O5" s="383"/>
      <c r="P5" s="383"/>
      <c r="Q5" s="383"/>
      <c r="R5" s="383"/>
      <c r="S5" s="383"/>
      <c r="T5" s="383"/>
      <c r="U5" s="383"/>
      <c r="V5" s="383"/>
      <c r="W5" s="383"/>
      <c r="X5" s="383"/>
      <c r="Y5" s="383"/>
      <c r="Z5" s="383"/>
      <c r="AA5" s="383"/>
      <c r="AB5" s="383"/>
      <c r="AC5" s="383"/>
      <c r="AD5" s="383"/>
      <c r="AE5" s="383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3"/>
      <c r="AT5" s="24">
        <v>3</v>
      </c>
      <c r="AU5" s="20" t="s">
        <v>328</v>
      </c>
      <c r="AV5" s="20" t="s">
        <v>326</v>
      </c>
      <c r="AW5" s="21">
        <f>VLOOKUP(AV5,Initial!G:K,5,FALSE)</f>
        <v>1449.5507700226187</v>
      </c>
      <c r="AX5" s="25">
        <f>VLOOKUP(AU5,AT$79:AU$83,2,FALSE)</f>
        <v>1440.8438775415427</v>
      </c>
      <c r="AY5" s="26">
        <f>IF(ISNA(VLOOKUP(AU5,AT$96:AU$148,2,FALSE)),AX5,VLOOKUP(AU5,AT$96:AU$148,2,FALSE))</f>
        <v>1426.951274684269</v>
      </c>
    </row>
    <row r="6" spans="1:53" ht="24" customHeight="1" thickBot="1" x14ac:dyDescent="0.25">
      <c r="A6" s="27" t="s">
        <v>34</v>
      </c>
      <c r="B6" s="28" t="s">
        <v>35</v>
      </c>
      <c r="C6" s="353" t="s">
        <v>36</v>
      </c>
      <c r="D6" s="354"/>
      <c r="E6" s="354"/>
      <c r="F6" s="354"/>
      <c r="G6" s="354"/>
      <c r="H6" s="355"/>
      <c r="I6" s="356">
        <v>1</v>
      </c>
      <c r="J6" s="357"/>
      <c r="K6" s="358" t="str">
        <f>"Pool "&amp;B6&amp;" - Round 1 - Court "&amp;I6</f>
        <v>Pool A - Round 1 - Court 1</v>
      </c>
      <c r="L6" s="359"/>
      <c r="M6" s="359"/>
      <c r="N6" s="359"/>
      <c r="O6" s="359"/>
      <c r="P6" s="359"/>
      <c r="Q6" s="359"/>
      <c r="R6" s="359"/>
      <c r="S6" s="359"/>
      <c r="T6" s="359"/>
      <c r="U6" s="359"/>
      <c r="V6" s="359"/>
      <c r="W6" s="359"/>
      <c r="X6" s="359"/>
      <c r="Y6" s="359"/>
      <c r="Z6" s="359"/>
      <c r="AA6" s="359"/>
      <c r="AB6" s="359"/>
      <c r="AC6" s="359"/>
      <c r="AD6" s="359"/>
      <c r="AE6" s="359"/>
      <c r="AF6" s="359"/>
      <c r="AG6" s="359"/>
      <c r="AH6" s="359"/>
      <c r="AI6" s="360"/>
      <c r="AJ6" s="8"/>
      <c r="AK6" s="8"/>
      <c r="AL6" s="8"/>
      <c r="AM6" s="8"/>
      <c r="AN6" s="8"/>
      <c r="AO6" s="8"/>
      <c r="AP6" s="8"/>
      <c r="AQ6" s="8"/>
      <c r="AT6" s="24">
        <v>4</v>
      </c>
      <c r="AU6" s="20" t="s">
        <v>339</v>
      </c>
      <c r="AV6" s="20" t="s">
        <v>337</v>
      </c>
      <c r="AW6" s="21">
        <f>VLOOKUP(AV6,Initial!G:K,5,FALSE)</f>
        <v>1425.664964424519</v>
      </c>
      <c r="AX6" s="25">
        <f>VLOOKUP(AU6,AT$79:AU$83,2,FALSE)</f>
        <v>1486.8728399569763</v>
      </c>
      <c r="AY6" s="26">
        <f>IF(ISNA(VLOOKUP(AU6,AT$96:AU$148,2,FALSE)),AX6,VLOOKUP(AU6,AT$96:AU$148,2,FALSE))</f>
        <v>1495.9470417104681</v>
      </c>
    </row>
    <row r="7" spans="1:53" ht="27" customHeight="1" thickBot="1" x14ac:dyDescent="0.25">
      <c r="A7" s="29" t="s">
        <v>39</v>
      </c>
      <c r="B7" s="361" t="s">
        <v>10</v>
      </c>
      <c r="C7" s="362"/>
      <c r="D7" s="362"/>
      <c r="E7" s="362"/>
      <c r="F7" s="362"/>
      <c r="G7" s="362"/>
      <c r="H7" s="362"/>
      <c r="I7" s="362"/>
      <c r="J7" s="362"/>
      <c r="K7" s="362"/>
      <c r="L7" s="361" t="str">
        <f>IF($AK10=0,"Games Won","Matches Won")</f>
        <v>Matches Won</v>
      </c>
      <c r="M7" s="362"/>
      <c r="N7" s="362"/>
      <c r="O7" s="362"/>
      <c r="P7" s="362"/>
      <c r="Q7" s="363"/>
      <c r="R7" s="361" t="str">
        <f>IF($AK10=0,"Games Lost","Matches Lost")</f>
        <v>Matches Lost</v>
      </c>
      <c r="S7" s="364"/>
      <c r="T7" s="364"/>
      <c r="U7" s="364"/>
      <c r="V7" s="365"/>
      <c r="W7" s="366" t="s">
        <v>40</v>
      </c>
      <c r="X7" s="367"/>
      <c r="Y7" s="368"/>
      <c r="Z7" s="366" t="s">
        <v>41</v>
      </c>
      <c r="AA7" s="367"/>
      <c r="AB7" s="368"/>
      <c r="AC7" s="369" t="s">
        <v>42</v>
      </c>
      <c r="AD7" s="370"/>
      <c r="AE7" s="371"/>
      <c r="AF7" s="30" t="s">
        <v>43</v>
      </c>
      <c r="AG7" s="31" t="s">
        <v>9</v>
      </c>
      <c r="AH7" s="351" t="s">
        <v>44</v>
      </c>
      <c r="AI7" s="352"/>
      <c r="AJ7" s="32"/>
      <c r="AK7" s="33">
        <v>3</v>
      </c>
      <c r="AL7" s="34" t="s">
        <v>45</v>
      </c>
      <c r="AM7" s="34"/>
      <c r="AN7" s="34"/>
      <c r="AO7" s="34"/>
      <c r="AP7" s="34"/>
      <c r="AQ7" s="34"/>
      <c r="AR7" s="35"/>
      <c r="AT7" s="45"/>
      <c r="AU7" s="46"/>
      <c r="AV7" s="47"/>
      <c r="AW7" s="424"/>
      <c r="AX7" s="49"/>
      <c r="AY7" s="50"/>
    </row>
    <row r="8" spans="1:53" ht="18.75" customHeight="1" x14ac:dyDescent="0.2">
      <c r="A8" s="320" t="str">
        <f>IF($AK9&gt;0,"1","")</f>
        <v>1</v>
      </c>
      <c r="B8" s="348" t="s">
        <v>10</v>
      </c>
      <c r="C8" s="349"/>
      <c r="D8" s="350"/>
      <c r="E8" s="324" t="str">
        <f>AU3</f>
        <v>Lake Murray 12 Red</v>
      </c>
      <c r="F8" s="325"/>
      <c r="G8" s="325"/>
      <c r="H8" s="325"/>
      <c r="I8" s="325"/>
      <c r="J8" s="325"/>
      <c r="K8" s="326"/>
      <c r="L8" s="327">
        <f>IF($AK10=0,AF64,AF46)</f>
        <v>3</v>
      </c>
      <c r="M8" s="328"/>
      <c r="N8" s="328"/>
      <c r="O8" s="328"/>
      <c r="P8" s="328"/>
      <c r="Q8" s="363"/>
      <c r="R8" s="327">
        <f>IF($AK10=0,AG64,AG46)</f>
        <v>0</v>
      </c>
      <c r="S8" s="328"/>
      <c r="T8" s="328"/>
      <c r="U8" s="328"/>
      <c r="V8" s="328"/>
      <c r="W8" s="327">
        <f>AQ24</f>
        <v>54</v>
      </c>
      <c r="X8" s="328"/>
      <c r="Y8" s="328"/>
      <c r="Z8" s="300">
        <f>IF(AF58&gt;0,(AQ24/AF58),0)</f>
        <v>0.36</v>
      </c>
      <c r="AA8" s="301"/>
      <c r="AB8" s="301"/>
      <c r="AC8" s="304">
        <f>IF(AF72=0,0,(AF64/AF72))</f>
        <v>1</v>
      </c>
      <c r="AD8" s="305"/>
      <c r="AE8" s="306"/>
      <c r="AF8" s="310">
        <v>1</v>
      </c>
      <c r="AG8" s="310">
        <v>1</v>
      </c>
      <c r="AH8" s="312"/>
      <c r="AI8" s="313"/>
      <c r="AJ8" s="32"/>
      <c r="AK8" s="33">
        <v>6</v>
      </c>
      <c r="AL8" s="34" t="s">
        <v>48</v>
      </c>
      <c r="AM8" s="34"/>
      <c r="AN8" s="34"/>
      <c r="AO8" s="34"/>
      <c r="AP8" s="34"/>
      <c r="AQ8" s="34"/>
      <c r="AR8" s="35"/>
      <c r="AT8" s="372" t="s">
        <v>58</v>
      </c>
      <c r="AU8" s="373"/>
      <c r="AV8" s="373"/>
      <c r="AW8" s="373"/>
      <c r="AX8" s="373"/>
      <c r="AY8" s="374"/>
    </row>
    <row r="9" spans="1:53" ht="18.75" customHeight="1" thickBot="1" x14ac:dyDescent="0.25">
      <c r="A9" s="321"/>
      <c r="B9" s="345" t="s">
        <v>11</v>
      </c>
      <c r="C9" s="346"/>
      <c r="D9" s="347"/>
      <c r="E9" s="341" t="str">
        <f>AV3</f>
        <v>fj2lakem1pm</v>
      </c>
      <c r="F9" s="342"/>
      <c r="G9" s="342"/>
      <c r="H9" s="342"/>
      <c r="I9" s="342"/>
      <c r="J9" s="342"/>
      <c r="K9" s="342"/>
      <c r="L9" s="343"/>
      <c r="M9" s="344"/>
      <c r="N9" s="344"/>
      <c r="O9" s="344"/>
      <c r="P9" s="344"/>
      <c r="Q9" s="363"/>
      <c r="R9" s="343"/>
      <c r="S9" s="344"/>
      <c r="T9" s="344"/>
      <c r="U9" s="344"/>
      <c r="V9" s="344"/>
      <c r="W9" s="343"/>
      <c r="X9" s="344"/>
      <c r="Y9" s="344"/>
      <c r="Z9" s="331"/>
      <c r="AA9" s="332"/>
      <c r="AB9" s="332"/>
      <c r="AC9" s="333"/>
      <c r="AD9" s="334"/>
      <c r="AE9" s="335"/>
      <c r="AF9" s="336"/>
      <c r="AG9" s="336"/>
      <c r="AH9" s="337"/>
      <c r="AI9" s="338"/>
      <c r="AJ9" s="32"/>
      <c r="AK9" s="33">
        <v>4</v>
      </c>
      <c r="AL9" s="34" t="s">
        <v>51</v>
      </c>
      <c r="AM9" s="32"/>
      <c r="AN9" s="32"/>
      <c r="AO9" s="32"/>
      <c r="AP9" s="32"/>
      <c r="AQ9" s="32"/>
      <c r="AR9" s="3"/>
      <c r="AT9" s="375"/>
      <c r="AU9" s="376"/>
      <c r="AV9" s="376"/>
      <c r="AW9" s="376"/>
      <c r="AX9" s="376"/>
      <c r="AY9" s="377"/>
    </row>
    <row r="10" spans="1:53" ht="18.75" customHeight="1" x14ac:dyDescent="0.2">
      <c r="A10" s="320" t="str">
        <f>IF($AK9&gt;1,"2","")</f>
        <v>2</v>
      </c>
      <c r="B10" s="348" t="s">
        <v>10</v>
      </c>
      <c r="C10" s="349"/>
      <c r="D10" s="350"/>
      <c r="E10" s="324" t="str">
        <f>AU4</f>
        <v>Kershaw 12 Black</v>
      </c>
      <c r="F10" s="325"/>
      <c r="G10" s="325"/>
      <c r="H10" s="325"/>
      <c r="I10" s="325"/>
      <c r="J10" s="325"/>
      <c r="K10" s="326"/>
      <c r="L10" s="327">
        <f>IF($AK10=0,AF65,AF47)</f>
        <v>0</v>
      </c>
      <c r="M10" s="328"/>
      <c r="N10" s="328"/>
      <c r="O10" s="328"/>
      <c r="P10" s="328"/>
      <c r="Q10" s="363"/>
      <c r="R10" s="327">
        <f>IF($AK10=0,AG65,AG47)</f>
        <v>3</v>
      </c>
      <c r="S10" s="328"/>
      <c r="T10" s="328"/>
      <c r="U10" s="328"/>
      <c r="V10" s="328"/>
      <c r="W10" s="327">
        <f>AQ25</f>
        <v>-50</v>
      </c>
      <c r="X10" s="328"/>
      <c r="Y10" s="328"/>
      <c r="Z10" s="300">
        <f>IF(AF59&gt;0,(AQ25/AF59),0)</f>
        <v>-0.27777777777777779</v>
      </c>
      <c r="AA10" s="301"/>
      <c r="AB10" s="301"/>
      <c r="AC10" s="304">
        <f>IF(AF73=0,0,(AF65/AF73))</f>
        <v>0.25</v>
      </c>
      <c r="AD10" s="305"/>
      <c r="AE10" s="306"/>
      <c r="AF10" s="310">
        <v>4</v>
      </c>
      <c r="AG10" s="310">
        <v>1</v>
      </c>
      <c r="AH10" s="312"/>
      <c r="AI10" s="313"/>
      <c r="AJ10" s="32"/>
      <c r="AK10" s="33">
        <v>1</v>
      </c>
      <c r="AL10" s="34" t="s">
        <v>54</v>
      </c>
      <c r="AM10" s="34"/>
      <c r="AN10" s="34"/>
      <c r="AO10" s="34"/>
      <c r="AP10" s="34"/>
      <c r="AQ10" s="34"/>
      <c r="AR10" s="35"/>
    </row>
    <row r="11" spans="1:53" ht="18.75" customHeight="1" thickBot="1" x14ac:dyDescent="0.25">
      <c r="A11" s="321"/>
      <c r="B11" s="339" t="s">
        <v>11</v>
      </c>
      <c r="C11" s="340"/>
      <c r="D11" s="340"/>
      <c r="E11" s="341" t="str">
        <f>AV4</f>
        <v>fj2kersh1pm</v>
      </c>
      <c r="F11" s="342"/>
      <c r="G11" s="342"/>
      <c r="H11" s="342"/>
      <c r="I11" s="342"/>
      <c r="J11" s="342"/>
      <c r="K11" s="342"/>
      <c r="L11" s="343"/>
      <c r="M11" s="344"/>
      <c r="N11" s="344"/>
      <c r="O11" s="344"/>
      <c r="P11" s="344"/>
      <c r="Q11" s="363"/>
      <c r="R11" s="343"/>
      <c r="S11" s="344"/>
      <c r="T11" s="344"/>
      <c r="U11" s="344"/>
      <c r="V11" s="344"/>
      <c r="W11" s="343"/>
      <c r="X11" s="344"/>
      <c r="Y11" s="344"/>
      <c r="Z11" s="331"/>
      <c r="AA11" s="332"/>
      <c r="AB11" s="332"/>
      <c r="AC11" s="333"/>
      <c r="AD11" s="334"/>
      <c r="AE11" s="335"/>
      <c r="AF11" s="336"/>
      <c r="AG11" s="336"/>
      <c r="AH11" s="337"/>
      <c r="AI11" s="338"/>
      <c r="AJ11" s="32"/>
      <c r="AK11" s="33">
        <v>1</v>
      </c>
      <c r="AL11" s="34" t="s">
        <v>56</v>
      </c>
      <c r="AM11" s="32"/>
      <c r="AN11" s="32"/>
      <c r="AO11" s="32"/>
      <c r="AP11" s="32"/>
      <c r="AQ11" s="32"/>
      <c r="AR11" s="3"/>
      <c r="AS11" s="53"/>
      <c r="AT11" s="117"/>
      <c r="AU11" s="117"/>
    </row>
    <row r="12" spans="1:53" ht="18.75" customHeight="1" x14ac:dyDescent="0.2">
      <c r="A12" s="320" t="str">
        <f>IF($AK9&gt;2,"3","")</f>
        <v>3</v>
      </c>
      <c r="B12" s="322" t="s">
        <v>10</v>
      </c>
      <c r="C12" s="323"/>
      <c r="D12" s="323"/>
      <c r="E12" s="324" t="str">
        <f>AU5</f>
        <v>MOTO 12 IGNITE</v>
      </c>
      <c r="F12" s="325"/>
      <c r="G12" s="325"/>
      <c r="H12" s="325"/>
      <c r="I12" s="325"/>
      <c r="J12" s="325"/>
      <c r="K12" s="326"/>
      <c r="L12" s="327">
        <f>IF($AK10=0,AF66,AF48)</f>
        <v>1</v>
      </c>
      <c r="M12" s="328"/>
      <c r="N12" s="328"/>
      <c r="O12" s="328"/>
      <c r="P12" s="328"/>
      <c r="Q12" s="363"/>
      <c r="R12" s="327">
        <f>IF($AK10=0,AG66,AG48)</f>
        <v>2</v>
      </c>
      <c r="S12" s="328"/>
      <c r="T12" s="328"/>
      <c r="U12" s="328"/>
      <c r="V12" s="328"/>
      <c r="W12" s="327">
        <f>AQ26</f>
        <v>-6</v>
      </c>
      <c r="X12" s="328"/>
      <c r="Y12" s="328"/>
      <c r="Z12" s="300">
        <f>IF(AF60&gt;0,(AQ26/AF60),0)</f>
        <v>-3.6363636363636362E-2</v>
      </c>
      <c r="AA12" s="301"/>
      <c r="AB12" s="301"/>
      <c r="AC12" s="304">
        <f>IF(AF74=0,0,(AF66/AF74))</f>
        <v>0.2857142857142857</v>
      </c>
      <c r="AD12" s="305"/>
      <c r="AE12" s="306"/>
      <c r="AF12" s="310">
        <v>3</v>
      </c>
      <c r="AG12" s="310">
        <v>1</v>
      </c>
      <c r="AH12" s="312"/>
      <c r="AI12" s="313"/>
      <c r="AJ12" s="43"/>
      <c r="AK12" s="33">
        <v>3</v>
      </c>
      <c r="AL12" s="44" t="s">
        <v>57</v>
      </c>
      <c r="AM12" s="34"/>
      <c r="AN12" s="34"/>
      <c r="AO12" s="34"/>
      <c r="AP12" s="34"/>
      <c r="AQ12" s="34"/>
      <c r="AR12" s="35"/>
      <c r="AS12" s="53"/>
      <c r="AT12" s="117"/>
      <c r="AU12" s="117"/>
    </row>
    <row r="13" spans="1:53" ht="18.75" customHeight="1" thickBot="1" x14ac:dyDescent="0.25">
      <c r="A13" s="321"/>
      <c r="B13" s="339" t="s">
        <v>11</v>
      </c>
      <c r="C13" s="340"/>
      <c r="D13" s="340"/>
      <c r="E13" s="341" t="str">
        <f>AV5</f>
        <v>fj2motoj1pm</v>
      </c>
      <c r="F13" s="342"/>
      <c r="G13" s="342"/>
      <c r="H13" s="342"/>
      <c r="I13" s="342"/>
      <c r="J13" s="342"/>
      <c r="K13" s="342"/>
      <c r="L13" s="343"/>
      <c r="M13" s="344"/>
      <c r="N13" s="344"/>
      <c r="O13" s="344"/>
      <c r="P13" s="344"/>
      <c r="Q13" s="363"/>
      <c r="R13" s="343"/>
      <c r="S13" s="344"/>
      <c r="T13" s="344"/>
      <c r="U13" s="344"/>
      <c r="V13" s="344"/>
      <c r="W13" s="343"/>
      <c r="X13" s="344"/>
      <c r="Y13" s="344"/>
      <c r="Z13" s="331"/>
      <c r="AA13" s="332"/>
      <c r="AB13" s="332"/>
      <c r="AC13" s="333"/>
      <c r="AD13" s="334"/>
      <c r="AE13" s="335"/>
      <c r="AF13" s="336"/>
      <c r="AG13" s="336"/>
      <c r="AH13" s="337"/>
      <c r="AI13" s="338"/>
      <c r="AJ13" s="43"/>
      <c r="AK13" s="51"/>
      <c r="AL13" s="52"/>
      <c r="AM13" s="52"/>
      <c r="AN13" s="52"/>
      <c r="AO13" s="52"/>
      <c r="AP13" s="52"/>
      <c r="AQ13" s="32"/>
      <c r="AR13" s="3"/>
      <c r="AS13" s="53"/>
      <c r="AT13" s="117"/>
      <c r="AU13" s="117"/>
    </row>
    <row r="14" spans="1:53" ht="18.75" customHeight="1" x14ac:dyDescent="0.2">
      <c r="A14" s="320" t="str">
        <f>IF($AK9&gt;3,"4","")</f>
        <v>4</v>
      </c>
      <c r="B14" s="322" t="s">
        <v>10</v>
      </c>
      <c r="C14" s="323"/>
      <c r="D14" s="323"/>
      <c r="E14" s="324" t="str">
        <f>AU6</f>
        <v>SC Midlands 12 Black</v>
      </c>
      <c r="F14" s="325"/>
      <c r="G14" s="325"/>
      <c r="H14" s="325"/>
      <c r="I14" s="325"/>
      <c r="J14" s="325"/>
      <c r="K14" s="326"/>
      <c r="L14" s="327">
        <f>IF($AK10=0,AF67,AF49)</f>
        <v>2</v>
      </c>
      <c r="M14" s="328"/>
      <c r="N14" s="328"/>
      <c r="O14" s="328"/>
      <c r="P14" s="328"/>
      <c r="Q14" s="363"/>
      <c r="R14" s="327">
        <f>IF($AK10=0,AG67,AG49)</f>
        <v>1</v>
      </c>
      <c r="S14" s="328"/>
      <c r="T14" s="328"/>
      <c r="U14" s="328"/>
      <c r="V14" s="328"/>
      <c r="W14" s="327">
        <f>AQ27</f>
        <v>2</v>
      </c>
      <c r="X14" s="328"/>
      <c r="Y14" s="328"/>
      <c r="Z14" s="300">
        <f>IF(AF61&gt;0,(AQ27/AF61),0)</f>
        <v>1.2121212121212121E-2</v>
      </c>
      <c r="AA14" s="301"/>
      <c r="AB14" s="301"/>
      <c r="AC14" s="304">
        <f>IF(AF75=0,0,(AF67/AF75))</f>
        <v>0.5714285714285714</v>
      </c>
      <c r="AD14" s="305"/>
      <c r="AE14" s="306"/>
      <c r="AF14" s="310">
        <v>2</v>
      </c>
      <c r="AG14" s="310">
        <v>1</v>
      </c>
      <c r="AH14" s="312"/>
      <c r="AI14" s="313"/>
      <c r="AJ14" s="8"/>
      <c r="AK14" s="52"/>
      <c r="AL14" s="52"/>
      <c r="AM14" s="52"/>
      <c r="AN14" s="52"/>
      <c r="AO14" s="52"/>
      <c r="AP14" s="52"/>
      <c r="AQ14" s="34"/>
      <c r="AR14" s="35"/>
      <c r="AS14" s="53"/>
      <c r="AT14" s="117"/>
      <c r="AU14" s="117"/>
    </row>
    <row r="15" spans="1:53" ht="18.75" customHeight="1" thickBot="1" x14ac:dyDescent="0.25">
      <c r="A15" s="321"/>
      <c r="B15" s="339" t="s">
        <v>11</v>
      </c>
      <c r="C15" s="340"/>
      <c r="D15" s="340"/>
      <c r="E15" s="341" t="str">
        <f>AV6</f>
        <v>fj2scmid1pm</v>
      </c>
      <c r="F15" s="342"/>
      <c r="G15" s="342"/>
      <c r="H15" s="342"/>
      <c r="I15" s="342"/>
      <c r="J15" s="342"/>
      <c r="K15" s="342"/>
      <c r="L15" s="343"/>
      <c r="M15" s="344"/>
      <c r="N15" s="344"/>
      <c r="O15" s="344"/>
      <c r="P15" s="344"/>
      <c r="Q15" s="363"/>
      <c r="R15" s="343"/>
      <c r="S15" s="344"/>
      <c r="T15" s="344"/>
      <c r="U15" s="344"/>
      <c r="V15" s="344"/>
      <c r="W15" s="343"/>
      <c r="X15" s="344"/>
      <c r="Y15" s="344"/>
      <c r="Z15" s="331"/>
      <c r="AA15" s="332"/>
      <c r="AB15" s="332"/>
      <c r="AC15" s="333"/>
      <c r="AD15" s="334"/>
      <c r="AE15" s="335"/>
      <c r="AF15" s="336"/>
      <c r="AG15" s="336"/>
      <c r="AH15" s="337"/>
      <c r="AI15" s="338"/>
      <c r="AJ15" s="8"/>
      <c r="AK15" s="52"/>
      <c r="AL15" s="52"/>
      <c r="AM15" s="52"/>
      <c r="AN15" s="52"/>
      <c r="AO15" s="52"/>
      <c r="AP15" s="52"/>
      <c r="AQ15" s="8"/>
      <c r="AR15" s="3"/>
      <c r="AS15" s="53"/>
      <c r="AT15" s="117"/>
      <c r="AU15" s="117"/>
    </row>
    <row r="16" spans="1:53" ht="18.75" customHeight="1" x14ac:dyDescent="0.2">
      <c r="A16" s="320" t="str">
        <f>IF($AK9&gt;4,"5","")</f>
        <v/>
      </c>
      <c r="B16" s="322" t="s">
        <v>10</v>
      </c>
      <c r="C16" s="323"/>
      <c r="D16" s="323"/>
      <c r="E16" s="427">
        <f>AU7</f>
        <v>0</v>
      </c>
      <c r="F16" s="428"/>
      <c r="G16" s="428"/>
      <c r="H16" s="428"/>
      <c r="I16" s="428"/>
      <c r="J16" s="428"/>
      <c r="K16" s="429"/>
      <c r="L16" s="327">
        <f>IF($AK10=0,AF68,AF50)</f>
        <v>0</v>
      </c>
      <c r="M16" s="328"/>
      <c r="N16" s="328"/>
      <c r="O16" s="328"/>
      <c r="P16" s="328"/>
      <c r="Q16" s="363"/>
      <c r="R16" s="327">
        <f>IF($AK10=0,AG68,AG50)</f>
        <v>0</v>
      </c>
      <c r="S16" s="328"/>
      <c r="T16" s="328"/>
      <c r="U16" s="328"/>
      <c r="V16" s="328"/>
      <c r="W16" s="327">
        <f>AQ28</f>
        <v>0</v>
      </c>
      <c r="X16" s="328"/>
      <c r="Y16" s="328"/>
      <c r="Z16" s="300">
        <f>IF(AF62&gt;0,(AQ28/AF62),0)</f>
        <v>0</v>
      </c>
      <c r="AA16" s="301"/>
      <c r="AB16" s="301"/>
      <c r="AC16" s="304">
        <f>IF(AF76=0,0,(AF68/AF76))</f>
        <v>0</v>
      </c>
      <c r="AD16" s="305"/>
      <c r="AE16" s="306"/>
      <c r="AF16" s="310"/>
      <c r="AG16" s="310"/>
      <c r="AH16" s="312"/>
      <c r="AI16" s="313"/>
      <c r="AJ16" s="8"/>
      <c r="AK16" s="52"/>
      <c r="AL16" s="52"/>
      <c r="AM16" s="52"/>
      <c r="AN16" s="52"/>
      <c r="AO16" s="52"/>
      <c r="AP16" s="52"/>
      <c r="AQ16" s="8"/>
      <c r="AR16" s="3"/>
      <c r="AS16" s="53"/>
      <c r="AT16" s="117"/>
      <c r="AU16" s="117"/>
    </row>
    <row r="17" spans="1:47" ht="18.75" customHeight="1" thickBot="1" x14ac:dyDescent="0.25">
      <c r="A17" s="321"/>
      <c r="B17" s="316" t="s">
        <v>11</v>
      </c>
      <c r="C17" s="317"/>
      <c r="D17" s="317"/>
      <c r="E17" s="430">
        <f>AV7</f>
        <v>0</v>
      </c>
      <c r="F17" s="431"/>
      <c r="G17" s="431"/>
      <c r="H17" s="431"/>
      <c r="I17" s="431"/>
      <c r="J17" s="431"/>
      <c r="K17" s="431"/>
      <c r="L17" s="329"/>
      <c r="M17" s="330"/>
      <c r="N17" s="330"/>
      <c r="O17" s="330"/>
      <c r="P17" s="330"/>
      <c r="Q17" s="363"/>
      <c r="R17" s="329"/>
      <c r="S17" s="330"/>
      <c r="T17" s="330"/>
      <c r="U17" s="330"/>
      <c r="V17" s="330"/>
      <c r="W17" s="329"/>
      <c r="X17" s="330"/>
      <c r="Y17" s="330"/>
      <c r="Z17" s="302"/>
      <c r="AA17" s="303"/>
      <c r="AB17" s="303"/>
      <c r="AC17" s="307"/>
      <c r="AD17" s="308"/>
      <c r="AE17" s="309"/>
      <c r="AF17" s="311"/>
      <c r="AG17" s="311"/>
      <c r="AH17" s="314"/>
      <c r="AI17" s="315"/>
      <c r="AJ17" s="8"/>
      <c r="AK17" s="52"/>
      <c r="AL17" s="52"/>
      <c r="AM17" s="52"/>
      <c r="AN17" s="52"/>
      <c r="AO17" s="52"/>
      <c r="AP17" s="52"/>
      <c r="AQ17" s="8"/>
      <c r="AR17" s="3"/>
      <c r="AS17" s="60"/>
      <c r="AT17" s="117"/>
      <c r="AU17" s="117"/>
    </row>
    <row r="18" spans="1:47" ht="21" customHeight="1" thickTop="1" thickBot="1" x14ac:dyDescent="0.25">
      <c r="A18" s="55"/>
      <c r="B18" s="297" t="s">
        <v>59</v>
      </c>
      <c r="C18" s="298"/>
      <c r="D18" s="298"/>
      <c r="E18" s="298"/>
      <c r="F18" s="298"/>
      <c r="G18" s="298"/>
      <c r="H18" s="298"/>
      <c r="I18" s="298"/>
      <c r="J18" s="298"/>
      <c r="K18" s="298"/>
      <c r="L18" s="298"/>
      <c r="M18" s="298"/>
      <c r="N18" s="298"/>
      <c r="O18" s="298"/>
      <c r="P18" s="298"/>
      <c r="Q18" s="298"/>
      <c r="R18" s="298"/>
      <c r="S18" s="298"/>
      <c r="T18" s="298"/>
      <c r="U18" s="298"/>
      <c r="V18" s="298"/>
      <c r="W18" s="298"/>
      <c r="X18" s="298"/>
      <c r="Y18" s="298"/>
      <c r="Z18" s="298"/>
      <c r="AA18" s="298"/>
      <c r="AB18" s="298"/>
      <c r="AC18" s="298"/>
      <c r="AD18" s="298"/>
      <c r="AE18" s="298"/>
      <c r="AF18" s="298"/>
      <c r="AG18" s="298"/>
      <c r="AH18" s="298"/>
      <c r="AI18" s="299"/>
      <c r="AJ18" s="8"/>
      <c r="AK18" s="52"/>
      <c r="AL18" s="52"/>
      <c r="AM18" s="52"/>
      <c r="AN18" s="52"/>
      <c r="AO18" s="52"/>
      <c r="AP18" s="52"/>
      <c r="AQ18" s="8"/>
      <c r="AR18" s="3"/>
      <c r="AS18" s="60"/>
      <c r="AT18" s="117"/>
      <c r="AU18" s="117"/>
    </row>
    <row r="19" spans="1:47" ht="13.5" customHeight="1" thickTop="1" x14ac:dyDescent="0.2">
      <c r="A19" s="4" t="s">
        <v>60</v>
      </c>
      <c r="B19" s="286">
        <v>0.35416666666666669</v>
      </c>
      <c r="C19" s="287"/>
      <c r="D19" s="288"/>
      <c r="E19" s="286">
        <v>0.39583333333333331</v>
      </c>
      <c r="F19" s="287"/>
      <c r="G19" s="288"/>
      <c r="H19" s="286">
        <v>0.4375</v>
      </c>
      <c r="I19" s="287"/>
      <c r="J19" s="288"/>
      <c r="K19" s="286">
        <v>0.5</v>
      </c>
      <c r="L19" s="287"/>
      <c r="M19" s="288"/>
      <c r="N19" s="286">
        <v>4.1666666666666664E-2</v>
      </c>
      <c r="O19" s="287"/>
      <c r="P19" s="288"/>
      <c r="Q19" s="286">
        <v>8.3333333333333329E-2</v>
      </c>
      <c r="R19" s="287"/>
      <c r="S19" s="288"/>
      <c r="T19" s="286">
        <v>4.1666666666666664E-2</v>
      </c>
      <c r="U19" s="287"/>
      <c r="V19" s="288"/>
      <c r="W19" s="286">
        <v>7.2916666666666671E-2</v>
      </c>
      <c r="X19" s="287"/>
      <c r="Y19" s="288"/>
      <c r="Z19" s="286">
        <v>0.10416666666666667</v>
      </c>
      <c r="AA19" s="287"/>
      <c r="AB19" s="288"/>
      <c r="AC19" s="286">
        <v>0.13541666666666666</v>
      </c>
      <c r="AD19" s="287"/>
      <c r="AE19" s="288"/>
      <c r="AF19" s="289" t="s">
        <v>61</v>
      </c>
      <c r="AG19" s="290"/>
      <c r="AH19" s="290"/>
      <c r="AI19" s="290"/>
      <c r="AJ19" s="291"/>
      <c r="AK19" s="291"/>
      <c r="AL19" s="291"/>
      <c r="AM19" s="291"/>
      <c r="AN19" s="291"/>
      <c r="AO19" s="291"/>
      <c r="AP19" s="291"/>
      <c r="AQ19" s="292"/>
      <c r="AS19" s="60"/>
      <c r="AT19" s="117"/>
      <c r="AU19" s="117"/>
    </row>
    <row r="20" spans="1:47" x14ac:dyDescent="0.2">
      <c r="A20" s="56" t="s">
        <v>62</v>
      </c>
      <c r="B20" s="283"/>
      <c r="C20" s="284"/>
      <c r="D20" s="285"/>
      <c r="E20" s="283"/>
      <c r="F20" s="284"/>
      <c r="G20" s="285"/>
      <c r="H20" s="283"/>
      <c r="I20" s="284"/>
      <c r="J20" s="285"/>
      <c r="K20" s="283"/>
      <c r="L20" s="284"/>
      <c r="M20" s="285"/>
      <c r="N20" s="283"/>
      <c r="O20" s="284"/>
      <c r="P20" s="285"/>
      <c r="Q20" s="283"/>
      <c r="R20" s="284"/>
      <c r="S20" s="285"/>
      <c r="T20" s="283"/>
      <c r="U20" s="284"/>
      <c r="V20" s="285"/>
      <c r="W20" s="283"/>
      <c r="X20" s="284"/>
      <c r="Y20" s="285"/>
      <c r="Z20" s="283"/>
      <c r="AA20" s="284"/>
      <c r="AB20" s="285"/>
      <c r="AC20" s="283"/>
      <c r="AD20" s="284"/>
      <c r="AE20" s="285"/>
      <c r="AF20" s="289"/>
      <c r="AG20" s="290"/>
      <c r="AH20" s="290"/>
      <c r="AI20" s="290"/>
      <c r="AJ20" s="290"/>
      <c r="AK20" s="290"/>
      <c r="AL20" s="290"/>
      <c r="AM20" s="290"/>
      <c r="AN20" s="290"/>
      <c r="AO20" s="290"/>
      <c r="AP20" s="290"/>
      <c r="AQ20" s="293"/>
      <c r="AS20" s="60"/>
      <c r="AT20" s="117"/>
      <c r="AU20" s="117"/>
    </row>
    <row r="21" spans="1:47" x14ac:dyDescent="0.2">
      <c r="A21" s="56" t="s">
        <v>63</v>
      </c>
      <c r="B21" s="283"/>
      <c r="C21" s="284"/>
      <c r="D21" s="285"/>
      <c r="E21" s="283"/>
      <c r="F21" s="284"/>
      <c r="G21" s="285"/>
      <c r="H21" s="283"/>
      <c r="I21" s="284"/>
      <c r="J21" s="285"/>
      <c r="K21" s="283"/>
      <c r="L21" s="284"/>
      <c r="M21" s="285"/>
      <c r="N21" s="283"/>
      <c r="O21" s="284"/>
      <c r="P21" s="285"/>
      <c r="Q21" s="283"/>
      <c r="R21" s="284"/>
      <c r="S21" s="285"/>
      <c r="T21" s="283"/>
      <c r="U21" s="284"/>
      <c r="V21" s="285"/>
      <c r="W21" s="283"/>
      <c r="X21" s="284"/>
      <c r="Y21" s="285"/>
      <c r="Z21" s="283"/>
      <c r="AA21" s="284"/>
      <c r="AB21" s="285"/>
      <c r="AC21" s="283"/>
      <c r="AD21" s="284"/>
      <c r="AE21" s="285"/>
      <c r="AF21" s="289"/>
      <c r="AG21" s="290"/>
      <c r="AH21" s="290"/>
      <c r="AI21" s="290"/>
      <c r="AJ21" s="290"/>
      <c r="AK21" s="290"/>
      <c r="AL21" s="290"/>
      <c r="AM21" s="290"/>
      <c r="AN21" s="290"/>
      <c r="AO21" s="290"/>
      <c r="AP21" s="290"/>
      <c r="AQ21" s="293"/>
    </row>
    <row r="22" spans="1:47" ht="13.5" thickBot="1" x14ac:dyDescent="0.25">
      <c r="A22" s="8"/>
      <c r="B22" s="173" t="s">
        <v>64</v>
      </c>
      <c r="C22" s="174"/>
      <c r="D22" s="180"/>
      <c r="E22" s="173" t="str">
        <f>IF(AK8&gt;1,"Match 2","")</f>
        <v>Match 2</v>
      </c>
      <c r="F22" s="174"/>
      <c r="G22" s="180"/>
      <c r="H22" s="173" t="str">
        <f>IF(AK8&gt;2,"Match 3","")</f>
        <v>Match 3</v>
      </c>
      <c r="I22" s="174"/>
      <c r="J22" s="180"/>
      <c r="K22" s="173" t="str">
        <f>IF(AK8&gt;3,"Match 4","")</f>
        <v>Match 4</v>
      </c>
      <c r="L22" s="174"/>
      <c r="M22" s="180"/>
      <c r="N22" s="173" t="str">
        <f>IF(AK8&gt;4,"Match 5","")</f>
        <v>Match 5</v>
      </c>
      <c r="O22" s="174"/>
      <c r="P22" s="180"/>
      <c r="Q22" s="173" t="str">
        <f>IF(AK8&gt;5,"Match 6","")</f>
        <v>Match 6</v>
      </c>
      <c r="R22" s="174"/>
      <c r="S22" s="180"/>
      <c r="T22" s="173" t="str">
        <f>IF(AK8&gt;6,"Match 7","")</f>
        <v/>
      </c>
      <c r="U22" s="174"/>
      <c r="V22" s="180"/>
      <c r="W22" s="173" t="str">
        <f>IF(AK8&gt;7,"Match 8","")</f>
        <v/>
      </c>
      <c r="X22" s="174"/>
      <c r="Y22" s="180"/>
      <c r="Z22" s="173" t="str">
        <f>IF(AK8&gt;8,"Match 9","")</f>
        <v/>
      </c>
      <c r="AA22" s="174"/>
      <c r="AB22" s="180"/>
      <c r="AC22" s="173" t="str">
        <f>IF(AK8&gt;9,"Match 10","")</f>
        <v/>
      </c>
      <c r="AD22" s="174"/>
      <c r="AE22" s="180"/>
      <c r="AF22" s="294"/>
      <c r="AG22" s="295"/>
      <c r="AH22" s="295"/>
      <c r="AI22" s="295"/>
      <c r="AJ22" s="295"/>
      <c r="AK22" s="295"/>
      <c r="AL22" s="295"/>
      <c r="AM22" s="295"/>
      <c r="AN22" s="295"/>
      <c r="AO22" s="295"/>
      <c r="AP22" s="295"/>
      <c r="AQ22" s="296"/>
      <c r="AS22" s="60"/>
      <c r="AT22" s="117"/>
      <c r="AU22" s="117"/>
    </row>
    <row r="23" spans="1:47" ht="15.75" x14ac:dyDescent="0.25">
      <c r="A23" s="8"/>
      <c r="B23" s="277" t="s">
        <v>65</v>
      </c>
      <c r="C23" s="278"/>
      <c r="D23" s="279"/>
      <c r="E23" s="277" t="s">
        <v>66</v>
      </c>
      <c r="F23" s="278"/>
      <c r="G23" s="279"/>
      <c r="H23" s="277" t="s">
        <v>67</v>
      </c>
      <c r="I23" s="278"/>
      <c r="J23" s="279"/>
      <c r="K23" s="277" t="s">
        <v>68</v>
      </c>
      <c r="L23" s="278"/>
      <c r="M23" s="279"/>
      <c r="N23" s="277" t="s">
        <v>66</v>
      </c>
      <c r="O23" s="278"/>
      <c r="P23" s="279"/>
      <c r="Q23" s="277" t="s">
        <v>67</v>
      </c>
      <c r="R23" s="278"/>
      <c r="S23" s="279"/>
      <c r="T23" s="277" t="s">
        <v>68</v>
      </c>
      <c r="U23" s="278"/>
      <c r="V23" s="279"/>
      <c r="W23" s="277" t="s">
        <v>66</v>
      </c>
      <c r="X23" s="278"/>
      <c r="Y23" s="279"/>
      <c r="Z23" s="277" t="s">
        <v>69</v>
      </c>
      <c r="AA23" s="278"/>
      <c r="AB23" s="279"/>
      <c r="AC23" s="277" t="s">
        <v>67</v>
      </c>
      <c r="AD23" s="278"/>
      <c r="AE23" s="279"/>
      <c r="AF23" s="57" t="s">
        <v>70</v>
      </c>
      <c r="AG23" s="58">
        <v>1</v>
      </c>
      <c r="AH23" s="58">
        <v>2</v>
      </c>
      <c r="AI23" s="58">
        <v>3</v>
      </c>
      <c r="AJ23" s="58">
        <v>4</v>
      </c>
      <c r="AK23" s="58">
        <v>5</v>
      </c>
      <c r="AL23" s="58">
        <v>6</v>
      </c>
      <c r="AM23" s="58">
        <v>7</v>
      </c>
      <c r="AN23" s="58">
        <v>8</v>
      </c>
      <c r="AO23" s="58">
        <v>9</v>
      </c>
      <c r="AP23" s="58">
        <v>10</v>
      </c>
      <c r="AQ23" s="59" t="s">
        <v>71</v>
      </c>
      <c r="AS23" s="60"/>
      <c r="AT23" s="117"/>
      <c r="AU23" s="117"/>
    </row>
    <row r="24" spans="1:47" ht="15.75" x14ac:dyDescent="0.25">
      <c r="A24" s="8"/>
      <c r="B24" s="61">
        <v>2</v>
      </c>
      <c r="C24" s="62" t="s">
        <v>72</v>
      </c>
      <c r="D24" s="63">
        <v>3</v>
      </c>
      <c r="E24" s="61">
        <v>1</v>
      </c>
      <c r="F24" s="62" t="str">
        <f>IF(AK8&gt;1,"v","")</f>
        <v>v</v>
      </c>
      <c r="G24" s="63">
        <v>4</v>
      </c>
      <c r="H24" s="61">
        <v>2</v>
      </c>
      <c r="I24" s="62" t="str">
        <f>IF(AK8&gt;2,"v","")</f>
        <v>v</v>
      </c>
      <c r="J24" s="63">
        <v>4</v>
      </c>
      <c r="K24" s="61">
        <v>1</v>
      </c>
      <c r="L24" s="62" t="str">
        <f>IF(AK8&gt;3,"v","")</f>
        <v>v</v>
      </c>
      <c r="M24" s="63">
        <v>3</v>
      </c>
      <c r="N24" s="61">
        <v>3</v>
      </c>
      <c r="O24" s="62" t="str">
        <f>IF(AK8&gt;4,"v","")</f>
        <v>v</v>
      </c>
      <c r="P24" s="63">
        <v>4</v>
      </c>
      <c r="Q24" s="61">
        <v>1</v>
      </c>
      <c r="R24" s="62" t="str">
        <f>IF(AK8&gt;5,"v","")</f>
        <v>v</v>
      </c>
      <c r="S24" s="63">
        <v>2</v>
      </c>
      <c r="T24" s="61"/>
      <c r="U24" s="62" t="str">
        <f>IF(AK8&gt;6,"v","")</f>
        <v/>
      </c>
      <c r="V24" s="63"/>
      <c r="W24" s="61"/>
      <c r="X24" s="62" t="str">
        <f>IF(AK8&gt;7,"v","")</f>
        <v/>
      </c>
      <c r="Y24" s="63"/>
      <c r="Z24" s="61"/>
      <c r="AA24" s="62" t="str">
        <f>IF(AK8&gt;8,"v","")</f>
        <v/>
      </c>
      <c r="AB24" s="63"/>
      <c r="AC24" s="61"/>
      <c r="AD24" s="62" t="str">
        <f>IF(AK8&gt;9,"v","")</f>
        <v/>
      </c>
      <c r="AE24" s="63"/>
      <c r="AF24" s="57" t="str">
        <f>IF(AK9&gt;0,"Team 1","")</f>
        <v>Team 1</v>
      </c>
      <c r="AG24" s="64" t="str">
        <f>IF(AK9&lt;1,"",IF(AK8&lt;1,"",IF(B24=1,B30-D30,IF(D24=1,D30-B30,""))))</f>
        <v/>
      </c>
      <c r="AH24" s="64">
        <f>IF(AK9&lt;1,"",IF(AK8&lt;2,"",IF(E24=1,E30-G30,IF(G24=1,G30-E30,""))))</f>
        <v>22</v>
      </c>
      <c r="AI24" s="64" t="str">
        <f>IF(AK9&lt;1,"",IF(AK8&lt;3,"",IF(H24=1,H30-J30,IF(J24=1,J30-H30,""))))</f>
        <v/>
      </c>
      <c r="AJ24" s="64">
        <f>IF(AK9&lt;1,"",IF(AK8&lt;4,"",IF(K24=1,K30-M30,IF(M24=1,M30-K30,""))))</f>
        <v>18</v>
      </c>
      <c r="AK24" s="64" t="str">
        <f>IF(AK9&lt;1,"",IF(AK8&lt;5,"",IF(N24=1,N30-P30,IF(P24=1,P30-N30,""))))</f>
        <v/>
      </c>
      <c r="AL24" s="64">
        <f>IF(AK9&lt;1,"",IF(AK8&lt;6,"",IF(Q24=1,Q30-S30,IF(S24=1,S30-Q30,""))))</f>
        <v>14</v>
      </c>
      <c r="AM24" s="64" t="str">
        <f>IF(AK9&lt;1,"",IF(AK8&lt;7,"",IF(T24=1,T30-V30,IF(V24=1,V30-T30,""))))</f>
        <v/>
      </c>
      <c r="AN24" s="64" t="str">
        <f>IF(AK9&lt;1,"",IF(AK8&lt;8,"",IF(W24=1,W30-Y30,IF(Y24=1,Y30-W30,""))))</f>
        <v/>
      </c>
      <c r="AO24" s="64" t="str">
        <f>IF(AK9&lt;1,"",IF(AK8&lt;9,"",IF(Z24=1,Z30-AB30,IF(AB24=1,AB30-Z30,""))))</f>
        <v/>
      </c>
      <c r="AP24" s="64" t="str">
        <f>IF(AK9&lt;1,"",IF(AK8&lt;10,"",IF(AC24=1,AC30-AE30,IF(AE24=1,AE30-AC30,""))))</f>
        <v/>
      </c>
      <c r="AQ24" s="59">
        <f>SUM(AG24:AP24)</f>
        <v>54</v>
      </c>
      <c r="AS24" s="60"/>
      <c r="AT24" s="117"/>
      <c r="AU24" s="117"/>
    </row>
    <row r="25" spans="1:47" ht="15" x14ac:dyDescent="0.2">
      <c r="A25" s="4" t="s">
        <v>73</v>
      </c>
      <c r="B25" s="65">
        <v>16</v>
      </c>
      <c r="C25" s="66" t="s">
        <v>74</v>
      </c>
      <c r="D25" s="67">
        <v>25</v>
      </c>
      <c r="E25" s="65">
        <v>25</v>
      </c>
      <c r="F25" s="66" t="str">
        <f>IF(AK8&gt;1,"/","")</f>
        <v>/</v>
      </c>
      <c r="G25" s="67">
        <v>12</v>
      </c>
      <c r="H25" s="65">
        <v>10</v>
      </c>
      <c r="I25" s="66" t="str">
        <f>IF(AK8&gt;2,"/","")</f>
        <v>/</v>
      </c>
      <c r="J25" s="67">
        <v>25</v>
      </c>
      <c r="K25" s="65">
        <v>25</v>
      </c>
      <c r="L25" s="66" t="str">
        <f>IF(AK8&gt;3,"/","")</f>
        <v>/</v>
      </c>
      <c r="M25" s="67">
        <v>16</v>
      </c>
      <c r="N25" s="65">
        <v>21</v>
      </c>
      <c r="O25" s="66" t="str">
        <f>IF(AK8&gt;4,"/","")</f>
        <v>/</v>
      </c>
      <c r="P25" s="67">
        <v>25</v>
      </c>
      <c r="Q25" s="65">
        <v>25</v>
      </c>
      <c r="R25" s="66" t="str">
        <f>IF(AK8&gt;5,"/","")</f>
        <v>/</v>
      </c>
      <c r="S25" s="67">
        <v>17</v>
      </c>
      <c r="T25" s="65"/>
      <c r="U25" s="66" t="str">
        <f>IF(AK8&gt;6,"/","")</f>
        <v/>
      </c>
      <c r="V25" s="67"/>
      <c r="W25" s="65"/>
      <c r="X25" s="66" t="str">
        <f>IF(AK8&gt;7,"/","")</f>
        <v/>
      </c>
      <c r="Y25" s="67"/>
      <c r="Z25" s="65"/>
      <c r="AA25" s="66" t="str">
        <f>IF(AK8&gt;8,"/","")</f>
        <v/>
      </c>
      <c r="AB25" s="67"/>
      <c r="AC25" s="65"/>
      <c r="AD25" s="66" t="str">
        <f>IF(AK8&gt;9,"/","")</f>
        <v/>
      </c>
      <c r="AE25" s="67"/>
      <c r="AF25" s="57" t="str">
        <f>IF(AK9&gt;1,"Team 2","")</f>
        <v>Team 2</v>
      </c>
      <c r="AG25" s="64">
        <f>IF(AK9&lt;2,"",IF(AK8&lt;1,"",IF(B24=2,B30-D30,IF(D24=2,D30-B30,""))))</f>
        <v>-18</v>
      </c>
      <c r="AH25" s="64" t="str">
        <f>IF(AK9&lt;2,"",IF(AK8&lt;2,"",IF(E24=2,E30-G30,IF(G24=2,G30-E30,""))))</f>
        <v/>
      </c>
      <c r="AI25" s="64">
        <f>IF(AK9&lt;2,"",IF(AK8&lt;3,"",IF(H24=2,H30-J30,IF(J24=2,J30-H30,""))))</f>
        <v>-18</v>
      </c>
      <c r="AJ25" s="64" t="str">
        <f>IF(AK9&lt;2,"",IF(AK8&lt;4,"",IF(K24=2,K30-M30,IF(M24=2,M30-K30,""))))</f>
        <v/>
      </c>
      <c r="AK25" s="64" t="str">
        <f>IF(AK9&lt;2,"",IF(AK8&lt;5,"",IF(N24=2,N30-P30,IF(P24=2,P30-N30,""))))</f>
        <v/>
      </c>
      <c r="AL25" s="64">
        <f>IF(AK9&lt;2,"",IF(AK8&lt;6,"",IF(Q24=2,Q30-S30,IF(S24=2,S30-Q30,""))))</f>
        <v>-14</v>
      </c>
      <c r="AM25" s="64" t="str">
        <f>IF(AK9&lt;2,"",IF(AK8&lt;7,"",IF(T24=2,T30-V30,IF(V24=2,V30-T30,""))))</f>
        <v/>
      </c>
      <c r="AN25" s="64" t="str">
        <f>IF(AK9&lt;2,"",IF(AK8&lt;8,"",IF(W24=2,W30-Y30,IF(Y24=2,Y30-W30,""))))</f>
        <v/>
      </c>
      <c r="AO25" s="64" t="str">
        <f>IF(AK9&lt;2,"",IF(AK8&lt;9,"",IF(Z24=2,Z30-AB30,IF(AB24=2,AB30-Z30,""))))</f>
        <v/>
      </c>
      <c r="AP25" s="64" t="str">
        <f>IF(AK9&lt;2,"",IF(AK8&lt;10,"",IF(AC24=2,AC30-AE30,IF(AE24=2,AE30-AC30,""))))</f>
        <v/>
      </c>
      <c r="AQ25" s="59">
        <f>SUM(AG25:AP25)</f>
        <v>-50</v>
      </c>
    </row>
    <row r="26" spans="1:47" ht="15" x14ac:dyDescent="0.2">
      <c r="A26" s="3" t="str">
        <f>IF(AK7&gt;1,"Game 2","")</f>
        <v>Game 2</v>
      </c>
      <c r="B26" s="65">
        <v>25</v>
      </c>
      <c r="C26" s="66" t="s">
        <v>74</v>
      </c>
      <c r="D26" s="67">
        <v>20</v>
      </c>
      <c r="E26" s="65">
        <v>25</v>
      </c>
      <c r="F26" s="66" t="str">
        <f>IF(AK8&gt;1,IF(AK7&gt;1,"/",""),"")</f>
        <v>/</v>
      </c>
      <c r="G26" s="67">
        <v>16</v>
      </c>
      <c r="H26" s="65">
        <v>25</v>
      </c>
      <c r="I26" s="66" t="str">
        <f>IF(AK8&gt;2,IF(AK7&gt;1,"/",""),"")</f>
        <v>/</v>
      </c>
      <c r="J26" s="67">
        <v>22</v>
      </c>
      <c r="K26" s="65">
        <v>25</v>
      </c>
      <c r="L26" s="66" t="str">
        <f>IF(AK8&gt;3,IF(AK7&gt;1,"/",""),"")</f>
        <v>/</v>
      </c>
      <c r="M26" s="67">
        <v>16</v>
      </c>
      <c r="N26" s="65">
        <v>23</v>
      </c>
      <c r="O26" s="66" t="str">
        <f>IF(AK8&gt;4,IF(AK7&gt;1,"/",""),"")</f>
        <v>/</v>
      </c>
      <c r="P26" s="67">
        <v>25</v>
      </c>
      <c r="Q26" s="65">
        <v>25</v>
      </c>
      <c r="R26" s="66" t="str">
        <f>IF(AK8&gt;5,IF(AK7&gt;1,"/",""),"")</f>
        <v>/</v>
      </c>
      <c r="S26" s="67">
        <v>19</v>
      </c>
      <c r="T26" s="65"/>
      <c r="U26" s="66" t="str">
        <f>IF(AK8&gt;6,IF(AK7&gt;1,"/",""),"")</f>
        <v/>
      </c>
      <c r="V26" s="67"/>
      <c r="W26" s="65"/>
      <c r="X26" s="66" t="str">
        <f>IF(AK8&gt;7,IF(AK7&gt;1,"/",""),"")</f>
        <v/>
      </c>
      <c r="Y26" s="67"/>
      <c r="Z26" s="65"/>
      <c r="AA26" s="66" t="str">
        <f>IF(AK8&gt;8,IF(AK7&gt;1,"/",""),"")</f>
        <v/>
      </c>
      <c r="AB26" s="67"/>
      <c r="AC26" s="65"/>
      <c r="AD26" s="66" t="str">
        <f>IF(AK8&gt;9,IF(AK7&gt;1,"/",""),"")</f>
        <v/>
      </c>
      <c r="AE26" s="67"/>
      <c r="AF26" s="57" t="str">
        <f>IF(AK9&gt;2,"Team 3","")</f>
        <v>Team 3</v>
      </c>
      <c r="AG26" s="64">
        <f>IF(AK9&lt;3,"",IF(AK8&lt;1,"",IF(B24=3,B30-D30,IF(D24=3,D30-B30,""))))</f>
        <v>18</v>
      </c>
      <c r="AH26" s="64" t="str">
        <f>IF(AK9&lt;3,"",IF(AK8&lt;2,"",IF(E24=3,E30-G30,IF(G24=3,G30-E30,""))))</f>
        <v/>
      </c>
      <c r="AI26" s="64" t="str">
        <f>IF(AK9&lt;3,"",IF(AK8&lt;3,"",IF(H24=3,H30-J30,IF(J24=3,J30-H30,""))))</f>
        <v/>
      </c>
      <c r="AJ26" s="64">
        <f>IF(AK9&lt;3,"",IF(AK8&lt;4,"",IF(K24=3,K30-M30,IF(M24=3,M30-K30,""))))</f>
        <v>-18</v>
      </c>
      <c r="AK26" s="64">
        <f>IF(AK9&lt;3,"",IF(AK8&lt;5,"",IF(N24=3,N30-P30,IF(P24=3,P30-N30,""))))</f>
        <v>-6</v>
      </c>
      <c r="AL26" s="64" t="str">
        <f>IF(AK9&lt;3,"",IF(AK8&lt;6,"",IF(Q24=3,Q30-S30,IF(S24=3,S30-Q30,""))))</f>
        <v/>
      </c>
      <c r="AM26" s="64" t="str">
        <f>IF(AK9&lt;3,"",IF(AK8&lt;7,"",IF(T24=3,T30-V30,IF(V24=3,V30-T30,""))))</f>
        <v/>
      </c>
      <c r="AN26" s="64" t="str">
        <f>IF(AK9&lt;3,"",IF(AK8&lt;8,"",IF(W24=3,W30-Y30,IF(Y24=3,Y30-W30,""))))</f>
        <v/>
      </c>
      <c r="AO26" s="64" t="str">
        <f>IF(AK9&lt;3,"",IF(AK8&lt;9,"",IF(Z24=3,Z30-AB30,IF(AB24=3,AB30-Z30,""))))</f>
        <v/>
      </c>
      <c r="AP26" s="64" t="str">
        <f>IF(AK9&lt;3,"",IF(AK8&lt;9,"",IF(AC24=3,AC30-AE30,IF(AE24=3,AE30-AC30,""))))</f>
        <v/>
      </c>
      <c r="AQ26" s="59">
        <f>SUM(AG26:AP26)</f>
        <v>-6</v>
      </c>
    </row>
    <row r="27" spans="1:47" ht="15" x14ac:dyDescent="0.2">
      <c r="A27" s="3" t="str">
        <f>IF(AK7&gt;2,"Game 3","")</f>
        <v>Game 3</v>
      </c>
      <c r="B27" s="65">
        <v>1</v>
      </c>
      <c r="C27" s="66" t="s">
        <v>74</v>
      </c>
      <c r="D27" s="67">
        <v>15</v>
      </c>
      <c r="E27" s="65"/>
      <c r="F27" s="66" t="str">
        <f>IF(AK8&gt;1,IF(AK7&gt;2,"/",""),"")</f>
        <v>/</v>
      </c>
      <c r="G27" s="67"/>
      <c r="H27" s="65">
        <v>9</v>
      </c>
      <c r="I27" s="66" t="str">
        <f>IF(AK8&gt;2,IF(AK7&gt;2,"/",""),"")</f>
        <v>/</v>
      </c>
      <c r="J27" s="67">
        <v>15</v>
      </c>
      <c r="K27" s="65"/>
      <c r="L27" s="66" t="str">
        <f>IF(AK8&gt;3,IF(AK7&gt;2,"/",""),"")</f>
        <v>/</v>
      </c>
      <c r="M27" s="67"/>
      <c r="N27" s="65"/>
      <c r="O27" s="66" t="str">
        <f>IF(AK8&gt;4,IF(AK7&gt;2,"/",""),"")</f>
        <v>/</v>
      </c>
      <c r="P27" s="67"/>
      <c r="Q27" s="65"/>
      <c r="R27" s="66" t="str">
        <f>IF(AK8&gt;5,IF(AK7&gt;2,"/",""),"")</f>
        <v>/</v>
      </c>
      <c r="S27" s="67"/>
      <c r="T27" s="65"/>
      <c r="U27" s="66" t="str">
        <f>IF(AK8&gt;6,IF(AK7&gt;2,"/",""),"")</f>
        <v/>
      </c>
      <c r="V27" s="67"/>
      <c r="W27" s="65"/>
      <c r="X27" s="66" t="str">
        <f>IF(AK8&gt;7,IF(AK7&gt;2,"/",""),"")</f>
        <v/>
      </c>
      <c r="Y27" s="67"/>
      <c r="Z27" s="65"/>
      <c r="AA27" s="66" t="str">
        <f>IF(AK8&gt;8,IF(AK7&gt;2,"/",""),"")</f>
        <v/>
      </c>
      <c r="AB27" s="67"/>
      <c r="AC27" s="65"/>
      <c r="AD27" s="66" t="str">
        <f>IF(AK8&gt;9,IF(AK7&gt;2,"/",""),"")</f>
        <v/>
      </c>
      <c r="AE27" s="67"/>
      <c r="AF27" s="57" t="str">
        <f>IF(AK9&gt;3,"Team 4","")</f>
        <v>Team 4</v>
      </c>
      <c r="AG27" s="64" t="str">
        <f>IF(AK9&lt;4,"",IF(AK8&lt;1,"",IF(B24=4,B30-D30,IF(D24=4,D30-B30,""))))</f>
        <v/>
      </c>
      <c r="AH27" s="64">
        <f>IF(AK9&lt;4,"",IF(AK8&lt;2,"",IF(E24=4,E30-G30,IF(G24=4,G30-E30,""))))</f>
        <v>-22</v>
      </c>
      <c r="AI27" s="64">
        <f>IF(AK9&lt;4,"",IF(AK8&lt;3,"",IF(H24=4,H30-J30,IF(J24=4,J30-H30,""))))</f>
        <v>18</v>
      </c>
      <c r="AJ27" s="64" t="str">
        <f>IF(AK9&lt;4,"",IF(AK8&lt;4,"",IF(K24=4,K30-M30,IF(M24=4,M30-K30,""))))</f>
        <v/>
      </c>
      <c r="AK27" s="64">
        <f>IF(AK9&lt;4,"",IF(AK8&lt;5,"",IF(N24=4,N30-P30,IF(P24=4,P30-N30,""))))</f>
        <v>6</v>
      </c>
      <c r="AL27" s="64" t="str">
        <f>IF(AK9&lt;4,"",IF(AK8&lt;6,"",IF(Q24=4,Q30-S30,IF(S24=4,S30-Q30,""))))</f>
        <v/>
      </c>
      <c r="AM27" s="64" t="str">
        <f>IF(AK9&lt;4,"",IF(AK8&lt;7,"",IF(T24=4,T30-V30,IF(V24=4,V30-T30,""))))</f>
        <v/>
      </c>
      <c r="AN27" s="64" t="str">
        <f>IF(AK9&lt;4,"",IF(AK8&lt;8,"",IF(W24=4,W30-Y30,IF(Y24=4,Y30-W30,""))))</f>
        <v/>
      </c>
      <c r="AO27" s="64" t="str">
        <f>IF(AK9&lt;4,"",IF(AK8&lt;9,"",IF(Z24=4,Z30-AB30,IF(AB24=4,AB30-Z30,""))))</f>
        <v/>
      </c>
      <c r="AP27" s="64" t="str">
        <f>IF(AK9&lt;4,"",IF(AK8&lt;10,"",IF(AC24=4,AC30-AE30,IF(AE24=4,AE30-AC30,""))))</f>
        <v/>
      </c>
      <c r="AQ27" s="59">
        <f>SUM(AG27:AP27)</f>
        <v>2</v>
      </c>
    </row>
    <row r="28" spans="1:47" ht="15" x14ac:dyDescent="0.2">
      <c r="A28" s="3" t="str">
        <f>IF(AK7&gt;3,"Game 4","")</f>
        <v/>
      </c>
      <c r="B28" s="65"/>
      <c r="C28" s="66" t="s">
        <v>74</v>
      </c>
      <c r="D28" s="67"/>
      <c r="E28" s="65"/>
      <c r="F28" s="66" t="str">
        <f>IF(AK8&gt;1,IF(AK7&gt;3,"/",""),"")</f>
        <v/>
      </c>
      <c r="G28" s="67"/>
      <c r="H28" s="65"/>
      <c r="I28" s="66" t="str">
        <f>IF(AK8&gt;2,IF(AK7&gt;3,"/",""),"")</f>
        <v/>
      </c>
      <c r="J28" s="67"/>
      <c r="K28" s="65"/>
      <c r="L28" s="66" t="str">
        <f>IF(AK8&gt;3,IF(AK7&gt;3,"/",""),"")</f>
        <v/>
      </c>
      <c r="M28" s="67"/>
      <c r="N28" s="65"/>
      <c r="O28" s="66" t="str">
        <f>IF(AK8&gt;4,IF(AK7&gt;3,"/",""),"")</f>
        <v/>
      </c>
      <c r="P28" s="67"/>
      <c r="Q28" s="65"/>
      <c r="R28" s="66" t="str">
        <f>IF(AK8&gt;5,IF(AK7&gt;3,"/",""),"")</f>
        <v/>
      </c>
      <c r="S28" s="67"/>
      <c r="T28" s="65"/>
      <c r="U28" s="66" t="str">
        <f>IF(AK8&gt;6,IF(AK7&gt;3,"/",""),"")</f>
        <v/>
      </c>
      <c r="V28" s="67"/>
      <c r="W28" s="65"/>
      <c r="X28" s="66" t="str">
        <f>IF(AK8&gt;7,IF(AK7&gt;3,"/",""),"")</f>
        <v/>
      </c>
      <c r="Y28" s="67"/>
      <c r="Z28" s="65"/>
      <c r="AA28" s="66" t="str">
        <f>IF(AK8&gt;8,IF(AK7&gt;3,"/",""),"")</f>
        <v/>
      </c>
      <c r="AB28" s="67"/>
      <c r="AC28" s="65"/>
      <c r="AD28" s="66" t="str">
        <f>IF(AK8&gt;9,IF(AK7&gt;3,"/",""),"")</f>
        <v/>
      </c>
      <c r="AE28" s="67"/>
      <c r="AF28" s="57" t="str">
        <f>IF(AK9&gt;4,"Team 5","")</f>
        <v/>
      </c>
      <c r="AG28" s="68" t="str">
        <f>IF(AK9&lt;5,"",IF(AK8&lt;1,"",IF(B24=5,B30-D30,IF(D24=5,D30-B30,""))))</f>
        <v/>
      </c>
      <c r="AH28" s="64" t="str">
        <f>IF(AK9&lt;5,"",IF(AK8&lt;2,"",IF(E24=5,E30-G30,IF(G24=5,G30-E30,""))))</f>
        <v/>
      </c>
      <c r="AI28" s="64" t="str">
        <f>IF(AK9&lt;5,"",IF(AK8&lt;3,"",IF(H24=5,H30-J30,IF(J24=5,J30-H30,""))))</f>
        <v/>
      </c>
      <c r="AJ28" s="64" t="str">
        <f>IF(AK9&lt;5,"",IF(AK8&lt;4,"",IF(K24=5,K30-M30,IF(M24=5,M30-K30,""))))</f>
        <v/>
      </c>
      <c r="AK28" s="64" t="str">
        <f>IF(AK9&lt;5,"",IF(AK8&lt;5,"",IF(N24=5,N30-P30,IF(P24=5,P30-N30,""))))</f>
        <v/>
      </c>
      <c r="AL28" s="64" t="str">
        <f>IF(AK9&lt;5,"",IF(AK8&lt;6,"",IF(Q24=5,Q30-S30,IF(S24=5,S30-Q30,""))))</f>
        <v/>
      </c>
      <c r="AM28" s="64" t="str">
        <f>IF(AK9&lt;5,"",IF(AK8&lt;7,"",IF(T24=5,T30-V30,IF(V24=5,V30-T30,""))))</f>
        <v/>
      </c>
      <c r="AN28" s="64" t="str">
        <f>IF(AK9&lt;5,"",IF(AK8&lt;8,"",IF(W24=5,W30-Y30,IF(Y24=5,Y30-W30,""))))</f>
        <v/>
      </c>
      <c r="AO28" s="64" t="str">
        <f>IF(AK9&lt;5,"",IF(AK8&lt;9,"",IF(Z24=5,Z30-AB30,IF(AB24=5,AB30-Z30,""))))</f>
        <v/>
      </c>
      <c r="AP28" s="64" t="str">
        <f>IF(AK9&lt;5,"",IF(AK8&lt;10,"",IF(AC24=5,AC30-AE30,IF(AE24=5,AE30-AC30,""))))</f>
        <v/>
      </c>
      <c r="AQ28" s="59">
        <f>SUM(AG28:AP28)</f>
        <v>0</v>
      </c>
    </row>
    <row r="29" spans="1:47" ht="15" x14ac:dyDescent="0.2">
      <c r="A29" s="3" t="str">
        <f>IF(AK7&gt;4,"Game 5","")</f>
        <v/>
      </c>
      <c r="B29" s="65"/>
      <c r="C29" s="66" t="s">
        <v>74</v>
      </c>
      <c r="D29" s="67"/>
      <c r="E29" s="65"/>
      <c r="F29" s="66" t="str">
        <f>IF(AK8&gt;1,IF(AK7&gt;4,"/",""),"")</f>
        <v/>
      </c>
      <c r="G29" s="67"/>
      <c r="H29" s="65"/>
      <c r="I29" s="66" t="str">
        <f>IF(AK8&gt;2,IF(AK7&gt;4,"/",""),"")</f>
        <v/>
      </c>
      <c r="J29" s="67"/>
      <c r="K29" s="65"/>
      <c r="L29" s="66" t="str">
        <f>IF(AK8&gt;3,IF(AK7&gt;4,"/",""),"")</f>
        <v/>
      </c>
      <c r="M29" s="67"/>
      <c r="N29" s="65"/>
      <c r="O29" s="66" t="str">
        <f>IF(AK8&gt;4,IF(AK7&gt;4,"/",""),"")</f>
        <v/>
      </c>
      <c r="P29" s="67"/>
      <c r="Q29" s="65"/>
      <c r="R29" s="66" t="str">
        <f>IF(AK8&gt;5,IF(AK7&gt;4,"/",""),"")</f>
        <v/>
      </c>
      <c r="S29" s="67"/>
      <c r="T29" s="65"/>
      <c r="U29" s="66" t="str">
        <f>IF(AK8&gt;6,IF(AK7&gt;4,"/",""),"")</f>
        <v/>
      </c>
      <c r="V29" s="67"/>
      <c r="W29" s="65"/>
      <c r="X29" s="66" t="str">
        <f>IF(AK8&gt;7,IF(AK7&gt;4,"/",""),"")</f>
        <v/>
      </c>
      <c r="Y29" s="67"/>
      <c r="Z29" s="65"/>
      <c r="AA29" s="66" t="str">
        <f>IF(AK8&gt;8,IF(AK7&gt;4,"/",""),"")</f>
        <v/>
      </c>
      <c r="AB29" s="67"/>
      <c r="AC29" s="65"/>
      <c r="AD29" s="66" t="str">
        <f>IF(AK8&gt;9,IF(AK7&gt;4,"/",""),"")</f>
        <v/>
      </c>
      <c r="AE29" s="67"/>
      <c r="AF29" s="8"/>
      <c r="AG29" s="8"/>
      <c r="AH29" s="8"/>
      <c r="AI29" s="8"/>
      <c r="AJ29" s="8"/>
      <c r="AK29" s="8"/>
      <c r="AL29" s="8"/>
      <c r="AM29" s="8"/>
      <c r="AN29" s="8"/>
      <c r="AO29" s="8"/>
      <c r="AP29" s="8"/>
      <c r="AQ29" s="8"/>
    </row>
    <row r="30" spans="1:47" hidden="1" x14ac:dyDescent="0.2">
      <c r="A30" s="69"/>
      <c r="B30" s="69">
        <f>IF($AK7=5,SUM(B25:B29),IF($AK7=4,SUM(B25:B28),IF($AK7=3,SUM(B25:B27),IF($AK7=2,SUM(B25:B26),B25))))</f>
        <v>42</v>
      </c>
      <c r="C30" s="69"/>
      <c r="D30" s="69">
        <f>IF($AK7=5,SUM(D25:D29),IF($AK7=4,SUM(D25:D28),IF($AK7=3,SUM(D25:D27),IF($AK7=2,SUM(D25:D26),D25))))</f>
        <v>60</v>
      </c>
      <c r="E30" s="69">
        <f>IF($AK7=5,SUM(E25:E29),IF($AK7=4,SUM(E25:E28),IF($AK7=3,SUM(E25:E27),IF($AK7=2,SUM(E25:E26),E25))))</f>
        <v>50</v>
      </c>
      <c r="F30" s="69"/>
      <c r="G30" s="69">
        <f>IF($AK7=5,SUM(G25:G29),IF($AK7=4,SUM(G25:G28),IF($AK7=3,SUM(G25:G27),IF($AK7=2,SUM(G25:G26),G25))))</f>
        <v>28</v>
      </c>
      <c r="H30" s="69">
        <f>IF($AK7=5,SUM(H25:H29),IF($AK7=4,SUM(H25:H28),IF($AK7=3,SUM(H25:H27),IF($AK7=2,SUM(H25:H26),H25))))</f>
        <v>44</v>
      </c>
      <c r="I30" s="69"/>
      <c r="J30" s="69">
        <f>IF($AK7=5,SUM(J25:J29),IF($AK7=4,SUM(J25:J28),IF($AK7=3,SUM(J25:J27),IF($AK7=2,SUM(J25:J26),J25))))</f>
        <v>62</v>
      </c>
      <c r="K30" s="69">
        <f>IF($AK7=5,SUM(K25:K29),IF($AK7=4,SUM(K25:K28),IF($AK7=3,SUM(K25:K27),IF($AK7=2,SUM(K25:K26),K25))))</f>
        <v>50</v>
      </c>
      <c r="L30" s="69"/>
      <c r="M30" s="69">
        <f>IF($AK7=5,SUM(M25:M29),IF($AK7=4,SUM(M25:M28),IF($AK7=3,SUM(M25:M27),IF($AK7=2,SUM(M25:M26),M25))))</f>
        <v>32</v>
      </c>
      <c r="N30" s="69">
        <f>IF($AK7=5,SUM(N25:N29),IF($AK7=4,SUM(N25:N28),IF($AK7=3,SUM(N25:N27),IF($AK7=2,SUM(N25:N26),N25))))</f>
        <v>44</v>
      </c>
      <c r="O30" s="69"/>
      <c r="P30" s="69">
        <f>IF($AK7=5,SUM(P25:P29),IF($AK7=4,SUM(P25:P28),IF($AK7=3,SUM(P25:P27),IF($AK7=2,SUM(P25:P26),P25))))</f>
        <v>50</v>
      </c>
      <c r="Q30" s="69">
        <f>IF($AK7=5,SUM(Q25:Q29),IF($AK7=4,SUM(Q25:Q28),IF($AK7=3,SUM(Q25:Q27),IF($AK7=2,SUM(Q25:Q26),Q25))))</f>
        <v>50</v>
      </c>
      <c r="R30" s="69"/>
      <c r="S30" s="69">
        <f>IF($AK7=5,SUM(S25:S29),IF($AK7=4,SUM(S25:S28),IF($AK7=3,SUM(S25:S27),IF($AK7=2,SUM(S25:S26),S25))))</f>
        <v>36</v>
      </c>
      <c r="T30" s="69">
        <f>IF($AK7=5,SUM(T25:T29),IF($AK7=4,SUM(T25:T28),IF($AK7=3,SUM(T25:T27),IF($AK7=2,SUM(T25:T26),T25))))</f>
        <v>0</v>
      </c>
      <c r="U30" s="69"/>
      <c r="V30" s="69">
        <f>IF($AK7=5,SUM(V25:V29),IF($AK7=4,SUM(V25:V28),IF($AK7=3,SUM(V25:V27),IF($AK7=2,SUM(V25:V26),V25))))</f>
        <v>0</v>
      </c>
      <c r="W30" s="69">
        <f>IF($AK7=5,SUM(W25:W29),IF($AK7=4,SUM(W25:W28),IF($AK7=3,SUM(W25:W27),IF($AK7=2,SUM(W25:W26),W25))))</f>
        <v>0</v>
      </c>
      <c r="X30" s="69"/>
      <c r="Y30" s="69">
        <f>IF($AK7=5,SUM(Y25:Y29),IF($AK7=4,SUM(Y25:Y28),IF($AK7=3,SUM(Y25:Y27),IF($AK7=2,SUM(Y25:Y26),Y25))))</f>
        <v>0</v>
      </c>
      <c r="Z30" s="69">
        <f>IF($AK7=5,SUM(Z25:Z29),IF($AK7=4,SUM(Z25:Z28),IF($AK7=3,SUM(Z25:Z27),IF($AK7=2,SUM(Z25:Z26),Z25))))</f>
        <v>0</v>
      </c>
      <c r="AA30" s="69"/>
      <c r="AB30" s="69">
        <f>IF($AK7=5,SUM(AB25:AB29),IF($AK7=4,SUM(AB25:AB28),IF($AK7=3,SUM(AB25:AB27),IF($AK7=2,SUM(AB25:AB26),AB25))))</f>
        <v>0</v>
      </c>
      <c r="AC30" s="69">
        <f>IF($AK7=5,SUM(AC25:AC29),IF($AK7=4,SUM(AC25:AC28),IF($AK7=3,SUM(AC25:AC27),IF($AK7=2,SUM(AC25:AC26),AC25))))</f>
        <v>0</v>
      </c>
      <c r="AD30" s="69"/>
      <c r="AE30" s="69">
        <f>IF($AK7=5,SUM(AE25:AE29),IF($AK7=4,SUM(AE25:AE28),IF($AK7=3,SUM(AE25:AE27),IF($AK7=2,SUM(AE25:AE26),AE25))))</f>
        <v>0</v>
      </c>
      <c r="AF30" s="8"/>
      <c r="AG30" s="8"/>
      <c r="AH30" s="8"/>
      <c r="AI30" s="8"/>
      <c r="AJ30" s="8"/>
      <c r="AK30" s="8"/>
      <c r="AL30" s="8"/>
      <c r="AM30" s="8"/>
      <c r="AN30" s="8"/>
      <c r="AO30" s="8"/>
      <c r="AP30" s="8"/>
      <c r="AQ30" s="8"/>
    </row>
    <row r="31" spans="1:47" s="70" customFormat="1" ht="12.75" hidden="1" customHeight="1" x14ac:dyDescent="0.2">
      <c r="A31" s="70" t="s">
        <v>75</v>
      </c>
      <c r="B31" s="71">
        <f>IF(AND(B25&gt;D25,$AK8&gt;0,ISNUMBER(B25),ISNUMBER(D25)),1,0)</f>
        <v>0</v>
      </c>
      <c r="C31" s="71"/>
      <c r="D31" s="72">
        <f>IF(AND(D25&gt;B25,$AK8&gt;0,ISNUMBER(B25),ISNUMBER(D25)),1,0)</f>
        <v>1</v>
      </c>
      <c r="E31" s="71">
        <f>IF(AND(E25&gt;G25,$AK8&gt;1,ISNUMBER(E25),ISNUMBER(G25)),1,0)</f>
        <v>1</v>
      </c>
      <c r="F31" s="71"/>
      <c r="G31" s="72">
        <f>IF(AND(G25&gt;E25,$AK8&gt;1,ISNUMBER(E25),ISNUMBER(G25)),1,0)</f>
        <v>0</v>
      </c>
      <c r="H31" s="71">
        <f>IF(AND(H25&gt;J25,$AK8&gt;2,ISNUMBER(H25),ISNUMBER(J25)),1,0)</f>
        <v>0</v>
      </c>
      <c r="I31" s="71"/>
      <c r="J31" s="72">
        <f>IF(AND(J25&gt;H25,$AK8&gt;2,ISNUMBER(H25),ISNUMBER(J25)),1,0)</f>
        <v>1</v>
      </c>
      <c r="K31" s="71">
        <f>IF(AND(K25&gt;M25,$AK8&gt;3,ISNUMBER(K25),ISNUMBER(M25)),1,0)</f>
        <v>1</v>
      </c>
      <c r="L31" s="71"/>
      <c r="M31" s="72">
        <f>IF(AND(M25&gt;K25,$AK8&gt;3,ISNUMBER(K25),ISNUMBER(M25)),1,0)</f>
        <v>0</v>
      </c>
      <c r="N31" s="71">
        <f>IF(AND(N25&gt;P25,$AK8&gt;4,ISNUMBER(N25),ISNUMBER(P25)),1,0)</f>
        <v>0</v>
      </c>
      <c r="O31" s="71"/>
      <c r="P31" s="72">
        <f>IF(AND(P25&gt;N25,$AK8&gt;4,ISNUMBER(N25),ISNUMBER(P25)),1,0)</f>
        <v>1</v>
      </c>
      <c r="Q31" s="71">
        <f>IF(AND(Q25&gt;S25,$AK8&gt;5,ISNUMBER(Q25),ISNUMBER(S25)),1,0)</f>
        <v>1</v>
      </c>
      <c r="R31" s="71"/>
      <c r="S31" s="72">
        <f>IF(AND(S25&gt;Q25,$AK8&gt;5,ISNUMBER(Q25),ISNUMBER(S25)),1,0)</f>
        <v>0</v>
      </c>
      <c r="T31" s="71">
        <f>IF(AND(T25&gt;V25,$AK8&gt;6,ISNUMBER(T25),ISNUMBER(V25)),1,0)</f>
        <v>0</v>
      </c>
      <c r="U31" s="71"/>
      <c r="V31" s="72">
        <f>IF(AND(V25&gt;T25,$AK8&gt;6,ISNUMBER(T25),ISNUMBER(V25)),1,0)</f>
        <v>0</v>
      </c>
      <c r="W31" s="71">
        <f>IF(AND(W25&gt;Y25,$AK8&gt;7,ISNUMBER(W25),ISNUMBER(Y25)),1,0)</f>
        <v>0</v>
      </c>
      <c r="X31" s="71"/>
      <c r="Y31" s="72">
        <f>IF(AND(Y25&gt;W25,$AK8&gt;7,ISNUMBER(W25),ISNUMBER(Y25)),1,0)</f>
        <v>0</v>
      </c>
      <c r="Z31" s="71">
        <f>IF(AND(Z25&gt;AB25,$AK8&gt;8,ISNUMBER(Z25),ISNUMBER(AB25)),1,0)</f>
        <v>0</v>
      </c>
      <c r="AA31" s="71"/>
      <c r="AB31" s="72">
        <f>IF(AND(AB25&gt;Z25,$AK8&gt;8,ISNUMBER(Z25),ISNUMBER(AB25)),1,0)</f>
        <v>0</v>
      </c>
      <c r="AC31" s="71">
        <f>IF(AND(AC25&gt;AE25,$AK8&gt;9,ISNUMBER(AC25),ISNUMBER(AE25)),1,0)</f>
        <v>0</v>
      </c>
      <c r="AD31" s="71"/>
      <c r="AE31" s="72">
        <f>IF(AND(AE25&gt;AC25,$AK8&gt;9,ISNUMBER(AC25),ISNUMBER(AE25)),1,0)</f>
        <v>0</v>
      </c>
    </row>
    <row r="32" spans="1:47" s="70" customFormat="1" ht="12.75" hidden="1" customHeight="1" x14ac:dyDescent="0.2">
      <c r="A32" s="70" t="s">
        <v>76</v>
      </c>
      <c r="B32" s="71">
        <f>IF(AND(B26&gt;D26,$AK8&gt;0,$AK7&gt;1,ISNUMBER(B26),ISNUMBER(D26)),1,0)</f>
        <v>1</v>
      </c>
      <c r="C32" s="71"/>
      <c r="D32" s="72">
        <f>IF(AND(D26&gt;B26,$AK8&gt;0,$AK7&gt;1,ISNUMBER(B26),ISNUMBER(D26)),1,0)</f>
        <v>0</v>
      </c>
      <c r="E32" s="71">
        <f>IF(AND(E26&gt;G26,$AK8&gt;1,$AK7&gt;1,ISNUMBER(E26),ISNUMBER(G26)),1,0)</f>
        <v>1</v>
      </c>
      <c r="F32" s="71"/>
      <c r="G32" s="72">
        <f>IF(AND(G26&gt;E26,$AK8&gt;1,$AK7&gt;1,ISNUMBER(E26),ISNUMBER(G26)),1,0)</f>
        <v>0</v>
      </c>
      <c r="H32" s="71">
        <f>IF(AND(H26&gt;J26,$AK8&gt;2,$AK7&gt;1,ISNUMBER(H26),ISNUMBER(J26)),1,0)</f>
        <v>1</v>
      </c>
      <c r="I32" s="71"/>
      <c r="J32" s="72">
        <f>IF(AND(J26&gt;H26,$AK8&gt;2,$AK7&gt;1,ISNUMBER(H26),ISNUMBER(J26)),1,0)</f>
        <v>0</v>
      </c>
      <c r="K32" s="71">
        <f>IF(AND(K26&gt;M26,$AK8&gt;3,$AK7&gt;1,ISNUMBER(K26),ISNUMBER(M26)),1,0)</f>
        <v>1</v>
      </c>
      <c r="L32" s="71"/>
      <c r="M32" s="72">
        <f>IF(AND(M26&gt;K26,$AK8&gt;3,$AK7&gt;1,ISNUMBER(K26),ISNUMBER(M26)),1,0)</f>
        <v>0</v>
      </c>
      <c r="N32" s="71">
        <f>IF(AND(N26&gt;P26,$AK8&gt;4,$AK7&gt;1,ISNUMBER(N26),ISNUMBER(P26)),1,0)</f>
        <v>0</v>
      </c>
      <c r="O32" s="71"/>
      <c r="P32" s="72">
        <f>IF(AND(P26&gt;N26,$AK8&gt;4,$AK7&gt;1,ISNUMBER(N26),ISNUMBER(P26)),1,0)</f>
        <v>1</v>
      </c>
      <c r="Q32" s="71">
        <f>IF(AND(Q26&gt;S26,$AK8&gt;5,$AK7&gt;1,ISNUMBER(Q26),ISNUMBER(S26)),1,0)</f>
        <v>1</v>
      </c>
      <c r="R32" s="71"/>
      <c r="S32" s="72">
        <f>IF(AND(S26&gt;Q26,$AK8&gt;5,$AK7&gt;1,ISNUMBER(Q26),ISNUMBER(S26)),1,0)</f>
        <v>0</v>
      </c>
      <c r="T32" s="71">
        <f>IF(AND(T26&gt;V26,$AK8&gt;6,$AK7&gt;1,ISNUMBER(T26),ISNUMBER(V26)),1,0)</f>
        <v>0</v>
      </c>
      <c r="U32" s="71"/>
      <c r="V32" s="72">
        <f>IF(AND(V26&gt;T26,$AK8&gt;6,$AK7&gt;1,ISNUMBER(T26),ISNUMBER(V26)),1,0)</f>
        <v>0</v>
      </c>
      <c r="W32" s="71">
        <f>IF(AND(W26&gt;Y26,$AK8&gt;7,$AK7&gt;1,ISNUMBER(W26),ISNUMBER(Y26)),1,0)</f>
        <v>0</v>
      </c>
      <c r="X32" s="71"/>
      <c r="Y32" s="72">
        <f>IF(AND(Y26&gt;W26,$AK8&gt;7,$AK7&gt;1,ISNUMBER(W26),ISNUMBER(Y26)),1,0)</f>
        <v>0</v>
      </c>
      <c r="Z32" s="71">
        <f>IF(AND(Z26&gt;AB26,$AK8&gt;8,$AK7&gt;1,ISNUMBER(Z26),ISNUMBER(AB26)),1,0)</f>
        <v>0</v>
      </c>
      <c r="AA32" s="71"/>
      <c r="AB32" s="72">
        <f>IF(AND(AB26&gt;Z26,$AK8&gt;8,$AK7&gt;1,ISNUMBER(Z26),ISNUMBER(AB26)),1,0)</f>
        <v>0</v>
      </c>
      <c r="AC32" s="71">
        <f>IF(AND(AC26&gt;AE26,$AK8&gt;9,$AK7&gt;1,ISNUMBER(AC26),ISNUMBER(AE26)),1,0)</f>
        <v>0</v>
      </c>
      <c r="AD32" s="71"/>
      <c r="AE32" s="72">
        <f>IF(AND(AE26&gt;AC26,$AK8&gt;9,$AK7&gt;1,ISNUMBER(AC26),ISNUMBER(AE26)),1,0)</f>
        <v>0</v>
      </c>
    </row>
    <row r="33" spans="1:33" s="70" customFormat="1" ht="12.75" hidden="1" customHeight="1" x14ac:dyDescent="0.2">
      <c r="A33" s="70" t="s">
        <v>77</v>
      </c>
      <c r="B33" s="71">
        <f>IF(AND(B27&gt;D27,$AK8&gt;0,$AK7&gt;2,ISNUMBER(B27),ISNUMBER(D27)),1,0)</f>
        <v>0</v>
      </c>
      <c r="C33" s="71"/>
      <c r="D33" s="72">
        <f>IF(AND(D27&gt;B27,$AK8&gt;0,$AK7&gt;2,ISNUMBER(B27),ISNUMBER(D27)),1,0)</f>
        <v>1</v>
      </c>
      <c r="E33" s="71">
        <f>IF(AND(E27&gt;G27,$AK8&gt;1,$AK7&gt;2,ISNUMBER(E27),ISNUMBER(G27)),1,0)</f>
        <v>0</v>
      </c>
      <c r="F33" s="71"/>
      <c r="G33" s="72">
        <f>IF(AND(G27&gt;E27,$AK8&gt;1,$AK7&gt;2,ISNUMBER(E27),ISNUMBER(G27)),1,0)</f>
        <v>0</v>
      </c>
      <c r="H33" s="71">
        <f>IF(AND(H27&gt;J27,$AK8&gt;2,$AK7&gt;2,ISNUMBER(H27),ISNUMBER(J27)),1,0)</f>
        <v>0</v>
      </c>
      <c r="I33" s="71"/>
      <c r="J33" s="72">
        <f>IF(AND(J27&gt;H27,$AK8&gt;2,$AK7&gt;2,ISNUMBER(H27),ISNUMBER(J27)),1,0)</f>
        <v>1</v>
      </c>
      <c r="K33" s="71">
        <f>IF(AND(K27&gt;M27,$AK8&gt;3,$AK7&gt;2,ISNUMBER(K27),ISNUMBER(M27)),1,0)</f>
        <v>0</v>
      </c>
      <c r="L33" s="71"/>
      <c r="M33" s="72">
        <f>IF(AND(M27&gt;K27,$AK8&gt;3,$AK7&gt;2,ISNUMBER(K27),ISNUMBER(M27)),1,0)</f>
        <v>0</v>
      </c>
      <c r="N33" s="71">
        <f>IF(AND(N27&gt;P27,$AK8&gt;4,$AK7&gt;2,ISNUMBER(N27),ISNUMBER(P27)),1,0)</f>
        <v>0</v>
      </c>
      <c r="O33" s="71"/>
      <c r="P33" s="72">
        <f>IF(AND(P27&gt;N27,$AK8&gt;4,$AK7&gt;2,ISNUMBER(N27),ISNUMBER(P27)),1,0)</f>
        <v>0</v>
      </c>
      <c r="Q33" s="71">
        <f>IF(AND(Q27&gt;S27,$AK8&gt;5,$AK7&gt;2,ISNUMBER(Q27),ISNUMBER(S27)),1,0)</f>
        <v>0</v>
      </c>
      <c r="R33" s="71"/>
      <c r="S33" s="72">
        <f>IF(AND(S27&gt;Q27,$AK8&gt;5,$AK7&gt;2,ISNUMBER(Q27),ISNUMBER(S27)),1,0)</f>
        <v>0</v>
      </c>
      <c r="T33" s="71">
        <f>IF(AND(T27&gt;V27,$AK8&gt;6,$AK7&gt;2,ISNUMBER(T27),ISNUMBER(V27)),1,0)</f>
        <v>0</v>
      </c>
      <c r="U33" s="71"/>
      <c r="V33" s="72">
        <f>IF(AND(V27&gt;T27,$AK8&gt;6,$AK7&gt;2,ISNUMBER(T27),ISNUMBER(V27)),1,0)</f>
        <v>0</v>
      </c>
      <c r="W33" s="71">
        <f>IF(AND(W27&gt;Y27,$AK8&gt;7,$AK7&gt;2,ISNUMBER(W27),ISNUMBER(Y27)),1,0)</f>
        <v>0</v>
      </c>
      <c r="X33" s="71"/>
      <c r="Y33" s="72">
        <f>IF(AND(Y27&gt;W27,$AK8&gt;7,$AK7&gt;2,ISNUMBER(W27),ISNUMBER(Y27)),1,0)</f>
        <v>0</v>
      </c>
      <c r="Z33" s="71">
        <f>IF(AND(Z27&gt;AB27,$AK8&gt;8,$AK7&gt;2,ISNUMBER(Z27),ISNUMBER(AB27)),1,0)</f>
        <v>0</v>
      </c>
      <c r="AA33" s="71"/>
      <c r="AB33" s="72">
        <f>IF(AND(AB27&gt;Z27,$AK8&gt;8,$AK7&gt;2,ISNUMBER(Z27),ISNUMBER(AB27)),1,0)</f>
        <v>0</v>
      </c>
      <c r="AC33" s="71">
        <f>IF(AND(AC27&gt;AE27,$AK8&gt;9,$AK7&gt;2,ISNUMBER(AC27),ISNUMBER(AE27)),1,0)</f>
        <v>0</v>
      </c>
      <c r="AD33" s="71"/>
      <c r="AE33" s="72">
        <f>IF(AND(AE27&gt;AC27,$AK8&gt;9,$AK7&gt;2,ISNUMBER(AC27),ISNUMBER(AE27)),1,0)</f>
        <v>0</v>
      </c>
    </row>
    <row r="34" spans="1:33" s="70" customFormat="1" ht="12.75" hidden="1" customHeight="1" x14ac:dyDescent="0.2">
      <c r="A34" s="70" t="s">
        <v>78</v>
      </c>
      <c r="B34" s="71">
        <f>IF(AND(B28&gt;D28,$AK8&gt;0,$AK7&gt;3,ISNUMBER(B28),ISNUMBER(D28)),1,0)</f>
        <v>0</v>
      </c>
      <c r="C34" s="71"/>
      <c r="D34" s="72">
        <f>IF(AND(D28&gt;B28,$AK8&gt;0,$AK7&gt;3,ISNUMBER(B28),ISNUMBER(D28)),1,0)</f>
        <v>0</v>
      </c>
      <c r="E34" s="71">
        <f>IF(AND(E28&gt;G28,$AK8&gt;1,$AK7&gt;3,ISNUMBER(E28),ISNUMBER(G28)),1,0)</f>
        <v>0</v>
      </c>
      <c r="F34" s="71"/>
      <c r="G34" s="72">
        <f>IF(AND(G28&gt;E28,$AK8&gt;1,$AK7&gt;3,ISNUMBER(E28),ISNUMBER(G28)),1,0)</f>
        <v>0</v>
      </c>
      <c r="H34" s="71">
        <f>IF(AND(H28&gt;J28,$AK8&gt;2,$AK7&gt;3,ISNUMBER(H28),ISNUMBER(J28)),1,0)</f>
        <v>0</v>
      </c>
      <c r="I34" s="71"/>
      <c r="J34" s="72">
        <f>IF(AND(J28&gt;H28,$AK8&gt;2,$AK7&gt;3,ISNUMBER(H28),ISNUMBER(J28)),1,0)</f>
        <v>0</v>
      </c>
      <c r="K34" s="71">
        <f>IF(AND(K28&gt;M28,$AK8&gt;3,$AK7&gt;3,ISNUMBER(K28),ISNUMBER(M28)),1,0)</f>
        <v>0</v>
      </c>
      <c r="L34" s="71"/>
      <c r="M34" s="72">
        <f>IF(AND(M28&gt;K28,$AK8&gt;3,$AK7&gt;3,ISNUMBER(K28),ISNUMBER(M28)),1,0)</f>
        <v>0</v>
      </c>
      <c r="N34" s="71">
        <f>IF(AND(N28&gt;P28,$AK8&gt;4,$AK7&gt;3,ISNUMBER(N28),ISNUMBER(P28)),1,0)</f>
        <v>0</v>
      </c>
      <c r="O34" s="71"/>
      <c r="P34" s="72">
        <f>IF(AND(P28&gt;N28,$AK8&gt;4,$AK7&gt;3,ISNUMBER(N28),ISNUMBER(P28)),1,0)</f>
        <v>0</v>
      </c>
      <c r="Q34" s="71">
        <f>IF(AND(Q28&gt;S28,$AK8&gt;5,$AK7&gt;3,ISNUMBER(Q28),ISNUMBER(S28)),1,0)</f>
        <v>0</v>
      </c>
      <c r="R34" s="71"/>
      <c r="S34" s="72">
        <f>IF(AND(S28&gt;Q28,$AK8&gt;5,$AK7&gt;3,ISNUMBER(Q28),ISNUMBER(S28)),1,0)</f>
        <v>0</v>
      </c>
      <c r="T34" s="71">
        <f>IF(AND(T28&gt;V28,$AK8&gt;6,$AK7&gt;3,ISNUMBER(T28),ISNUMBER(V28)),1,0)</f>
        <v>0</v>
      </c>
      <c r="U34" s="71"/>
      <c r="V34" s="72">
        <f>IF(AND(V28&gt;T28,$AK8&gt;6,$AK7&gt;3,ISNUMBER(T28),ISNUMBER(V28)),1,0)</f>
        <v>0</v>
      </c>
      <c r="W34" s="71">
        <f>IF(AND(W28&gt;Y28,$AK8&gt;7,$AK7&gt;3,ISNUMBER(W28),ISNUMBER(Y28)),1,0)</f>
        <v>0</v>
      </c>
      <c r="X34" s="71"/>
      <c r="Y34" s="72">
        <f>IF(AND(Y28&gt;W28,$AK8&gt;7,$AK7&gt;3,ISNUMBER(W28),ISNUMBER(Y28)),1,0)</f>
        <v>0</v>
      </c>
      <c r="Z34" s="71">
        <f>IF(AND(Z28&gt;AB28,$AK8&gt;8,$AK7&gt;3,ISNUMBER(Z28),ISNUMBER(AB28)),1,0)</f>
        <v>0</v>
      </c>
      <c r="AA34" s="71"/>
      <c r="AB34" s="72">
        <f>IF(AND(AB28&gt;Z28,$AK8&gt;8,$AK7&gt;3,ISNUMBER(Z28),ISNUMBER(AB28)),1,0)</f>
        <v>0</v>
      </c>
      <c r="AC34" s="71">
        <f>IF(AND(AC28&gt;AE28,$AK8&gt;9,$AK7&gt;3,ISNUMBER(AC28),ISNUMBER(AE28)),1,0)</f>
        <v>0</v>
      </c>
      <c r="AD34" s="71"/>
      <c r="AE34" s="72">
        <f>IF(AND(AE28&gt;AC28,$AK8&gt;9,$AK7&gt;3,ISNUMBER(AC28),ISNUMBER(AE28)),1,0)</f>
        <v>0</v>
      </c>
    </row>
    <row r="35" spans="1:33" s="70" customFormat="1" ht="12.75" hidden="1" customHeight="1" x14ac:dyDescent="0.2">
      <c r="A35" s="70" t="s">
        <v>79</v>
      </c>
      <c r="B35" s="71">
        <f>IF(AND(B29&gt;D29,$AK8&gt;0,$AK7&gt;4,ISNUMBER(B29),ISNUMBER(D29)),1,0)</f>
        <v>0</v>
      </c>
      <c r="C35" s="71"/>
      <c r="D35" s="72">
        <f>IF(AND(D29&gt;B29,$AK8&gt;0,$AK7&gt;4,ISNUMBER(B29),ISNUMBER(D29)),1,0)</f>
        <v>0</v>
      </c>
      <c r="E35" s="71">
        <f>IF(AND(E29&gt;G29,$AK8&gt;1,$AK7&gt;4,ISNUMBER(E29),ISNUMBER(G29)),1,0)</f>
        <v>0</v>
      </c>
      <c r="F35" s="71"/>
      <c r="G35" s="72">
        <f>IF(AND(G29&gt;E29,$AK8&gt;1,$AK7&gt;4,ISNUMBER(E29),ISNUMBER(G29)),1,0)</f>
        <v>0</v>
      </c>
      <c r="H35" s="71">
        <f>IF(AND(H29&gt;J29,$AK8&gt;2,$AK7&gt;4,ISNUMBER(H29),ISNUMBER(J29)),1,0)</f>
        <v>0</v>
      </c>
      <c r="I35" s="71"/>
      <c r="J35" s="72">
        <f>IF(AND(J29&gt;H29,$AK8&gt;2,$AK7&gt;4,ISNUMBER(H29),ISNUMBER(J29)),1,0)</f>
        <v>0</v>
      </c>
      <c r="K35" s="71">
        <f>IF(AND(K29&gt;M29,$AK8&gt;3,$AK7&gt;4,ISNUMBER(K29),ISNUMBER(M29)),1,0)</f>
        <v>0</v>
      </c>
      <c r="L35" s="71"/>
      <c r="M35" s="72">
        <f>IF(AND(M29&gt;K29,$AK8&gt;3,$AK7&gt;4,ISNUMBER(K29),ISNUMBER(M29)),1,0)</f>
        <v>0</v>
      </c>
      <c r="N35" s="71">
        <f>IF(AND(N29&gt;P29,$AK8&gt;4,$AK7&gt;4,ISNUMBER(N29),ISNUMBER(P29)),1,0)</f>
        <v>0</v>
      </c>
      <c r="O35" s="71"/>
      <c r="P35" s="72">
        <f>IF(AND(P29&gt;N29,$AK8&gt;4,$AK7&gt;4,ISNUMBER(N29),ISNUMBER(P29)),1,0)</f>
        <v>0</v>
      </c>
      <c r="Q35" s="71">
        <f>IF(AND(Q29&gt;S29,$AK8&gt;5,$AK7&gt;4,ISNUMBER(Q29),ISNUMBER(S29)),1,0)</f>
        <v>0</v>
      </c>
      <c r="R35" s="71"/>
      <c r="S35" s="72">
        <f>IF(AND(S29&gt;Q29,$AK8&gt;5,$AK7&gt;4,ISNUMBER(Q29),ISNUMBER(S29)),1,0)</f>
        <v>0</v>
      </c>
      <c r="T35" s="71">
        <f>IF(AND(T29&gt;V29,$AK8&gt;6,$AK7&gt;4,ISNUMBER(T29),ISNUMBER(V29)),1,0)</f>
        <v>0</v>
      </c>
      <c r="U35" s="71"/>
      <c r="V35" s="72">
        <f>IF(AND(V29&gt;T29,$AK8&gt;6,$AK7&gt;4,ISNUMBER(T29),ISNUMBER(V29)),1,0)</f>
        <v>0</v>
      </c>
      <c r="W35" s="71">
        <f>IF(AND(W29&gt;Y29,$AK8&gt;7,$AK7&gt;4,ISNUMBER(W29),ISNUMBER(Y29)),1,0)</f>
        <v>0</v>
      </c>
      <c r="X35" s="71"/>
      <c r="Y35" s="72">
        <f>IF(AND(Y29&gt;W29,$AK8&gt;7,$AK7&gt;4,ISNUMBER(W29),ISNUMBER(Y29)),1,0)</f>
        <v>0</v>
      </c>
      <c r="Z35" s="71">
        <f>IF(AND(Z29&gt;AB29,$AK8&gt;8,$AK7&gt;4,ISNUMBER(Z29),ISNUMBER(AB29)),1,0)</f>
        <v>0</v>
      </c>
      <c r="AA35" s="71"/>
      <c r="AB35" s="72">
        <f>IF(AND(AB29&gt;Z29,$AK8&gt;8,$AK7&gt;4,ISNUMBER(Z29),ISNUMBER(AB29)),1,0)</f>
        <v>0</v>
      </c>
      <c r="AC35" s="71">
        <f>IF(AND(AC29&gt;AE29,$AK8&gt;9,$AK7&gt;4,ISNUMBER(AC29),ISNUMBER(AE29)),1,0)</f>
        <v>0</v>
      </c>
      <c r="AD35" s="71"/>
      <c r="AE35" s="72">
        <f>IF(AND(AE29&gt;AC29,$AK8&gt;9,$AK7&gt;4,ISNUMBER(AC29),ISNUMBER(AE29)),1,0)</f>
        <v>0</v>
      </c>
    </row>
    <row r="36" spans="1:33" s="70" customFormat="1" ht="38.25" hidden="1" customHeight="1" x14ac:dyDescent="0.2">
      <c r="A36" s="73" t="s">
        <v>80</v>
      </c>
      <c r="B36" s="70">
        <f>SUM(B31:B35)</f>
        <v>1</v>
      </c>
      <c r="D36" s="74">
        <f>SUM(D31:D35)</f>
        <v>2</v>
      </c>
      <c r="E36" s="70">
        <f>SUM(E31:E35)</f>
        <v>2</v>
      </c>
      <c r="G36" s="74">
        <f>SUM(G31:G35)</f>
        <v>0</v>
      </c>
      <c r="H36" s="70">
        <f>SUM(H31:H35)</f>
        <v>1</v>
      </c>
      <c r="J36" s="74">
        <f>SUM(J31:J35)</f>
        <v>2</v>
      </c>
      <c r="K36" s="70">
        <f>SUM(K31:K35)</f>
        <v>2</v>
      </c>
      <c r="M36" s="74">
        <f>SUM(M31:M35)</f>
        <v>0</v>
      </c>
      <c r="N36" s="70">
        <f>SUM(N31:N35)</f>
        <v>0</v>
      </c>
      <c r="P36" s="74">
        <f>SUM(P31:P35)</f>
        <v>2</v>
      </c>
      <c r="Q36" s="70">
        <f>SUM(Q31:Q35)</f>
        <v>2</v>
      </c>
      <c r="S36" s="74">
        <f>SUM(S31:S35)</f>
        <v>0</v>
      </c>
      <c r="T36" s="70">
        <f>SUM(T31:T35)</f>
        <v>0</v>
      </c>
      <c r="V36" s="74">
        <f>SUM(V31:V35)</f>
        <v>0</v>
      </c>
      <c r="W36" s="70">
        <f>SUM(W31:W35)</f>
        <v>0</v>
      </c>
      <c r="Y36" s="74">
        <f>SUM(Y31:Y35)</f>
        <v>0</v>
      </c>
      <c r="Z36" s="70">
        <f>SUM(Z31:Z35)</f>
        <v>0</v>
      </c>
      <c r="AB36" s="74">
        <f>SUM(AB31:AB35)</f>
        <v>0</v>
      </c>
      <c r="AC36" s="70">
        <f>SUM(AC31:AC35)</f>
        <v>0</v>
      </c>
      <c r="AE36" s="74">
        <f>SUM(AE31:AE35)</f>
        <v>0</v>
      </c>
    </row>
    <row r="37" spans="1:33" s="70" customFormat="1" ht="25.5" hidden="1" customHeight="1" x14ac:dyDescent="0.2">
      <c r="A37" s="73" t="s">
        <v>81</v>
      </c>
      <c r="B37" s="70">
        <f>IF(B36&gt;D36,IF(C71=AK7,1,IF(C71=AK7-1,1,0)),0)</f>
        <v>0</v>
      </c>
      <c r="C37" s="70">
        <f>B37+D37</f>
        <v>1</v>
      </c>
      <c r="D37" s="74">
        <f>IF(D36&gt;B36,IF(C71=AK7,1,IF(C71=AK7-1,1,0)),0)</f>
        <v>1</v>
      </c>
      <c r="E37" s="70">
        <f>IF(E36&gt;G36,IF(F71=AK7,1,IF(F71=AK7-1,1,0)),0)</f>
        <v>1</v>
      </c>
      <c r="F37" s="70">
        <f>E37+G37</f>
        <v>1</v>
      </c>
      <c r="G37" s="74">
        <f>IF(G36&gt;E36,IF(F71=AK7,1,IF(F71=AK7-1,1,0)),0)</f>
        <v>0</v>
      </c>
      <c r="H37" s="70">
        <f>IF(H36&gt;J36,IF(I71=AK7,1,IF(I71=AK7-1,1,0)),0)</f>
        <v>0</v>
      </c>
      <c r="I37" s="70">
        <f>H37+J37</f>
        <v>1</v>
      </c>
      <c r="J37" s="74">
        <f>IF(J36&gt;H36,IF(I71=AK7,1,IF(I71=AK7-1,1,0)),0)</f>
        <v>1</v>
      </c>
      <c r="K37" s="70">
        <f>IF(K36&gt;M36,IF(L71=AK7,1,IF(L71=AK7-1,1,0)),0)</f>
        <v>1</v>
      </c>
      <c r="L37" s="70">
        <f>K37+M37</f>
        <v>1</v>
      </c>
      <c r="M37" s="74">
        <f>IF(M36&gt;K36,IF(L71=AK7,1,IF(L71=AK7-1,1,0)),0)</f>
        <v>0</v>
      </c>
      <c r="N37" s="70">
        <f>IF(N36&gt;P36,IF(O71=AK7,1,IF(O71=AK7-1,1,0)),0)</f>
        <v>0</v>
      </c>
      <c r="O37" s="70">
        <f>N37+P37</f>
        <v>1</v>
      </c>
      <c r="P37" s="74">
        <f>IF(P36&gt;N36,IF(O71=AK7,1,IF(O71=AK7-1,1,0)),0)</f>
        <v>1</v>
      </c>
      <c r="Q37" s="70">
        <f>IF(Q36&gt;S36,IF(R71=AK7,1,IF(R71=AK7-1,1,0)),0)</f>
        <v>1</v>
      </c>
      <c r="R37" s="70">
        <f>Q37+S37</f>
        <v>1</v>
      </c>
      <c r="S37" s="74">
        <f>IF(S36&gt;Q36,IF(R71=AK7,1,IF(R71=AK7-1,1,0)),0)</f>
        <v>0</v>
      </c>
      <c r="T37" s="70">
        <f>IF(T36&gt;V36,IF(U71=AK7,1,IF(U71=AK7-1,1,0)),0)</f>
        <v>0</v>
      </c>
      <c r="U37" s="70">
        <f>T37+V37</f>
        <v>0</v>
      </c>
      <c r="V37" s="74">
        <f>IF(V36&gt;T36,IF(U71=AK7,1,IF(U71=AK7-1,1,0)),0)</f>
        <v>0</v>
      </c>
      <c r="W37" s="70">
        <f>IF(W36&gt;Y36,IF(X71=AK7,1,IF(X71=AK7-1,1,0)),0)</f>
        <v>0</v>
      </c>
      <c r="X37" s="70">
        <f>W37+Y37</f>
        <v>0</v>
      </c>
      <c r="Y37" s="74">
        <f>IF(Y36&gt;W36,IF(X71=AK7,1,IF(X71=AK7-1,1,0)),0)</f>
        <v>0</v>
      </c>
      <c r="Z37" s="70">
        <f>IF(Z36&gt;AB36,IF(AA71=AK7,1,IF(AA71=AK7-1,1,0)),0)</f>
        <v>0</v>
      </c>
      <c r="AA37" s="70">
        <f>Z37+AB37</f>
        <v>0</v>
      </c>
      <c r="AB37" s="74">
        <f>IF(AB36&gt;Z36,IF(AA71=AK7,1,IF(AA71=AK7-1,1,0)),0)</f>
        <v>0</v>
      </c>
      <c r="AC37" s="70">
        <f>IF(AC36&gt;AE36,IF(AD71=AK7,1,IF(AD71=AK7-1,1,0)),0)</f>
        <v>0</v>
      </c>
      <c r="AD37" s="70">
        <f>AC37+AE37</f>
        <v>0</v>
      </c>
      <c r="AE37" s="74">
        <f>IF(AE36&gt;AC36,IF(AD71=AK7,1,IF(AD71=AK7-1,1,0)),0)</f>
        <v>0</v>
      </c>
    </row>
    <row r="38" spans="1:33" s="70" customFormat="1" ht="25.5" hidden="1" customHeight="1" x14ac:dyDescent="0.2">
      <c r="A38" s="73"/>
      <c r="D38" s="74"/>
      <c r="G38" s="74"/>
      <c r="J38" s="74"/>
      <c r="M38" s="74"/>
      <c r="P38" s="74"/>
      <c r="S38" s="74"/>
      <c r="V38" s="74"/>
      <c r="Y38" s="74"/>
      <c r="AB38" s="74"/>
      <c r="AE38" s="74"/>
    </row>
    <row r="39" spans="1:33" s="70" customFormat="1" ht="12.75" hidden="1" customHeight="1" x14ac:dyDescent="0.2">
      <c r="A39" s="70" t="s">
        <v>82</v>
      </c>
      <c r="B39" s="70">
        <f>IF(B31=1,B25,0)</f>
        <v>0</v>
      </c>
      <c r="D39" s="74">
        <f t="shared" ref="D39:E43" si="0">IF(D31=1,D25,0)</f>
        <v>25</v>
      </c>
      <c r="E39" s="70">
        <f t="shared" si="0"/>
        <v>25</v>
      </c>
      <c r="G39" s="74">
        <f t="shared" ref="G39:H43" si="1">IF(G31=1,G25,0)</f>
        <v>0</v>
      </c>
      <c r="H39" s="70">
        <f t="shared" si="1"/>
        <v>0</v>
      </c>
      <c r="J39" s="74">
        <f t="shared" ref="J39:K43" si="2">IF(J31=1,J25,0)</f>
        <v>25</v>
      </c>
      <c r="K39" s="70">
        <f t="shared" si="2"/>
        <v>25</v>
      </c>
      <c r="M39" s="74">
        <f t="shared" ref="M39:N43" si="3">IF(M31=1,M25,0)</f>
        <v>0</v>
      </c>
      <c r="N39" s="70">
        <f t="shared" si="3"/>
        <v>0</v>
      </c>
      <c r="P39" s="74">
        <f t="shared" ref="P39:Q43" si="4">IF(P31=1,P25,0)</f>
        <v>25</v>
      </c>
      <c r="Q39" s="70">
        <f t="shared" si="4"/>
        <v>25</v>
      </c>
      <c r="S39" s="74">
        <f t="shared" ref="S39:T43" si="5">IF(S31=1,S25,0)</f>
        <v>0</v>
      </c>
      <c r="T39" s="70">
        <f t="shared" si="5"/>
        <v>0</v>
      </c>
      <c r="V39" s="74">
        <f t="shared" ref="V39:W43" si="6">IF(V31=1,V25,0)</f>
        <v>0</v>
      </c>
      <c r="W39" s="70">
        <f t="shared" si="6"/>
        <v>0</v>
      </c>
      <c r="Y39" s="74">
        <f t="shared" ref="Y39:Z43" si="7">IF(Y31=1,Y25,0)</f>
        <v>0</v>
      </c>
      <c r="Z39" s="70">
        <f t="shared" si="7"/>
        <v>0</v>
      </c>
      <c r="AB39" s="74">
        <f t="shared" ref="AB39:AC43" si="8">IF(AB31=1,AB25,0)</f>
        <v>0</v>
      </c>
      <c r="AC39" s="70">
        <f t="shared" si="8"/>
        <v>0</v>
      </c>
      <c r="AE39" s="74">
        <f>IF(AE31=1,AE25,0)</f>
        <v>0</v>
      </c>
    </row>
    <row r="40" spans="1:33" s="70" customFormat="1" ht="12.75" hidden="1" customHeight="1" x14ac:dyDescent="0.2">
      <c r="A40" s="70" t="s">
        <v>83</v>
      </c>
      <c r="B40" s="70">
        <f>IF(B32=1,B26,0)</f>
        <v>25</v>
      </c>
      <c r="D40" s="74">
        <f t="shared" si="0"/>
        <v>0</v>
      </c>
      <c r="E40" s="70">
        <f t="shared" si="0"/>
        <v>25</v>
      </c>
      <c r="G40" s="74">
        <f t="shared" si="1"/>
        <v>0</v>
      </c>
      <c r="H40" s="70">
        <f t="shared" si="1"/>
        <v>25</v>
      </c>
      <c r="J40" s="74">
        <f t="shared" si="2"/>
        <v>0</v>
      </c>
      <c r="K40" s="70">
        <f t="shared" si="2"/>
        <v>25</v>
      </c>
      <c r="M40" s="74">
        <f t="shared" si="3"/>
        <v>0</v>
      </c>
      <c r="N40" s="70">
        <f t="shared" si="3"/>
        <v>0</v>
      </c>
      <c r="P40" s="74">
        <f t="shared" si="4"/>
        <v>25</v>
      </c>
      <c r="Q40" s="70">
        <f t="shared" si="4"/>
        <v>25</v>
      </c>
      <c r="S40" s="74">
        <f t="shared" si="5"/>
        <v>0</v>
      </c>
      <c r="T40" s="70">
        <f t="shared" si="5"/>
        <v>0</v>
      </c>
      <c r="V40" s="74">
        <f t="shared" si="6"/>
        <v>0</v>
      </c>
      <c r="W40" s="70">
        <f t="shared" si="6"/>
        <v>0</v>
      </c>
      <c r="Y40" s="74">
        <f t="shared" si="7"/>
        <v>0</v>
      </c>
      <c r="Z40" s="70">
        <f t="shared" si="7"/>
        <v>0</v>
      </c>
      <c r="AB40" s="74">
        <f t="shared" si="8"/>
        <v>0</v>
      </c>
      <c r="AC40" s="70">
        <f t="shared" si="8"/>
        <v>0</v>
      </c>
      <c r="AE40" s="74">
        <f>IF(AE32=1,AE26,0)</f>
        <v>0</v>
      </c>
    </row>
    <row r="41" spans="1:33" s="70" customFormat="1" ht="12.75" hidden="1" customHeight="1" x14ac:dyDescent="0.2">
      <c r="A41" s="70" t="s">
        <v>84</v>
      </c>
      <c r="B41" s="70">
        <f>IF(B33=1,B27,0)</f>
        <v>0</v>
      </c>
      <c r="D41" s="74">
        <f t="shared" si="0"/>
        <v>15</v>
      </c>
      <c r="E41" s="70">
        <f t="shared" si="0"/>
        <v>0</v>
      </c>
      <c r="G41" s="74">
        <f t="shared" si="1"/>
        <v>0</v>
      </c>
      <c r="H41" s="70">
        <f t="shared" si="1"/>
        <v>0</v>
      </c>
      <c r="J41" s="74">
        <f t="shared" si="2"/>
        <v>15</v>
      </c>
      <c r="K41" s="70">
        <f t="shared" si="2"/>
        <v>0</v>
      </c>
      <c r="M41" s="74">
        <f t="shared" si="3"/>
        <v>0</v>
      </c>
      <c r="N41" s="70">
        <f t="shared" si="3"/>
        <v>0</v>
      </c>
      <c r="P41" s="74">
        <f t="shared" si="4"/>
        <v>0</v>
      </c>
      <c r="Q41" s="70">
        <f t="shared" si="4"/>
        <v>0</v>
      </c>
      <c r="S41" s="74">
        <f t="shared" si="5"/>
        <v>0</v>
      </c>
      <c r="T41" s="70">
        <f t="shared" si="5"/>
        <v>0</v>
      </c>
      <c r="V41" s="74">
        <f t="shared" si="6"/>
        <v>0</v>
      </c>
      <c r="W41" s="70">
        <f t="shared" si="6"/>
        <v>0</v>
      </c>
      <c r="Y41" s="74">
        <f t="shared" si="7"/>
        <v>0</v>
      </c>
      <c r="Z41" s="70">
        <f t="shared" si="7"/>
        <v>0</v>
      </c>
      <c r="AB41" s="74">
        <f t="shared" si="8"/>
        <v>0</v>
      </c>
      <c r="AC41" s="70">
        <f t="shared" si="8"/>
        <v>0</v>
      </c>
      <c r="AE41" s="74">
        <f>IF(AE33=1,AE27,0)</f>
        <v>0</v>
      </c>
    </row>
    <row r="42" spans="1:33" s="70" customFormat="1" ht="12.75" hidden="1" customHeight="1" x14ac:dyDescent="0.2">
      <c r="A42" s="70" t="s">
        <v>85</v>
      </c>
      <c r="B42" s="70">
        <f>IF(B34=1,B28,0)</f>
        <v>0</v>
      </c>
      <c r="D42" s="74">
        <f t="shared" si="0"/>
        <v>0</v>
      </c>
      <c r="E42" s="70">
        <f t="shared" si="0"/>
        <v>0</v>
      </c>
      <c r="G42" s="74">
        <f t="shared" si="1"/>
        <v>0</v>
      </c>
      <c r="H42" s="70">
        <f t="shared" si="1"/>
        <v>0</v>
      </c>
      <c r="J42" s="74">
        <f t="shared" si="2"/>
        <v>0</v>
      </c>
      <c r="K42" s="70">
        <f t="shared" si="2"/>
        <v>0</v>
      </c>
      <c r="M42" s="74">
        <f t="shared" si="3"/>
        <v>0</v>
      </c>
      <c r="N42" s="70">
        <f t="shared" si="3"/>
        <v>0</v>
      </c>
      <c r="P42" s="74">
        <f t="shared" si="4"/>
        <v>0</v>
      </c>
      <c r="Q42" s="70">
        <f t="shared" si="4"/>
        <v>0</v>
      </c>
      <c r="S42" s="74">
        <f t="shared" si="5"/>
        <v>0</v>
      </c>
      <c r="T42" s="70">
        <f t="shared" si="5"/>
        <v>0</v>
      </c>
      <c r="V42" s="74">
        <f t="shared" si="6"/>
        <v>0</v>
      </c>
      <c r="W42" s="70">
        <f t="shared" si="6"/>
        <v>0</v>
      </c>
      <c r="Y42" s="74">
        <f t="shared" si="7"/>
        <v>0</v>
      </c>
      <c r="Z42" s="70">
        <f t="shared" si="7"/>
        <v>0</v>
      </c>
      <c r="AB42" s="74">
        <f t="shared" si="8"/>
        <v>0</v>
      </c>
      <c r="AC42" s="70">
        <f t="shared" si="8"/>
        <v>0</v>
      </c>
      <c r="AE42" s="74">
        <f>IF(AE34=1,AE28,0)</f>
        <v>0</v>
      </c>
    </row>
    <row r="43" spans="1:33" s="70" customFormat="1" ht="12.75" hidden="1" customHeight="1" x14ac:dyDescent="0.2">
      <c r="A43" s="70" t="s">
        <v>86</v>
      </c>
      <c r="B43" s="70">
        <f>IF(B35=1,B29,0)</f>
        <v>0</v>
      </c>
      <c r="D43" s="74">
        <f t="shared" si="0"/>
        <v>0</v>
      </c>
      <c r="E43" s="70">
        <f t="shared" si="0"/>
        <v>0</v>
      </c>
      <c r="G43" s="74">
        <f t="shared" si="1"/>
        <v>0</v>
      </c>
      <c r="H43" s="70">
        <f t="shared" si="1"/>
        <v>0</v>
      </c>
      <c r="J43" s="74">
        <f t="shared" si="2"/>
        <v>0</v>
      </c>
      <c r="K43" s="70">
        <f t="shared" si="2"/>
        <v>0</v>
      </c>
      <c r="M43" s="74">
        <f t="shared" si="3"/>
        <v>0</v>
      </c>
      <c r="N43" s="70">
        <f t="shared" si="3"/>
        <v>0</v>
      </c>
      <c r="P43" s="74">
        <f t="shared" si="4"/>
        <v>0</v>
      </c>
      <c r="Q43" s="70">
        <f t="shared" si="4"/>
        <v>0</v>
      </c>
      <c r="S43" s="74">
        <f t="shared" si="5"/>
        <v>0</v>
      </c>
      <c r="T43" s="70">
        <f t="shared" si="5"/>
        <v>0</v>
      </c>
      <c r="V43" s="74">
        <f t="shared" si="6"/>
        <v>0</v>
      </c>
      <c r="W43" s="70">
        <f t="shared" si="6"/>
        <v>0</v>
      </c>
      <c r="Y43" s="74">
        <f t="shared" si="7"/>
        <v>0</v>
      </c>
      <c r="Z43" s="70">
        <f t="shared" si="7"/>
        <v>0</v>
      </c>
      <c r="AB43" s="74">
        <f t="shared" si="8"/>
        <v>0</v>
      </c>
      <c r="AC43" s="70">
        <f t="shared" si="8"/>
        <v>0</v>
      </c>
      <c r="AE43" s="74">
        <f>IF(AE35=1,AE29,0)</f>
        <v>0</v>
      </c>
    </row>
    <row r="44" spans="1:33" s="70" customFormat="1" ht="38.25" hidden="1" customHeight="1" x14ac:dyDescent="0.2">
      <c r="A44" s="73" t="s">
        <v>87</v>
      </c>
      <c r="B44" s="70">
        <f>SUM(B39:D43)</f>
        <v>65</v>
      </c>
      <c r="D44" s="74"/>
      <c r="E44" s="70">
        <f>SUM(E39:G43)</f>
        <v>50</v>
      </c>
      <c r="G44" s="74"/>
      <c r="H44" s="70">
        <f>SUM(H39:J43)</f>
        <v>65</v>
      </c>
      <c r="J44" s="74"/>
      <c r="K44" s="70">
        <f>SUM(K39:M43)</f>
        <v>50</v>
      </c>
      <c r="M44" s="74"/>
      <c r="N44" s="70">
        <f>SUM(N39:P43)</f>
        <v>50</v>
      </c>
      <c r="P44" s="74"/>
      <c r="Q44" s="70">
        <f>SUM(Q39:S43)</f>
        <v>50</v>
      </c>
      <c r="S44" s="74"/>
      <c r="T44" s="70">
        <f>SUM(T39:V43)</f>
        <v>0</v>
      </c>
      <c r="V44" s="74"/>
      <c r="W44" s="70">
        <f>SUM(W39:Y43)</f>
        <v>0</v>
      </c>
      <c r="Y44" s="74"/>
      <c r="Z44" s="70">
        <f>SUM(Z39:AB43)</f>
        <v>0</v>
      </c>
      <c r="AB44" s="74"/>
      <c r="AC44" s="70">
        <f>SUM(AC39:AE43)</f>
        <v>0</v>
      </c>
      <c r="AE44" s="74"/>
    </row>
    <row r="45" spans="1:33" s="70" customFormat="1" ht="38.25" hidden="1" customHeight="1" x14ac:dyDescent="0.2">
      <c r="A45" s="70" t="s">
        <v>88</v>
      </c>
      <c r="D45" s="74"/>
      <c r="G45" s="74"/>
      <c r="J45" s="74"/>
      <c r="M45" s="74"/>
      <c r="P45" s="74"/>
      <c r="S45" s="74"/>
      <c r="V45" s="74"/>
      <c r="Y45" s="74"/>
      <c r="AB45" s="74"/>
      <c r="AE45" s="74"/>
      <c r="AF45" s="73" t="s">
        <v>89</v>
      </c>
      <c r="AG45" s="70" t="s">
        <v>90</v>
      </c>
    </row>
    <row r="46" spans="1:33" s="70" customFormat="1" ht="12.75" hidden="1" customHeight="1" x14ac:dyDescent="0.2">
      <c r="A46" s="70" t="s">
        <v>91</v>
      </c>
      <c r="B46" s="70">
        <f>IF(B24=1,IF(B37=1,1,0),0)</f>
        <v>0</v>
      </c>
      <c r="D46" s="74">
        <f>IF(D24=1,IF(D37=1,1,0),0)</f>
        <v>0</v>
      </c>
      <c r="E46" s="70">
        <f>IF(E24=1,IF(E37=1,1,0),0)</f>
        <v>1</v>
      </c>
      <c r="G46" s="74">
        <f>IF(G24=1,IF(G37=1,1,0),0)</f>
        <v>0</v>
      </c>
      <c r="H46" s="70">
        <f>IF(H24=1,IF(H37=1,1,0),0)</f>
        <v>0</v>
      </c>
      <c r="J46" s="74">
        <f>IF(J24=1,IF(J37=1,1,0),0)</f>
        <v>0</v>
      </c>
      <c r="K46" s="70">
        <f>IF(K24=1,IF(K37=1,1,0),0)</f>
        <v>1</v>
      </c>
      <c r="M46" s="74">
        <f>IF(M24=1,IF(M37=1,1,0),0)</f>
        <v>0</v>
      </c>
      <c r="N46" s="70">
        <f>IF(N24=1,IF(N37=1,1,0),0)</f>
        <v>0</v>
      </c>
      <c r="P46" s="74">
        <f>IF(P24=1,IF(P37=1,1,0),0)</f>
        <v>0</v>
      </c>
      <c r="Q46" s="70">
        <f>IF(Q24=1,IF(Q37=1,1,0),0)</f>
        <v>1</v>
      </c>
      <c r="S46" s="74">
        <f>IF(S24=1,IF(S37=1,1,0),0)</f>
        <v>0</v>
      </c>
      <c r="T46" s="70">
        <f>IF(T24=1,IF(T37=1,1,0),0)</f>
        <v>0</v>
      </c>
      <c r="V46" s="74">
        <f>IF(V24=1,IF(V37=1,1,0),0)</f>
        <v>0</v>
      </c>
      <c r="W46" s="70">
        <f>IF(W24=1,IF(W37=1,1,0),0)</f>
        <v>0</v>
      </c>
      <c r="Y46" s="74">
        <f>IF(Y24=1,IF(Y37=1,1,0),0)</f>
        <v>0</v>
      </c>
      <c r="Z46" s="70">
        <f>IF(Z24=1,IF(Z37=1,1,0),0)</f>
        <v>0</v>
      </c>
      <c r="AB46" s="74">
        <f>IF(AB24=1,IF(AB37=1,1,0),0)</f>
        <v>0</v>
      </c>
      <c r="AC46" s="70">
        <f>IF(AC24=1,IF(AC37=1,1,0),0)</f>
        <v>0</v>
      </c>
      <c r="AE46" s="74">
        <f>IF(AE24=1,IF(AE37=1,1,0),0)</f>
        <v>0</v>
      </c>
      <c r="AF46" s="70">
        <f>SUM(B46:AE46)</f>
        <v>3</v>
      </c>
      <c r="AG46" s="70">
        <f>AF52-AF46</f>
        <v>0</v>
      </c>
    </row>
    <row r="47" spans="1:33" s="70" customFormat="1" ht="12.75" hidden="1" customHeight="1" x14ac:dyDescent="0.2">
      <c r="A47" s="70" t="s">
        <v>92</v>
      </c>
      <c r="B47" s="70">
        <f>IF(B24=2,IF(B37=1,1,0),0)</f>
        <v>0</v>
      </c>
      <c r="D47" s="74">
        <f>IF(D24=2,IF(D37=1,1,0),0)</f>
        <v>0</v>
      </c>
      <c r="E47" s="70">
        <f>IF(E24=2,IF(E37=1,1,0),0)</f>
        <v>0</v>
      </c>
      <c r="G47" s="74">
        <f>IF(G24=2,IF(G37=1,1,0),0)</f>
        <v>0</v>
      </c>
      <c r="H47" s="70">
        <f>IF(H24=2,IF(H37=1,1,0),0)</f>
        <v>0</v>
      </c>
      <c r="J47" s="74">
        <f>IF(J24=2,IF(J37=1,1,0),0)</f>
        <v>0</v>
      </c>
      <c r="K47" s="70">
        <f>IF(K24=2,IF(K37=1,1,0),0)</f>
        <v>0</v>
      </c>
      <c r="M47" s="74">
        <f>IF(M24=2,IF(M37=1,1,0),0)</f>
        <v>0</v>
      </c>
      <c r="N47" s="70">
        <f>IF(N24=2,IF(N37=1,1,0),0)</f>
        <v>0</v>
      </c>
      <c r="P47" s="74">
        <f>IF(P24=2,IF(P37=1,1,0),0)</f>
        <v>0</v>
      </c>
      <c r="Q47" s="70">
        <f>IF(Q24=2,IF(Q37=1,1,0),0)</f>
        <v>0</v>
      </c>
      <c r="S47" s="74">
        <f>IF(S24=2,IF(S37=1,1,0),0)</f>
        <v>0</v>
      </c>
      <c r="T47" s="70">
        <f>IF(T24=2,IF(T37=1,1,0),0)</f>
        <v>0</v>
      </c>
      <c r="V47" s="74">
        <f>IF(V24=2,IF(V37=1,1,0),0)</f>
        <v>0</v>
      </c>
      <c r="W47" s="70">
        <f>IF(W24=2,IF(W37=1,1,0),0)</f>
        <v>0</v>
      </c>
      <c r="Y47" s="74">
        <f>IF(Y24=2,IF(Y37=1,1,0),0)</f>
        <v>0</v>
      </c>
      <c r="Z47" s="70">
        <f>IF(Z24=2,IF(Z37=1,1,0),0)</f>
        <v>0</v>
      </c>
      <c r="AB47" s="74">
        <f>IF(AB24=2,IF(AB37=1,1,0),0)</f>
        <v>0</v>
      </c>
      <c r="AC47" s="70">
        <f>IF(AC24=2,IF(AC37=1,1,0),0)</f>
        <v>0</v>
      </c>
      <c r="AE47" s="74">
        <f>IF(AE24=2,IF(AE37=1,1,0),0)</f>
        <v>0</v>
      </c>
      <c r="AF47" s="70">
        <f>SUM(B47:AE47)</f>
        <v>0</v>
      </c>
      <c r="AG47" s="70">
        <f>AF53-AF47</f>
        <v>3</v>
      </c>
    </row>
    <row r="48" spans="1:33" s="70" customFormat="1" ht="12.75" hidden="1" customHeight="1" x14ac:dyDescent="0.2">
      <c r="A48" s="70" t="s">
        <v>93</v>
      </c>
      <c r="B48" s="70">
        <f>IF(B24=3,IF(B37=1,1,0),0)</f>
        <v>0</v>
      </c>
      <c r="D48" s="74">
        <f>IF(D24=3,IF(D37=1,1,0),0)</f>
        <v>1</v>
      </c>
      <c r="E48" s="70">
        <f>IF(E24=3,IF(E37=1,1,0),0)</f>
        <v>0</v>
      </c>
      <c r="G48" s="74">
        <f>IF(G24=3,IF(G37=1,1,0),0)</f>
        <v>0</v>
      </c>
      <c r="H48" s="70">
        <f>IF(H24=3,IF(H37=1,1,0),0)</f>
        <v>0</v>
      </c>
      <c r="J48" s="74">
        <f>IF(J24=3,IF(J37=1,1,0),0)</f>
        <v>0</v>
      </c>
      <c r="K48" s="70">
        <f>IF(K24=3,IF(K37=1,1,0),0)</f>
        <v>0</v>
      </c>
      <c r="M48" s="74">
        <f>IF(M24=3,IF(M37=1,1,0),0)</f>
        <v>0</v>
      </c>
      <c r="N48" s="70">
        <f>IF(N24=3,IF(N37=1,1,0),0)</f>
        <v>0</v>
      </c>
      <c r="P48" s="74">
        <f>IF(P24=3,IF(P37=1,1,0),0)</f>
        <v>0</v>
      </c>
      <c r="Q48" s="70">
        <f>IF(Q24=3,IF(Q37=1,1,0),0)</f>
        <v>0</v>
      </c>
      <c r="S48" s="74">
        <f>IF(S24=3,IF(S37=1,1,0),0)</f>
        <v>0</v>
      </c>
      <c r="T48" s="70">
        <f>IF(T24=3,IF(T37=1,1,0),0)</f>
        <v>0</v>
      </c>
      <c r="V48" s="74">
        <f>IF(V24=3,IF(V37=1,1,0),0)</f>
        <v>0</v>
      </c>
      <c r="W48" s="70">
        <f>IF(W24=3,IF(W37=1,1,0),0)</f>
        <v>0</v>
      </c>
      <c r="Y48" s="74">
        <f>IF(Y24=3,IF(Y37=1,1,0),0)</f>
        <v>0</v>
      </c>
      <c r="Z48" s="70">
        <f>IF(Z24=3,IF(Z37=1,1,0),0)</f>
        <v>0</v>
      </c>
      <c r="AB48" s="74">
        <f>IF(AB24=3,IF(AB37=1,1,0),0)</f>
        <v>0</v>
      </c>
      <c r="AC48" s="70">
        <f>IF(AC24=3,IF(AC37=1,1,0),0)</f>
        <v>0</v>
      </c>
      <c r="AE48" s="74">
        <f>IF(AE24=3,IF(AE37=1,1,0),0)</f>
        <v>0</v>
      </c>
      <c r="AF48" s="70">
        <f>SUM(B48:AE48)</f>
        <v>1</v>
      </c>
      <c r="AG48" s="70">
        <f>AF54-AF48</f>
        <v>2</v>
      </c>
    </row>
    <row r="49" spans="1:37" s="70" customFormat="1" ht="12.75" hidden="1" customHeight="1" x14ac:dyDescent="0.2">
      <c r="A49" s="70" t="s">
        <v>94</v>
      </c>
      <c r="B49" s="70">
        <f>IF(B24=4,IF(B37=1,1,0),0)</f>
        <v>0</v>
      </c>
      <c r="D49" s="74">
        <f>IF(D24=4,IF(D37=1,1,0),0)</f>
        <v>0</v>
      </c>
      <c r="E49" s="70">
        <f>IF(E24=4,IF(E37=1,1,0),0)</f>
        <v>0</v>
      </c>
      <c r="G49" s="74">
        <f>IF(G24=4,IF(G37=1,1,0),0)</f>
        <v>0</v>
      </c>
      <c r="H49" s="70">
        <f>IF(H24=4,IF(H37=1,1,0),0)</f>
        <v>0</v>
      </c>
      <c r="J49" s="74">
        <f>IF(J24=4,IF(J37=1,1,0),0)</f>
        <v>1</v>
      </c>
      <c r="K49" s="70">
        <f>IF(K24=4,IF(K37=1,1,0),0)</f>
        <v>0</v>
      </c>
      <c r="M49" s="74">
        <f>IF(M24=4,IF(M37=1,1,0),0)</f>
        <v>0</v>
      </c>
      <c r="N49" s="70">
        <f>IF(N24=4,IF(N37=1,1,0),0)</f>
        <v>0</v>
      </c>
      <c r="P49" s="74">
        <f>IF(P24=4,IF(P37=1,1,0),0)</f>
        <v>1</v>
      </c>
      <c r="Q49" s="70">
        <f>IF(Q24=4,IF(Q37=1,1,0),0)</f>
        <v>0</v>
      </c>
      <c r="S49" s="74">
        <f>IF(S24=4,IF(S37=1,1,0),0)</f>
        <v>0</v>
      </c>
      <c r="T49" s="70">
        <f>IF(T24=4,IF(T37=1,1,0),0)</f>
        <v>0</v>
      </c>
      <c r="V49" s="74">
        <f>IF(V24=4,IF(V37=1,1,0),0)</f>
        <v>0</v>
      </c>
      <c r="W49" s="70">
        <f>IF(W24=4,IF(W37=1,1,0),0)</f>
        <v>0</v>
      </c>
      <c r="Y49" s="74">
        <f>IF(Y24=4,IF(Y37=1,1,0),0)</f>
        <v>0</v>
      </c>
      <c r="Z49" s="70">
        <f>IF(Z24=4,IF(Z37=1,1,0),0)</f>
        <v>0</v>
      </c>
      <c r="AB49" s="74">
        <f>IF(AB24=4,IF(AB37=1,1,0),0)</f>
        <v>0</v>
      </c>
      <c r="AC49" s="70">
        <f>IF(AC24=4,IF(AC37=1,1,0),0)</f>
        <v>0</v>
      </c>
      <c r="AE49" s="74">
        <f>IF(AE24=4,IF(AE37=1,1,0),0)</f>
        <v>0</v>
      </c>
      <c r="AF49" s="70">
        <f>SUM(B49:AE49)</f>
        <v>2</v>
      </c>
      <c r="AG49" s="70">
        <f>AF55-AF49</f>
        <v>1</v>
      </c>
    </row>
    <row r="50" spans="1:37" s="70" customFormat="1" ht="12.75" hidden="1" customHeight="1" x14ac:dyDescent="0.2">
      <c r="A50" s="70" t="s">
        <v>95</v>
      </c>
      <c r="B50" s="70">
        <f>IF(B24=5,IF(B37=1,1,0),0)</f>
        <v>0</v>
      </c>
      <c r="D50" s="74">
        <f>IF(D24=5,IF(D37=1,1,0),0)</f>
        <v>0</v>
      </c>
      <c r="E50" s="70">
        <f>IF(E24=5,IF(E37=1,1,0),0)</f>
        <v>0</v>
      </c>
      <c r="G50" s="74">
        <f>IF(G24=5,IF(G37=1,1,0),0)</f>
        <v>0</v>
      </c>
      <c r="H50" s="70">
        <f>IF(H24=5,IF(H37=1,1,0),0)</f>
        <v>0</v>
      </c>
      <c r="J50" s="74">
        <f>IF(J24=5,IF(J37=1,1,0),0)</f>
        <v>0</v>
      </c>
      <c r="K50" s="70">
        <f>IF(K24=5,IF(K37=1,1,0),0)</f>
        <v>0</v>
      </c>
      <c r="M50" s="74">
        <f>IF(M24=5,IF(M37=1,1,0),0)</f>
        <v>0</v>
      </c>
      <c r="N50" s="70">
        <f>IF(N24=5,IF(N37=1,1,0),0)</f>
        <v>0</v>
      </c>
      <c r="P50" s="74">
        <f>IF(P24=5,IF(P37=1,1,0),0)</f>
        <v>0</v>
      </c>
      <c r="Q50" s="70">
        <f>IF(Q24=5,IF(Q37=1,1,0),0)</f>
        <v>0</v>
      </c>
      <c r="S50" s="74">
        <f>IF(S24=5,IF(S37=1,1,0),0)</f>
        <v>0</v>
      </c>
      <c r="T50" s="70">
        <f>IF(T24=5,IF(T37=1,1,0),0)</f>
        <v>0</v>
      </c>
      <c r="V50" s="74">
        <f>IF(V24=5,IF(V37=1,1,0),0)</f>
        <v>0</v>
      </c>
      <c r="W50" s="70">
        <f>IF(W24=5,IF(W37=1,1,0),0)</f>
        <v>0</v>
      </c>
      <c r="Y50" s="74">
        <f>IF(Y24=5,IF(Y37=1,1,0),0)</f>
        <v>0</v>
      </c>
      <c r="Z50" s="70">
        <f>IF(Z24=5,IF(Z37=1,1,0),0)</f>
        <v>0</v>
      </c>
      <c r="AB50" s="74">
        <f>IF(AB24=5,IF(AB37=1,1,0),0)</f>
        <v>0</v>
      </c>
      <c r="AC50" s="70">
        <f>IF(AC24=5,IF(AC37=1,1,0),0)</f>
        <v>0</v>
      </c>
      <c r="AE50" s="74">
        <f>IF(AE24=5,IF(AE37=1,1,0),0)</f>
        <v>0</v>
      </c>
      <c r="AF50" s="70">
        <f>SUM(B50:AE50)</f>
        <v>0</v>
      </c>
      <c r="AG50" s="70">
        <f>AF56-AF50</f>
        <v>0</v>
      </c>
    </row>
    <row r="51" spans="1:37" s="70" customFormat="1" ht="38.25" hidden="1" customHeight="1" x14ac:dyDescent="0.2">
      <c r="A51" s="73"/>
      <c r="D51" s="74"/>
      <c r="G51" s="74"/>
      <c r="J51" s="74"/>
      <c r="M51" s="74"/>
      <c r="P51" s="74"/>
      <c r="S51" s="74"/>
      <c r="V51" s="74"/>
      <c r="Y51" s="74"/>
      <c r="AB51" s="74"/>
      <c r="AE51" s="74"/>
      <c r="AF51" s="73" t="s">
        <v>96</v>
      </c>
    </row>
    <row r="52" spans="1:37" s="70" customFormat="1" ht="12.75" hidden="1" customHeight="1" x14ac:dyDescent="0.2">
      <c r="A52" s="70" t="s">
        <v>97</v>
      </c>
      <c r="B52" s="70">
        <f>IF(B24=1,IF(C37=1,1,0),0)</f>
        <v>0</v>
      </c>
      <c r="D52" s="74">
        <f>IF(D24=1,IF(C37=1,1,0),0)</f>
        <v>0</v>
      </c>
      <c r="E52" s="70">
        <f>IF(E24=1,IF(F37=1,1,0),0)</f>
        <v>1</v>
      </c>
      <c r="G52" s="74">
        <f>IF(G24=1,IF(F37=1,1,0),0)</f>
        <v>0</v>
      </c>
      <c r="H52" s="70">
        <f>IF(H24=1,IF(I37=1,1,0),0)</f>
        <v>0</v>
      </c>
      <c r="J52" s="74">
        <f>IF(J24=1,IF(I37=1,1,0),0)</f>
        <v>0</v>
      </c>
      <c r="K52" s="70">
        <f>IF(K24=1,IF(L37=1,1,0),0)</f>
        <v>1</v>
      </c>
      <c r="M52" s="74">
        <f>IF(M24=1,IF(L37=1,1,0),0)</f>
        <v>0</v>
      </c>
      <c r="N52" s="70">
        <f>IF(N24=1,IF(O37=1,1,0),0)</f>
        <v>0</v>
      </c>
      <c r="P52" s="74">
        <f>IF(P24=1,IF(O37=1,1,0),0)</f>
        <v>0</v>
      </c>
      <c r="Q52" s="70">
        <f>IF(Q24=1,IF(R37=1,1,0),0)</f>
        <v>1</v>
      </c>
      <c r="S52" s="74">
        <f>IF(S24=1,IF(R37=1,1,0),0)</f>
        <v>0</v>
      </c>
      <c r="T52" s="70">
        <f>IF(T24=1,IF(U37=1,1,0),0)</f>
        <v>0</v>
      </c>
      <c r="V52" s="74">
        <f>IF(V24=1,IF(U37=1,1,0),0)</f>
        <v>0</v>
      </c>
      <c r="W52" s="70">
        <f>IF(W24=1,IF(X37=1,1,0),0)</f>
        <v>0</v>
      </c>
      <c r="Y52" s="74">
        <f>IF(Y24=1,IF(X37=1,1,0),0)</f>
        <v>0</v>
      </c>
      <c r="Z52" s="70">
        <f>IF(Z24=1,IF(AA37=1,1,0),0)</f>
        <v>0</v>
      </c>
      <c r="AB52" s="74">
        <f>IF(AB24=1,IF(AA37=1,1,0),0)</f>
        <v>0</v>
      </c>
      <c r="AC52" s="70">
        <f>IF(AC24=1,IF(AD37=1,1,0),0)</f>
        <v>0</v>
      </c>
      <c r="AE52" s="74">
        <f>IF(AE24=1,IF(AD37=1,1,0),0)</f>
        <v>0</v>
      </c>
      <c r="AF52" s="70">
        <f>SUM(B52:AE52)</f>
        <v>3</v>
      </c>
    </row>
    <row r="53" spans="1:37" s="70" customFormat="1" ht="12.75" hidden="1" customHeight="1" x14ac:dyDescent="0.2">
      <c r="A53" s="70" t="s">
        <v>98</v>
      </c>
      <c r="B53" s="70">
        <f>IF(B24=2,IF(C37=1,1,0),0)</f>
        <v>1</v>
      </c>
      <c r="D53" s="74">
        <f>IF(D24=2,IF(C37=1,1,0),0)</f>
        <v>0</v>
      </c>
      <c r="E53" s="70">
        <f>IF(E24=2,IF(F37=1,1,0),0)</f>
        <v>0</v>
      </c>
      <c r="G53" s="74">
        <f>IF(G24=2,IF(F37=1,1,0),0)</f>
        <v>0</v>
      </c>
      <c r="H53" s="70">
        <f>IF(H24=2,IF(I37=1,1,0),0)</f>
        <v>1</v>
      </c>
      <c r="J53" s="74">
        <f>IF(J24=2,IF(I37=1,1,0),0)</f>
        <v>0</v>
      </c>
      <c r="K53" s="70">
        <f>IF(K24=2,IF(L37=1,1,0),0)</f>
        <v>0</v>
      </c>
      <c r="M53" s="74">
        <f>IF(M24=2,IF(L37=1,1,0),0)</f>
        <v>0</v>
      </c>
      <c r="N53" s="70">
        <f>IF(N24=2,IF(O37=1,1,0),0)</f>
        <v>0</v>
      </c>
      <c r="P53" s="74">
        <f>IF(P24=2,IF(O37=1,1,0),0)</f>
        <v>0</v>
      </c>
      <c r="Q53" s="70">
        <f>IF(Q24=2,IF(R37=1,1,0),0)</f>
        <v>0</v>
      </c>
      <c r="S53" s="74">
        <f>IF(S24=2,IF(R37=1,1,0),0)</f>
        <v>1</v>
      </c>
      <c r="T53" s="70">
        <f>IF(T24=2,IF(U37=1,1,0),0)</f>
        <v>0</v>
      </c>
      <c r="V53" s="74">
        <f>IF(V24=2,IF(U37=1,1,0),0)</f>
        <v>0</v>
      </c>
      <c r="W53" s="70">
        <f>IF(W24=2,IF(X37=1,1,0),0)</f>
        <v>0</v>
      </c>
      <c r="Y53" s="74">
        <f>IF(Y24=2,IF(X37=1,1,0),0)</f>
        <v>0</v>
      </c>
      <c r="Z53" s="70">
        <f>IF(Z24=2,IF(AA37=1,1,0),0)</f>
        <v>0</v>
      </c>
      <c r="AB53" s="74">
        <f>IF(AB24=2,IF(AA37=1,1,0),0)</f>
        <v>0</v>
      </c>
      <c r="AC53" s="70">
        <f>IF(AC24=2,IF(AD37=1,1,0),0)</f>
        <v>0</v>
      </c>
      <c r="AE53" s="74">
        <f>IF(AE24=2,IF(AD37=1,1,0),0)</f>
        <v>0</v>
      </c>
      <c r="AF53" s="70">
        <f>SUM(B53:AE53)</f>
        <v>3</v>
      </c>
    </row>
    <row r="54" spans="1:37" s="70" customFormat="1" ht="12.75" hidden="1" customHeight="1" x14ac:dyDescent="0.2">
      <c r="A54" s="70" t="s">
        <v>99</v>
      </c>
      <c r="B54" s="70">
        <f>IF(B24=3,IF(C37=1,1,0),0)</f>
        <v>0</v>
      </c>
      <c r="D54" s="74">
        <f>IF(D24=3,IF(C37=1,1,0),0)</f>
        <v>1</v>
      </c>
      <c r="E54" s="70">
        <f>IF(E24=3,IF(F37=1,1,0),0)</f>
        <v>0</v>
      </c>
      <c r="G54" s="74">
        <f>IF(G24=3,IF(F37=1,1,0),0)</f>
        <v>0</v>
      </c>
      <c r="H54" s="70">
        <f>IF(H24=3,IF(I37=1,1,0),0)</f>
        <v>0</v>
      </c>
      <c r="J54" s="74">
        <f>IF(J24=3,IF(I37=1,1,0),0)</f>
        <v>0</v>
      </c>
      <c r="K54" s="70">
        <f>IF(K24=3,IF(L37=1,1,0),0)</f>
        <v>0</v>
      </c>
      <c r="M54" s="74">
        <f>IF(M24=3,IF(L37=1,1,0),0)</f>
        <v>1</v>
      </c>
      <c r="N54" s="70">
        <f>IF(N24=3,IF(O37=1,1,0),0)</f>
        <v>1</v>
      </c>
      <c r="P54" s="74">
        <f>IF(P24=3,IF(O37=1,1,0),0)</f>
        <v>0</v>
      </c>
      <c r="Q54" s="70">
        <f>IF(Q24=3,IF(R37=1,1,0),0)</f>
        <v>0</v>
      </c>
      <c r="S54" s="74">
        <f>IF(S24=3,IF(R37=1,1,0),0)</f>
        <v>0</v>
      </c>
      <c r="T54" s="70">
        <f>IF(T24=3,IF(U37=1,1,0),0)</f>
        <v>0</v>
      </c>
      <c r="V54" s="74">
        <f>IF(V24=3,IF(U37=1,1,0),0)</f>
        <v>0</v>
      </c>
      <c r="W54" s="70">
        <f>IF(W24=3,IF(X37=1,1,0),0)</f>
        <v>0</v>
      </c>
      <c r="Y54" s="74">
        <f>IF(Y24=3,IF(X37=1,1,0),0)</f>
        <v>0</v>
      </c>
      <c r="Z54" s="70">
        <f>IF(Z24=3,IF(AA37=1,1,0),0)</f>
        <v>0</v>
      </c>
      <c r="AB54" s="74">
        <f>IF(AB24=3,IF(AA37=1,1,0),0)</f>
        <v>0</v>
      </c>
      <c r="AC54" s="70">
        <f>IF(AC24=3,IF(AD37=1,1,0),0)</f>
        <v>0</v>
      </c>
      <c r="AE54" s="74">
        <f>IF(AE24=3,IF(AD37=1,1,0),0)</f>
        <v>0</v>
      </c>
      <c r="AF54" s="70">
        <f>SUM(B54:AE54)</f>
        <v>3</v>
      </c>
    </row>
    <row r="55" spans="1:37" s="70" customFormat="1" ht="12.75" hidden="1" customHeight="1" x14ac:dyDescent="0.2">
      <c r="A55" s="70" t="s">
        <v>100</v>
      </c>
      <c r="B55" s="70">
        <f>IF(B24=4,IF(C37=1,1,0),0)</f>
        <v>0</v>
      </c>
      <c r="D55" s="74">
        <f>IF(D24=4,IF(C37=1,1,0),0)</f>
        <v>0</v>
      </c>
      <c r="E55" s="70">
        <f>IF(E24=4,IF(F37=1,1,0),0)</f>
        <v>0</v>
      </c>
      <c r="G55" s="74">
        <f>IF(G24=4,IF(F37=1,1,0),0)</f>
        <v>1</v>
      </c>
      <c r="H55" s="70">
        <f>IF(H24=4,IF(I37=1,1,0),0)</f>
        <v>0</v>
      </c>
      <c r="J55" s="74">
        <f>IF(J24=4,IF(I37=1,1,0),0)</f>
        <v>1</v>
      </c>
      <c r="K55" s="70">
        <f>IF(K24=4,IF(L37=1,1,0),0)</f>
        <v>0</v>
      </c>
      <c r="M55" s="74">
        <f>IF(M24=4,IF(L37=1,1,0),0)</f>
        <v>0</v>
      </c>
      <c r="N55" s="70">
        <f>IF(N24=4,IF(O37=1,1,0),0)</f>
        <v>0</v>
      </c>
      <c r="P55" s="74">
        <f>IF(P24=4,IF(O37=1,1,0),0)</f>
        <v>1</v>
      </c>
      <c r="Q55" s="70">
        <f>IF(Q24=4,IF(R37=1,1,0),0)</f>
        <v>0</v>
      </c>
      <c r="S55" s="74">
        <f>IF(S24=4,IF(R37=1,1,0),0)</f>
        <v>0</v>
      </c>
      <c r="T55" s="70">
        <f>IF(T24=4,IF(U37=1,1,0),0)</f>
        <v>0</v>
      </c>
      <c r="V55" s="74">
        <f>IF(V24=4,IF(U37=1,1,0),0)</f>
        <v>0</v>
      </c>
      <c r="W55" s="70">
        <f>IF(W24=4,IF(X37=1,1,0),0)</f>
        <v>0</v>
      </c>
      <c r="Y55" s="74">
        <f>IF(Y24=4,IF(X37=1,1,0),0)</f>
        <v>0</v>
      </c>
      <c r="Z55" s="70">
        <f>IF(Z24=4,IF(AA37=1,1,0),0)</f>
        <v>0</v>
      </c>
      <c r="AB55" s="74">
        <f>IF(AB24=4,IF(AA37=1,1,0),0)</f>
        <v>0</v>
      </c>
      <c r="AC55" s="70">
        <f>IF(AC24=4,IF(AD37=1,1,0),0)</f>
        <v>0</v>
      </c>
      <c r="AE55" s="74">
        <f>IF(AE24=4,IF(AD37=1,1,0),0)</f>
        <v>0</v>
      </c>
      <c r="AF55" s="70">
        <f>SUM(B55:AE55)</f>
        <v>3</v>
      </c>
    </row>
    <row r="56" spans="1:37" s="70" customFormat="1" ht="12.75" hidden="1" customHeight="1" x14ac:dyDescent="0.2">
      <c r="A56" s="70" t="s">
        <v>101</v>
      </c>
      <c r="B56" s="70">
        <f>IF(B24=5,IF(C37=1,1,0),0)</f>
        <v>0</v>
      </c>
      <c r="D56" s="74">
        <f>IF(D24=5,IF(C37=1,1,0),0)</f>
        <v>0</v>
      </c>
      <c r="E56" s="70">
        <f>IF(E24=5,IF(F37=1,1,0),0)</f>
        <v>0</v>
      </c>
      <c r="G56" s="74">
        <f>IF(G24=5,IF(F37=1,1,0),0)</f>
        <v>0</v>
      </c>
      <c r="H56" s="70">
        <f>IF(H24=5,IF(I37=1,1,0),0)</f>
        <v>0</v>
      </c>
      <c r="J56" s="74">
        <f>IF(J24=5,IF(I37=1,1,0),0)</f>
        <v>0</v>
      </c>
      <c r="K56" s="70">
        <f>IF(K24=5,IF(L37=1,1,0),0)</f>
        <v>0</v>
      </c>
      <c r="M56" s="74">
        <f>IF(M24=5,IF(L37=1,1,0),0)</f>
        <v>0</v>
      </c>
      <c r="N56" s="70">
        <f>IF(N24=5,IF(O37=1,1,0),0)</f>
        <v>0</v>
      </c>
      <c r="P56" s="74">
        <f>IF(P24=5,IF(O37=1,1,0),0)</f>
        <v>0</v>
      </c>
      <c r="Q56" s="70">
        <f>IF(Q24=5,IF(R37=1,1,0),0)</f>
        <v>0</v>
      </c>
      <c r="S56" s="74">
        <f>IF(S24=5,IF(R37=1,1,0),0)</f>
        <v>0</v>
      </c>
      <c r="T56" s="70">
        <f>IF(T24=5,IF(U37=1,1,0),0)</f>
        <v>0</v>
      </c>
      <c r="V56" s="74">
        <f>IF(V24=5,IF(U37=1,1,0),0)</f>
        <v>0</v>
      </c>
      <c r="W56" s="70">
        <f>IF(W24=5,IF(X37=1,1,0),0)</f>
        <v>0</v>
      </c>
      <c r="Y56" s="74">
        <f>IF(Y24=5,IF(X37=1,1,0),0)</f>
        <v>0</v>
      </c>
      <c r="Z56" s="70">
        <f>IF(Z24=5,IF(AA37=1,1,0),0)</f>
        <v>0</v>
      </c>
      <c r="AB56" s="74">
        <f>IF(AB24=5,IF(AA37=1,1,0),0)</f>
        <v>0</v>
      </c>
      <c r="AC56" s="70">
        <f>IF(AC24=5,IF(AD37=1,1,0),0)</f>
        <v>0</v>
      </c>
      <c r="AE56" s="74">
        <f>IF(AE24=5,IF(AD37=1,1,0),0)</f>
        <v>0</v>
      </c>
      <c r="AF56" s="70">
        <f>SUM(B56:AE56)</f>
        <v>0</v>
      </c>
    </row>
    <row r="57" spans="1:37" s="70" customFormat="1" ht="38.25" hidden="1" customHeight="1" x14ac:dyDescent="0.2">
      <c r="A57" s="73"/>
      <c r="D57" s="74"/>
      <c r="G57" s="74"/>
      <c r="J57" s="74"/>
      <c r="M57" s="74"/>
      <c r="P57" s="74"/>
      <c r="S57" s="74"/>
      <c r="V57" s="74"/>
      <c r="Y57" s="74"/>
      <c r="AB57" s="74"/>
      <c r="AE57" s="74"/>
      <c r="AF57" s="73" t="s">
        <v>102</v>
      </c>
      <c r="AG57" s="280"/>
      <c r="AH57" s="280"/>
      <c r="AI57" s="280"/>
      <c r="AJ57" s="280"/>
      <c r="AK57" s="280"/>
    </row>
    <row r="58" spans="1:37" s="70" customFormat="1" ht="12.75" hidden="1" customHeight="1" x14ac:dyDescent="0.2">
      <c r="A58" s="70" t="s">
        <v>97</v>
      </c>
      <c r="B58" s="70">
        <f>IF(B24=1,B44,0)</f>
        <v>0</v>
      </c>
      <c r="D58" s="74">
        <f>IF(D24=1,B44,0)</f>
        <v>0</v>
      </c>
      <c r="E58" s="70">
        <f>IF(E24=1,E44,0)</f>
        <v>50</v>
      </c>
      <c r="G58" s="74">
        <f>IF(G24=1,E44,0)</f>
        <v>0</v>
      </c>
      <c r="H58" s="70">
        <f>IF(H24=1,H44,0)</f>
        <v>0</v>
      </c>
      <c r="J58" s="74">
        <f>IF(J24=1,H44,0)</f>
        <v>0</v>
      </c>
      <c r="K58" s="70">
        <f>IF(K24=1,K44,0)</f>
        <v>50</v>
      </c>
      <c r="M58" s="74">
        <f>IF(M24=1,K44,0)</f>
        <v>0</v>
      </c>
      <c r="N58" s="70">
        <f>IF(N24=1,N44,0)</f>
        <v>0</v>
      </c>
      <c r="P58" s="74">
        <f>IF(P24=1,N44,0)</f>
        <v>0</v>
      </c>
      <c r="Q58" s="70">
        <f>IF(Q24=1,Q44,0)</f>
        <v>50</v>
      </c>
      <c r="S58" s="74">
        <f>IF(S24=1,Q44,0)</f>
        <v>0</v>
      </c>
      <c r="T58" s="70">
        <f>IF(T24=1,T44,0)</f>
        <v>0</v>
      </c>
      <c r="V58" s="74">
        <f>IF(V24=1,T44,0)</f>
        <v>0</v>
      </c>
      <c r="W58" s="70">
        <f>IF(W24=1,W44,0)</f>
        <v>0</v>
      </c>
      <c r="Y58" s="74">
        <f>IF(Y24=1,W44,0)</f>
        <v>0</v>
      </c>
      <c r="Z58" s="70">
        <f>IF(Z24=1,Z44,0)</f>
        <v>0</v>
      </c>
      <c r="AB58" s="74">
        <f>IF(AB24=1,Z44,0)</f>
        <v>0</v>
      </c>
      <c r="AC58" s="70">
        <f>IF(AC24=1,AC44,0)</f>
        <v>0</v>
      </c>
      <c r="AE58" s="74">
        <f>IF(AE24=1,AC44,0)</f>
        <v>0</v>
      </c>
      <c r="AF58" s="70">
        <f>SUM(B58:AE58)</f>
        <v>150</v>
      </c>
    </row>
    <row r="59" spans="1:37" s="70" customFormat="1" ht="12.75" hidden="1" customHeight="1" x14ac:dyDescent="0.2">
      <c r="A59" s="70" t="s">
        <v>98</v>
      </c>
      <c r="B59" s="70">
        <f>IF(B24=2,B44,0)</f>
        <v>65</v>
      </c>
      <c r="D59" s="74">
        <f>IF(D24=2,B44,0)</f>
        <v>0</v>
      </c>
      <c r="E59" s="70">
        <f>IF(E24=2,E44,0)</f>
        <v>0</v>
      </c>
      <c r="G59" s="74">
        <f>IF(G24=2,E44,0)</f>
        <v>0</v>
      </c>
      <c r="H59" s="70">
        <f>IF(H24=2,H44,0)</f>
        <v>65</v>
      </c>
      <c r="J59" s="74">
        <f>IF(J24=2,H44,0)</f>
        <v>0</v>
      </c>
      <c r="K59" s="70">
        <f>IF(K24=2,K44,0)</f>
        <v>0</v>
      </c>
      <c r="M59" s="74">
        <f>IF(M24=2,K44,0)</f>
        <v>0</v>
      </c>
      <c r="N59" s="70">
        <f>IF(N24=2,N44,0)</f>
        <v>0</v>
      </c>
      <c r="P59" s="74">
        <f>IF(P24=2,N44,0)</f>
        <v>0</v>
      </c>
      <c r="Q59" s="70">
        <f>IF(Q24=2,Q44,0)</f>
        <v>0</v>
      </c>
      <c r="S59" s="74">
        <f>IF(S24=2,Q44,0)</f>
        <v>50</v>
      </c>
      <c r="T59" s="70">
        <f>IF(T24=2,T44,0)</f>
        <v>0</v>
      </c>
      <c r="V59" s="74">
        <f>IF(V24=2,T44,0)</f>
        <v>0</v>
      </c>
      <c r="W59" s="70">
        <f>IF(W24=2,W44,0)</f>
        <v>0</v>
      </c>
      <c r="Y59" s="74">
        <f>IF(Y24=2,W44,0)</f>
        <v>0</v>
      </c>
      <c r="Z59" s="70">
        <f>IF(Z24=2,Z44,0)</f>
        <v>0</v>
      </c>
      <c r="AB59" s="74">
        <f>IF(AB24=2,Z44,0)</f>
        <v>0</v>
      </c>
      <c r="AC59" s="70">
        <f>IF(AC24=2,AC44,0)</f>
        <v>0</v>
      </c>
      <c r="AE59" s="74">
        <f>IF(AE24=2,AC44,0)</f>
        <v>0</v>
      </c>
      <c r="AF59" s="70">
        <f>SUM(B59:AE59)</f>
        <v>180</v>
      </c>
    </row>
    <row r="60" spans="1:37" s="70" customFormat="1" ht="12.75" hidden="1" customHeight="1" x14ac:dyDescent="0.2">
      <c r="A60" s="70" t="s">
        <v>99</v>
      </c>
      <c r="B60" s="70">
        <f>IF(B24=3,B44,0)</f>
        <v>0</v>
      </c>
      <c r="D60" s="74">
        <f>IF(D24=3,B44,0)</f>
        <v>65</v>
      </c>
      <c r="E60" s="70">
        <f>IF(E24=3,E44,0)</f>
        <v>0</v>
      </c>
      <c r="G60" s="74">
        <f>IF(G24=3,E44,0)</f>
        <v>0</v>
      </c>
      <c r="H60" s="70">
        <f>IF(H24=3,H44,0)</f>
        <v>0</v>
      </c>
      <c r="J60" s="74">
        <f>IF(J24=3,H44,0)</f>
        <v>0</v>
      </c>
      <c r="K60" s="70">
        <f>IF(K24=3,K44,0)</f>
        <v>0</v>
      </c>
      <c r="M60" s="74">
        <f>IF(M24=3,K44,0)</f>
        <v>50</v>
      </c>
      <c r="N60" s="70">
        <f>IF(N24=3,N44,0)</f>
        <v>50</v>
      </c>
      <c r="P60" s="74">
        <f>IF(P24=3,N44,0)</f>
        <v>0</v>
      </c>
      <c r="Q60" s="70">
        <f>IF(Q24=3,Q44,0)</f>
        <v>0</v>
      </c>
      <c r="S60" s="74">
        <f>IF(S24=3,Q44,0)</f>
        <v>0</v>
      </c>
      <c r="T60" s="70">
        <f>IF(T24=3,T44,0)</f>
        <v>0</v>
      </c>
      <c r="V60" s="74">
        <f>IF(V24=3,T44,0)</f>
        <v>0</v>
      </c>
      <c r="W60" s="70">
        <f>IF(W24=3,W44,0)</f>
        <v>0</v>
      </c>
      <c r="Y60" s="74">
        <f>IF(Y24=3,W44,0)</f>
        <v>0</v>
      </c>
      <c r="Z60" s="70">
        <f>IF(Z24=3,Z44,0)</f>
        <v>0</v>
      </c>
      <c r="AB60" s="74">
        <f>IF(AB24=3,Z44,0)</f>
        <v>0</v>
      </c>
      <c r="AC60" s="70">
        <f>IF(AC24=3,AC44,0)</f>
        <v>0</v>
      </c>
      <c r="AE60" s="74">
        <f>IF(AE24=3,AC44,0)</f>
        <v>0</v>
      </c>
      <c r="AF60" s="70">
        <f>SUM(B60:AE60)</f>
        <v>165</v>
      </c>
    </row>
    <row r="61" spans="1:37" s="70" customFormat="1" ht="12.75" hidden="1" customHeight="1" x14ac:dyDescent="0.2">
      <c r="A61" s="70" t="s">
        <v>100</v>
      </c>
      <c r="B61" s="70">
        <f>IF(B24=4,B44,0)</f>
        <v>0</v>
      </c>
      <c r="D61" s="74">
        <f>IF(D24=4,B44,0)</f>
        <v>0</v>
      </c>
      <c r="E61" s="70">
        <f>IF(E24=4,E44,0)</f>
        <v>0</v>
      </c>
      <c r="G61" s="74">
        <f>IF(G24=4,E44,0)</f>
        <v>50</v>
      </c>
      <c r="H61" s="70">
        <f>IF(H24=4,H44,0)</f>
        <v>0</v>
      </c>
      <c r="J61" s="74">
        <f>IF(J24=4,H44,0)</f>
        <v>65</v>
      </c>
      <c r="K61" s="70">
        <f>IF(K24=4,K44,0)</f>
        <v>0</v>
      </c>
      <c r="M61" s="74">
        <f>IF(M24=4,K44,0)</f>
        <v>0</v>
      </c>
      <c r="N61" s="70">
        <f>IF(N24=4,N44,0)</f>
        <v>0</v>
      </c>
      <c r="P61" s="74">
        <f>IF(P24=4,N44,0)</f>
        <v>50</v>
      </c>
      <c r="Q61" s="70">
        <f>IF(Q24=4,Q44,0)</f>
        <v>0</v>
      </c>
      <c r="S61" s="74">
        <f>IF(S24=4,Q44,0)</f>
        <v>0</v>
      </c>
      <c r="T61" s="70">
        <f>IF(T24=4,T44,0)</f>
        <v>0</v>
      </c>
      <c r="V61" s="74">
        <f>IF(V24=4,T44,0)</f>
        <v>0</v>
      </c>
      <c r="W61" s="70">
        <f>IF(W24=4,W44,0)</f>
        <v>0</v>
      </c>
      <c r="Y61" s="74">
        <f>IF(Y24=4,W44,0)</f>
        <v>0</v>
      </c>
      <c r="Z61" s="70">
        <f>IF(Z24=4,Z44,0)</f>
        <v>0</v>
      </c>
      <c r="AB61" s="74">
        <f>IF(AB24=4,Z44,0)</f>
        <v>0</v>
      </c>
      <c r="AC61" s="70">
        <f>IF(AC24=4,AC44,0)</f>
        <v>0</v>
      </c>
      <c r="AE61" s="74">
        <f>IF(AE24=4,AC44,0)</f>
        <v>0</v>
      </c>
      <c r="AF61" s="70">
        <f>SUM(B61:AE61)</f>
        <v>165</v>
      </c>
    </row>
    <row r="62" spans="1:37" s="70" customFormat="1" ht="12.75" hidden="1" customHeight="1" x14ac:dyDescent="0.2">
      <c r="A62" s="70" t="s">
        <v>101</v>
      </c>
      <c r="B62" s="70">
        <f>IF(B24=5,B44,0)</f>
        <v>0</v>
      </c>
      <c r="D62" s="74">
        <f>IF(D24=5,B44,0)</f>
        <v>0</v>
      </c>
      <c r="E62" s="70">
        <f>IF(E24=5,E44,0)</f>
        <v>0</v>
      </c>
      <c r="G62" s="74">
        <f>IF(G24=5,E44,0)</f>
        <v>0</v>
      </c>
      <c r="H62" s="70">
        <f>IF(H24=5,H44,0)</f>
        <v>0</v>
      </c>
      <c r="J62" s="74">
        <f>IF(J24=5,H44,0)</f>
        <v>0</v>
      </c>
      <c r="K62" s="70">
        <f>IF(K24=5,K44,0)</f>
        <v>0</v>
      </c>
      <c r="M62" s="74">
        <f>IF(M24=5,K44,0)</f>
        <v>0</v>
      </c>
      <c r="N62" s="70">
        <f>IF(N24=5,N44,0)</f>
        <v>0</v>
      </c>
      <c r="P62" s="74">
        <f>IF(P24=5,N44,0)</f>
        <v>0</v>
      </c>
      <c r="Q62" s="70">
        <f>IF(Q24=5,Q44,0)</f>
        <v>0</v>
      </c>
      <c r="S62" s="74">
        <f>IF(S24=5,Q44,0)</f>
        <v>0</v>
      </c>
      <c r="T62" s="70">
        <f>IF(T24=5,T44,0)</f>
        <v>0</v>
      </c>
      <c r="V62" s="74">
        <f>IF(V24=5,T44,0)</f>
        <v>0</v>
      </c>
      <c r="W62" s="70">
        <f>IF(W24=5,W44,0)</f>
        <v>0</v>
      </c>
      <c r="Y62" s="74">
        <f>IF(Y24=5,W44,0)</f>
        <v>0</v>
      </c>
      <c r="Z62" s="70">
        <f>IF(Z24=5,Z44,0)</f>
        <v>0</v>
      </c>
      <c r="AB62" s="74">
        <f>IF(AB24=5,Z44,0)</f>
        <v>0</v>
      </c>
      <c r="AC62" s="70">
        <f>IF(AC24=5,AC44,0)</f>
        <v>0</v>
      </c>
      <c r="AE62" s="74">
        <f>IF(AE24=5,AC44,0)</f>
        <v>0</v>
      </c>
      <c r="AF62" s="70">
        <f>SUM(B62:AE62)</f>
        <v>0</v>
      </c>
    </row>
    <row r="63" spans="1:37" s="70" customFormat="1" ht="38.25" hidden="1" customHeight="1" x14ac:dyDescent="0.2">
      <c r="A63" s="70" t="s">
        <v>103</v>
      </c>
      <c r="D63" s="74"/>
      <c r="G63" s="74"/>
      <c r="J63" s="74"/>
      <c r="M63" s="74"/>
      <c r="P63" s="74"/>
      <c r="S63" s="74"/>
      <c r="V63" s="74"/>
      <c r="Y63" s="74"/>
      <c r="AB63" s="74"/>
      <c r="AE63" s="74"/>
      <c r="AF63" s="73" t="s">
        <v>104</v>
      </c>
      <c r="AG63" s="70" t="s">
        <v>105</v>
      </c>
    </row>
    <row r="64" spans="1:37" s="70" customFormat="1" ht="12.75" hidden="1" customHeight="1" x14ac:dyDescent="0.2">
      <c r="A64" s="70" t="s">
        <v>91</v>
      </c>
      <c r="B64" s="70">
        <f>IF(B24=1,SUMIF(B31:B35,"&gt;0"),0)</f>
        <v>0</v>
      </c>
      <c r="D64" s="74">
        <f>IF(D24=1,SUMIF(D31:D35,"&gt;0"),0)</f>
        <v>0</v>
      </c>
      <c r="E64" s="70">
        <f>IF(E24=1,SUMIF(E31:E35,"&gt;0"),0)</f>
        <v>2</v>
      </c>
      <c r="G64" s="74">
        <f>IF(G24=1,SUMIF(G31:G35,"&gt;0"),0)</f>
        <v>0</v>
      </c>
      <c r="H64" s="70">
        <f>IF(H24=1,SUMIF(H31:H35,"&gt;0"),0)</f>
        <v>0</v>
      </c>
      <c r="J64" s="74">
        <f>IF(J24=1,SUMIF(J31:J35,"&gt;0"),0)</f>
        <v>0</v>
      </c>
      <c r="K64" s="70">
        <f>IF(K24=1,SUMIF(K31:K35,"&gt;0"),0)</f>
        <v>2</v>
      </c>
      <c r="M64" s="74">
        <f>IF(M24=1,SUMIF(M31:M35,"&gt;0"),0)</f>
        <v>0</v>
      </c>
      <c r="N64" s="70">
        <f>IF(N24=1,SUMIF(N31:N35,"&gt;0"),0)</f>
        <v>0</v>
      </c>
      <c r="P64" s="74">
        <f>IF(P24=1,SUMIF(P31:P35,"&gt;0"),0)</f>
        <v>0</v>
      </c>
      <c r="Q64" s="70">
        <f>IF(Q24=1,SUMIF(Q31:Q35,"&gt;0"),0)</f>
        <v>2</v>
      </c>
      <c r="S64" s="74">
        <f>IF(S24=1,SUMIF(S31:S35,"&gt;0"),0)</f>
        <v>0</v>
      </c>
      <c r="T64" s="70">
        <f>IF(T24=1,SUMIF(T31:T35,"&gt;0"),0)</f>
        <v>0</v>
      </c>
      <c r="V64" s="74">
        <f>IF(V24=1,SUMIF(V31:V35,"&gt;0"),0)</f>
        <v>0</v>
      </c>
      <c r="W64" s="70">
        <f>IF(W24=1,SUMIF(W31:W35,"&gt;0"),0)</f>
        <v>0</v>
      </c>
      <c r="Y64" s="74">
        <f>IF(Y24=1,SUMIF(Y31:Y35,"&gt;0"),0)</f>
        <v>0</v>
      </c>
      <c r="Z64" s="70">
        <f>IF(Z24=1,SUMIF(Z31:Z35,"&gt;0"),0)</f>
        <v>0</v>
      </c>
      <c r="AB64" s="74">
        <f>IF(AB24=1,SUMIF(AB31:AB35,"&gt;0"),0)</f>
        <v>0</v>
      </c>
      <c r="AC64" s="70">
        <f>IF(AC24=1,SUMIF(AC31:AC35,"&gt;0"),0)</f>
        <v>0</v>
      </c>
      <c r="AE64" s="74">
        <f>IF(AE24=1,SUMIF(AE31:AE35,"&gt;0"),0)</f>
        <v>0</v>
      </c>
      <c r="AF64" s="70">
        <f>SUM(B64:AE64)</f>
        <v>6</v>
      </c>
      <c r="AG64" s="70">
        <f>AF72-AF64</f>
        <v>0</v>
      </c>
    </row>
    <row r="65" spans="1:54" s="70" customFormat="1" ht="12.75" hidden="1" customHeight="1" x14ac:dyDescent="0.2">
      <c r="A65" s="70" t="s">
        <v>92</v>
      </c>
      <c r="B65" s="70">
        <f>IF(B24=2,SUMIF(B31:B35,"&gt;0"),0)</f>
        <v>1</v>
      </c>
      <c r="D65" s="74">
        <f>IF(D24=2,SUMIF(D31:D35,"&gt;0"),0)</f>
        <v>0</v>
      </c>
      <c r="E65" s="70">
        <f>IF(E24=2,SUMIF(E31:E35,"&gt;0"),0)</f>
        <v>0</v>
      </c>
      <c r="G65" s="74">
        <f>IF(G24=2,SUMIF(G31:G35,"&gt;0"),0)</f>
        <v>0</v>
      </c>
      <c r="H65" s="70">
        <f>IF(H24=2,SUMIF(H31:H35,"&gt;0"),0)</f>
        <v>1</v>
      </c>
      <c r="J65" s="74">
        <f>IF(J24=2,SUMIF(J31:J35,"&gt;0"),0)</f>
        <v>0</v>
      </c>
      <c r="K65" s="70">
        <f>IF(K24=2,SUMIF(K31:K35,"&gt;0"),0)</f>
        <v>0</v>
      </c>
      <c r="M65" s="74">
        <f>IF(M24=2,SUMIF(M31:M35,"&gt;0"),0)</f>
        <v>0</v>
      </c>
      <c r="N65" s="70">
        <f>IF(N24=2,SUMIF(N31:N35,"&gt;0"),0)</f>
        <v>0</v>
      </c>
      <c r="P65" s="74">
        <f>IF(P24=2,SUMIF(P31:P35,"&gt;0"),0)</f>
        <v>0</v>
      </c>
      <c r="Q65" s="70">
        <f>IF(Q24=2,SUMIF(Q31:Q35,"&gt;0"),0)</f>
        <v>0</v>
      </c>
      <c r="S65" s="74">
        <f>IF(S24=2,SUMIF(S31:S35,"&gt;0"),0)</f>
        <v>0</v>
      </c>
      <c r="T65" s="70">
        <f>IF(T24=2,SUMIF(T31:T35,"&gt;0"),0)</f>
        <v>0</v>
      </c>
      <c r="V65" s="74">
        <f>IF(V24=2,SUMIF(V31:V35,"&gt;0"),0)</f>
        <v>0</v>
      </c>
      <c r="W65" s="70">
        <f>IF(W24=2,SUMIF(W31:W35,"&gt;0"),0)</f>
        <v>0</v>
      </c>
      <c r="Y65" s="74">
        <f>IF(Y24=2,SUMIF(Y31:Y35,"&gt;0"),0)</f>
        <v>0</v>
      </c>
      <c r="Z65" s="70">
        <f>IF(Z24=2,SUMIF(Z31:Z35,"&gt;0"),0)</f>
        <v>0</v>
      </c>
      <c r="AB65" s="74">
        <f>IF(AB24=2,SUMIF(AB31:AB35,"&gt;0"),0)</f>
        <v>0</v>
      </c>
      <c r="AC65" s="70">
        <f>IF(AC24=2,SUMIF(AC31:AC35,"&gt;0"),0)</f>
        <v>0</v>
      </c>
      <c r="AE65" s="74">
        <f>IF(AE24=2,SUMIF(AE31:AE35,"&gt;0"),0)</f>
        <v>0</v>
      </c>
      <c r="AF65" s="70">
        <f>SUM(B65:AE65)</f>
        <v>2</v>
      </c>
      <c r="AG65" s="70">
        <f>AF73-AF65</f>
        <v>6</v>
      </c>
    </row>
    <row r="66" spans="1:54" s="70" customFormat="1" ht="12.75" hidden="1" customHeight="1" x14ac:dyDescent="0.2">
      <c r="A66" s="70" t="s">
        <v>93</v>
      </c>
      <c r="B66" s="70">
        <f>IF(B24=3,SUMIF(B31:B35,"&gt;0"),0)</f>
        <v>0</v>
      </c>
      <c r="D66" s="74">
        <f>IF(D24=3,SUMIF(D31:D35,"&gt;0"),0)</f>
        <v>2</v>
      </c>
      <c r="E66" s="70">
        <f>IF(E24=3,SUMIF(E31:E35,"&gt;0"),0)</f>
        <v>0</v>
      </c>
      <c r="G66" s="74">
        <f>IF(G24=3,SUMIF(G31:G35,"&gt;0"),0)</f>
        <v>0</v>
      </c>
      <c r="H66" s="70">
        <f>IF(H24=3,SUMIF(H31:H35,"&gt;0"),0)</f>
        <v>0</v>
      </c>
      <c r="J66" s="74">
        <f>IF(J24=3,SUMIF(J31:J35,"&gt;0"),0)</f>
        <v>0</v>
      </c>
      <c r="K66" s="70">
        <f>IF(K24=3,SUMIF(K31:K35,"&gt;0"),0)</f>
        <v>0</v>
      </c>
      <c r="M66" s="74">
        <f>IF(M24=3,SUMIF(M31:M35,"&gt;0"),0)</f>
        <v>0</v>
      </c>
      <c r="N66" s="70">
        <f>IF(N24=3,SUMIF(N31:N35,"&gt;0"),0)</f>
        <v>0</v>
      </c>
      <c r="P66" s="74">
        <f>IF(P24=3,SUMIF(P31:P35,"&gt;0"),0)</f>
        <v>0</v>
      </c>
      <c r="Q66" s="70">
        <f>IF(Q24=3,SUMIF(Q31:Q35,"&gt;0"),0)</f>
        <v>0</v>
      </c>
      <c r="S66" s="74">
        <f>IF(S24=3,SUMIF(S31:S35,"&gt;0"),0)</f>
        <v>0</v>
      </c>
      <c r="T66" s="70">
        <f>IF(T24=3,SUMIF(T31:T35,"&gt;0"),0)</f>
        <v>0</v>
      </c>
      <c r="V66" s="74">
        <f>IF(V24=3,SUMIF(V31:V35,"&gt;0"),0)</f>
        <v>0</v>
      </c>
      <c r="W66" s="70">
        <f>IF(W24=3,SUMIF(W31:W35,"&gt;0"),0)</f>
        <v>0</v>
      </c>
      <c r="Y66" s="74">
        <f>IF(Y24=3,SUMIF(Y31:Y35,"&gt;0"),0)</f>
        <v>0</v>
      </c>
      <c r="Z66" s="70">
        <f>IF(Z24=3,SUMIF(Z31:Z35,"&gt;0"),0)</f>
        <v>0</v>
      </c>
      <c r="AB66" s="74">
        <f>IF(AB24=3,SUMIF(AB31:AB35,"&gt;0"),0)</f>
        <v>0</v>
      </c>
      <c r="AC66" s="70">
        <f>IF(AC24=3,SUMIF(AC31:AC35,"&gt;0"),0)</f>
        <v>0</v>
      </c>
      <c r="AE66" s="74">
        <f>IF(AE24=3,SUMIF(AE31:AE35,"&gt;0"),0)</f>
        <v>0</v>
      </c>
      <c r="AF66" s="70">
        <f>SUM(B66:AE66)</f>
        <v>2</v>
      </c>
      <c r="AG66" s="70">
        <f>AF74-AF66</f>
        <v>5</v>
      </c>
    </row>
    <row r="67" spans="1:54" s="70" customFormat="1" ht="12.75" hidden="1" customHeight="1" x14ac:dyDescent="0.2">
      <c r="A67" s="70" t="s">
        <v>94</v>
      </c>
      <c r="B67" s="70">
        <f>IF(B24=4,SUMIF(B31:B35,"&gt;0"),0)</f>
        <v>0</v>
      </c>
      <c r="D67" s="74">
        <f>IF(D24=4,SUMIF(D31:D35,"&gt;0"),0)</f>
        <v>0</v>
      </c>
      <c r="E67" s="70">
        <f>IF(E24=4,SUMIF(E31:E35,"&gt;0"),0)</f>
        <v>0</v>
      </c>
      <c r="G67" s="74">
        <f>IF(G24=4,SUMIF(G31:G35,"&gt;0"),0)</f>
        <v>0</v>
      </c>
      <c r="H67" s="70">
        <f>IF(H24=4,SUMIF(H31:H35,"&gt;0"),0)</f>
        <v>0</v>
      </c>
      <c r="J67" s="74">
        <f>IF(J24=4,SUMIF(J31:J35,"&gt;0"),0)</f>
        <v>2</v>
      </c>
      <c r="K67" s="70">
        <f>IF(K24=4,SUMIF(K31:K35,"&gt;0"),0)</f>
        <v>0</v>
      </c>
      <c r="M67" s="74">
        <f>IF(M24=4,SUMIF(M31:M35,"&gt;0"),0)</f>
        <v>0</v>
      </c>
      <c r="N67" s="70">
        <f>IF(N24=4,SUMIF(N31:N35,"&gt;0"),0)</f>
        <v>0</v>
      </c>
      <c r="P67" s="74">
        <f>IF(P24=4,SUMIF(P31:P35,"&gt;0"),0)</f>
        <v>2</v>
      </c>
      <c r="Q67" s="70">
        <f>IF(Q24=4,SUMIF(Q31:Q35,"&gt;0"),0)</f>
        <v>0</v>
      </c>
      <c r="S67" s="74">
        <f>IF(S24=4,SUMIF(S31:S35,"&gt;0"),0)</f>
        <v>0</v>
      </c>
      <c r="T67" s="70">
        <f>IF(T24=4,SUMIF(T31:T35,"&gt;0"),0)</f>
        <v>0</v>
      </c>
      <c r="V67" s="74">
        <f>IF(V24=4,SUMIF(V31:V35,"&gt;0"),0)</f>
        <v>0</v>
      </c>
      <c r="W67" s="70">
        <f>IF(W24=4,SUMIF(W31:W35,"&gt;0"),0)</f>
        <v>0</v>
      </c>
      <c r="Y67" s="74">
        <f>IF(Y24=4,SUMIF(Y31:Y35,"&gt;0"),0)</f>
        <v>0</v>
      </c>
      <c r="Z67" s="70">
        <f>IF(Z24=4,SUMIF(Z31:Z35,"&gt;0"),0)</f>
        <v>0</v>
      </c>
      <c r="AB67" s="74">
        <f>IF(AB24=4,SUMIF(AB31:AB35,"&gt;0"),0)</f>
        <v>0</v>
      </c>
      <c r="AC67" s="70">
        <f>IF(AC24=4,SUMIF(AC31:AC35,"&gt;0"),0)</f>
        <v>0</v>
      </c>
      <c r="AE67" s="74">
        <f>IF(AE24=4,SUMIF(AE31:AE35,"&gt;0"),0)</f>
        <v>0</v>
      </c>
      <c r="AF67" s="70">
        <f>SUM(B67:AE67)</f>
        <v>4</v>
      </c>
      <c r="AG67" s="70">
        <f>AF75-AF67</f>
        <v>3</v>
      </c>
    </row>
    <row r="68" spans="1:54" s="70" customFormat="1" ht="12.75" hidden="1" customHeight="1" x14ac:dyDescent="0.2">
      <c r="A68" s="70" t="s">
        <v>95</v>
      </c>
      <c r="B68" s="70">
        <f>IF(B24=5,SUMIF(B31:B35,"&gt;0"),0)</f>
        <v>0</v>
      </c>
      <c r="D68" s="74">
        <f>IF(D24=5,SUMIF(D31:D35,"&gt;0"),0)</f>
        <v>0</v>
      </c>
      <c r="E68" s="70">
        <f>IF(E24=5,SUMIF(E31:E35,"&gt;0"),0)</f>
        <v>0</v>
      </c>
      <c r="G68" s="74">
        <f>IF(G24=5,SUMIF(G31:G35,"&gt;0"),0)</f>
        <v>0</v>
      </c>
      <c r="H68" s="70">
        <f>IF(H24=5,SUMIF(H31:H35,"&gt;0"),0)</f>
        <v>0</v>
      </c>
      <c r="J68" s="74">
        <f>IF(J24=5,SUMIF(J31:J35,"&gt;0"),0)</f>
        <v>0</v>
      </c>
      <c r="K68" s="70">
        <f>IF(K24=5,SUMIF(K31:K35,"&gt;0"),0)</f>
        <v>0</v>
      </c>
      <c r="M68" s="74">
        <f>IF(M24=5,SUMIF(M31:M35,"&gt;0"),0)</f>
        <v>0</v>
      </c>
      <c r="N68" s="70">
        <f>IF(N24=5,SUMIF(N31:N35,"&gt;0"),0)</f>
        <v>0</v>
      </c>
      <c r="P68" s="74">
        <f>IF(P24=5,SUMIF(P31:P35,"&gt;0"),0)</f>
        <v>0</v>
      </c>
      <c r="Q68" s="70">
        <f>IF(Q24=5,SUMIF(Q31:Q35,"&gt;0"),0)</f>
        <v>0</v>
      </c>
      <c r="S68" s="74">
        <f>IF(S24=5,SUMIF(S31:S35,"&gt;0"),0)</f>
        <v>0</v>
      </c>
      <c r="T68" s="70">
        <f>IF(T24=5,SUMIF(T31:T35,"&gt;0"),0)</f>
        <v>0</v>
      </c>
      <c r="V68" s="74">
        <f>IF(V24=5,SUMIF(V31:V35,"&gt;0"),0)</f>
        <v>0</v>
      </c>
      <c r="W68" s="70">
        <f>IF(W24=5,SUMIF(W31:W35,"&gt;0"),0)</f>
        <v>0</v>
      </c>
      <c r="Y68" s="74">
        <f>IF(Y24=5,SUMIF(Y31:Y35,"&gt;0"),0)</f>
        <v>0</v>
      </c>
      <c r="Z68" s="70">
        <f>IF(Z24=5,SUMIF(Z31:Z35,"&gt;0"),0)</f>
        <v>0</v>
      </c>
      <c r="AB68" s="74">
        <f>IF(AB24=5,SUMIF(AB31:AB35,"&gt;0"),0)</f>
        <v>0</v>
      </c>
      <c r="AC68" s="70">
        <f>IF(AC24=5,SUMIF(AC31:AC35,"&gt;0"),0)</f>
        <v>0</v>
      </c>
      <c r="AE68" s="74">
        <f>IF(AE24=5,SUMIF(AE31:AE35,"&gt;0"),0)</f>
        <v>0</v>
      </c>
      <c r="AF68" s="70">
        <f>SUM(B68:AE68)</f>
        <v>0</v>
      </c>
      <c r="AG68" s="70">
        <f>AF76-AF68</f>
        <v>0</v>
      </c>
    </row>
    <row r="69" spans="1:54" s="70" customFormat="1" ht="12.75" hidden="1" customHeight="1" x14ac:dyDescent="0.2">
      <c r="D69" s="74"/>
      <c r="G69" s="74"/>
      <c r="J69" s="74"/>
      <c r="M69" s="74"/>
      <c r="P69" s="74"/>
      <c r="S69" s="74"/>
      <c r="V69" s="74"/>
      <c r="Y69" s="74"/>
      <c r="AB69" s="74"/>
      <c r="AE69" s="74"/>
    </row>
    <row r="70" spans="1:54" s="70" customFormat="1" ht="12.75" hidden="1" customHeight="1" x14ac:dyDescent="0.2">
      <c r="D70" s="74"/>
      <c r="G70" s="74"/>
      <c r="J70" s="74"/>
      <c r="M70" s="74"/>
      <c r="P70" s="74"/>
      <c r="S70" s="74"/>
      <c r="V70" s="74"/>
      <c r="Y70" s="74"/>
      <c r="AB70" s="74"/>
      <c r="AE70" s="74"/>
    </row>
    <row r="71" spans="1:54" s="70" customFormat="1" ht="51" hidden="1" customHeight="1" x14ac:dyDescent="0.2">
      <c r="A71" s="73" t="s">
        <v>106</v>
      </c>
      <c r="C71" s="70">
        <f>SUMIF(B64:D68,"&gt;0")</f>
        <v>3</v>
      </c>
      <c r="D71" s="74"/>
      <c r="F71" s="70">
        <f>SUMIF(E64:G68,"&gt;0")</f>
        <v>2</v>
      </c>
      <c r="G71" s="74"/>
      <c r="I71" s="70">
        <f>SUMIF(H64:J68,"&gt;0")</f>
        <v>3</v>
      </c>
      <c r="J71" s="74"/>
      <c r="L71" s="70">
        <f>SUMIF(K64:M68,"&gt;0")</f>
        <v>2</v>
      </c>
      <c r="M71" s="74"/>
      <c r="O71" s="70">
        <f>SUMIF(N64:P68,"&gt;0")</f>
        <v>2</v>
      </c>
      <c r="P71" s="74"/>
      <c r="R71" s="70">
        <f>SUMIF(Q64:S68,"&gt;0")</f>
        <v>2</v>
      </c>
      <c r="S71" s="74"/>
      <c r="U71" s="70">
        <f>SUMIF(T64:V68,"&gt;0")</f>
        <v>0</v>
      </c>
      <c r="V71" s="74"/>
      <c r="X71" s="70">
        <f>SUMIF(W64:Y68,"&gt;0")</f>
        <v>0</v>
      </c>
      <c r="Y71" s="74"/>
      <c r="AA71" s="70">
        <f>SUMIF(Z64:AB68,"&gt;0")</f>
        <v>0</v>
      </c>
      <c r="AB71" s="74"/>
      <c r="AD71" s="70">
        <f>SUMIF(AC64:AE68,"&gt;0")</f>
        <v>0</v>
      </c>
      <c r="AE71" s="74"/>
      <c r="AF71" s="73" t="s">
        <v>107</v>
      </c>
    </row>
    <row r="72" spans="1:54" s="70" customFormat="1" ht="12.75" hidden="1" customHeight="1" x14ac:dyDescent="0.2">
      <c r="A72" s="70" t="s">
        <v>97</v>
      </c>
      <c r="B72" s="70">
        <f>IF(B24=1,C71,0)</f>
        <v>0</v>
      </c>
      <c r="D72" s="74">
        <f>IF(D24=1,C71,0)</f>
        <v>0</v>
      </c>
      <c r="E72" s="70">
        <f>IF(E24=1,F71,0)</f>
        <v>2</v>
      </c>
      <c r="G72" s="74">
        <f>IF(G24=1,F71,0)</f>
        <v>0</v>
      </c>
      <c r="H72" s="70">
        <f>IF(H24=1,I71,0)</f>
        <v>0</v>
      </c>
      <c r="J72" s="74">
        <f>IF(J24=1,I71,0)</f>
        <v>0</v>
      </c>
      <c r="K72" s="70">
        <f>IF(K24=1,L71,0)</f>
        <v>2</v>
      </c>
      <c r="M72" s="74">
        <f>IF(M24=1,L71,0)</f>
        <v>0</v>
      </c>
      <c r="N72" s="70">
        <f>IF(N24=1,O71,0)</f>
        <v>0</v>
      </c>
      <c r="P72" s="74">
        <f>IF(P24=1,O71,0)</f>
        <v>0</v>
      </c>
      <c r="Q72" s="70">
        <f>IF(Q24=1,R71,0)</f>
        <v>2</v>
      </c>
      <c r="S72" s="74">
        <f>IF(S24=1,R71,0)</f>
        <v>0</v>
      </c>
      <c r="T72" s="70">
        <f>IF(T24=1,U71,0)</f>
        <v>0</v>
      </c>
      <c r="V72" s="74">
        <f>IF(V24=1,U71,0)</f>
        <v>0</v>
      </c>
      <c r="W72" s="70">
        <f>IF(W24=1,X71,0)</f>
        <v>0</v>
      </c>
      <c r="Y72" s="74">
        <f>IF(Y24=1,X71,0)</f>
        <v>0</v>
      </c>
      <c r="Z72" s="70">
        <f>IF(Z24=1,AA71,0)</f>
        <v>0</v>
      </c>
      <c r="AB72" s="74">
        <f>IF(AB24=1,AA71,0)</f>
        <v>0</v>
      </c>
      <c r="AC72" s="70">
        <f>IF(AC24=1,AD71,0)</f>
        <v>0</v>
      </c>
      <c r="AE72" s="74">
        <f>IF(AE24=1,AD71,0)</f>
        <v>0</v>
      </c>
      <c r="AF72" s="70">
        <f>SUM(B72:AE72)</f>
        <v>6</v>
      </c>
    </row>
    <row r="73" spans="1:54" s="70" customFormat="1" ht="12.75" hidden="1" customHeight="1" x14ac:dyDescent="0.2">
      <c r="A73" s="70" t="s">
        <v>98</v>
      </c>
      <c r="B73" s="70">
        <f>IF(B24=2,C71,0)</f>
        <v>3</v>
      </c>
      <c r="D73" s="74">
        <f>IF(D24=2,C71,0)</f>
        <v>0</v>
      </c>
      <c r="E73" s="70">
        <f>IF(E24=2,F71,0)</f>
        <v>0</v>
      </c>
      <c r="G73" s="74">
        <f>IF(G24=2,F71,0)</f>
        <v>0</v>
      </c>
      <c r="H73" s="70">
        <f>IF(H24=2,I71,0)</f>
        <v>3</v>
      </c>
      <c r="J73" s="74">
        <f>IF(J24=2,I71,0)</f>
        <v>0</v>
      </c>
      <c r="K73" s="70">
        <f>IF(K24=2,L71,0)</f>
        <v>0</v>
      </c>
      <c r="M73" s="74">
        <f>IF(M24=2,L71,0)</f>
        <v>0</v>
      </c>
      <c r="N73" s="70">
        <f>IF(N24=2,O71,0)</f>
        <v>0</v>
      </c>
      <c r="P73" s="74">
        <f>IF(P24=2,O71,0)</f>
        <v>0</v>
      </c>
      <c r="Q73" s="70">
        <f>IF(Q24=2,R71,0)</f>
        <v>0</v>
      </c>
      <c r="S73" s="74">
        <f>IF(S24=2,R71,0)</f>
        <v>2</v>
      </c>
      <c r="T73" s="70">
        <f>IF(T24=2,U71,0)</f>
        <v>0</v>
      </c>
      <c r="V73" s="74">
        <f>IF(V24=2,U71,0)</f>
        <v>0</v>
      </c>
      <c r="W73" s="70">
        <f>IF(W24=2,X71,0)</f>
        <v>0</v>
      </c>
      <c r="Y73" s="74">
        <f>IF(Y24=2,X71,0)</f>
        <v>0</v>
      </c>
      <c r="Z73" s="70">
        <f>IF(Z24=2,AA71,0)</f>
        <v>0</v>
      </c>
      <c r="AB73" s="74">
        <f>IF(AB24=2,AA71,0)</f>
        <v>0</v>
      </c>
      <c r="AC73" s="70">
        <f>IF(AC24=2,AD71,0)</f>
        <v>0</v>
      </c>
      <c r="AE73" s="74">
        <f>IF(AE24=2,AD71,0)</f>
        <v>0</v>
      </c>
      <c r="AF73" s="70">
        <f>SUM(B73:AE73)</f>
        <v>8</v>
      </c>
    </row>
    <row r="74" spans="1:54" s="70" customFormat="1" ht="12.75" hidden="1" customHeight="1" x14ac:dyDescent="0.2">
      <c r="A74" s="70" t="s">
        <v>99</v>
      </c>
      <c r="B74" s="70">
        <f>IF(B24=3,C71,0)</f>
        <v>0</v>
      </c>
      <c r="D74" s="74">
        <f>IF(D24=3,C71,0)</f>
        <v>3</v>
      </c>
      <c r="E74" s="70">
        <f>IF(E24=3,F71,0)</f>
        <v>0</v>
      </c>
      <c r="G74" s="74">
        <f>IF(G24=3,F71,0)</f>
        <v>0</v>
      </c>
      <c r="H74" s="70">
        <f>IF(H24=3,I71,0)</f>
        <v>0</v>
      </c>
      <c r="J74" s="74">
        <f>IF(J24=3,I71,0)</f>
        <v>0</v>
      </c>
      <c r="K74" s="70">
        <f>IF(K24=3,L71,0)</f>
        <v>0</v>
      </c>
      <c r="M74" s="74">
        <f>IF(M24=3,L71,0)</f>
        <v>2</v>
      </c>
      <c r="N74" s="70">
        <f>IF(N24=3,O71,0)</f>
        <v>2</v>
      </c>
      <c r="P74" s="74">
        <f>IF(P24=3,O71,0)</f>
        <v>0</v>
      </c>
      <c r="Q74" s="70">
        <f>IF(Q24=3,R71,0)</f>
        <v>0</v>
      </c>
      <c r="S74" s="74">
        <f>IF(S24=3,R71,0)</f>
        <v>0</v>
      </c>
      <c r="T74" s="70">
        <f>IF(T24=3,U71,0)</f>
        <v>0</v>
      </c>
      <c r="V74" s="74">
        <f>IF(V24=3,U71,0)</f>
        <v>0</v>
      </c>
      <c r="W74" s="70">
        <f>IF(W24=3,X71,0)</f>
        <v>0</v>
      </c>
      <c r="Y74" s="74">
        <f>IF(Y24=3,X71,0)</f>
        <v>0</v>
      </c>
      <c r="Z74" s="70">
        <f>IF(Z24=3,AA71,0)</f>
        <v>0</v>
      </c>
      <c r="AB74" s="74">
        <f>IF(AB24=3,AA71,0)</f>
        <v>0</v>
      </c>
      <c r="AC74" s="70">
        <f>IF(AC24=3,AD71,0)</f>
        <v>0</v>
      </c>
      <c r="AE74" s="74">
        <f>IF(AE24=3,AD71,0)</f>
        <v>0</v>
      </c>
      <c r="AF74" s="70">
        <f>SUM(B74:AE74)</f>
        <v>7</v>
      </c>
    </row>
    <row r="75" spans="1:54" s="70" customFormat="1" ht="12.75" hidden="1" customHeight="1" x14ac:dyDescent="0.2">
      <c r="A75" s="70" t="s">
        <v>100</v>
      </c>
      <c r="B75" s="70">
        <f>IF(B24=4,C71,0)</f>
        <v>0</v>
      </c>
      <c r="D75" s="74">
        <f>IF(D24=4,C71,0)</f>
        <v>0</v>
      </c>
      <c r="E75" s="70">
        <f>IF(E24=4,F71,0)</f>
        <v>0</v>
      </c>
      <c r="G75" s="74">
        <f>IF(G24=4,F71,0)</f>
        <v>2</v>
      </c>
      <c r="H75" s="70">
        <f>IF(H24=4,I71,0)</f>
        <v>0</v>
      </c>
      <c r="J75" s="74">
        <f>IF(J24=4,I71,0)</f>
        <v>3</v>
      </c>
      <c r="K75" s="70">
        <f>IF(K24=4,L71,0)</f>
        <v>0</v>
      </c>
      <c r="M75" s="74">
        <f>IF(M24=4,L71,0)</f>
        <v>0</v>
      </c>
      <c r="N75" s="70">
        <f>IF(N24=4,O71,0)</f>
        <v>0</v>
      </c>
      <c r="P75" s="74">
        <f>IF(P24=4,O71,0)</f>
        <v>2</v>
      </c>
      <c r="Q75" s="70">
        <f>IF(Q24=4,R71,0)</f>
        <v>0</v>
      </c>
      <c r="S75" s="74">
        <f>IF(S24=4,R71,0)</f>
        <v>0</v>
      </c>
      <c r="T75" s="70">
        <f>IF(T24=4,U71,0)</f>
        <v>0</v>
      </c>
      <c r="V75" s="74">
        <f>IF(V24=4,U71,0)</f>
        <v>0</v>
      </c>
      <c r="W75" s="70">
        <f>IF(W24=4,X71,0)</f>
        <v>0</v>
      </c>
      <c r="Y75" s="74">
        <f>IF(Y24=4,X71,0)</f>
        <v>0</v>
      </c>
      <c r="Z75" s="70">
        <f>IF(Z24=4,AA71,0)</f>
        <v>0</v>
      </c>
      <c r="AB75" s="74">
        <f>IF(AB24=4,AA71,0)</f>
        <v>0</v>
      </c>
      <c r="AC75" s="70">
        <f>IF(AC24=4,AD71,0)</f>
        <v>0</v>
      </c>
      <c r="AE75" s="74">
        <f>IF(AE24=4,AD71,0)</f>
        <v>0</v>
      </c>
      <c r="AF75" s="70">
        <f>SUM(B75:AE75)</f>
        <v>7</v>
      </c>
    </row>
    <row r="76" spans="1:54" s="70" customFormat="1" ht="12.75" hidden="1" customHeight="1" x14ac:dyDescent="0.2">
      <c r="A76" s="70" t="s">
        <v>101</v>
      </c>
      <c r="B76" s="70">
        <f>IF(B24=5,C71,0)</f>
        <v>0</v>
      </c>
      <c r="D76" s="74">
        <f>IF(D24=5,C71,0)</f>
        <v>0</v>
      </c>
      <c r="E76" s="70">
        <f>IF(E24=5,F71,0)</f>
        <v>0</v>
      </c>
      <c r="G76" s="74">
        <f>IF(G24=5,F71,0)</f>
        <v>0</v>
      </c>
      <c r="H76" s="70">
        <f>IF(H24=5,I71,0)</f>
        <v>0</v>
      </c>
      <c r="J76" s="74">
        <f>IF(J24=5,I71,0)</f>
        <v>0</v>
      </c>
      <c r="K76" s="70">
        <f>IF(K24=5,L71,0)</f>
        <v>0</v>
      </c>
      <c r="M76" s="74">
        <f>IF(M24=5,L71,0)</f>
        <v>0</v>
      </c>
      <c r="N76" s="70">
        <f>IF(N24=5,O71,0)</f>
        <v>0</v>
      </c>
      <c r="P76" s="74">
        <f>IF(P24=5,O71,0)</f>
        <v>0</v>
      </c>
      <c r="Q76" s="70">
        <f>IF(Q24=5,R71,0)</f>
        <v>0</v>
      </c>
      <c r="S76" s="74">
        <f>IF(S24=5,R71,0)</f>
        <v>0</v>
      </c>
      <c r="T76" s="70">
        <f>IF(T24=5,U71,0)</f>
        <v>0</v>
      </c>
      <c r="V76" s="74">
        <f>IF(V24=5,U71,0)</f>
        <v>0</v>
      </c>
      <c r="W76" s="70">
        <f>IF(W24=5,X71,0)</f>
        <v>0</v>
      </c>
      <c r="Y76" s="74">
        <f>IF(Y24=5,X71,0)</f>
        <v>0</v>
      </c>
      <c r="Z76" s="70">
        <f>IF(Z24=5,AA71,0)</f>
        <v>0</v>
      </c>
      <c r="AB76" s="74">
        <f>IF(AB24=5,AA71,0)</f>
        <v>0</v>
      </c>
      <c r="AC76" s="70">
        <f>IF(AC24=5,AD71,0)</f>
        <v>0</v>
      </c>
      <c r="AE76" s="74">
        <f>IF(AE24=5,AD71,0)</f>
        <v>0</v>
      </c>
      <c r="AF76" s="70">
        <f>SUM(B76:AE76)</f>
        <v>0</v>
      </c>
    </row>
    <row r="77" spans="1:54" hidden="1" x14ac:dyDescent="0.2">
      <c r="A77" s="95"/>
      <c r="B77" s="95"/>
      <c r="C77" s="95"/>
      <c r="D77" s="95"/>
      <c r="E77" s="95"/>
      <c r="F77" s="95"/>
      <c r="G77" s="95"/>
      <c r="H77" s="95"/>
      <c r="I77" s="95"/>
      <c r="J77" s="95"/>
      <c r="K77" s="95"/>
      <c r="L77" s="95"/>
      <c r="M77" s="95"/>
      <c r="N77" s="95"/>
      <c r="O77" s="95"/>
      <c r="P77" s="95"/>
      <c r="Q77" s="95"/>
      <c r="R77" s="95"/>
      <c r="S77" s="95"/>
      <c r="T77" s="95"/>
      <c r="U77" s="95"/>
      <c r="V77" s="95"/>
      <c r="W77" s="95"/>
      <c r="X77" s="95"/>
      <c r="Y77" s="95"/>
      <c r="Z77" s="95"/>
      <c r="AA77" s="95"/>
      <c r="AB77" s="95"/>
      <c r="AC77" s="95"/>
      <c r="AD77" s="95"/>
      <c r="AE77" s="95"/>
      <c r="AF77" s="95"/>
      <c r="AG77" s="95"/>
      <c r="AH77" s="95"/>
      <c r="AI77" s="95"/>
      <c r="AJ77" s="95"/>
      <c r="AK77" s="95"/>
      <c r="AL77" s="95"/>
      <c r="AM77" s="95"/>
      <c r="AN77" s="96"/>
      <c r="AO77" s="96"/>
      <c r="AP77" s="96"/>
      <c r="AQ77" s="96"/>
      <c r="AR77" s="77"/>
      <c r="AS77" s="77"/>
      <c r="AT77" s="77"/>
      <c r="AU77" s="77"/>
      <c r="AV77" s="77"/>
      <c r="AW77" s="156"/>
      <c r="BB77" s="156"/>
    </row>
    <row r="78" spans="1:54" s="77" customFormat="1" hidden="1" x14ac:dyDescent="0.2">
      <c r="A78" s="79"/>
      <c r="B78" s="79"/>
      <c r="C78" s="79" t="s">
        <v>108</v>
      </c>
      <c r="D78" s="79">
        <v>1</v>
      </c>
      <c r="E78" s="79"/>
      <c r="F78" s="79"/>
      <c r="G78" s="79">
        <v>2</v>
      </c>
      <c r="H78" s="79"/>
      <c r="I78" s="79"/>
      <c r="J78" s="79">
        <v>3</v>
      </c>
      <c r="K78" s="79"/>
      <c r="L78" s="79"/>
      <c r="M78" s="79">
        <v>4</v>
      </c>
      <c r="N78" s="79"/>
      <c r="O78" s="79"/>
      <c r="P78" s="79">
        <v>5</v>
      </c>
      <c r="Q78" s="79"/>
      <c r="R78" s="79"/>
      <c r="S78" s="79">
        <v>6</v>
      </c>
      <c r="T78" s="79"/>
      <c r="U78" s="79"/>
      <c r="V78" s="79">
        <v>7</v>
      </c>
      <c r="W78" s="79"/>
      <c r="X78" s="79"/>
      <c r="Y78" s="79">
        <v>8</v>
      </c>
      <c r="Z78" s="79"/>
      <c r="AA78" s="79"/>
      <c r="AB78" s="79">
        <v>9</v>
      </c>
      <c r="AC78" s="79"/>
      <c r="AD78" s="79"/>
      <c r="AE78" s="79">
        <v>10</v>
      </c>
      <c r="AF78" s="4"/>
      <c r="AG78" s="79"/>
      <c r="AI78" s="80"/>
      <c r="AJ78" s="4"/>
      <c r="AK78" s="4"/>
      <c r="AL78" s="4"/>
      <c r="AM78" s="4"/>
      <c r="AN78" s="4"/>
      <c r="AO78" s="4"/>
      <c r="AT78" s="80" t="s">
        <v>109</v>
      </c>
      <c r="AW78" s="81"/>
      <c r="BB78" s="81"/>
    </row>
    <row r="79" spans="1:54" s="77" customFormat="1" hidden="1" x14ac:dyDescent="0.2">
      <c r="A79" s="82">
        <v>1</v>
      </c>
      <c r="B79" s="82" t="str">
        <f>E8</f>
        <v>Lake Murray 12 Red</v>
      </c>
      <c r="C79" s="82">
        <f>VLOOKUP(B79,AU$3:AY$7,3,FALSE)</f>
        <v>1765.8607290603154</v>
      </c>
      <c r="D79" s="82">
        <f>IF(B72,B87,IF(D72,D87,C79))</f>
        <v>1765.8607290603154</v>
      </c>
      <c r="E79" s="82"/>
      <c r="F79" s="82"/>
      <c r="G79" s="82">
        <f>IF(E72,E87,IF(G72,G87,D79))</f>
        <v>1773.7742341866201</v>
      </c>
      <c r="H79" s="82"/>
      <c r="I79" s="82"/>
      <c r="J79" s="82">
        <f>IF(H72,H87,IF(J72,J87,G79))</f>
        <v>1773.7742341866201</v>
      </c>
      <c r="K79" s="82"/>
      <c r="L79" s="82"/>
      <c r="M79" s="82">
        <f>IF(K72,K87,IF(M72,M87,J79))</f>
        <v>1783.9829651708919</v>
      </c>
      <c r="N79" s="82"/>
      <c r="O79" s="82"/>
      <c r="P79" s="82">
        <f>IF(N72,N87,IF(P72,P87,M79))</f>
        <v>1783.9829651708919</v>
      </c>
      <c r="Q79" s="82"/>
      <c r="R79" s="82"/>
      <c r="S79" s="82">
        <f>IF(Q72,Q87,IF(S72,S87,P79))</f>
        <v>1795.9658583196606</v>
      </c>
      <c r="T79" s="82"/>
      <c r="U79" s="82"/>
      <c r="V79" s="82">
        <f>IF(T72,T87,IF(V72,V87,S79))</f>
        <v>1795.9658583196606</v>
      </c>
      <c r="W79" s="82"/>
      <c r="X79" s="82"/>
      <c r="Y79" s="82">
        <f>IF(W72,W87,IF(Y72,Y87,V79))</f>
        <v>1795.9658583196606</v>
      </c>
      <c r="Z79" s="82"/>
      <c r="AA79" s="82"/>
      <c r="AB79" s="82">
        <f>IF(Z72,Z87,IF(AB72,AB87,Y79))</f>
        <v>1795.9658583196606</v>
      </c>
      <c r="AC79" s="82"/>
      <c r="AD79" s="82"/>
      <c r="AE79" s="82">
        <f>IF(AC72,AC87,IF(AE72,AE87,AB79))</f>
        <v>1795.9658583196606</v>
      </c>
      <c r="AF79" s="4"/>
      <c r="AG79" s="4"/>
      <c r="AJ79" s="4"/>
      <c r="AK79" s="4"/>
      <c r="AL79" s="4"/>
      <c r="AM79" s="4"/>
      <c r="AN79" s="4"/>
      <c r="AO79" s="4"/>
      <c r="AT79" s="77" t="str">
        <f>B79</f>
        <v>Lake Murray 12 Red</v>
      </c>
      <c r="AU79" s="77">
        <f>AE79</f>
        <v>1795.9658583196606</v>
      </c>
      <c r="AW79" s="81"/>
      <c r="BB79" s="81"/>
    </row>
    <row r="80" spans="1:54" s="77" customFormat="1" hidden="1" x14ac:dyDescent="0.2">
      <c r="A80" s="82">
        <v>2</v>
      </c>
      <c r="B80" s="82" t="str">
        <f>E10</f>
        <v>Kershaw 12 Black</v>
      </c>
      <c r="C80" s="82">
        <f>VLOOKUP(B80,AU$3:AY$7,3,FALSE)</f>
        <v>1599.5723816566881</v>
      </c>
      <c r="D80" s="82">
        <f>IF(B73,B87,IF(D73,D87,C80))</f>
        <v>1564.044929657794</v>
      </c>
      <c r="E80" s="82"/>
      <c r="F80" s="82"/>
      <c r="G80" s="82">
        <f>IF(E73,E87,IF(G73,G87,D80))</f>
        <v>1564.044929657794</v>
      </c>
      <c r="H80" s="82"/>
      <c r="I80" s="82"/>
      <c r="J80" s="82">
        <f>IF(H73,H87,IF(J73,J87,G80))</f>
        <v>1528.9491624947302</v>
      </c>
      <c r="K80" s="82"/>
      <c r="L80" s="82"/>
      <c r="M80" s="82">
        <f>IF(K73,K87,IF(M73,M87,J80))</f>
        <v>1528.9491624947302</v>
      </c>
      <c r="N80" s="82"/>
      <c r="O80" s="82"/>
      <c r="P80" s="82">
        <f>IF(N73,N87,IF(P73,P87,M80))</f>
        <v>1528.9491624947302</v>
      </c>
      <c r="Q80" s="82"/>
      <c r="R80" s="82"/>
      <c r="S80" s="82">
        <f>IF(Q73,Q87,IF(S73,S87,P80))</f>
        <v>1516.9662693459616</v>
      </c>
      <c r="T80" s="82"/>
      <c r="U80" s="82"/>
      <c r="V80" s="82">
        <f>IF(T73,T87,IF(V73,V87,S80))</f>
        <v>1516.9662693459616</v>
      </c>
      <c r="W80" s="82"/>
      <c r="X80" s="82"/>
      <c r="Y80" s="82">
        <f>IF(W73,W87,IF(Y73,Y87,V80))</f>
        <v>1516.9662693459616</v>
      </c>
      <c r="Z80" s="82"/>
      <c r="AA80" s="82"/>
      <c r="AB80" s="82">
        <f>IF(Z73,Z87,IF(AB73,AB87,Y80))</f>
        <v>1516.9662693459616</v>
      </c>
      <c r="AC80" s="82"/>
      <c r="AD80" s="82"/>
      <c r="AE80" s="82">
        <f>IF(AC73,AC87,IF(AE73,AE87,AB80))</f>
        <v>1516.9662693459616</v>
      </c>
      <c r="AF80" s="4"/>
      <c r="AG80" s="4"/>
      <c r="AJ80" s="4"/>
      <c r="AL80" s="4"/>
      <c r="AM80" s="4"/>
      <c r="AN80" s="4"/>
      <c r="AO80" s="4"/>
      <c r="AT80" s="77" t="str">
        <f>B80</f>
        <v>Kershaw 12 Black</v>
      </c>
      <c r="AU80" s="77">
        <f>AE80</f>
        <v>1516.9662693459616</v>
      </c>
      <c r="AW80" s="81"/>
      <c r="BB80" s="81"/>
    </row>
    <row r="81" spans="1:54" s="77" customFormat="1" hidden="1" x14ac:dyDescent="0.2">
      <c r="A81" s="82">
        <v>3</v>
      </c>
      <c r="B81" s="82" t="str">
        <f>E12</f>
        <v>MOTO 12 IGNITE</v>
      </c>
      <c r="C81" s="82">
        <f>VLOOKUP(B81,AU$3:AY$7,3,FALSE)</f>
        <v>1449.5507700226187</v>
      </c>
      <c r="D81" s="82">
        <f>IF(B74,B87,IF(D74,D87,C81))</f>
        <v>1485.0782220215128</v>
      </c>
      <c r="E81" s="82"/>
      <c r="F81" s="82"/>
      <c r="G81" s="82">
        <f>IF(E74,E87,IF(G74,G87,D81))</f>
        <v>1485.0782220215128</v>
      </c>
      <c r="H81" s="82"/>
      <c r="I81" s="82"/>
      <c r="J81" s="82">
        <f>IF(H74,H87,IF(J74,J87,G81))</f>
        <v>1485.0782220215128</v>
      </c>
      <c r="K81" s="82"/>
      <c r="L81" s="82"/>
      <c r="M81" s="82">
        <f>IF(K74,K87,IF(M74,M87,J81))</f>
        <v>1474.869491037241</v>
      </c>
      <c r="N81" s="82"/>
      <c r="O81" s="82"/>
      <c r="P81" s="82">
        <f>IF(N74,N87,IF(P74,P87,M81))</f>
        <v>1440.8438775415427</v>
      </c>
      <c r="Q81" s="82"/>
      <c r="R81" s="82"/>
      <c r="S81" s="82">
        <f>IF(Q74,Q87,IF(S74,S87,P81))</f>
        <v>1440.8438775415427</v>
      </c>
      <c r="T81" s="82"/>
      <c r="U81" s="82"/>
      <c r="V81" s="82">
        <f>IF(T74,T87,IF(V74,V87,S81))</f>
        <v>1440.8438775415427</v>
      </c>
      <c r="W81" s="82"/>
      <c r="X81" s="82"/>
      <c r="Y81" s="82">
        <f>IF(W74,W87,IF(Y74,Y87,V81))</f>
        <v>1440.8438775415427</v>
      </c>
      <c r="Z81" s="82"/>
      <c r="AA81" s="82"/>
      <c r="AB81" s="82">
        <f>IF(Z74,Z87,IF(AB74,AB87,Y81))</f>
        <v>1440.8438775415427</v>
      </c>
      <c r="AC81" s="82"/>
      <c r="AD81" s="82"/>
      <c r="AE81" s="82">
        <f>IF(AC74,AC87,IF(AE74,AE87,AB81))</f>
        <v>1440.8438775415427</v>
      </c>
      <c r="AF81" s="4"/>
      <c r="AG81" s="4"/>
      <c r="AJ81" s="4"/>
      <c r="AL81" s="4"/>
      <c r="AM81" s="4"/>
      <c r="AN81" s="4"/>
      <c r="AO81" s="4"/>
      <c r="AT81" s="77" t="str">
        <f>B81</f>
        <v>MOTO 12 IGNITE</v>
      </c>
      <c r="AU81" s="77">
        <f>AE81</f>
        <v>1440.8438775415427</v>
      </c>
      <c r="AW81" s="81"/>
      <c r="BB81" s="81"/>
    </row>
    <row r="82" spans="1:54" s="77" customFormat="1" hidden="1" x14ac:dyDescent="0.2">
      <c r="A82" s="82">
        <v>4</v>
      </c>
      <c r="B82" s="82" t="str">
        <f>E14</f>
        <v>SC Midlands 12 Black</v>
      </c>
      <c r="C82" s="82">
        <f>VLOOKUP(B82,AU$3:AY$7,3,FALSE)</f>
        <v>1425.664964424519</v>
      </c>
      <c r="D82" s="82">
        <f>IF(B75,B87,IF(D75,D87,C82))</f>
        <v>1425.664964424519</v>
      </c>
      <c r="E82" s="82"/>
      <c r="F82" s="82"/>
      <c r="G82" s="82">
        <f>IF(E75,E87,IF(G75,G87,D82))</f>
        <v>1417.7514592982143</v>
      </c>
      <c r="H82" s="82"/>
      <c r="I82" s="82"/>
      <c r="J82" s="82">
        <f>IF(H75,H87,IF(J75,J87,G82))</f>
        <v>1452.8472264612781</v>
      </c>
      <c r="K82" s="82"/>
      <c r="L82" s="82"/>
      <c r="M82" s="82">
        <f>IF(K75,K87,IF(M75,M87,J82))</f>
        <v>1452.8472264612781</v>
      </c>
      <c r="N82" s="82"/>
      <c r="O82" s="82"/>
      <c r="P82" s="82">
        <f>IF(N75,N87,IF(P75,P87,M82))</f>
        <v>1486.8728399569763</v>
      </c>
      <c r="Q82" s="82"/>
      <c r="R82" s="82"/>
      <c r="S82" s="82">
        <f>IF(Q75,Q87,IF(S75,S87,P82))</f>
        <v>1486.8728399569763</v>
      </c>
      <c r="T82" s="82"/>
      <c r="U82" s="82"/>
      <c r="V82" s="82">
        <f>IF(T75,T87,IF(V75,V87,S82))</f>
        <v>1486.8728399569763</v>
      </c>
      <c r="W82" s="82"/>
      <c r="X82" s="82"/>
      <c r="Y82" s="82">
        <f>IF(W75,W87,IF(Y75,Y87,V82))</f>
        <v>1486.8728399569763</v>
      </c>
      <c r="Z82" s="82"/>
      <c r="AA82" s="82"/>
      <c r="AB82" s="82">
        <f>IF(Z75,Z87,IF(AB75,AB87,Y82))</f>
        <v>1486.8728399569763</v>
      </c>
      <c r="AC82" s="82"/>
      <c r="AD82" s="82"/>
      <c r="AE82" s="82">
        <f>IF(AC75,AC87,IF(AE75,AE87,AB82))</f>
        <v>1486.8728399569763</v>
      </c>
      <c r="AF82" s="4"/>
      <c r="AG82" s="4"/>
      <c r="AJ82" s="4"/>
      <c r="AL82" s="4"/>
      <c r="AM82" s="4"/>
      <c r="AN82" s="4"/>
      <c r="AO82" s="4"/>
      <c r="AT82" s="77" t="str">
        <f>B82</f>
        <v>SC Midlands 12 Black</v>
      </c>
      <c r="AU82" s="77">
        <f>AE82</f>
        <v>1486.8728399569763</v>
      </c>
      <c r="AW82" s="81"/>
      <c r="BB82" s="81"/>
    </row>
    <row r="83" spans="1:54" s="77" customFormat="1" hidden="1" x14ac:dyDescent="0.2">
      <c r="A83" s="82">
        <v>5</v>
      </c>
      <c r="B83" s="82">
        <f>E16</f>
        <v>0</v>
      </c>
      <c r="C83" s="82" t="e">
        <f>VLOOKUP(B83,AU$3:AY$7,3,FALSE)</f>
        <v>#N/A</v>
      </c>
      <c r="D83" s="82" t="e">
        <f>IF(B76,B87,IF(D76,D87,C83))</f>
        <v>#N/A</v>
      </c>
      <c r="E83" s="82"/>
      <c r="F83" s="82"/>
      <c r="G83" s="82" t="e">
        <f>IF(E76,E87,IF(G76,G87,D83))</f>
        <v>#N/A</v>
      </c>
      <c r="H83" s="82"/>
      <c r="I83" s="82"/>
      <c r="J83" s="82" t="e">
        <f>IF(H76,H87,IF(J76,J87,G83))</f>
        <v>#N/A</v>
      </c>
      <c r="K83" s="82"/>
      <c r="L83" s="82"/>
      <c r="M83" s="82" t="e">
        <f>IF(K76,K87,IF(M76,M87,J83))</f>
        <v>#N/A</v>
      </c>
      <c r="N83" s="82"/>
      <c r="O83" s="82"/>
      <c r="P83" s="82" t="e">
        <f>IF(N76,N87,IF(P76,P87,M83))</f>
        <v>#N/A</v>
      </c>
      <c r="Q83" s="82"/>
      <c r="R83" s="82"/>
      <c r="S83" s="82" t="e">
        <f>IF(Q76,Q87,IF(S76,S87,P83))</f>
        <v>#N/A</v>
      </c>
      <c r="T83" s="82"/>
      <c r="U83" s="82"/>
      <c r="V83" s="82" t="e">
        <f>IF(T76,T87,IF(V76,V87,S83))</f>
        <v>#N/A</v>
      </c>
      <c r="W83" s="82"/>
      <c r="X83" s="82"/>
      <c r="Y83" s="82" t="e">
        <f>IF(W76,W87,IF(Y76,Y87,V83))</f>
        <v>#N/A</v>
      </c>
      <c r="Z83" s="82"/>
      <c r="AA83" s="82"/>
      <c r="AB83" s="82" t="e">
        <f>IF(Z76,Z87,IF(AB76,AB87,Y83))</f>
        <v>#N/A</v>
      </c>
      <c r="AC83" s="82"/>
      <c r="AD83" s="82"/>
      <c r="AE83" s="82" t="e">
        <f>IF(AC76,AC87,IF(AE76,AE87,AB83))</f>
        <v>#N/A</v>
      </c>
      <c r="AF83" s="4"/>
      <c r="AG83" s="4"/>
      <c r="AJ83" s="4"/>
      <c r="AL83" s="4"/>
      <c r="AM83" s="4"/>
      <c r="AN83" s="4"/>
      <c r="AO83" s="4"/>
      <c r="AT83" s="77">
        <f>B83</f>
        <v>0</v>
      </c>
      <c r="AU83" s="77" t="e">
        <f>AE83</f>
        <v>#N/A</v>
      </c>
      <c r="AW83" s="81"/>
      <c r="BB83" s="81"/>
    </row>
    <row r="84" spans="1:54" s="77" customFormat="1" hidden="1" x14ac:dyDescent="0.2">
      <c r="A84" s="82"/>
      <c r="B84" s="82"/>
      <c r="C84" s="82"/>
      <c r="D84" s="82"/>
      <c r="E84" s="82"/>
      <c r="F84" s="82"/>
      <c r="G84" s="82"/>
      <c r="H84" s="82"/>
      <c r="I84" s="82"/>
      <c r="J84" s="82"/>
      <c r="K84" s="82"/>
      <c r="L84" s="82"/>
      <c r="M84" s="82"/>
      <c r="N84" s="82"/>
      <c r="O84" s="82"/>
      <c r="P84" s="82"/>
      <c r="Q84" s="82"/>
      <c r="R84" s="82"/>
      <c r="S84" s="82"/>
      <c r="T84" s="82"/>
      <c r="U84" s="82"/>
      <c r="V84" s="82"/>
      <c r="W84" s="82"/>
      <c r="X84" s="82"/>
      <c r="Y84" s="82"/>
      <c r="Z84" s="82"/>
      <c r="AA84" s="82"/>
      <c r="AB84" s="82"/>
      <c r="AC84" s="82"/>
      <c r="AD84" s="82"/>
      <c r="AE84" s="82"/>
      <c r="AF84" s="4"/>
      <c r="AG84" s="4"/>
      <c r="AJ84" s="4"/>
      <c r="AL84" s="4"/>
      <c r="AM84" s="4"/>
      <c r="AN84" s="4"/>
      <c r="AO84" s="4"/>
      <c r="AW84" s="81"/>
      <c r="BB84" s="81"/>
    </row>
    <row r="85" spans="1:54" s="77" customFormat="1" hidden="1" x14ac:dyDescent="0.2">
      <c r="A85" s="82" t="s">
        <v>110</v>
      </c>
      <c r="B85" s="82">
        <f>VLOOKUP(B24,$A79:$AE83,3,FALSE)</f>
        <v>1599.5723816566881</v>
      </c>
      <c r="C85" s="82">
        <v>1</v>
      </c>
      <c r="D85" s="82">
        <f>VLOOKUP(D24,$A79:$AE83,3,FALSE)</f>
        <v>1449.5507700226187</v>
      </c>
      <c r="E85" s="82">
        <f>VLOOKUP(E24,$A79:$AE83,4,FALSE)</f>
        <v>1765.8607290603154</v>
      </c>
      <c r="F85" s="82">
        <v>2</v>
      </c>
      <c r="G85" s="82">
        <f>VLOOKUP(G24,$A79:$AE83,4,FALSE)</f>
        <v>1425.664964424519</v>
      </c>
      <c r="H85" s="82">
        <f>VLOOKUP(H24,$A79:$AE83,7,FALSE)</f>
        <v>1564.044929657794</v>
      </c>
      <c r="I85" s="82">
        <v>3</v>
      </c>
      <c r="J85" s="82">
        <f>VLOOKUP(J24,$A79:$AE83,7,FALSE)</f>
        <v>1417.7514592982143</v>
      </c>
      <c r="K85" s="82">
        <f>VLOOKUP(K24,$A79:$AE83,10,FALSE)</f>
        <v>1773.7742341866201</v>
      </c>
      <c r="L85" s="82">
        <v>4</v>
      </c>
      <c r="M85" s="82">
        <f>VLOOKUP(M24,$A79:$AE83,10,FALSE)</f>
        <v>1485.0782220215128</v>
      </c>
      <c r="N85" s="82">
        <f>VLOOKUP(N24,$A79:$AE83,13,FALSE)</f>
        <v>1474.869491037241</v>
      </c>
      <c r="O85" s="82">
        <v>5</v>
      </c>
      <c r="P85" s="82">
        <f>VLOOKUP(P24,$A79:$AE83,13,FALSE)</f>
        <v>1452.8472264612781</v>
      </c>
      <c r="Q85" s="82">
        <f>VLOOKUP(Q24,$A79:$AE83,16,FALSE)</f>
        <v>1783.9829651708919</v>
      </c>
      <c r="R85" s="82">
        <v>6</v>
      </c>
      <c r="S85" s="82">
        <f>VLOOKUP(S24,$A79:$AE83,16,FALSE)</f>
        <v>1528.9491624947302</v>
      </c>
      <c r="T85" s="82" t="e">
        <f>VLOOKUP(T24,$A79:$AE83,19,FALSE)</f>
        <v>#N/A</v>
      </c>
      <c r="U85" s="82">
        <v>7</v>
      </c>
      <c r="V85" s="82" t="e">
        <f>VLOOKUP(V24,$A79:$AE83,19,FALSE)</f>
        <v>#N/A</v>
      </c>
      <c r="W85" s="82" t="e">
        <f>VLOOKUP(W24,$A79:$AE83,22,FALSE)</f>
        <v>#N/A</v>
      </c>
      <c r="X85" s="82">
        <v>8</v>
      </c>
      <c r="Y85" s="82" t="e">
        <f>VLOOKUP(Y24,$A79:$AE83,22,FALSE)</f>
        <v>#N/A</v>
      </c>
      <c r="Z85" s="82" t="e">
        <f>VLOOKUP(Z24,$A79:$AE83,25,FALSE)</f>
        <v>#N/A</v>
      </c>
      <c r="AA85" s="82">
        <v>9</v>
      </c>
      <c r="AB85" s="82" t="e">
        <f>VLOOKUP(AB24,$A79:$AE83,25,FALSE)</f>
        <v>#N/A</v>
      </c>
      <c r="AC85" s="82" t="e">
        <f>VLOOKUP(AC24,$A79:$AE83,28,FALSE)</f>
        <v>#N/A</v>
      </c>
      <c r="AD85" s="82">
        <v>10</v>
      </c>
      <c r="AE85" s="82" t="e">
        <f>VLOOKUP(AE24,$A79:$AE83,28,FALSE)</f>
        <v>#N/A</v>
      </c>
      <c r="AF85" s="4"/>
      <c r="AG85" s="95"/>
      <c r="AH85" s="95"/>
      <c r="AI85" s="95"/>
      <c r="AJ85" s="95"/>
      <c r="AK85" s="95"/>
      <c r="AL85" s="95"/>
      <c r="AM85" s="95"/>
      <c r="AN85" s="96"/>
      <c r="AO85" s="96"/>
      <c r="AP85" s="96"/>
      <c r="AQ85" s="96"/>
      <c r="AW85" s="81"/>
      <c r="BB85" s="81"/>
    </row>
    <row r="86" spans="1:54" s="87" customFormat="1" hidden="1" x14ac:dyDescent="0.2">
      <c r="A86" s="83" t="s">
        <v>111</v>
      </c>
      <c r="B86" s="83">
        <f>1/(1+(10^-((B85-D85)/400)))*(B36+D36)</f>
        <v>2.1102328749654378</v>
      </c>
      <c r="C86" s="83"/>
      <c r="D86" s="83">
        <f>1/(1+(10^-((D85-B85)/400)))*(B36+D36)</f>
        <v>0.88976712503456235</v>
      </c>
      <c r="E86" s="83">
        <f>1/(1+(10^-((E85-G85)/400)))*(E36+G36)</f>
        <v>1.7527029648029766</v>
      </c>
      <c r="F86" s="83"/>
      <c r="G86" s="83">
        <f>1/(1+(10^-((G85-E85)/400)))*(E36+G36)</f>
        <v>0.2472970351970232</v>
      </c>
      <c r="H86" s="83">
        <f>1/(1+(10^-((H85-J85)/400)))*(H36+J36)</f>
        <v>2.0967427238457419</v>
      </c>
      <c r="I86" s="83"/>
      <c r="J86" s="83">
        <f>1/(1+(10^-((J85-H85)/400)))*(H36+J36)</f>
        <v>0.90325727615425833</v>
      </c>
      <c r="K86" s="83">
        <f>1/(1+(10^-((K85-M85)/400)))*(K36+M36)</f>
        <v>1.6809771567415059</v>
      </c>
      <c r="L86" s="83"/>
      <c r="M86" s="83">
        <f>1/(1+(10^-((M85-K85)/400)))*(K36+M36)</f>
        <v>0.31902284325849412</v>
      </c>
      <c r="N86" s="83">
        <f>1/(1+(10^-((N85-P85)/400)))*(N36+P36)</f>
        <v>1.0633004217405735</v>
      </c>
      <c r="O86" s="83"/>
      <c r="P86" s="83">
        <f>1/(1+(10^-((P85-N85)/400)))*(N36+P36)</f>
        <v>0.93669957825942662</v>
      </c>
      <c r="Q86" s="83">
        <f>1/(1+(10^-((Q85-S85)/400)))*(Q36+S36)</f>
        <v>1.6255345891009794</v>
      </c>
      <c r="R86" s="83"/>
      <c r="S86" s="83">
        <f>1/(1+(10^-((S85-Q85)/400)))*(Q36+S36)</f>
        <v>0.37446541089902058</v>
      </c>
      <c r="T86" s="83" t="e">
        <f>1/(1+(10^-((T85-V85)/400)))*(T36+V36)</f>
        <v>#N/A</v>
      </c>
      <c r="U86" s="83"/>
      <c r="V86" s="83" t="e">
        <f>1/(1+(10^-((V85-T85)/400)))*(T36+V36)</f>
        <v>#N/A</v>
      </c>
      <c r="W86" s="83" t="e">
        <f>1/(1+(10^-((W85-Y85)/400)))*(W36+Y36)</f>
        <v>#N/A</v>
      </c>
      <c r="X86" s="83"/>
      <c r="Y86" s="83" t="e">
        <f>1/(1+(10^-((Y85-W85)/400)))*(W36+Y36)</f>
        <v>#N/A</v>
      </c>
      <c r="Z86" s="83" t="e">
        <f>1/(1+(10^-((Z85-AB85)/400)))*(Z36+AB36)</f>
        <v>#N/A</v>
      </c>
      <c r="AA86" s="83"/>
      <c r="AB86" s="83" t="e">
        <f>1/(1+(10^-((AB85-Z85)/400)))*(Z36+AB36)</f>
        <v>#N/A</v>
      </c>
      <c r="AC86" s="83" t="e">
        <f>1/(1+(10^-((AC85-AE85)/400)))*(AC36+AE36)</f>
        <v>#N/A</v>
      </c>
      <c r="AD86" s="83"/>
      <c r="AE86" s="83" t="e">
        <f>1/(1+(10^-((AE85-AC85)/400)))*(AC36+AE36)</f>
        <v>#N/A</v>
      </c>
      <c r="AF86" s="84"/>
      <c r="AG86" s="85"/>
      <c r="AH86" s="85"/>
      <c r="AI86" s="85"/>
      <c r="AJ86" s="85"/>
      <c r="AK86" s="85"/>
      <c r="AL86" s="85"/>
      <c r="AM86" s="85"/>
      <c r="AN86" s="86"/>
      <c r="AO86" s="86"/>
      <c r="AP86" s="86"/>
      <c r="AQ86" s="86"/>
      <c r="AW86" s="88"/>
      <c r="BB86" s="88"/>
    </row>
    <row r="87" spans="1:54" s="93" customFormat="1" hidden="1" x14ac:dyDescent="0.2">
      <c r="A87" s="89" t="s">
        <v>112</v>
      </c>
      <c r="B87" s="89">
        <f>B85+(B36-B86)*$BA$1</f>
        <v>1564.044929657794</v>
      </c>
      <c r="C87" s="89"/>
      <c r="D87" s="89">
        <f>D85+(D36-D86)*$BA$1</f>
        <v>1485.0782220215128</v>
      </c>
      <c r="E87" s="89">
        <f>E85+(E36-E86)*$BA$1</f>
        <v>1773.7742341866201</v>
      </c>
      <c r="F87" s="89"/>
      <c r="G87" s="89">
        <f>G85+(G36-G86)*$BA$1</f>
        <v>1417.7514592982143</v>
      </c>
      <c r="H87" s="89">
        <f>H85+(H36-H86)*$BA$1</f>
        <v>1528.9491624947302</v>
      </c>
      <c r="I87" s="89"/>
      <c r="J87" s="89">
        <f>J85+(J36-J86)*$BA$1</f>
        <v>1452.8472264612781</v>
      </c>
      <c r="K87" s="89">
        <f>K85+(K36-K86)*$BA$1</f>
        <v>1783.9829651708919</v>
      </c>
      <c r="L87" s="89"/>
      <c r="M87" s="89">
        <f>M85+(M36-M86)*$BA$1</f>
        <v>1474.869491037241</v>
      </c>
      <c r="N87" s="89">
        <f>N85+(N36-N86)*$BA$1</f>
        <v>1440.8438775415427</v>
      </c>
      <c r="O87" s="89"/>
      <c r="P87" s="89">
        <f>P85+(P36-P86)*$BA$1</f>
        <v>1486.8728399569763</v>
      </c>
      <c r="Q87" s="89">
        <f>Q85+(Q36-Q86)*$BA$1</f>
        <v>1795.9658583196606</v>
      </c>
      <c r="R87" s="89"/>
      <c r="S87" s="89">
        <f>S85+(S36-S86)*$BA$1</f>
        <v>1516.9662693459616</v>
      </c>
      <c r="T87" s="89" t="e">
        <f>T85+(T36-T86)*$BA$1</f>
        <v>#N/A</v>
      </c>
      <c r="U87" s="89"/>
      <c r="V87" s="89" t="e">
        <f>V85+(V36-V86)*$BA$1</f>
        <v>#N/A</v>
      </c>
      <c r="W87" s="89" t="e">
        <f>W85+(W36-W86)*$BA$1</f>
        <v>#N/A</v>
      </c>
      <c r="X87" s="89"/>
      <c r="Y87" s="89" t="e">
        <f>Y85+(Y36-Y86)*$BA$1</f>
        <v>#N/A</v>
      </c>
      <c r="Z87" s="89" t="e">
        <f>Z85+(Z36-Z86)*$BA$1</f>
        <v>#N/A</v>
      </c>
      <c r="AA87" s="89"/>
      <c r="AB87" s="89" t="e">
        <f>AB85+(AB36-AB86)*$BA$1</f>
        <v>#N/A</v>
      </c>
      <c r="AC87" s="89" t="e">
        <f>AC85+(AC36-AC86)*$BA$1</f>
        <v>#N/A</v>
      </c>
      <c r="AD87" s="89"/>
      <c r="AE87" s="89" t="e">
        <f>AE85+(AE36-AE86)*$BA$1</f>
        <v>#N/A</v>
      </c>
      <c r="AF87" s="90"/>
      <c r="AG87" s="91"/>
      <c r="AH87" s="91"/>
      <c r="AI87" s="91"/>
      <c r="AJ87" s="91"/>
      <c r="AK87" s="91"/>
      <c r="AL87" s="91"/>
      <c r="AM87" s="91"/>
      <c r="AN87" s="92"/>
      <c r="AO87" s="92"/>
      <c r="AP87" s="92"/>
      <c r="AQ87" s="92"/>
      <c r="AW87" s="94"/>
      <c r="BB87" s="94"/>
    </row>
    <row r="88" spans="1:54" s="93" customFormat="1" hidden="1" x14ac:dyDescent="0.2">
      <c r="A88" s="89"/>
      <c r="B88" s="89"/>
      <c r="C88" s="89"/>
      <c r="D88" s="89"/>
      <c r="E88" s="89"/>
      <c r="F88" s="89"/>
      <c r="G88" s="89"/>
      <c r="H88" s="89"/>
      <c r="I88" s="89"/>
      <c r="J88" s="89"/>
      <c r="K88" s="89"/>
      <c r="L88" s="89"/>
      <c r="M88" s="89"/>
      <c r="N88" s="89"/>
      <c r="O88" s="89"/>
      <c r="P88" s="89"/>
      <c r="Q88" s="89"/>
      <c r="R88" s="89"/>
      <c r="S88" s="89"/>
      <c r="T88" s="89"/>
      <c r="U88" s="89"/>
      <c r="V88" s="89"/>
      <c r="W88" s="89"/>
      <c r="X88" s="89"/>
      <c r="Y88" s="89"/>
      <c r="Z88" s="89"/>
      <c r="AA88" s="89"/>
      <c r="AB88" s="89"/>
      <c r="AC88" s="89"/>
      <c r="AD88" s="89"/>
      <c r="AE88" s="89"/>
      <c r="AF88" s="90"/>
      <c r="AG88" s="91"/>
      <c r="AH88" s="91"/>
      <c r="AI88" s="91"/>
      <c r="AJ88" s="91"/>
      <c r="AK88" s="91"/>
      <c r="AL88" s="91"/>
      <c r="AM88" s="91"/>
      <c r="AN88" s="92"/>
      <c r="AO88" s="92"/>
      <c r="AP88" s="92"/>
      <c r="AQ88" s="92"/>
      <c r="AW88" s="94"/>
      <c r="BB88" s="94"/>
    </row>
    <row r="89" spans="1:54" s="77" customFormat="1" x14ac:dyDescent="0.2">
      <c r="A89" s="281" t="str">
        <f>IF($AK10=1,"Pool Tiereaker : 1) Matches Won vs Lost (if 3 way tie then #4)  2) Head to Head  3) Game Win %  4) Total Pool Net Points  5) Flip a Coin","Pool Tiebreaker : 1) Games Won vs Lost (if 3 way tie then #5)  2) Head to Head  3) Head to Head Net Points  4) Game Win %  5) Total Pool Net Points  6) Flip a Coin")</f>
        <v>Pool Tiereaker : 1) Matches Won vs Lost (if 3 way tie then #4)  2) Head to Head  3) Game Win %  4) Total Pool Net Points  5) Flip a Coin</v>
      </c>
      <c r="B89" s="281"/>
      <c r="C89" s="281"/>
      <c r="D89" s="281"/>
      <c r="E89" s="281"/>
      <c r="F89" s="281"/>
      <c r="G89" s="281"/>
      <c r="H89" s="281"/>
      <c r="I89" s="281"/>
      <c r="J89" s="281"/>
      <c r="K89" s="281"/>
      <c r="L89" s="281"/>
      <c r="M89" s="281"/>
      <c r="N89" s="281"/>
      <c r="O89" s="281"/>
      <c r="P89" s="281"/>
      <c r="Q89" s="281"/>
      <c r="R89" s="281"/>
      <c r="S89" s="281"/>
      <c r="T89" s="281"/>
      <c r="U89" s="281"/>
      <c r="V89" s="281"/>
      <c r="W89" s="281"/>
      <c r="X89" s="281"/>
      <c r="Y89" s="281"/>
      <c r="Z89" s="281"/>
      <c r="AA89" s="281"/>
      <c r="AB89" s="281"/>
      <c r="AC89" s="281"/>
      <c r="AD89" s="281"/>
      <c r="AE89" s="281"/>
      <c r="AF89" s="281"/>
      <c r="AG89" s="281"/>
      <c r="AH89" s="281"/>
      <c r="AI89" s="281"/>
      <c r="AJ89" s="281"/>
      <c r="AK89" s="281"/>
      <c r="AL89" s="281"/>
      <c r="AM89" s="259"/>
      <c r="AN89" s="259"/>
      <c r="AO89" s="259"/>
      <c r="AP89" s="259"/>
    </row>
    <row r="90" spans="1:54" s="77" customFormat="1" x14ac:dyDescent="0.2">
      <c r="A90" s="282"/>
      <c r="B90" s="282"/>
      <c r="C90" s="282"/>
      <c r="D90" s="282"/>
      <c r="E90" s="282"/>
      <c r="F90" s="282"/>
      <c r="G90" s="282"/>
      <c r="H90" s="282"/>
      <c r="I90" s="282"/>
      <c r="J90" s="282"/>
      <c r="K90" s="282"/>
      <c r="L90" s="282"/>
      <c r="M90" s="282"/>
      <c r="N90" s="282"/>
      <c r="O90" s="282"/>
      <c r="P90" s="282"/>
      <c r="Q90" s="282"/>
      <c r="R90" s="282"/>
      <c r="S90" s="282"/>
      <c r="T90" s="282"/>
      <c r="U90" s="282"/>
      <c r="V90" s="282"/>
      <c r="W90" s="282"/>
      <c r="X90" s="282"/>
      <c r="Y90" s="282"/>
      <c r="Z90" s="282"/>
      <c r="AA90" s="282"/>
      <c r="AB90" s="282"/>
      <c r="AC90" s="282"/>
      <c r="AD90" s="282"/>
      <c r="AE90" s="282"/>
      <c r="AF90" s="282"/>
      <c r="AG90" s="282"/>
      <c r="AH90" s="282"/>
      <c r="AI90" s="282"/>
      <c r="AJ90" s="282"/>
      <c r="AK90" s="282"/>
      <c r="AL90" s="282"/>
      <c r="AM90" s="282"/>
      <c r="AN90" s="282"/>
      <c r="AO90" s="282"/>
      <c r="AP90" s="282"/>
      <c r="AQ90" s="282"/>
    </row>
    <row r="91" spans="1:54" ht="21" thickBot="1" x14ac:dyDescent="0.35">
      <c r="A91" s="271" t="s">
        <v>114</v>
      </c>
      <c r="B91" s="271"/>
      <c r="C91" s="271"/>
      <c r="D91" s="271"/>
      <c r="E91" s="271"/>
      <c r="F91" s="271"/>
      <c r="G91" s="271"/>
      <c r="H91" s="271"/>
      <c r="I91" s="271"/>
      <c r="J91" s="271"/>
      <c r="K91" s="271"/>
      <c r="L91" s="271"/>
      <c r="M91" s="271"/>
      <c r="N91" s="271"/>
      <c r="O91" s="271"/>
      <c r="P91" s="271"/>
      <c r="Q91" s="271"/>
      <c r="R91" s="271"/>
      <c r="S91" s="271"/>
      <c r="T91" s="271"/>
      <c r="U91" s="271"/>
      <c r="V91" s="271"/>
      <c r="W91" s="271"/>
      <c r="X91" s="271"/>
      <c r="Y91" s="271"/>
      <c r="Z91" s="271"/>
      <c r="AA91" s="271"/>
      <c r="AB91" s="271"/>
      <c r="AC91" s="271"/>
      <c r="AD91" s="271"/>
      <c r="AE91" s="271"/>
      <c r="AF91" s="271"/>
      <c r="AG91" s="271"/>
      <c r="AH91" s="271"/>
      <c r="AI91" s="271"/>
      <c r="AJ91" s="271"/>
      <c r="AK91" s="271"/>
      <c r="AL91" s="271"/>
      <c r="AM91" s="271"/>
      <c r="AN91" s="271"/>
      <c r="AO91" s="271"/>
      <c r="AP91" s="271"/>
      <c r="AQ91" s="271"/>
    </row>
    <row r="92" spans="1:54" ht="13.5" thickBot="1" x14ac:dyDescent="0.25">
      <c r="A92" s="272" t="s">
        <v>115</v>
      </c>
      <c r="B92" s="274" t="s">
        <v>116</v>
      </c>
      <c r="C92" s="275"/>
      <c r="D92" s="275"/>
      <c r="E92" s="275"/>
      <c r="F92" s="275"/>
      <c r="G92" s="275"/>
      <c r="H92" s="275"/>
      <c r="I92" s="275"/>
      <c r="J92" s="275"/>
      <c r="K92" s="276"/>
      <c r="L92" s="274" t="s">
        <v>117</v>
      </c>
      <c r="M92" s="275"/>
      <c r="N92" s="275"/>
      <c r="O92" s="275"/>
      <c r="P92" s="275"/>
      <c r="Q92" s="275"/>
      <c r="R92" s="275"/>
      <c r="S92" s="275"/>
      <c r="T92" s="275"/>
      <c r="U92" s="276"/>
      <c r="V92" s="274" t="s">
        <v>118</v>
      </c>
      <c r="W92" s="275"/>
      <c r="X92" s="275"/>
      <c r="Y92" s="275"/>
      <c r="Z92" s="275"/>
      <c r="AA92" s="275"/>
      <c r="AB92" s="275"/>
      <c r="AC92" s="275"/>
      <c r="AD92" s="275"/>
      <c r="AE92" s="276"/>
      <c r="AF92" s="274" t="s">
        <v>119</v>
      </c>
      <c r="AG92" s="275"/>
      <c r="AH92" s="275"/>
      <c r="AI92" s="275"/>
      <c r="AJ92" s="275"/>
      <c r="AK92" s="275"/>
      <c r="AL92" s="275"/>
      <c r="AM92" s="275"/>
      <c r="AN92" s="275"/>
      <c r="AO92" s="276"/>
    </row>
    <row r="93" spans="1:54" ht="13.5" thickBot="1" x14ac:dyDescent="0.25">
      <c r="A93" s="273"/>
      <c r="B93" s="268" t="s">
        <v>10</v>
      </c>
      <c r="C93" s="269"/>
      <c r="D93" s="269"/>
      <c r="E93" s="269"/>
      <c r="F93" s="269"/>
      <c r="G93" s="270"/>
      <c r="H93" s="268" t="s">
        <v>120</v>
      </c>
      <c r="I93" s="269"/>
      <c r="J93" s="269"/>
      <c r="K93" s="270"/>
      <c r="L93" s="268" t="s">
        <v>10</v>
      </c>
      <c r="M93" s="269"/>
      <c r="N93" s="269"/>
      <c r="O93" s="269"/>
      <c r="P93" s="269"/>
      <c r="Q93" s="270"/>
      <c r="R93" s="268" t="s">
        <v>120</v>
      </c>
      <c r="S93" s="269"/>
      <c r="T93" s="269"/>
      <c r="U93" s="270"/>
      <c r="V93" s="268" t="s">
        <v>10</v>
      </c>
      <c r="W93" s="269"/>
      <c r="X93" s="269"/>
      <c r="Y93" s="269"/>
      <c r="Z93" s="269"/>
      <c r="AA93" s="270"/>
      <c r="AB93" s="268" t="s">
        <v>120</v>
      </c>
      <c r="AC93" s="269"/>
      <c r="AD93" s="269"/>
      <c r="AE93" s="270"/>
      <c r="AF93" s="268" t="s">
        <v>10</v>
      </c>
      <c r="AG93" s="269"/>
      <c r="AH93" s="269"/>
      <c r="AI93" s="269"/>
      <c r="AJ93" s="269"/>
      <c r="AK93" s="270"/>
      <c r="AL93" s="268" t="s">
        <v>120</v>
      </c>
      <c r="AM93" s="269"/>
      <c r="AN93" s="269"/>
      <c r="AO93" s="270"/>
    </row>
    <row r="94" spans="1:54" ht="13.5" thickBot="1" x14ac:dyDescent="0.25">
      <c r="A94" s="98" t="s">
        <v>121</v>
      </c>
      <c r="B94" s="459" t="str">
        <f>IF($AF$8=1,$E$8,IF($AF$10=1,$E$10,IF($AF$12=1,$E$12,IF($AF$14=1,$E$14,IF($AF$16=1,$E$16,"1st Place "&amp;$A94)))))</f>
        <v>Lake Murray 12 Red</v>
      </c>
      <c r="C94" s="460"/>
      <c r="D94" s="460"/>
      <c r="E94" s="460"/>
      <c r="F94" s="460"/>
      <c r="G94" s="460"/>
      <c r="H94" s="461" t="str">
        <f>IF($AF$8=1,$E$9,IF($AF$10=1,$E$11,IF($AF$12=1,$E$13,IF($AF$14=1,$E$15,IF($AF$16=1,$E$17,"1st Place "&amp;$A94)))))</f>
        <v>fj2lakem1pm</v>
      </c>
      <c r="I94" s="461"/>
      <c r="J94" s="461"/>
      <c r="K94" s="462"/>
      <c r="L94" s="459" t="str">
        <f>IF($AF$8=2,$E$8,IF($AF$10=2,$E$10,IF($AF$12=2,$E$12,IF($AF$14=2,$E$14,IF($AF$16=2,$E$16,"2nd Place "&amp;$A94)))))</f>
        <v>SC Midlands 12 Black</v>
      </c>
      <c r="M94" s="460"/>
      <c r="N94" s="460"/>
      <c r="O94" s="460"/>
      <c r="P94" s="460"/>
      <c r="Q94" s="460"/>
      <c r="R94" s="461" t="str">
        <f>IF($AF$8=2,$E$9,IF($AF$10=2,$E$11,IF($AF$12=2,$E$13,IF($AF$14=2,$E$15,IF($AF$16=2,$E$17,"2nd Place "&amp;$A94)))))</f>
        <v>fj2scmid1pm</v>
      </c>
      <c r="S94" s="461"/>
      <c r="T94" s="461"/>
      <c r="U94" s="462"/>
      <c r="V94" s="459" t="str">
        <f>IF($AF$8=3,$E$8,IF($AF$10=3,$E$10,IF($AF$12=3,$E$12,IF($AF$14=3,$E$14,IF($AF$16=3,$E$16,"3rd Place "&amp;$A94)))))</f>
        <v>MOTO 12 IGNITE</v>
      </c>
      <c r="W94" s="460"/>
      <c r="X94" s="460"/>
      <c r="Y94" s="460"/>
      <c r="Z94" s="460"/>
      <c r="AA94" s="460"/>
      <c r="AB94" s="461" t="str">
        <f>IF($AF$8=3,$E$9,IF($AF$10=3,$E$11,IF($AF$12=3,$E$13,IF($AF$14=3,$E$15,IF($AF$16=3,$E$17,"3rd Place "&amp;$A94)))))</f>
        <v>fj2motoj1pm</v>
      </c>
      <c r="AC94" s="461"/>
      <c r="AD94" s="461"/>
      <c r="AE94" s="462"/>
      <c r="AF94" s="459" t="str">
        <f>IF($AF$8=4,$E$8,IF($AF$10=4,$E$10,IF($AF$12=4,$E$12,IF($AF$14=4,$E$14,IF($AF$16=4,$E$16,"4th Place "&amp;$A94)))))</f>
        <v>Kershaw 12 Black</v>
      </c>
      <c r="AG94" s="460"/>
      <c r="AH94" s="460"/>
      <c r="AI94" s="460"/>
      <c r="AJ94" s="460"/>
      <c r="AK94" s="460"/>
      <c r="AL94" s="461" t="str">
        <f>IF($AF$8=4,$E$9,IF($AF$10=4,$E$11,IF($AF$12=4,$E$13,IF($AF$14=4,$E$15,IF($AF$16=4,$E$17,"4th Place "&amp;$A94)))))</f>
        <v>fj2kersh1pm</v>
      </c>
      <c r="AM94" s="461"/>
      <c r="AN94" s="461"/>
      <c r="AO94" s="462"/>
    </row>
    <row r="95" spans="1:54" s="3" customFormat="1" x14ac:dyDescent="0.2">
      <c r="A95" s="99"/>
      <c r="B95" s="100"/>
      <c r="C95" s="100"/>
      <c r="D95" s="100"/>
      <c r="E95" s="100"/>
      <c r="F95" s="100"/>
      <c r="G95" s="100"/>
      <c r="H95" s="100"/>
      <c r="I95" s="100"/>
      <c r="J95" s="100"/>
      <c r="K95" s="100"/>
      <c r="L95" s="100"/>
      <c r="M95" s="100"/>
      <c r="N95" s="100"/>
      <c r="O95" s="100"/>
      <c r="P95" s="100"/>
      <c r="Q95" s="100"/>
      <c r="R95" s="100"/>
      <c r="S95" s="100"/>
      <c r="T95" s="100"/>
      <c r="U95" s="100"/>
      <c r="V95" s="100"/>
      <c r="W95" s="100"/>
      <c r="X95" s="100"/>
      <c r="Y95" s="100"/>
      <c r="Z95" s="100"/>
      <c r="AA95" s="100"/>
      <c r="AB95" s="100"/>
      <c r="AC95" s="100"/>
      <c r="AD95" s="100"/>
      <c r="AE95" s="100"/>
      <c r="AF95" s="100"/>
      <c r="AG95" s="100"/>
      <c r="AH95" s="100"/>
      <c r="AI95" s="100"/>
      <c r="AJ95" s="100"/>
      <c r="AK95" s="100"/>
      <c r="AL95" s="100"/>
      <c r="AM95" s="100"/>
      <c r="AN95" s="100"/>
      <c r="AO95" s="100"/>
      <c r="AZ95" s="4"/>
      <c r="BA95" s="4"/>
    </row>
    <row r="96" spans="1:54" ht="15.75" x14ac:dyDescent="0.25">
      <c r="A96" s="255" t="s">
        <v>123</v>
      </c>
      <c r="B96" s="255"/>
      <c r="C96" s="255"/>
      <c r="D96" s="255"/>
      <c r="E96" s="255"/>
      <c r="F96" s="255"/>
      <c r="G96" s="255"/>
      <c r="H96" s="255"/>
      <c r="I96" s="255"/>
      <c r="J96" s="255"/>
      <c r="K96" s="255"/>
      <c r="L96" s="255"/>
      <c r="M96" s="255"/>
      <c r="N96" s="255"/>
      <c r="O96" s="255"/>
      <c r="P96" s="255"/>
      <c r="Q96" s="255"/>
      <c r="R96" s="255"/>
      <c r="S96" s="255"/>
      <c r="T96" s="255"/>
      <c r="U96" s="255"/>
      <c r="V96" s="255"/>
      <c r="W96" s="255"/>
      <c r="X96" s="255"/>
      <c r="Y96" s="255"/>
      <c r="Z96" s="255"/>
      <c r="AA96" s="255"/>
      <c r="AB96" s="255"/>
      <c r="AC96" s="255"/>
      <c r="AD96" s="255"/>
      <c r="AE96" s="255"/>
      <c r="AF96" s="255"/>
      <c r="AG96" s="255"/>
      <c r="AH96" s="255"/>
      <c r="AI96" s="255"/>
      <c r="AJ96" s="255"/>
      <c r="AK96" s="255"/>
      <c r="AL96" s="255"/>
      <c r="AM96" s="255"/>
      <c r="AN96" s="255"/>
      <c r="AO96" s="255"/>
      <c r="AP96" s="255"/>
      <c r="AQ96" s="255"/>
      <c r="AT96" s="101"/>
      <c r="AU96" s="101"/>
      <c r="AV96" s="101"/>
    </row>
    <row r="97" spans="1:50" ht="18" x14ac:dyDescent="0.25">
      <c r="A97" s="256" t="s">
        <v>124</v>
      </c>
      <c r="B97" s="256"/>
      <c r="C97" s="256"/>
      <c r="D97" s="256"/>
      <c r="E97" s="256"/>
      <c r="F97" s="256"/>
      <c r="G97" s="256"/>
      <c r="H97" s="256"/>
      <c r="I97" s="256"/>
      <c r="J97" s="256"/>
      <c r="K97" s="256"/>
      <c r="L97" s="256"/>
      <c r="M97" s="256"/>
      <c r="N97" s="256"/>
      <c r="O97" s="256"/>
      <c r="P97" s="256"/>
      <c r="Q97" s="256"/>
      <c r="R97" s="256"/>
      <c r="S97" s="256"/>
      <c r="T97" s="256"/>
      <c r="U97" s="256"/>
      <c r="V97" s="256"/>
      <c r="W97" s="256"/>
      <c r="X97" s="256"/>
      <c r="Y97" s="256"/>
      <c r="Z97" s="256"/>
      <c r="AA97" s="256"/>
      <c r="AB97" s="256"/>
      <c r="AC97" s="256"/>
      <c r="AD97" s="256"/>
      <c r="AE97" s="256"/>
      <c r="AF97" s="256"/>
      <c r="AG97" s="256"/>
      <c r="AH97" s="256"/>
      <c r="AI97" s="256"/>
      <c r="AJ97" s="256"/>
      <c r="AK97" s="256"/>
      <c r="AL97" s="256"/>
      <c r="AM97" s="256"/>
      <c r="AN97" s="256"/>
      <c r="AO97" s="256"/>
      <c r="AP97" s="256"/>
      <c r="AQ97" s="256"/>
    </row>
    <row r="98" spans="1:50" x14ac:dyDescent="0.2">
      <c r="A98" s="257"/>
      <c r="B98" s="257"/>
      <c r="C98" s="257"/>
      <c r="D98" s="257"/>
      <c r="E98" s="257"/>
      <c r="F98" s="257"/>
      <c r="G98" s="257"/>
      <c r="H98" s="257"/>
      <c r="I98" s="257"/>
      <c r="J98" s="257"/>
      <c r="K98" s="257"/>
      <c r="L98" s="257"/>
      <c r="M98" s="257"/>
      <c r="N98" s="257"/>
      <c r="O98" s="257"/>
      <c r="P98" s="257"/>
      <c r="Q98" s="257"/>
      <c r="R98" s="257"/>
      <c r="S98" s="257"/>
      <c r="T98" s="257"/>
      <c r="U98" s="257"/>
      <c r="V98" s="257"/>
      <c r="W98" s="257"/>
      <c r="X98" s="257"/>
      <c r="Y98" s="257"/>
      <c r="Z98" s="257"/>
      <c r="AA98" s="257"/>
      <c r="AB98" s="257"/>
      <c r="AC98" s="257"/>
      <c r="AD98" s="257"/>
      <c r="AE98" s="257"/>
      <c r="AF98" s="257"/>
      <c r="AG98" s="257"/>
      <c r="AH98" s="257"/>
      <c r="AI98" s="257"/>
      <c r="AJ98" s="257"/>
      <c r="AK98" s="257"/>
      <c r="AL98" s="257"/>
      <c r="AM98" s="257"/>
      <c r="AN98" s="257"/>
      <c r="AO98" s="257"/>
      <c r="AP98" s="257"/>
      <c r="AQ98" s="257"/>
    </row>
    <row r="99" spans="1:50" x14ac:dyDescent="0.2">
      <c r="A99" s="257"/>
      <c r="B99" s="257"/>
      <c r="C99" s="257"/>
      <c r="D99" s="257"/>
      <c r="E99" s="257"/>
      <c r="F99" s="257"/>
      <c r="G99" s="257"/>
      <c r="H99" s="257"/>
      <c r="I99" s="257"/>
      <c r="J99" s="257"/>
      <c r="K99" s="257"/>
      <c r="L99" s="257"/>
      <c r="M99" s="257"/>
      <c r="N99" s="257"/>
      <c r="O99" s="257"/>
      <c r="P99" s="257"/>
      <c r="Q99" s="257"/>
      <c r="R99" s="257"/>
      <c r="S99" s="257"/>
      <c r="T99" s="257"/>
      <c r="U99" s="257"/>
      <c r="V99" s="257"/>
      <c r="W99" s="257"/>
      <c r="X99" s="257"/>
      <c r="Y99" s="257"/>
      <c r="Z99" s="257"/>
      <c r="AA99" s="257"/>
      <c r="AB99" s="257"/>
      <c r="AC99" s="257"/>
      <c r="AD99" s="257"/>
      <c r="AE99" s="257"/>
      <c r="AF99" s="257"/>
      <c r="AG99" s="257"/>
      <c r="AH99" s="257"/>
      <c r="AI99" s="257"/>
      <c r="AJ99" s="257"/>
      <c r="AK99" s="257"/>
      <c r="AL99" s="257"/>
      <c r="AM99" s="257"/>
      <c r="AN99" s="257"/>
      <c r="AO99" s="257"/>
      <c r="AP99" s="257"/>
      <c r="AQ99" s="257"/>
    </row>
    <row r="100" spans="1:50" x14ac:dyDescent="0.2">
      <c r="A100" s="258" t="s">
        <v>126</v>
      </c>
      <c r="B100" s="258"/>
      <c r="C100" s="258"/>
      <c r="D100" s="258"/>
      <c r="E100" s="258"/>
      <c r="F100" s="258"/>
      <c r="G100" s="258"/>
      <c r="H100" s="258"/>
      <c r="I100" s="258"/>
      <c r="J100" s="258"/>
      <c r="K100" s="258"/>
      <c r="L100" s="102"/>
    </row>
    <row r="101" spans="1:50" x14ac:dyDescent="0.2">
      <c r="C101" s="3"/>
      <c r="D101" s="3"/>
      <c r="E101" s="3"/>
      <c r="L101" s="102"/>
    </row>
    <row r="102" spans="1:50" x14ac:dyDescent="0.2">
      <c r="A102" s="259" t="s">
        <v>127</v>
      </c>
      <c r="B102" s="259"/>
      <c r="C102" s="259"/>
      <c r="D102" s="259"/>
      <c r="E102" s="259"/>
      <c r="F102" s="259"/>
      <c r="G102" s="259"/>
      <c r="H102" s="259"/>
      <c r="I102" s="259"/>
      <c r="J102" s="259"/>
      <c r="K102" s="259"/>
      <c r="L102" s="259"/>
      <c r="M102" s="259"/>
      <c r="N102" s="259"/>
      <c r="O102" s="259"/>
      <c r="P102" s="156"/>
      <c r="R102" s="463"/>
      <c r="S102" s="463"/>
      <c r="T102" s="463"/>
      <c r="U102" s="463"/>
      <c r="V102" s="463"/>
      <c r="W102" s="463"/>
      <c r="X102" s="463"/>
      <c r="Y102" s="463"/>
      <c r="Z102" s="463"/>
      <c r="AA102" s="463"/>
      <c r="AB102" s="463"/>
      <c r="AC102" s="463"/>
      <c r="AD102" s="463"/>
      <c r="AE102" s="463"/>
      <c r="AF102" s="463"/>
      <c r="AG102" s="127"/>
      <c r="AH102" s="127"/>
      <c r="AI102" s="127"/>
      <c r="AJ102" s="127"/>
      <c r="AK102" s="127"/>
      <c r="AL102" s="127"/>
      <c r="AM102" s="127"/>
    </row>
    <row r="103" spans="1:50" x14ac:dyDescent="0.2">
      <c r="R103" s="127"/>
      <c r="S103" s="127"/>
      <c r="T103" s="127"/>
      <c r="U103" s="127"/>
      <c r="V103" s="127"/>
      <c r="W103" s="127"/>
      <c r="X103" s="127"/>
      <c r="Y103" s="127"/>
      <c r="Z103" s="127"/>
      <c r="AA103" s="127"/>
      <c r="AB103" s="127"/>
      <c r="AC103" s="127"/>
      <c r="AD103" s="127"/>
      <c r="AE103" s="127"/>
      <c r="AF103" s="127"/>
      <c r="AG103" s="127"/>
      <c r="AH103" s="127"/>
      <c r="AI103" s="127"/>
      <c r="AJ103" s="127"/>
      <c r="AK103" s="127"/>
      <c r="AL103" s="127"/>
      <c r="AM103" s="127"/>
    </row>
    <row r="104" spans="1:50" ht="13.5" thickBot="1" x14ac:dyDescent="0.25">
      <c r="A104" s="225" t="str">
        <f>IF(B132=1,B124,IF(B132=2,B125,IF(B132=3,B126,IF(B132=4,B127,IF(OR(B132="B",B132="b"),"BYE","invalid")))))</f>
        <v>Lake Murray 12 Red</v>
      </c>
      <c r="B104" s="225"/>
      <c r="C104" s="225"/>
      <c r="D104" s="225"/>
      <c r="E104" s="225"/>
      <c r="F104" s="103"/>
      <c r="G104" s="103"/>
      <c r="H104" s="103"/>
      <c r="I104" s="103"/>
      <c r="J104" s="103"/>
      <c r="K104" s="103"/>
      <c r="L104" s="103"/>
      <c r="M104" s="103"/>
      <c r="N104" s="103"/>
      <c r="R104" s="127"/>
      <c r="S104" s="153"/>
      <c r="T104" s="153"/>
      <c r="U104" s="147"/>
      <c r="V104" s="147"/>
      <c r="W104" s="147"/>
      <c r="X104" s="147"/>
      <c r="Y104" s="147"/>
      <c r="Z104" s="147"/>
      <c r="AA104" s="147"/>
      <c r="AB104" s="127"/>
      <c r="AC104" s="127"/>
      <c r="AD104" s="127"/>
      <c r="AE104" s="127"/>
      <c r="AF104" s="127"/>
      <c r="AG104" s="127"/>
      <c r="AH104" s="127"/>
      <c r="AI104" s="127"/>
      <c r="AJ104" s="127"/>
      <c r="AK104" s="127"/>
      <c r="AL104" s="127"/>
      <c r="AM104" s="127"/>
    </row>
    <row r="105" spans="1:50" x14ac:dyDescent="0.2">
      <c r="A105" s="227" t="s">
        <v>1036</v>
      </c>
      <c r="B105" s="227"/>
      <c r="C105" s="227"/>
      <c r="D105" s="227"/>
      <c r="E105" s="227"/>
      <c r="F105" s="105"/>
      <c r="G105" s="103"/>
      <c r="H105" s="103"/>
      <c r="I105" s="103"/>
      <c r="J105" s="103"/>
      <c r="K105" s="103"/>
      <c r="L105" s="103"/>
      <c r="M105" s="103"/>
      <c r="N105" s="103"/>
      <c r="R105" s="127"/>
      <c r="S105" s="464"/>
      <c r="T105" s="464"/>
      <c r="U105" s="465"/>
      <c r="V105" s="465"/>
      <c r="W105" s="465"/>
      <c r="X105" s="465"/>
      <c r="Y105" s="465"/>
      <c r="Z105" s="465"/>
      <c r="AA105" s="465"/>
      <c r="AB105" s="127"/>
      <c r="AC105" s="127"/>
      <c r="AD105" s="127"/>
      <c r="AE105" s="127"/>
      <c r="AF105" s="127"/>
      <c r="AG105" s="127"/>
      <c r="AH105" s="127"/>
      <c r="AI105" s="127"/>
      <c r="AJ105" s="127"/>
      <c r="AK105" s="127"/>
      <c r="AL105" s="127"/>
      <c r="AM105" s="127"/>
    </row>
    <row r="106" spans="1:50" x14ac:dyDescent="0.2">
      <c r="A106" s="103"/>
      <c r="B106" s="103"/>
      <c r="C106" s="103"/>
      <c r="D106" s="103"/>
      <c r="E106" s="103"/>
      <c r="F106" s="105"/>
      <c r="G106" s="103"/>
      <c r="H106" s="103"/>
      <c r="I106" s="103"/>
      <c r="J106" s="103"/>
      <c r="K106" s="103"/>
      <c r="L106" s="103"/>
      <c r="M106" s="103"/>
      <c r="N106" s="103"/>
      <c r="R106" s="127"/>
      <c r="S106" s="127"/>
      <c r="T106" s="127"/>
      <c r="U106" s="127"/>
      <c r="V106" s="127"/>
      <c r="W106" s="127"/>
      <c r="X106" s="127"/>
      <c r="Y106" s="127"/>
      <c r="Z106" s="127"/>
      <c r="AA106" s="127"/>
      <c r="AB106" s="127"/>
      <c r="AC106" s="127"/>
      <c r="AD106" s="127"/>
      <c r="AE106" s="127"/>
      <c r="AF106" s="127"/>
      <c r="AG106" s="127"/>
      <c r="AH106" s="127"/>
      <c r="AI106" s="127"/>
      <c r="AJ106" s="127"/>
      <c r="AK106" s="127"/>
      <c r="AL106" s="127"/>
      <c r="AM106" s="127"/>
    </row>
    <row r="107" spans="1:50" ht="13.5" thickBot="1" x14ac:dyDescent="0.25">
      <c r="A107" s="243" t="str">
        <f>B126&amp;" ref"</f>
        <v>MOTO 12 IGNITE ref</v>
      </c>
      <c r="B107" s="243"/>
      <c r="C107" s="243"/>
      <c r="D107" s="243"/>
      <c r="E107" s="114"/>
      <c r="F107" s="237" t="str">
        <f>IF(H132=1,B124,IF(H132=2,B125,IF(H132=3,B126,IF(H132=4,B127,"Winner Match 1"))))</f>
        <v>Lake Murray 12 Red</v>
      </c>
      <c r="G107" s="238"/>
      <c r="H107" s="238"/>
      <c r="I107" s="238"/>
      <c r="J107" s="238"/>
      <c r="K107" s="238"/>
      <c r="L107" s="238"/>
      <c r="M107" s="238"/>
      <c r="N107" s="103"/>
      <c r="P107" s="108"/>
      <c r="Q107" s="108"/>
      <c r="R107" s="463"/>
      <c r="S107" s="463"/>
      <c r="T107" s="463"/>
      <c r="U107" s="463"/>
      <c r="V107" s="463"/>
      <c r="W107" s="463"/>
      <c r="X107" s="463"/>
      <c r="Y107" s="463"/>
      <c r="Z107" s="463"/>
      <c r="AA107" s="127"/>
      <c r="AB107" s="147"/>
      <c r="AC107" s="147"/>
      <c r="AD107" s="147"/>
      <c r="AE107" s="147"/>
      <c r="AF107" s="147"/>
      <c r="AG107" s="147"/>
      <c r="AH107" s="147"/>
      <c r="AI107" s="127"/>
      <c r="AJ107" s="127"/>
      <c r="AK107" s="127"/>
      <c r="AL107" s="127"/>
      <c r="AM107" s="127"/>
    </row>
    <row r="108" spans="1:50" x14ac:dyDescent="0.2">
      <c r="A108" s="239" t="s">
        <v>131</v>
      </c>
      <c r="B108" s="239"/>
      <c r="C108" s="239"/>
      <c r="D108" s="239"/>
      <c r="E108" s="239"/>
      <c r="F108" s="466"/>
      <c r="G108" s="467"/>
      <c r="H108" s="467"/>
      <c r="I108" s="468"/>
      <c r="J108" s="469"/>
      <c r="K108" s="470"/>
      <c r="L108" s="470"/>
      <c r="M108" s="470"/>
      <c r="N108" s="103"/>
      <c r="O108" s="103"/>
      <c r="P108" s="114"/>
      <c r="Q108" s="7"/>
      <c r="R108" s="471"/>
      <c r="S108" s="471"/>
      <c r="T108" s="472"/>
      <c r="U108" s="472"/>
      <c r="V108" s="472"/>
      <c r="W108" s="472"/>
      <c r="X108" s="472"/>
      <c r="Y108" s="472"/>
      <c r="Z108" s="472"/>
      <c r="AA108" s="127"/>
      <c r="AB108" s="463"/>
      <c r="AC108" s="463"/>
      <c r="AD108" s="463"/>
      <c r="AE108" s="463"/>
      <c r="AF108" s="463"/>
      <c r="AG108" s="463"/>
      <c r="AH108" s="463"/>
      <c r="AI108" s="127"/>
      <c r="AJ108" s="127"/>
      <c r="AK108" s="127"/>
      <c r="AL108" s="127"/>
      <c r="AM108" s="127"/>
    </row>
    <row r="109" spans="1:50" ht="13.5" thickBot="1" x14ac:dyDescent="0.25">
      <c r="A109" s="225" t="str">
        <f>IF(D132=1,B124,IF(D132=2,B125,IF(D132=3,B126,IF(D132=4,B127,IF(OR(D132="B",D132="b"),"BYE","invalid")))))</f>
        <v>Kershaw 12 Black</v>
      </c>
      <c r="B109" s="225"/>
      <c r="C109" s="225"/>
      <c r="D109" s="225"/>
      <c r="E109" s="226"/>
      <c r="F109" s="105"/>
      <c r="G109" s="103"/>
      <c r="H109" s="103"/>
      <c r="I109" s="103"/>
      <c r="J109" s="105"/>
      <c r="K109" s="103"/>
      <c r="L109" s="103"/>
      <c r="M109" s="103"/>
      <c r="N109" s="103"/>
      <c r="O109" s="103"/>
      <c r="P109" s="103"/>
      <c r="R109" s="127"/>
      <c r="S109" s="127"/>
      <c r="T109" s="127"/>
      <c r="U109" s="147"/>
      <c r="V109" s="147"/>
      <c r="W109" s="147"/>
      <c r="X109" s="147"/>
      <c r="Y109" s="147"/>
      <c r="Z109" s="147"/>
      <c r="AA109" s="147"/>
      <c r="AB109" s="127"/>
      <c r="AC109" s="127"/>
      <c r="AD109" s="127"/>
      <c r="AE109" s="127"/>
      <c r="AF109" s="127"/>
      <c r="AG109" s="127"/>
      <c r="AH109" s="127"/>
      <c r="AI109" s="127"/>
      <c r="AJ109" s="127"/>
      <c r="AK109" s="127"/>
      <c r="AL109" s="127"/>
      <c r="AM109" s="127"/>
    </row>
    <row r="110" spans="1:50" x14ac:dyDescent="0.2">
      <c r="A110" s="227" t="s">
        <v>1037</v>
      </c>
      <c r="B110" s="227"/>
      <c r="C110" s="227"/>
      <c r="D110" s="227"/>
      <c r="E110" s="227"/>
      <c r="F110" s="103"/>
      <c r="G110" s="103"/>
      <c r="H110" s="103"/>
      <c r="I110" s="103"/>
      <c r="J110" s="105"/>
      <c r="K110" s="103"/>
      <c r="L110" s="103"/>
      <c r="M110" s="103"/>
      <c r="N110" s="103"/>
      <c r="O110" s="103"/>
      <c r="P110" s="103"/>
      <c r="R110" s="127"/>
      <c r="S110" s="127"/>
      <c r="T110" s="127"/>
      <c r="U110" s="465"/>
      <c r="V110" s="465"/>
      <c r="W110" s="465"/>
      <c r="X110" s="465"/>
      <c r="Y110" s="465"/>
      <c r="Z110" s="465"/>
      <c r="AA110" s="465"/>
      <c r="AB110" s="127"/>
      <c r="AC110" s="127"/>
      <c r="AD110" s="127"/>
      <c r="AE110" s="127"/>
      <c r="AF110" s="127"/>
      <c r="AG110" s="127"/>
      <c r="AH110" s="127"/>
      <c r="AI110" s="127"/>
      <c r="AJ110" s="127"/>
      <c r="AK110" s="127"/>
      <c r="AL110" s="127"/>
      <c r="AM110" s="127"/>
      <c r="AQ110" s="116"/>
      <c r="AR110" s="116"/>
      <c r="AV110" s="116"/>
      <c r="AW110" s="116"/>
      <c r="AX110" s="116"/>
    </row>
    <row r="111" spans="1:50" x14ac:dyDescent="0.2">
      <c r="A111" s="103"/>
      <c r="B111" s="103"/>
      <c r="C111" s="103"/>
      <c r="D111" s="103"/>
      <c r="E111" s="103"/>
      <c r="F111" s="241" t="s">
        <v>135</v>
      </c>
      <c r="G111" s="241"/>
      <c r="H111" s="241"/>
      <c r="I111" s="250"/>
      <c r="J111" s="105"/>
      <c r="K111" s="103"/>
      <c r="L111" s="103"/>
      <c r="M111" s="103"/>
      <c r="N111" s="103"/>
      <c r="O111" s="103"/>
      <c r="P111" s="103"/>
      <c r="R111" s="127"/>
      <c r="S111" s="127"/>
      <c r="T111" s="127"/>
      <c r="U111" s="127"/>
      <c r="V111" s="127"/>
      <c r="W111" s="463"/>
      <c r="X111" s="463"/>
      <c r="Y111" s="463"/>
      <c r="Z111" s="127"/>
      <c r="AA111" s="463"/>
      <c r="AB111" s="463"/>
      <c r="AC111" s="463"/>
      <c r="AD111" s="463"/>
      <c r="AE111" s="463"/>
      <c r="AF111" s="127"/>
      <c r="AG111" s="127"/>
      <c r="AH111" s="127"/>
      <c r="AI111" s="127"/>
      <c r="AJ111" s="127"/>
      <c r="AK111" s="127"/>
      <c r="AL111" s="127"/>
      <c r="AM111" s="127"/>
    </row>
    <row r="112" spans="1:50" ht="13.5" thickBot="1" x14ac:dyDescent="0.25">
      <c r="A112" s="103"/>
      <c r="B112" s="103"/>
      <c r="C112" s="103"/>
      <c r="D112" s="103"/>
      <c r="E112" s="103"/>
      <c r="F112" s="103"/>
      <c r="G112" s="103"/>
      <c r="H112" s="103"/>
      <c r="I112" s="103"/>
      <c r="J112" s="244" t="str">
        <f>IF(K137=1,B124,IF(K137=2,B125,IF(K137=3,B126,IF(K137=4,B127,"Division Winner"))))</f>
        <v>Lake Murray 12 Red</v>
      </c>
      <c r="K112" s="245"/>
      <c r="L112" s="245"/>
      <c r="M112" s="245"/>
      <c r="N112" s="245"/>
      <c r="O112" s="245"/>
      <c r="P112" s="245"/>
      <c r="Q112" s="157"/>
      <c r="R112" s="127"/>
      <c r="S112" s="127"/>
      <c r="T112" s="127"/>
      <c r="U112" s="127"/>
      <c r="V112" s="127"/>
      <c r="W112" s="127"/>
      <c r="X112" s="127"/>
      <c r="Y112" s="127"/>
      <c r="Z112" s="127"/>
      <c r="AA112" s="147"/>
      <c r="AB112" s="147"/>
      <c r="AC112" s="147"/>
      <c r="AD112" s="147"/>
      <c r="AE112" s="147"/>
      <c r="AF112" s="473"/>
      <c r="AG112" s="473"/>
      <c r="AH112" s="473"/>
      <c r="AI112" s="473"/>
      <c r="AJ112" s="473"/>
      <c r="AK112" s="147"/>
      <c r="AL112" s="127"/>
      <c r="AM112" s="127"/>
    </row>
    <row r="113" spans="1:53" ht="13.5" thickBot="1" x14ac:dyDescent="0.25">
      <c r="A113" s="225" t="str">
        <f>IF(E132=1,B124,IF(E132=2,B125,IF(E132=3,B126,IF(E132=4,B127,IF(OR(E132="B",E132="b"),"BYE","invalid")))))</f>
        <v>SC Midlands 12 Black</v>
      </c>
      <c r="B113" s="225"/>
      <c r="C113" s="225"/>
      <c r="D113" s="225"/>
      <c r="E113" s="225"/>
      <c r="F113" s="239" t="s">
        <v>136</v>
      </c>
      <c r="G113" s="239"/>
      <c r="H113" s="239"/>
      <c r="I113" s="239"/>
      <c r="J113" s="240" t="s">
        <v>137</v>
      </c>
      <c r="K113" s="241"/>
      <c r="L113" s="241"/>
      <c r="M113" s="241"/>
      <c r="N113" s="241"/>
      <c r="O113" s="241"/>
      <c r="P113" s="241"/>
      <c r="R113" s="147"/>
      <c r="S113" s="147"/>
      <c r="T113" s="147"/>
      <c r="U113" s="147"/>
      <c r="V113" s="147"/>
      <c r="W113" s="147"/>
      <c r="X113" s="147"/>
      <c r="Y113" s="147"/>
      <c r="Z113" s="147"/>
      <c r="AA113" s="147"/>
      <c r="AB113" s="471"/>
      <c r="AC113" s="471"/>
      <c r="AD113" s="471"/>
      <c r="AE113" s="471"/>
      <c r="AF113" s="463"/>
      <c r="AG113" s="463"/>
      <c r="AH113" s="463"/>
      <c r="AI113" s="463"/>
      <c r="AJ113" s="463"/>
      <c r="AK113" s="127"/>
      <c r="AL113" s="127"/>
      <c r="AM113" s="127"/>
    </row>
    <row r="114" spans="1:53" x14ac:dyDescent="0.2">
      <c r="A114" s="227" t="s">
        <v>1038</v>
      </c>
      <c r="B114" s="227"/>
      <c r="C114" s="227"/>
      <c r="D114" s="227"/>
      <c r="E114" s="227"/>
      <c r="F114" s="105"/>
      <c r="G114" s="103"/>
      <c r="H114" s="103"/>
      <c r="I114" s="103"/>
      <c r="J114" s="240"/>
      <c r="K114" s="241"/>
      <c r="L114" s="241"/>
      <c r="M114" s="241"/>
      <c r="N114" s="241"/>
      <c r="O114" s="241"/>
      <c r="P114" s="241"/>
      <c r="Q114" s="103"/>
      <c r="R114" s="465"/>
      <c r="S114" s="465"/>
      <c r="T114" s="465"/>
      <c r="U114" s="465"/>
      <c r="V114" s="465"/>
      <c r="W114" s="465"/>
      <c r="X114" s="465"/>
      <c r="Y114" s="465"/>
      <c r="Z114" s="465"/>
      <c r="AA114" s="465"/>
      <c r="AB114" s="127"/>
      <c r="AC114" s="127"/>
      <c r="AD114" s="127"/>
      <c r="AE114" s="127"/>
      <c r="AF114" s="127"/>
      <c r="AG114" s="127"/>
      <c r="AH114" s="127"/>
      <c r="AI114" s="127"/>
      <c r="AJ114" s="127"/>
      <c r="AK114" s="127"/>
      <c r="AL114" s="127"/>
      <c r="AM114" s="127"/>
    </row>
    <row r="115" spans="1:53" x14ac:dyDescent="0.2">
      <c r="A115" s="103"/>
      <c r="B115" s="103"/>
      <c r="C115" s="103"/>
      <c r="D115" s="103"/>
      <c r="E115" s="103"/>
      <c r="F115" s="105"/>
      <c r="G115" s="103"/>
      <c r="H115" s="103"/>
      <c r="I115" s="103"/>
      <c r="J115" s="105"/>
      <c r="K115" s="103"/>
      <c r="L115" s="103"/>
      <c r="M115" s="103"/>
      <c r="N115" s="103"/>
      <c r="P115" s="103"/>
      <c r="Q115" s="103"/>
      <c r="R115" s="127"/>
      <c r="S115" s="127"/>
      <c r="T115" s="127"/>
      <c r="U115" s="127"/>
      <c r="V115" s="127"/>
      <c r="W115" s="127"/>
      <c r="X115" s="127"/>
      <c r="Y115" s="127"/>
      <c r="Z115" s="127"/>
      <c r="AA115" s="127"/>
      <c r="AB115" s="127"/>
      <c r="AC115" s="127"/>
      <c r="AD115" s="127"/>
      <c r="AE115" s="127"/>
      <c r="AF115" s="127"/>
      <c r="AG115" s="127"/>
      <c r="AH115" s="127"/>
      <c r="AI115" s="127"/>
      <c r="AJ115" s="127"/>
      <c r="AK115" s="127"/>
      <c r="AL115" s="127"/>
      <c r="AM115" s="127"/>
    </row>
    <row r="116" spans="1:53" ht="13.5" thickBot="1" x14ac:dyDescent="0.25">
      <c r="A116" s="241" t="s">
        <v>142</v>
      </c>
      <c r="B116" s="241"/>
      <c r="C116" s="241"/>
      <c r="D116" s="241"/>
      <c r="E116" s="114"/>
      <c r="F116" s="230"/>
      <c r="G116" s="231"/>
      <c r="H116" s="231"/>
      <c r="I116" s="232"/>
      <c r="J116" s="233"/>
      <c r="K116" s="234"/>
      <c r="L116" s="234"/>
      <c r="M116" s="234"/>
      <c r="N116" s="103"/>
      <c r="Q116" s="108"/>
      <c r="R116" s="463"/>
      <c r="S116" s="463"/>
      <c r="T116" s="463"/>
      <c r="U116" s="463"/>
      <c r="V116" s="463"/>
      <c r="W116" s="463"/>
      <c r="X116" s="463"/>
      <c r="Y116" s="463"/>
      <c r="Z116" s="463"/>
      <c r="AA116" s="127"/>
      <c r="AB116" s="463"/>
      <c r="AC116" s="463"/>
      <c r="AD116" s="463"/>
      <c r="AE116" s="463"/>
      <c r="AF116" s="463"/>
      <c r="AG116" s="463"/>
      <c r="AH116" s="463"/>
      <c r="AI116" s="127"/>
      <c r="AJ116" s="127"/>
      <c r="AK116" s="127"/>
      <c r="AL116" s="127"/>
      <c r="AM116" s="127"/>
      <c r="AZ116" s="70"/>
      <c r="BA116" s="70"/>
    </row>
    <row r="117" spans="1:53" x14ac:dyDescent="0.2">
      <c r="A117" s="239" t="s">
        <v>131</v>
      </c>
      <c r="B117" s="239"/>
      <c r="C117" s="239"/>
      <c r="D117" s="239"/>
      <c r="E117" s="246"/>
      <c r="F117" s="237" t="str">
        <f>IF(J132=1,B124,IF(J132=2,B125,IF(J132=3,B126,IF(J132=4,B127,"Winner Match 2"))))</f>
        <v>SC Midlands 12 Black</v>
      </c>
      <c r="G117" s="238"/>
      <c r="H117" s="238"/>
      <c r="I117" s="238"/>
      <c r="J117" s="238"/>
      <c r="K117" s="238"/>
      <c r="L117" s="238"/>
      <c r="M117" s="238"/>
      <c r="N117" s="103"/>
      <c r="P117" s="114"/>
      <c r="Q117" s="114"/>
      <c r="R117" s="127"/>
      <c r="S117" s="471"/>
      <c r="T117" s="471"/>
      <c r="U117" s="471"/>
      <c r="V117" s="471"/>
      <c r="W117" s="471"/>
      <c r="X117" s="471"/>
      <c r="Y117" s="471"/>
      <c r="Z117" s="471"/>
      <c r="AA117" s="127"/>
      <c r="AB117" s="147"/>
      <c r="AC117" s="147"/>
      <c r="AD117" s="147"/>
      <c r="AE117" s="147"/>
      <c r="AF117" s="147"/>
      <c r="AG117" s="147"/>
      <c r="AH117" s="147"/>
      <c r="AI117" s="127"/>
      <c r="AJ117" s="127"/>
      <c r="AK117" s="127"/>
      <c r="AL117" s="127"/>
      <c r="AM117" s="127"/>
      <c r="AZ117" s="70"/>
      <c r="BA117" s="70"/>
    </row>
    <row r="118" spans="1:53" ht="13.5" thickBot="1" x14ac:dyDescent="0.25">
      <c r="A118" s="225" t="str">
        <f>IF(G132=1,B124,IF(G132=2,B125,IF(G132=3,B126,IF(G132=4,B127,IF(OR(G132="B",G132="b"),"BYE","invalid")))))</f>
        <v>MOTO 12 IGNITE</v>
      </c>
      <c r="B118" s="225"/>
      <c r="C118" s="225"/>
      <c r="D118" s="225"/>
      <c r="E118" s="226"/>
      <c r="F118" s="105"/>
      <c r="G118" s="103"/>
      <c r="H118" s="103"/>
      <c r="I118" s="103"/>
      <c r="J118" s="103"/>
      <c r="K118" s="103"/>
      <c r="L118" s="103"/>
      <c r="M118" s="103"/>
      <c r="N118" s="103"/>
      <c r="P118" s="103"/>
      <c r="Q118" s="103"/>
      <c r="R118" s="127"/>
      <c r="S118" s="147"/>
      <c r="T118" s="147"/>
      <c r="U118" s="147"/>
      <c r="V118" s="147"/>
      <c r="W118" s="147"/>
      <c r="X118" s="147"/>
      <c r="Y118" s="147"/>
      <c r="Z118" s="147"/>
      <c r="AA118" s="147"/>
      <c r="AB118" s="127"/>
      <c r="AC118" s="127"/>
      <c r="AD118" s="127"/>
      <c r="AE118" s="127"/>
      <c r="AF118" s="127"/>
      <c r="AG118" s="127"/>
      <c r="AH118" s="127"/>
      <c r="AI118" s="127"/>
      <c r="AJ118" s="127"/>
      <c r="AK118" s="127"/>
      <c r="AL118" s="127"/>
      <c r="AM118" s="127"/>
      <c r="AZ118" s="70"/>
      <c r="BA118" s="70"/>
    </row>
    <row r="119" spans="1:53" x14ac:dyDescent="0.2">
      <c r="A119" s="227" t="s">
        <v>1039</v>
      </c>
      <c r="B119" s="227"/>
      <c r="C119" s="227"/>
      <c r="D119" s="227"/>
      <c r="E119" s="227"/>
      <c r="R119" s="127"/>
      <c r="S119" s="465"/>
      <c r="T119" s="465"/>
      <c r="U119" s="465"/>
      <c r="V119" s="465"/>
      <c r="W119" s="465"/>
      <c r="X119" s="465"/>
      <c r="Y119" s="465"/>
      <c r="Z119" s="465"/>
      <c r="AA119" s="465"/>
      <c r="AB119" s="127"/>
      <c r="AC119" s="127"/>
      <c r="AD119" s="127"/>
      <c r="AE119" s="127"/>
      <c r="AF119" s="127"/>
      <c r="AG119" s="127"/>
      <c r="AH119" s="127"/>
      <c r="AI119" s="127"/>
      <c r="AJ119" s="127"/>
      <c r="AK119" s="127"/>
      <c r="AL119" s="127"/>
      <c r="AM119" s="127"/>
      <c r="AZ119" s="70"/>
      <c r="BA119" s="70"/>
    </row>
    <row r="120" spans="1:53" x14ac:dyDescent="0.2">
      <c r="R120" s="127"/>
      <c r="S120" s="127"/>
      <c r="T120" s="127"/>
      <c r="U120" s="127"/>
      <c r="V120" s="127"/>
      <c r="W120" s="127"/>
      <c r="X120" s="127"/>
      <c r="Y120" s="127"/>
      <c r="Z120" s="127"/>
      <c r="AA120" s="127"/>
      <c r="AB120" s="127"/>
      <c r="AC120" s="127"/>
      <c r="AD120" s="127"/>
      <c r="AE120" s="127"/>
      <c r="AF120" s="127"/>
      <c r="AG120" s="127"/>
      <c r="AH120" s="127"/>
      <c r="AI120" s="127"/>
      <c r="AJ120" s="127"/>
      <c r="AK120" s="127"/>
      <c r="AL120" s="127"/>
      <c r="AM120" s="127"/>
      <c r="AS120" s="70"/>
      <c r="AT120" s="70"/>
      <c r="AU120" s="70"/>
      <c r="AZ120" s="70"/>
      <c r="BA120" s="70"/>
    </row>
    <row r="121" spans="1:53" x14ac:dyDescent="0.2">
      <c r="R121" s="127"/>
      <c r="S121" s="127"/>
      <c r="T121" s="127"/>
      <c r="U121" s="127"/>
      <c r="V121" s="127"/>
      <c r="W121" s="127"/>
      <c r="X121" s="127"/>
      <c r="Y121" s="127"/>
      <c r="Z121" s="127"/>
      <c r="AA121" s="127"/>
      <c r="AB121" s="127"/>
      <c r="AC121" s="127"/>
      <c r="AD121" s="127"/>
      <c r="AE121" s="127"/>
      <c r="AF121" s="127"/>
      <c r="AG121" s="127"/>
      <c r="AH121" s="127"/>
      <c r="AI121" s="127"/>
      <c r="AJ121" s="127"/>
      <c r="AK121" s="127"/>
      <c r="AL121" s="127"/>
      <c r="AM121" s="127"/>
      <c r="AS121" s="70"/>
      <c r="AT121" s="70"/>
      <c r="AU121" s="70"/>
      <c r="AZ121" s="70"/>
      <c r="BA121" s="70"/>
    </row>
    <row r="122" spans="1:53" ht="16.5" thickBot="1" x14ac:dyDescent="0.3">
      <c r="A122" s="229" t="s">
        <v>1040</v>
      </c>
      <c r="B122" s="229"/>
      <c r="C122" s="229"/>
      <c r="D122" s="229"/>
      <c r="E122" s="229"/>
      <c r="F122" s="229"/>
      <c r="G122" s="229"/>
      <c r="H122" s="229"/>
      <c r="I122" s="229"/>
      <c r="J122" s="229"/>
      <c r="Q122" s="125"/>
      <c r="R122" s="474"/>
      <c r="S122" s="474"/>
      <c r="T122" s="475"/>
      <c r="U122" s="475"/>
      <c r="V122" s="475"/>
      <c r="W122" s="475"/>
      <c r="X122" s="475"/>
      <c r="Y122" s="475"/>
      <c r="Z122" s="475"/>
      <c r="AA122" s="475"/>
      <c r="AB122" s="475"/>
      <c r="AC122" s="475"/>
      <c r="AD122" s="475"/>
      <c r="AE122" s="475"/>
      <c r="AF122" s="127"/>
      <c r="AG122" s="127"/>
      <c r="AH122" s="127"/>
      <c r="AI122" s="127"/>
      <c r="AJ122" s="127"/>
      <c r="AK122" s="127"/>
      <c r="AL122" s="127"/>
      <c r="AM122" s="127"/>
      <c r="AS122" s="70"/>
      <c r="AT122" s="70"/>
      <c r="AU122" s="70"/>
      <c r="AZ122" s="70"/>
      <c r="BA122" s="70"/>
    </row>
    <row r="123" spans="1:53" ht="13.5" thickBot="1" x14ac:dyDescent="0.25">
      <c r="A123" s="126" t="s">
        <v>147</v>
      </c>
      <c r="B123" s="219" t="s">
        <v>148</v>
      </c>
      <c r="C123" s="220"/>
      <c r="D123" s="220"/>
      <c r="E123" s="220"/>
      <c r="F123" s="220"/>
      <c r="G123" s="220"/>
      <c r="H123" s="220"/>
      <c r="I123" s="220"/>
      <c r="J123" s="221"/>
      <c r="K123" s="222" t="s">
        <v>149</v>
      </c>
      <c r="L123" s="223"/>
      <c r="M123" s="223"/>
      <c r="N123" s="223"/>
      <c r="O123" s="223"/>
      <c r="P123" s="223"/>
      <c r="Q123" s="224"/>
      <c r="R123" s="127"/>
      <c r="S123" s="127"/>
      <c r="T123" s="147"/>
      <c r="U123" s="147"/>
      <c r="V123" s="147"/>
      <c r="W123" s="147"/>
      <c r="X123" s="127"/>
      <c r="Y123" s="127"/>
      <c r="Z123" s="127"/>
      <c r="AA123" s="127"/>
      <c r="AB123" s="127"/>
      <c r="AC123" s="127"/>
      <c r="AD123" s="127"/>
      <c r="AE123" s="127"/>
      <c r="AF123" s="127"/>
      <c r="AG123" s="127"/>
      <c r="AH123" s="127"/>
      <c r="AI123" s="127"/>
      <c r="AJ123" s="127"/>
      <c r="AK123" s="127"/>
      <c r="AL123" s="127"/>
      <c r="AM123" s="127"/>
      <c r="AS123" s="70"/>
      <c r="AT123" s="70"/>
      <c r="AU123" s="70"/>
      <c r="AZ123" s="70"/>
      <c r="BA123" s="70"/>
    </row>
    <row r="124" spans="1:53" ht="13.5" thickBot="1" x14ac:dyDescent="0.25">
      <c r="A124" s="126">
        <v>1</v>
      </c>
      <c r="B124" s="201" t="str">
        <f>B94</f>
        <v>Lake Murray 12 Red</v>
      </c>
      <c r="C124" s="202"/>
      <c r="D124" s="202"/>
      <c r="E124" s="202"/>
      <c r="F124" s="202"/>
      <c r="G124" s="202"/>
      <c r="H124" s="202"/>
      <c r="I124" s="202"/>
      <c r="J124" s="203"/>
      <c r="K124" s="204" t="str">
        <f>H94</f>
        <v>fj2lakem1pm</v>
      </c>
      <c r="L124" s="205"/>
      <c r="M124" s="205"/>
      <c r="N124" s="205"/>
      <c r="O124" s="205"/>
      <c r="P124" s="205"/>
      <c r="Q124" s="206"/>
      <c r="R124" s="127"/>
      <c r="S124" s="127"/>
      <c r="T124" s="147"/>
      <c r="U124" s="147"/>
      <c r="V124" s="147"/>
      <c r="W124" s="463"/>
      <c r="X124" s="463"/>
      <c r="Y124" s="463"/>
      <c r="Z124" s="463"/>
      <c r="AA124" s="463"/>
      <c r="AB124" s="463"/>
      <c r="AC124" s="463"/>
      <c r="AD124" s="463"/>
      <c r="AE124" s="463"/>
      <c r="AF124" s="127"/>
      <c r="AG124" s="127"/>
      <c r="AH124" s="127"/>
      <c r="AI124" s="127"/>
      <c r="AJ124" s="127"/>
      <c r="AK124" s="127"/>
      <c r="AL124" s="127"/>
      <c r="AM124" s="127"/>
      <c r="AS124" s="70"/>
      <c r="AT124" s="70"/>
      <c r="AU124" s="70"/>
      <c r="AZ124" s="70"/>
      <c r="BA124" s="70"/>
    </row>
    <row r="125" spans="1:53" ht="13.5" thickBot="1" x14ac:dyDescent="0.25">
      <c r="A125" s="126">
        <v>2</v>
      </c>
      <c r="B125" s="201" t="str">
        <f>L94</f>
        <v>SC Midlands 12 Black</v>
      </c>
      <c r="C125" s="202"/>
      <c r="D125" s="202"/>
      <c r="E125" s="202"/>
      <c r="F125" s="202"/>
      <c r="G125" s="202"/>
      <c r="H125" s="202"/>
      <c r="I125" s="202"/>
      <c r="J125" s="203"/>
      <c r="K125" s="204" t="str">
        <f>R94</f>
        <v>fj2scmid1pm</v>
      </c>
      <c r="L125" s="205"/>
      <c r="M125" s="205"/>
      <c r="N125" s="205"/>
      <c r="O125" s="205"/>
      <c r="P125" s="205"/>
      <c r="Q125" s="206"/>
      <c r="R125" s="127"/>
      <c r="S125" s="127"/>
      <c r="T125" s="147"/>
      <c r="U125" s="147"/>
      <c r="V125" s="147"/>
      <c r="W125" s="463"/>
      <c r="X125" s="463"/>
      <c r="Y125" s="463"/>
      <c r="Z125" s="463"/>
      <c r="AA125" s="463"/>
      <c r="AB125" s="463"/>
      <c r="AC125" s="463"/>
      <c r="AD125" s="463"/>
      <c r="AE125" s="463"/>
      <c r="AF125" s="127"/>
      <c r="AG125" s="127"/>
      <c r="AH125" s="127"/>
      <c r="AI125" s="127"/>
      <c r="AJ125" s="127"/>
      <c r="AK125" s="127"/>
      <c r="AL125" s="127"/>
      <c r="AM125" s="127"/>
      <c r="AS125" s="70"/>
      <c r="AT125" s="70"/>
      <c r="AU125" s="70"/>
      <c r="AZ125" s="70"/>
      <c r="BA125" s="70"/>
    </row>
    <row r="126" spans="1:53" ht="13.5" thickBot="1" x14ac:dyDescent="0.25">
      <c r="A126" s="126">
        <v>3</v>
      </c>
      <c r="B126" s="201" t="str">
        <f>V94</f>
        <v>MOTO 12 IGNITE</v>
      </c>
      <c r="C126" s="202"/>
      <c r="D126" s="202"/>
      <c r="E126" s="202"/>
      <c r="F126" s="202"/>
      <c r="G126" s="202"/>
      <c r="H126" s="202"/>
      <c r="I126" s="202"/>
      <c r="J126" s="203"/>
      <c r="K126" s="204" t="str">
        <f>AB94</f>
        <v>fj2motoj1pm</v>
      </c>
      <c r="L126" s="205"/>
      <c r="M126" s="205"/>
      <c r="N126" s="205"/>
      <c r="O126" s="205"/>
      <c r="P126" s="205"/>
      <c r="Q126" s="206"/>
      <c r="R126" s="127"/>
      <c r="S126" s="127"/>
      <c r="T126" s="147"/>
      <c r="U126" s="147"/>
      <c r="V126" s="147"/>
      <c r="W126" s="463"/>
      <c r="X126" s="463"/>
      <c r="Y126" s="463"/>
      <c r="Z126" s="463"/>
      <c r="AA126" s="463"/>
      <c r="AB126" s="463"/>
      <c r="AC126" s="463"/>
      <c r="AD126" s="463"/>
      <c r="AE126" s="463"/>
      <c r="AF126" s="127"/>
      <c r="AG126" s="127"/>
      <c r="AH126" s="127"/>
      <c r="AI126" s="127"/>
      <c r="AJ126" s="127"/>
      <c r="AK126" s="127"/>
      <c r="AL126" s="127"/>
      <c r="AM126" s="127"/>
      <c r="AS126" s="70"/>
      <c r="AT126" s="70"/>
      <c r="AU126" s="70"/>
      <c r="AZ126" s="70"/>
      <c r="BA126" s="70"/>
    </row>
    <row r="127" spans="1:53" ht="13.5" thickBot="1" x14ac:dyDescent="0.25">
      <c r="A127" s="126">
        <v>4</v>
      </c>
      <c r="B127" s="476" t="str">
        <f>AF94</f>
        <v>Kershaw 12 Black</v>
      </c>
      <c r="C127" s="477"/>
      <c r="D127" s="477"/>
      <c r="E127" s="477"/>
      <c r="F127" s="477"/>
      <c r="G127" s="477"/>
      <c r="H127" s="477"/>
      <c r="I127" s="477"/>
      <c r="J127" s="478"/>
      <c r="K127" s="204" t="str">
        <f>AL94</f>
        <v>fj2kersh1pm</v>
      </c>
      <c r="L127" s="205"/>
      <c r="M127" s="205"/>
      <c r="N127" s="205"/>
      <c r="O127" s="205"/>
      <c r="P127" s="205"/>
      <c r="Q127" s="206"/>
      <c r="R127" s="127"/>
      <c r="S127" s="127"/>
      <c r="T127" s="147"/>
      <c r="U127" s="147"/>
      <c r="V127" s="147"/>
      <c r="W127" s="463"/>
      <c r="X127" s="463"/>
      <c r="Y127" s="463"/>
      <c r="Z127" s="463"/>
      <c r="AA127" s="463"/>
      <c r="AB127" s="463"/>
      <c r="AC127" s="463"/>
      <c r="AD127" s="463"/>
      <c r="AE127" s="463"/>
      <c r="AF127" s="127"/>
      <c r="AG127" s="127"/>
      <c r="AH127" s="127"/>
      <c r="AI127" s="127"/>
      <c r="AJ127" s="127"/>
      <c r="AK127" s="127"/>
      <c r="AL127" s="127"/>
      <c r="AM127" s="127"/>
      <c r="AS127" s="70"/>
      <c r="AT127" s="70"/>
      <c r="AU127" s="70"/>
      <c r="AZ127" s="70"/>
      <c r="BA127" s="70"/>
    </row>
    <row r="128" spans="1:53" ht="13.5" thickBot="1" x14ac:dyDescent="0.25">
      <c r="R128" s="127"/>
      <c r="S128" s="127"/>
      <c r="T128" s="127"/>
      <c r="U128" s="127"/>
      <c r="V128" s="127"/>
      <c r="W128" s="127"/>
      <c r="X128" s="127"/>
      <c r="Y128" s="127"/>
      <c r="Z128" s="127"/>
      <c r="AA128" s="127"/>
      <c r="AB128" s="127"/>
      <c r="AC128" s="127"/>
      <c r="AD128" s="127"/>
      <c r="AE128" s="127"/>
      <c r="AF128" s="127"/>
      <c r="AG128" s="127"/>
      <c r="AH128" s="127"/>
      <c r="AI128" s="127"/>
      <c r="AJ128" s="127"/>
      <c r="AK128" s="127"/>
      <c r="AL128" s="127"/>
      <c r="AM128" s="127"/>
      <c r="AN128" s="127"/>
      <c r="AO128" s="127"/>
      <c r="AP128" s="127"/>
      <c r="AS128" s="70"/>
      <c r="AT128" s="70"/>
      <c r="AU128" s="70"/>
      <c r="AZ128" s="70"/>
      <c r="BA128" s="70"/>
    </row>
    <row r="129" spans="1:77" x14ac:dyDescent="0.2">
      <c r="B129" s="210" t="s">
        <v>150</v>
      </c>
      <c r="C129" s="182"/>
      <c r="D129" s="183"/>
      <c r="E129" s="181" t="s">
        <v>150</v>
      </c>
      <c r="F129" s="182"/>
      <c r="G129" s="183"/>
      <c r="H129" s="181" t="s">
        <v>14</v>
      </c>
      <c r="I129" s="182"/>
      <c r="J129" s="184"/>
      <c r="K129" s="185" t="s">
        <v>151</v>
      </c>
      <c r="L129" s="211"/>
      <c r="M129" s="211"/>
      <c r="N129" s="211"/>
      <c r="O129" s="211"/>
      <c r="P129" s="211"/>
      <c r="Q129" s="212"/>
      <c r="R129" s="127"/>
      <c r="S129" s="127"/>
      <c r="T129" s="127"/>
      <c r="U129" s="127"/>
      <c r="V129" s="127"/>
      <c r="W129" s="479"/>
      <c r="X129" s="463"/>
      <c r="Y129" s="463"/>
      <c r="Z129" s="479"/>
      <c r="AA129" s="463"/>
      <c r="AB129" s="463"/>
      <c r="AC129" s="479"/>
      <c r="AD129" s="463"/>
      <c r="AE129" s="463"/>
      <c r="AF129" s="463"/>
      <c r="AG129" s="463"/>
      <c r="AH129" s="127"/>
      <c r="AI129" s="127"/>
      <c r="AJ129" s="127"/>
      <c r="AK129" s="127"/>
      <c r="AL129" s="127"/>
      <c r="AM129" s="127"/>
      <c r="AN129" s="127"/>
      <c r="AO129" s="127"/>
      <c r="AP129" s="127"/>
      <c r="AZ129" s="70"/>
      <c r="BA129" s="70"/>
    </row>
    <row r="130" spans="1:77" x14ac:dyDescent="0.2">
      <c r="A130" s="56" t="s">
        <v>152</v>
      </c>
      <c r="B130" s="194">
        <v>3</v>
      </c>
      <c r="C130" s="195"/>
      <c r="D130" s="196"/>
      <c r="E130" s="197" t="s">
        <v>153</v>
      </c>
      <c r="F130" s="195"/>
      <c r="G130" s="196"/>
      <c r="H130" s="197" t="s">
        <v>154</v>
      </c>
      <c r="I130" s="195"/>
      <c r="J130" s="198"/>
      <c r="K130" s="213"/>
      <c r="L130" s="214"/>
      <c r="M130" s="214"/>
      <c r="N130" s="214"/>
      <c r="O130" s="214"/>
      <c r="P130" s="214"/>
      <c r="Q130" s="215"/>
      <c r="R130" s="127"/>
      <c r="S130" s="127"/>
      <c r="T130" s="480"/>
      <c r="U130" s="480"/>
      <c r="V130" s="480"/>
      <c r="W130" s="481"/>
      <c r="X130" s="481"/>
      <c r="Y130" s="481"/>
      <c r="Z130" s="481"/>
      <c r="AA130" s="481"/>
      <c r="AB130" s="481"/>
      <c r="AC130" s="481"/>
      <c r="AD130" s="481"/>
      <c r="AE130" s="481"/>
      <c r="AF130" s="127"/>
      <c r="AG130" s="127"/>
      <c r="AH130" s="127"/>
      <c r="AI130" s="127"/>
      <c r="AJ130" s="127"/>
      <c r="AK130" s="127"/>
      <c r="AL130" s="127"/>
      <c r="AM130" s="127"/>
      <c r="AN130" s="127"/>
      <c r="AO130" s="127"/>
      <c r="AP130" s="127"/>
      <c r="AZ130" s="70"/>
      <c r="BA130" s="70"/>
    </row>
    <row r="131" spans="1:77" ht="13.5" thickBot="1" x14ac:dyDescent="0.25">
      <c r="A131" s="8"/>
      <c r="B131" s="179" t="s">
        <v>64</v>
      </c>
      <c r="C131" s="174"/>
      <c r="D131" s="180"/>
      <c r="E131" s="173" t="s">
        <v>155</v>
      </c>
      <c r="F131" s="174"/>
      <c r="G131" s="180"/>
      <c r="H131" s="173" t="s">
        <v>156</v>
      </c>
      <c r="I131" s="174"/>
      <c r="J131" s="175"/>
      <c r="K131" s="216"/>
      <c r="L131" s="217"/>
      <c r="M131" s="217"/>
      <c r="N131" s="217"/>
      <c r="O131" s="217"/>
      <c r="P131" s="217"/>
      <c r="Q131" s="218"/>
      <c r="R131" s="127"/>
      <c r="S131" s="127"/>
      <c r="T131" s="147"/>
      <c r="U131" s="147"/>
      <c r="V131" s="147"/>
      <c r="W131" s="482"/>
      <c r="X131" s="482"/>
      <c r="Y131" s="482"/>
      <c r="Z131" s="482"/>
      <c r="AA131" s="482"/>
      <c r="AB131" s="482"/>
      <c r="AC131" s="482"/>
      <c r="AD131" s="482"/>
      <c r="AE131" s="482"/>
      <c r="AF131" s="127"/>
      <c r="AG131" s="127"/>
      <c r="AH131" s="127"/>
      <c r="AI131" s="127"/>
      <c r="AJ131" s="127"/>
      <c r="AK131" s="127"/>
      <c r="AL131" s="127"/>
      <c r="AM131" s="127"/>
      <c r="AN131" s="127"/>
      <c r="AO131" s="127"/>
      <c r="AP131" s="127"/>
      <c r="AZ131" s="70"/>
      <c r="BA131" s="70"/>
    </row>
    <row r="132" spans="1:77" ht="13.5" thickBot="1" x14ac:dyDescent="0.25">
      <c r="A132" s="8"/>
      <c r="B132" s="128">
        <v>1</v>
      </c>
      <c r="C132" s="129" t="s">
        <v>72</v>
      </c>
      <c r="D132" s="130">
        <v>4</v>
      </c>
      <c r="E132" s="131">
        <v>2</v>
      </c>
      <c r="F132" s="129" t="s">
        <v>72</v>
      </c>
      <c r="G132" s="130">
        <v>3</v>
      </c>
      <c r="H132" s="132">
        <f>IF(OR(AND(OR(B136&gt;0,D136&gt;0),B136&gt;D136),OR(D132="b",D132="B")),B132,IF(OR(AND(OR(B136&gt;0,D136&gt;0),D136&gt;B136),OR(B132="b",B132="B")),D132,"W1"))</f>
        <v>1</v>
      </c>
      <c r="I132" s="133" t="s">
        <v>72</v>
      </c>
      <c r="J132" s="134">
        <f>IF(OR(AND(OR(E136&gt;0,G136&gt;0),E136&gt;G136),OR(G132="b",G132="B")),E132,IF(OR(AND(OR(E136&gt;0,G136&gt;0),G136&gt;E136),OR(E132="b",E132="B")),G132,"W2"))</f>
        <v>2</v>
      </c>
      <c r="K132" s="176" t="s">
        <v>157</v>
      </c>
      <c r="L132" s="177"/>
      <c r="M132" s="177"/>
      <c r="N132" s="178"/>
      <c r="R132" s="127"/>
      <c r="S132" s="127"/>
      <c r="T132" s="147"/>
      <c r="U132" s="147"/>
      <c r="V132" s="147"/>
      <c r="W132" s="483"/>
      <c r="X132" s="484"/>
      <c r="Y132" s="485"/>
      <c r="Z132" s="486"/>
      <c r="AA132" s="484"/>
      <c r="AB132" s="485"/>
      <c r="AC132" s="487"/>
      <c r="AD132" s="488"/>
      <c r="AE132" s="489"/>
      <c r="AF132" s="482"/>
      <c r="AG132" s="482"/>
      <c r="AH132" s="127"/>
      <c r="AI132" s="127"/>
      <c r="AJ132" s="127"/>
      <c r="AK132" s="127"/>
      <c r="AL132" s="127"/>
      <c r="AM132" s="127"/>
      <c r="AN132" s="127"/>
      <c r="AO132" s="127"/>
      <c r="AP132" s="127"/>
      <c r="AZ132" s="70"/>
      <c r="BA132" s="70"/>
    </row>
    <row r="133" spans="1:77" ht="13.5" hidden="1" customHeight="1" x14ac:dyDescent="0.2">
      <c r="A133" s="8"/>
      <c r="B133" s="135">
        <f>IF(B137&gt;D137,1,0)</f>
        <v>1</v>
      </c>
      <c r="C133" s="136"/>
      <c r="D133" s="137">
        <f>IF(D137&gt;B137,1,0)</f>
        <v>0</v>
      </c>
      <c r="E133" s="135">
        <f>IF(E137&gt;G137,1,0)</f>
        <v>1</v>
      </c>
      <c r="F133" s="136"/>
      <c r="G133" s="137">
        <f>IF(G137&gt;E137,1,0)</f>
        <v>0</v>
      </c>
      <c r="H133" s="135">
        <f>IF(H137&gt;J137,1,0)</f>
        <v>1</v>
      </c>
      <c r="I133" s="136"/>
      <c r="J133" s="137">
        <f>IF(J137&gt;H137,1,0)</f>
        <v>0</v>
      </c>
      <c r="K133" s="138"/>
      <c r="L133" s="139"/>
      <c r="M133" s="139"/>
      <c r="N133" s="140"/>
      <c r="R133" s="127"/>
      <c r="S133" s="127"/>
      <c r="T133" s="147"/>
      <c r="U133" s="147"/>
      <c r="V133" s="147"/>
      <c r="W133" s="483"/>
      <c r="X133" s="484"/>
      <c r="Y133" s="485"/>
      <c r="Z133" s="483"/>
      <c r="AA133" s="484"/>
      <c r="AB133" s="485"/>
      <c r="AC133" s="483"/>
      <c r="AD133" s="484"/>
      <c r="AE133" s="485"/>
      <c r="AF133" s="484"/>
      <c r="AG133" s="484"/>
      <c r="AH133" s="127"/>
      <c r="AI133" s="127"/>
      <c r="AJ133" s="127"/>
      <c r="AK133" s="127"/>
      <c r="AL133" s="127"/>
      <c r="AM133" s="127"/>
      <c r="AN133" s="127"/>
      <c r="AO133" s="127"/>
      <c r="AP133" s="127"/>
      <c r="AZ133" s="70"/>
      <c r="BA133" s="70"/>
    </row>
    <row r="134" spans="1:77" ht="13.5" hidden="1" customHeight="1" x14ac:dyDescent="0.2">
      <c r="A134" s="8"/>
      <c r="B134" s="135">
        <f>IF(B138&gt;D138,1,0)</f>
        <v>1</v>
      </c>
      <c r="C134" s="136"/>
      <c r="D134" s="137">
        <f>IF(D138&gt;B138,1,0)</f>
        <v>0</v>
      </c>
      <c r="E134" s="135">
        <f>IF(E138&gt;G138,1,0)</f>
        <v>1</v>
      </c>
      <c r="F134" s="136"/>
      <c r="G134" s="137">
        <f>IF(G138&gt;E138,1,0)</f>
        <v>0</v>
      </c>
      <c r="H134" s="135">
        <f>IF(H138&gt;J138,1,0)</f>
        <v>1</v>
      </c>
      <c r="I134" s="136"/>
      <c r="J134" s="137">
        <f>IF(J138&gt;H138,1,0)</f>
        <v>0</v>
      </c>
      <c r="K134" s="138"/>
      <c r="L134" s="139"/>
      <c r="M134" s="139"/>
      <c r="N134" s="140"/>
      <c r="R134" s="127"/>
      <c r="S134" s="127"/>
      <c r="T134" s="147"/>
      <c r="U134" s="147"/>
      <c r="V134" s="147"/>
      <c r="W134" s="483"/>
      <c r="X134" s="484"/>
      <c r="Y134" s="485"/>
      <c r="Z134" s="483"/>
      <c r="AA134" s="484"/>
      <c r="AB134" s="485"/>
      <c r="AC134" s="483"/>
      <c r="AD134" s="484"/>
      <c r="AE134" s="485"/>
      <c r="AF134" s="484"/>
      <c r="AG134" s="484"/>
      <c r="AH134" s="127"/>
      <c r="AI134" s="127"/>
      <c r="AJ134" s="127"/>
      <c r="AK134" s="127"/>
      <c r="AL134" s="127"/>
      <c r="AM134" s="127"/>
      <c r="AN134" s="127"/>
      <c r="AO134" s="127"/>
      <c r="AP134" s="127"/>
      <c r="AZ134" s="70"/>
      <c r="BA134" s="70"/>
    </row>
    <row r="135" spans="1:77" ht="13.5" hidden="1" customHeight="1" thickBot="1" x14ac:dyDescent="0.25">
      <c r="A135" s="8"/>
      <c r="B135" s="135">
        <f>IF(B139&gt;D139,1,0)</f>
        <v>0</v>
      </c>
      <c r="C135" s="136"/>
      <c r="D135" s="137">
        <f>IF(D139&gt;B139,1,0)</f>
        <v>0</v>
      </c>
      <c r="E135" s="135">
        <f>IF(E139&gt;G139,1,0)</f>
        <v>0</v>
      </c>
      <c r="F135" s="136"/>
      <c r="G135" s="137">
        <f>IF(G139&gt;E139,1,0)</f>
        <v>0</v>
      </c>
      <c r="H135" s="135">
        <f>IF(H139&gt;J139,1,0)</f>
        <v>0</v>
      </c>
      <c r="I135" s="136"/>
      <c r="J135" s="137">
        <f>IF(J139&gt;H139,1,0)</f>
        <v>0</v>
      </c>
      <c r="K135" s="138"/>
      <c r="L135" s="139"/>
      <c r="M135" s="139"/>
      <c r="N135" s="140"/>
      <c r="R135" s="127"/>
      <c r="S135" s="127"/>
      <c r="T135" s="147"/>
      <c r="U135" s="147"/>
      <c r="V135" s="147"/>
      <c r="W135" s="483"/>
      <c r="X135" s="484"/>
      <c r="Y135" s="485"/>
      <c r="Z135" s="483"/>
      <c r="AA135" s="484"/>
      <c r="AB135" s="485"/>
      <c r="AC135" s="483"/>
      <c r="AD135" s="484"/>
      <c r="AE135" s="485"/>
      <c r="AF135" s="484"/>
      <c r="AG135" s="484"/>
      <c r="AH135" s="127"/>
      <c r="AI135" s="127"/>
      <c r="AJ135" s="127"/>
      <c r="AK135" s="127"/>
      <c r="AL135" s="127"/>
      <c r="AM135" s="127"/>
      <c r="AN135" s="127"/>
      <c r="AO135" s="127"/>
      <c r="AP135" s="127"/>
      <c r="AZ135" s="70"/>
      <c r="BA135" s="70"/>
    </row>
    <row r="136" spans="1:77" ht="13.5" hidden="1" customHeight="1" x14ac:dyDescent="0.2">
      <c r="A136" s="8"/>
      <c r="B136" s="135">
        <f>SUM(B133:B135)</f>
        <v>2</v>
      </c>
      <c r="C136" s="136"/>
      <c r="D136" s="135">
        <f>SUM(D133:D135)</f>
        <v>0</v>
      </c>
      <c r="E136" s="135">
        <f>SUM(E133:E135)</f>
        <v>2</v>
      </c>
      <c r="F136" s="136"/>
      <c r="G136" s="135">
        <f>SUM(G133:G135)</f>
        <v>0</v>
      </c>
      <c r="H136" s="135">
        <f>SUM(H133:H135)</f>
        <v>2</v>
      </c>
      <c r="I136" s="136"/>
      <c r="J136" s="135">
        <f>SUM(J133:J135)</f>
        <v>0</v>
      </c>
      <c r="K136" s="138"/>
      <c r="L136" s="139"/>
      <c r="M136" s="139"/>
      <c r="N136" s="140"/>
      <c r="R136" s="127"/>
      <c r="S136" s="127"/>
      <c r="T136" s="147"/>
      <c r="U136" s="147"/>
      <c r="V136" s="147"/>
      <c r="W136" s="483"/>
      <c r="X136" s="484"/>
      <c r="Y136" s="483"/>
      <c r="Z136" s="483"/>
      <c r="AA136" s="484"/>
      <c r="AB136" s="483"/>
      <c r="AC136" s="483"/>
      <c r="AD136" s="484"/>
      <c r="AE136" s="483"/>
      <c r="AF136" s="484"/>
      <c r="AG136" s="484"/>
      <c r="AH136" s="127"/>
      <c r="AI136" s="127"/>
      <c r="AJ136" s="127"/>
      <c r="AK136" s="127"/>
      <c r="AL136" s="127"/>
      <c r="AM136" s="127"/>
      <c r="AN136" s="127"/>
      <c r="AO136" s="127"/>
      <c r="AP136" s="127"/>
      <c r="AZ136" s="70"/>
      <c r="BA136" s="70"/>
    </row>
    <row r="137" spans="1:77" ht="12.75" customHeight="1" x14ac:dyDescent="0.2">
      <c r="A137" s="6" t="s">
        <v>73</v>
      </c>
      <c r="B137" s="143">
        <v>25</v>
      </c>
      <c r="C137" s="66" t="s">
        <v>74</v>
      </c>
      <c r="D137" s="144">
        <v>20</v>
      </c>
      <c r="E137" s="145">
        <v>25</v>
      </c>
      <c r="F137" s="66" t="s">
        <v>74</v>
      </c>
      <c r="G137" s="144">
        <v>22</v>
      </c>
      <c r="H137" s="145">
        <v>25</v>
      </c>
      <c r="I137" s="66" t="s">
        <v>74</v>
      </c>
      <c r="J137" s="146">
        <v>16</v>
      </c>
      <c r="K137" s="162">
        <f>IF(AND(OR(H136&gt;0,J136&gt;0),AND(1&lt;=H132,H132&lt;=4),AND(1&lt;=J132,J132&lt;=4)),IF(H136&gt;J136,H132,IF(J136&gt;H136,J132,"")),"")</f>
        <v>1</v>
      </c>
      <c r="L137" s="163"/>
      <c r="M137" s="163"/>
      <c r="N137" s="164"/>
      <c r="R137" s="127"/>
      <c r="S137" s="127"/>
      <c r="T137" s="147"/>
      <c r="U137" s="147"/>
      <c r="V137" s="490"/>
      <c r="W137" s="491"/>
      <c r="X137" s="153"/>
      <c r="Y137" s="492"/>
      <c r="Z137" s="491"/>
      <c r="AA137" s="153"/>
      <c r="AB137" s="492"/>
      <c r="AC137" s="491"/>
      <c r="AD137" s="153"/>
      <c r="AE137" s="492"/>
      <c r="AF137" s="493"/>
      <c r="AG137" s="493"/>
      <c r="AH137" s="127"/>
      <c r="AI137" s="127"/>
      <c r="AJ137" s="127"/>
      <c r="AK137" s="127"/>
      <c r="AL137" s="127"/>
      <c r="AM137" s="127"/>
      <c r="AN137" s="127"/>
      <c r="AO137" s="127"/>
      <c r="AP137" s="127"/>
      <c r="AZ137" s="70"/>
      <c r="BA137" s="70"/>
    </row>
    <row r="138" spans="1:77" ht="12.75" customHeight="1" x14ac:dyDescent="0.2">
      <c r="A138" s="6" t="s">
        <v>158</v>
      </c>
      <c r="B138" s="143">
        <v>25</v>
      </c>
      <c r="C138" s="66" t="s">
        <v>74</v>
      </c>
      <c r="D138" s="144">
        <v>7</v>
      </c>
      <c r="E138" s="145">
        <v>25</v>
      </c>
      <c r="F138" s="66" t="s">
        <v>74</v>
      </c>
      <c r="G138" s="144">
        <v>22</v>
      </c>
      <c r="H138" s="145">
        <v>25</v>
      </c>
      <c r="I138" s="66" t="s">
        <v>74</v>
      </c>
      <c r="J138" s="146">
        <v>11</v>
      </c>
      <c r="K138" s="165"/>
      <c r="L138" s="166"/>
      <c r="M138" s="166"/>
      <c r="N138" s="167"/>
      <c r="R138" s="127"/>
      <c r="S138" s="127"/>
      <c r="T138" s="147"/>
      <c r="U138" s="147"/>
      <c r="V138" s="490"/>
      <c r="W138" s="491"/>
      <c r="X138" s="153"/>
      <c r="Y138" s="492"/>
      <c r="Z138" s="491"/>
      <c r="AA138" s="153"/>
      <c r="AB138" s="492"/>
      <c r="AC138" s="491"/>
      <c r="AD138" s="153"/>
      <c r="AE138" s="492"/>
      <c r="AF138" s="493"/>
      <c r="AG138" s="493"/>
      <c r="AH138" s="127"/>
      <c r="AI138" s="127"/>
      <c r="AJ138" s="127"/>
      <c r="AK138" s="127"/>
      <c r="AL138" s="127"/>
      <c r="AM138" s="127"/>
      <c r="AN138" s="127"/>
      <c r="AO138" s="127"/>
      <c r="AP138" s="127"/>
      <c r="AZ138" s="70"/>
      <c r="BA138" s="70"/>
    </row>
    <row r="139" spans="1:77" ht="13.5" customHeight="1" thickBot="1" x14ac:dyDescent="0.25">
      <c r="A139" s="6" t="s">
        <v>159</v>
      </c>
      <c r="B139" s="148"/>
      <c r="C139" s="149" t="s">
        <v>74</v>
      </c>
      <c r="D139" s="150"/>
      <c r="E139" s="151"/>
      <c r="F139" s="149" t="s">
        <v>74</v>
      </c>
      <c r="G139" s="150"/>
      <c r="H139" s="151"/>
      <c r="I139" s="149" t="s">
        <v>74</v>
      </c>
      <c r="J139" s="152"/>
      <c r="K139" s="168"/>
      <c r="L139" s="169"/>
      <c r="M139" s="169"/>
      <c r="N139" s="170"/>
      <c r="R139" s="127"/>
      <c r="S139" s="127"/>
      <c r="T139" s="147"/>
      <c r="U139" s="147"/>
      <c r="V139" s="490"/>
      <c r="W139" s="491"/>
      <c r="X139" s="153"/>
      <c r="Y139" s="492"/>
      <c r="Z139" s="491"/>
      <c r="AA139" s="153"/>
      <c r="AB139" s="492"/>
      <c r="AC139" s="491"/>
      <c r="AD139" s="153"/>
      <c r="AE139" s="492"/>
      <c r="AF139" s="493"/>
      <c r="AG139" s="493"/>
      <c r="AH139" s="127"/>
      <c r="AI139" s="127"/>
      <c r="AJ139" s="127"/>
      <c r="AK139" s="127"/>
      <c r="AL139" s="127"/>
      <c r="AM139" s="127"/>
      <c r="AN139" s="127"/>
      <c r="AO139" s="127"/>
      <c r="AP139" s="127"/>
      <c r="AZ139" s="70"/>
      <c r="BA139" s="70"/>
    </row>
    <row r="140" spans="1:77" hidden="1" x14ac:dyDescent="0.2">
      <c r="B140" s="3"/>
      <c r="C140" s="153" t="s">
        <v>108</v>
      </c>
      <c r="D140" s="3" t="s">
        <v>160</v>
      </c>
      <c r="E140" s="3"/>
      <c r="F140" s="153"/>
      <c r="G140" s="4" t="s">
        <v>161</v>
      </c>
      <c r="J140" s="4" t="s">
        <v>162</v>
      </c>
      <c r="T140" s="491"/>
      <c r="U140" s="491"/>
      <c r="V140" s="491"/>
      <c r="W140" s="491"/>
      <c r="X140" s="491"/>
      <c r="Y140" s="491"/>
      <c r="Z140" s="491"/>
      <c r="AA140" s="491"/>
      <c r="AB140" s="491"/>
      <c r="AC140" s="491"/>
      <c r="AD140" s="491"/>
      <c r="AE140" s="491"/>
      <c r="AT140" s="4" t="str">
        <f>B141</f>
        <v>Lake Murray 12 Red</v>
      </c>
      <c r="AU140" s="4">
        <f>J141</f>
        <v>1806.1326638746696</v>
      </c>
      <c r="AW140" s="154"/>
      <c r="AX140" s="70"/>
      <c r="AY140" s="70"/>
      <c r="AZ140" s="70"/>
      <c r="BA140" s="70"/>
      <c r="BB140" s="154"/>
      <c r="BC140" s="70"/>
      <c r="BD140" s="70"/>
      <c r="BE140" s="154"/>
      <c r="BF140" s="70"/>
      <c r="BG140" s="70"/>
      <c r="BH140" s="154"/>
      <c r="BI140" s="70"/>
      <c r="BJ140" s="70"/>
      <c r="BK140" s="154"/>
      <c r="BL140" s="70"/>
      <c r="BM140" s="70"/>
      <c r="BN140" s="154"/>
      <c r="BO140" s="70"/>
      <c r="BP140" s="70"/>
      <c r="BQ140" s="154"/>
      <c r="BR140" s="70"/>
      <c r="BS140" s="70"/>
      <c r="BT140" s="154"/>
      <c r="BU140" s="70"/>
      <c r="BV140" s="70"/>
      <c r="BW140" s="154"/>
      <c r="BX140" s="70"/>
      <c r="BY140" s="70"/>
    </row>
    <row r="141" spans="1:77" hidden="1" x14ac:dyDescent="0.2">
      <c r="A141" s="4">
        <v>1</v>
      </c>
      <c r="B141" s="4" t="str">
        <f>B124</f>
        <v>Lake Murray 12 Red</v>
      </c>
      <c r="C141" s="4">
        <f>VLOOKUP(B141,AU$2:AY$7,4,FALSE)</f>
        <v>1795.9658583196606</v>
      </c>
      <c r="D141" s="4">
        <f>IF(A141=B132,B147,IF(A141=D132,D147,C141))</f>
        <v>1801.3142627708876</v>
      </c>
      <c r="G141" s="4">
        <f>IF(A141=E132,E147,IF(A141=G132,G147,D141))</f>
        <v>1801.3142627708876</v>
      </c>
      <c r="J141" s="4">
        <f>IF(A141=H132,H147,IF(A141=J132,J147,G141))</f>
        <v>1806.1326638746696</v>
      </c>
      <c r="T141" s="491"/>
      <c r="U141" s="491"/>
      <c r="V141" s="491"/>
      <c r="W141" s="491"/>
      <c r="X141" s="491"/>
      <c r="Y141" s="491"/>
      <c r="Z141" s="491"/>
      <c r="AA141" s="491"/>
      <c r="AB141" s="491"/>
      <c r="AC141" s="491"/>
      <c r="AD141" s="491"/>
      <c r="AE141" s="491"/>
      <c r="AT141" s="4" t="str">
        <f>B142</f>
        <v>SC Midlands 12 Black</v>
      </c>
      <c r="AU141" s="4">
        <f>J142</f>
        <v>1495.9470417104681</v>
      </c>
      <c r="AW141" s="154"/>
      <c r="AX141" s="70"/>
      <c r="AY141" s="70"/>
      <c r="AZ141" s="70"/>
      <c r="BA141" s="70"/>
      <c r="BB141" s="154"/>
      <c r="BC141" s="70"/>
      <c r="BD141" s="70"/>
      <c r="BE141" s="154"/>
      <c r="BF141" s="70"/>
      <c r="BG141" s="70"/>
      <c r="BH141" s="154"/>
      <c r="BI141" s="70"/>
      <c r="BJ141" s="70"/>
      <c r="BK141" s="154"/>
      <c r="BL141" s="70"/>
      <c r="BM141" s="70"/>
      <c r="BN141" s="154"/>
      <c r="BO141" s="70"/>
      <c r="BP141" s="70"/>
      <c r="BQ141" s="154"/>
      <c r="BR141" s="70"/>
      <c r="BS141" s="70"/>
      <c r="BT141" s="154"/>
      <c r="BU141" s="70"/>
      <c r="BV141" s="70"/>
      <c r="BW141" s="154"/>
      <c r="BX141" s="70"/>
      <c r="BY141" s="70"/>
    </row>
    <row r="142" spans="1:77" hidden="1" x14ac:dyDescent="0.2">
      <c r="A142" s="4">
        <v>2</v>
      </c>
      <c r="B142" s="4" t="str">
        <f>B125</f>
        <v>SC Midlands 12 Black</v>
      </c>
      <c r="C142" s="4">
        <f>VLOOKUP(B142,AU$2:AY$7,4,FALSE)</f>
        <v>1486.8728399569763</v>
      </c>
      <c r="D142" s="4">
        <f>IF(A142=B132,B147,IF(A142=D132,D147,C142))</f>
        <v>1486.8728399569763</v>
      </c>
      <c r="G142" s="4">
        <f>IF(A142=E132,E147,IF(A142=G132,G147,D142))</f>
        <v>1500.76544281425</v>
      </c>
      <c r="J142" s="4">
        <f>IF(A142=H132,H147,IF(A142=J132,J147,G142))</f>
        <v>1495.9470417104681</v>
      </c>
      <c r="T142" s="491"/>
      <c r="U142" s="491"/>
      <c r="V142" s="491"/>
      <c r="W142" s="491"/>
      <c r="X142" s="491"/>
      <c r="Y142" s="491"/>
      <c r="Z142" s="491"/>
      <c r="AA142" s="491"/>
      <c r="AB142" s="491"/>
      <c r="AC142" s="491"/>
      <c r="AD142" s="491"/>
      <c r="AE142" s="491"/>
      <c r="AT142" s="4" t="str">
        <f>B143</f>
        <v>MOTO 12 IGNITE</v>
      </c>
      <c r="AU142" s="4">
        <f>J143</f>
        <v>1426.951274684269</v>
      </c>
      <c r="AW142" s="154"/>
      <c r="AX142" s="70"/>
      <c r="AY142" s="70"/>
      <c r="AZ142" s="70"/>
      <c r="BA142" s="70"/>
      <c r="BB142" s="154"/>
      <c r="BC142" s="70"/>
      <c r="BD142" s="70"/>
      <c r="BE142" s="154"/>
      <c r="BF142" s="70"/>
      <c r="BG142" s="70"/>
      <c r="BH142" s="154"/>
      <c r="BI142" s="70"/>
      <c r="BJ142" s="70"/>
      <c r="BK142" s="154"/>
      <c r="BL142" s="70"/>
      <c r="BM142" s="70"/>
      <c r="BN142" s="154"/>
      <c r="BO142" s="70"/>
      <c r="BP142" s="70"/>
      <c r="BQ142" s="154"/>
      <c r="BR142" s="70"/>
      <c r="BS142" s="70"/>
      <c r="BT142" s="154"/>
      <c r="BU142" s="70"/>
      <c r="BV142" s="70"/>
      <c r="BW142" s="154"/>
      <c r="BX142" s="70"/>
      <c r="BY142" s="70"/>
    </row>
    <row r="143" spans="1:77" hidden="1" x14ac:dyDescent="0.2">
      <c r="A143" s="4">
        <v>3</v>
      </c>
      <c r="B143" s="4" t="str">
        <f>B126</f>
        <v>MOTO 12 IGNITE</v>
      </c>
      <c r="C143" s="4">
        <f>VLOOKUP(B143,AU$2:AY$7,4,FALSE)</f>
        <v>1440.8438775415427</v>
      </c>
      <c r="D143" s="4">
        <f>IF(A143=B132,B147,IF(A143=D132,D147,C143))</f>
        <v>1440.8438775415427</v>
      </c>
      <c r="G143" s="4">
        <f>IF(A143=E132,E147,IF(A143=G132,G147,D143))</f>
        <v>1426.951274684269</v>
      </c>
      <c r="J143" s="4">
        <f>IF(A143=H132,H147,IF(A143=J132,J147,G143))</f>
        <v>1426.951274684269</v>
      </c>
      <c r="T143" s="491"/>
      <c r="U143" s="491"/>
      <c r="V143" s="491"/>
      <c r="W143" s="491"/>
      <c r="X143" s="491"/>
      <c r="Y143" s="491"/>
      <c r="Z143" s="491"/>
      <c r="AA143" s="491"/>
      <c r="AB143" s="491"/>
      <c r="AC143" s="491"/>
      <c r="AD143" s="491"/>
      <c r="AE143" s="491"/>
      <c r="AT143" s="4" t="str">
        <f>B144</f>
        <v>Kershaw 12 Black</v>
      </c>
      <c r="AU143" s="4">
        <f>J144</f>
        <v>1511.6178648947346</v>
      </c>
      <c r="AW143" s="154"/>
      <c r="AX143" s="70"/>
      <c r="AY143" s="70"/>
      <c r="AZ143" s="70"/>
      <c r="BA143" s="70"/>
      <c r="BB143" s="154"/>
      <c r="BC143" s="70"/>
      <c r="BD143" s="70"/>
      <c r="BE143" s="154"/>
      <c r="BF143" s="70"/>
      <c r="BG143" s="70"/>
      <c r="BH143" s="154"/>
      <c r="BI143" s="70"/>
      <c r="BJ143" s="70"/>
      <c r="BK143" s="154"/>
      <c r="BL143" s="70"/>
      <c r="BM143" s="70"/>
      <c r="BN143" s="154"/>
      <c r="BO143" s="70"/>
      <c r="BP143" s="70"/>
      <c r="BQ143" s="154"/>
      <c r="BR143" s="70"/>
      <c r="BS143" s="70"/>
      <c r="BT143" s="154"/>
      <c r="BU143" s="70"/>
      <c r="BV143" s="70"/>
      <c r="BW143" s="154"/>
      <c r="BX143" s="70"/>
      <c r="BY143" s="70"/>
    </row>
    <row r="144" spans="1:77" hidden="1" x14ac:dyDescent="0.2">
      <c r="A144" s="4">
        <v>4</v>
      </c>
      <c r="B144" s="4" t="str">
        <f>B127</f>
        <v>Kershaw 12 Black</v>
      </c>
      <c r="C144" s="4">
        <f>VLOOKUP(B144,AU$2:AY$7,4,FALSE)</f>
        <v>1516.9662693459616</v>
      </c>
      <c r="D144" s="4">
        <f>IF(A144=B132,B147,IF(A144=D132,D147,C144))</f>
        <v>1511.6178648947346</v>
      </c>
      <c r="G144" s="4">
        <f>IF(A144=E132,E147,IF(A144=G132,G147,D144))</f>
        <v>1511.6178648947346</v>
      </c>
      <c r="J144" s="4">
        <f>IF(A144=H132,H147,IF(A144=J132,J147,G144))</f>
        <v>1511.6178648947346</v>
      </c>
      <c r="T144" s="491"/>
      <c r="U144" s="491"/>
      <c r="V144" s="491"/>
      <c r="W144" s="491"/>
      <c r="X144" s="491"/>
      <c r="Y144" s="491"/>
      <c r="Z144" s="491"/>
      <c r="AA144" s="491"/>
      <c r="AB144" s="491"/>
      <c r="AC144" s="491"/>
      <c r="AD144" s="491"/>
      <c r="AE144" s="491"/>
      <c r="AT144" s="4">
        <f>W141</f>
        <v>0</v>
      </c>
      <c r="AU144" s="4">
        <f>AE141</f>
        <v>0</v>
      </c>
      <c r="AW144" s="154"/>
      <c r="AX144" s="70"/>
      <c r="AY144" s="70"/>
      <c r="AZ144" s="70"/>
      <c r="BA144" s="70"/>
      <c r="BB144" s="154"/>
      <c r="BC144" s="70"/>
      <c r="BD144" s="70"/>
      <c r="BE144" s="154"/>
      <c r="BF144" s="70"/>
      <c r="BG144" s="70"/>
      <c r="BH144" s="154"/>
      <c r="BI144" s="70"/>
      <c r="BJ144" s="70"/>
      <c r="BK144" s="154"/>
      <c r="BL144" s="70"/>
      <c r="BM144" s="70"/>
      <c r="BN144" s="154"/>
      <c r="BO144" s="70"/>
      <c r="BP144" s="70"/>
      <c r="BQ144" s="154"/>
      <c r="BR144" s="70"/>
      <c r="BS144" s="70"/>
      <c r="BT144" s="154"/>
      <c r="BU144" s="70"/>
      <c r="BV144" s="70"/>
      <c r="BW144" s="154"/>
      <c r="BX144" s="70"/>
      <c r="BY144" s="70"/>
    </row>
    <row r="145" spans="1:77" hidden="1" x14ac:dyDescent="0.2">
      <c r="A145" s="4" t="s">
        <v>110</v>
      </c>
      <c r="B145" s="4">
        <f>VLOOKUP(B132,$A141:$J144,3,FALSE)</f>
        <v>1795.9658583196606</v>
      </c>
      <c r="D145" s="4">
        <f>VLOOKUP(D132,$A141:$J144,3,FALSE)</f>
        <v>1516.9662693459616</v>
      </c>
      <c r="E145" s="4">
        <f>VLOOKUP(E132,$A141:$J144,4,FALSE)</f>
        <v>1486.8728399569763</v>
      </c>
      <c r="G145" s="4">
        <f>VLOOKUP(G132,$A141:$J144,4,FALSE)</f>
        <v>1440.8438775415427</v>
      </c>
      <c r="H145" s="4">
        <f>VLOOKUP(H132,$A141:$J144,7,FALSE)</f>
        <v>1801.3142627708876</v>
      </c>
      <c r="J145" s="4">
        <f>VLOOKUP(J132,$A141:$J144,7,FALSE)</f>
        <v>1500.76544281425</v>
      </c>
      <c r="T145" s="491"/>
      <c r="U145" s="491"/>
      <c r="V145" s="491"/>
      <c r="W145" s="491"/>
      <c r="X145" s="491"/>
      <c r="Y145" s="491"/>
      <c r="Z145" s="491"/>
      <c r="AA145" s="491"/>
      <c r="AB145" s="491"/>
      <c r="AC145" s="491"/>
      <c r="AD145" s="491"/>
      <c r="AE145" s="491"/>
      <c r="AT145" s="4">
        <f>W142</f>
        <v>0</v>
      </c>
      <c r="AU145" s="4">
        <f>AE142</f>
        <v>0</v>
      </c>
      <c r="AW145" s="154"/>
      <c r="AX145" s="70"/>
      <c r="AY145" s="70"/>
      <c r="AZ145" s="70"/>
      <c r="BA145" s="70"/>
      <c r="BB145" s="154"/>
      <c r="BC145" s="70"/>
      <c r="BD145" s="70"/>
      <c r="BE145" s="154"/>
      <c r="BF145" s="70"/>
      <c r="BG145" s="70"/>
      <c r="BH145" s="154"/>
      <c r="BI145" s="70"/>
      <c r="BJ145" s="70"/>
      <c r="BK145" s="154"/>
      <c r="BL145" s="70"/>
      <c r="BM145" s="70"/>
      <c r="BN145" s="154"/>
      <c r="BO145" s="70"/>
      <c r="BP145" s="70"/>
      <c r="BQ145" s="154"/>
      <c r="BR145" s="70"/>
      <c r="BS145" s="70"/>
      <c r="BT145" s="154"/>
      <c r="BU145" s="70"/>
      <c r="BV145" s="70"/>
      <c r="BW145" s="154"/>
      <c r="BX145" s="70"/>
      <c r="BY145" s="70"/>
    </row>
    <row r="146" spans="1:77" hidden="1" x14ac:dyDescent="0.2">
      <c r="A146" s="84" t="s">
        <v>111</v>
      </c>
      <c r="B146" s="84">
        <f>IF(OR(B136&gt;0,D136&gt;0),1/(1+(10^-((B145-D145)/400)))*(B136+D136),0)</f>
        <v>1.6657247217983124</v>
      </c>
      <c r="C146" s="84"/>
      <c r="D146" s="84">
        <f>IF(OR(B136&gt;0,D136&gt;0),1/(1+(10^-((D145-B145)/400)))*(B136+D136),0)</f>
        <v>0.33427527820168756</v>
      </c>
      <c r="E146" s="84">
        <f>IF(OR(E136&gt;0,G136&gt;0),1/(1+(10^-((E145-G145)/400)))*(E136+G136),0)</f>
        <v>1.1317123214203944</v>
      </c>
      <c r="F146" s="84"/>
      <c r="G146" s="84">
        <f>IF(OR(E136&gt;0,G136&gt;0),1/(1+(10^-((G145-E145)/400)))*(E136+G136),0)</f>
        <v>0.86828767857960576</v>
      </c>
      <c r="H146" s="84">
        <f>IF(OR(H136&gt;0,J136&gt;0),1/(1+(10^-((H145-J145)/400)))*(H136+J136),0)</f>
        <v>1.6988499310136278</v>
      </c>
      <c r="I146" s="84"/>
      <c r="J146" s="84">
        <f>IF(OR(H136&gt;0,J136&gt;0),1/(1+(10^-((J145-H145)/400)))*(H136+J136),0)</f>
        <v>0.30115006898637231</v>
      </c>
      <c r="T146" s="491"/>
      <c r="U146" s="491"/>
      <c r="V146" s="491"/>
      <c r="W146" s="491"/>
      <c r="X146" s="491"/>
      <c r="Y146" s="491"/>
      <c r="Z146" s="491"/>
      <c r="AA146" s="491"/>
      <c r="AB146" s="491"/>
      <c r="AC146" s="491"/>
      <c r="AD146" s="491"/>
      <c r="AE146" s="491"/>
      <c r="AT146" s="4">
        <f>W143</f>
        <v>0</v>
      </c>
      <c r="AU146" s="4">
        <f>AE143</f>
        <v>0</v>
      </c>
      <c r="AW146" s="154"/>
      <c r="AX146" s="70"/>
      <c r="AY146" s="70"/>
      <c r="AZ146" s="70"/>
      <c r="BA146" s="70"/>
      <c r="BB146" s="154"/>
      <c r="BC146" s="70"/>
      <c r="BD146" s="70"/>
      <c r="BE146" s="154"/>
      <c r="BF146" s="70"/>
      <c r="BG146" s="70"/>
      <c r="BH146" s="154"/>
      <c r="BI146" s="70"/>
      <c r="BJ146" s="70"/>
      <c r="BK146" s="154"/>
      <c r="BL146" s="70"/>
      <c r="BM146" s="70"/>
      <c r="BN146" s="154"/>
      <c r="BO146" s="70"/>
      <c r="BP146" s="70"/>
      <c r="BQ146" s="154"/>
      <c r="BR146" s="70"/>
      <c r="BS146" s="70"/>
      <c r="BT146" s="154"/>
      <c r="BU146" s="70"/>
      <c r="BV146" s="70"/>
      <c r="BW146" s="154"/>
      <c r="BX146" s="70"/>
      <c r="BY146" s="70"/>
    </row>
    <row r="147" spans="1:77" hidden="1" x14ac:dyDescent="0.2">
      <c r="A147" s="90" t="s">
        <v>112</v>
      </c>
      <c r="B147" s="90">
        <f>B145+(B136-B146)*$BA$2</f>
        <v>1801.3142627708876</v>
      </c>
      <c r="C147" s="90"/>
      <c r="D147" s="90">
        <f>D145+(D136-D146)*$BA$2</f>
        <v>1511.6178648947346</v>
      </c>
      <c r="E147" s="90">
        <f>E145+(E136-E146)*$BA$2</f>
        <v>1500.76544281425</v>
      </c>
      <c r="G147" s="90">
        <f>G145+(G136-G146)*$BA$2</f>
        <v>1426.951274684269</v>
      </c>
      <c r="H147" s="90">
        <f>H145+(H136-H146)*$BA$2</f>
        <v>1806.1326638746696</v>
      </c>
      <c r="J147" s="90">
        <f>J145+(J136-J146)*$BA$2</f>
        <v>1495.9470417104681</v>
      </c>
      <c r="T147" s="491"/>
      <c r="U147" s="491"/>
      <c r="V147" s="491"/>
      <c r="W147" s="491"/>
      <c r="X147" s="491"/>
      <c r="Y147" s="491"/>
      <c r="Z147" s="491"/>
      <c r="AA147" s="491"/>
      <c r="AB147" s="491"/>
      <c r="AC147" s="491"/>
      <c r="AD147" s="491"/>
      <c r="AE147" s="491"/>
      <c r="AT147" s="4">
        <f>W144</f>
        <v>0</v>
      </c>
      <c r="AU147" s="4">
        <f>AE144</f>
        <v>0</v>
      </c>
      <c r="AW147" s="154"/>
      <c r="AX147" s="70"/>
      <c r="AY147" s="70"/>
      <c r="AZ147" s="70"/>
      <c r="BA147" s="70"/>
      <c r="BB147" s="154"/>
      <c r="BC147" s="70"/>
      <c r="BD147" s="70"/>
      <c r="BE147" s="154"/>
      <c r="BF147" s="70"/>
      <c r="BG147" s="70"/>
      <c r="BH147" s="154"/>
      <c r="BI147" s="70"/>
      <c r="BJ147" s="70"/>
      <c r="BK147" s="154"/>
      <c r="BL147" s="70"/>
      <c r="BM147" s="70"/>
      <c r="BN147" s="154"/>
      <c r="BO147" s="70"/>
      <c r="BP147" s="70"/>
      <c r="BQ147" s="154"/>
      <c r="BR147" s="70"/>
      <c r="BS147" s="70"/>
      <c r="BT147" s="154"/>
      <c r="BU147" s="70"/>
      <c r="BV147" s="70"/>
      <c r="BW147" s="154"/>
      <c r="BX147" s="70"/>
      <c r="BY147" s="70"/>
    </row>
    <row r="148" spans="1:77" x14ac:dyDescent="0.2">
      <c r="A148" s="159" t="s">
        <v>163</v>
      </c>
      <c r="B148" s="159"/>
      <c r="C148" s="159"/>
      <c r="D148" s="159"/>
      <c r="E148" s="159"/>
      <c r="F148" s="159"/>
      <c r="G148" s="159"/>
      <c r="H148" s="159"/>
      <c r="I148" s="159"/>
      <c r="J148" s="159"/>
      <c r="K148" s="159"/>
      <c r="L148" s="159"/>
      <c r="M148" s="159"/>
      <c r="R148" s="127"/>
      <c r="S148" s="127"/>
      <c r="T148" s="147"/>
      <c r="U148" s="147"/>
      <c r="V148" s="147"/>
      <c r="W148" s="147"/>
      <c r="X148" s="147"/>
      <c r="Y148" s="147"/>
      <c r="Z148" s="147"/>
      <c r="AA148" s="147"/>
      <c r="AB148" s="147"/>
      <c r="AC148" s="147"/>
      <c r="AD148" s="147"/>
      <c r="AE148" s="147"/>
      <c r="AF148" s="147"/>
      <c r="AG148" s="147"/>
      <c r="AH148" s="127"/>
      <c r="AI148" s="127"/>
      <c r="AJ148" s="127"/>
      <c r="AK148" s="127"/>
      <c r="AL148" s="127"/>
      <c r="AM148" s="127"/>
      <c r="AN148" s="127"/>
      <c r="AO148" s="127"/>
      <c r="AP148" s="127"/>
      <c r="AZ148" s="70"/>
      <c r="BA148" s="70"/>
    </row>
    <row r="149" spans="1:77" x14ac:dyDescent="0.2">
      <c r="T149" s="127"/>
      <c r="U149" s="127"/>
      <c r="V149" s="127"/>
      <c r="W149" s="127"/>
      <c r="X149" s="127"/>
      <c r="Y149" s="127"/>
      <c r="Z149" s="127"/>
      <c r="AA149" s="127"/>
      <c r="AB149" s="127"/>
      <c r="AC149" s="127"/>
      <c r="AD149" s="127"/>
      <c r="AE149" s="127"/>
      <c r="AF149" s="127"/>
      <c r="AG149" s="127"/>
      <c r="AH149" s="127"/>
      <c r="AI149" s="127"/>
      <c r="AJ149" s="127"/>
      <c r="AK149" s="127"/>
      <c r="AL149" s="127"/>
      <c r="AM149" s="127"/>
      <c r="AN149" s="127"/>
      <c r="AO149" s="127"/>
      <c r="AP149" s="127"/>
      <c r="AS149" s="70"/>
      <c r="AT149" s="70"/>
      <c r="AU149" s="70"/>
      <c r="AZ149" s="70"/>
      <c r="BA149" s="70"/>
    </row>
    <row r="150" spans="1:77" x14ac:dyDescent="0.2">
      <c r="AS150" s="70"/>
      <c r="AT150" s="70"/>
      <c r="AU150" s="70"/>
      <c r="AZ150" s="70"/>
      <c r="BA150" s="70"/>
    </row>
    <row r="151" spans="1:77" x14ac:dyDescent="0.2">
      <c r="AS151" s="70"/>
      <c r="AT151" s="70"/>
      <c r="AU151" s="70"/>
      <c r="AZ151" s="70"/>
      <c r="BA151" s="70"/>
    </row>
    <row r="152" spans="1:77" x14ac:dyDescent="0.2">
      <c r="AS152" s="70"/>
      <c r="AT152" s="70"/>
      <c r="AU152" s="70"/>
      <c r="AZ152" s="70"/>
      <c r="BA152" s="70"/>
    </row>
    <row r="153" spans="1:77" x14ac:dyDescent="0.2">
      <c r="AS153" s="70"/>
      <c r="AT153" s="70"/>
      <c r="AU153" s="70"/>
      <c r="AZ153" s="70"/>
      <c r="BA153" s="70"/>
    </row>
    <row r="154" spans="1:77" x14ac:dyDescent="0.2">
      <c r="AS154" s="70"/>
      <c r="AT154" s="70"/>
      <c r="AU154" s="70"/>
      <c r="AZ154" s="70"/>
      <c r="BA154" s="70"/>
    </row>
    <row r="155" spans="1:77" x14ac:dyDescent="0.2">
      <c r="AS155" s="70"/>
      <c r="AT155" s="70"/>
      <c r="AU155" s="70"/>
      <c r="AZ155" s="70"/>
      <c r="BA155" s="70"/>
    </row>
    <row r="156" spans="1:77" x14ac:dyDescent="0.2">
      <c r="AS156" s="70"/>
      <c r="AT156" s="70"/>
      <c r="AU156" s="70"/>
      <c r="AZ156" s="70"/>
      <c r="BA156" s="70"/>
    </row>
    <row r="157" spans="1:77" x14ac:dyDescent="0.2">
      <c r="AS157" s="70"/>
      <c r="AT157" s="70"/>
      <c r="AU157" s="70"/>
      <c r="AZ157" s="70"/>
      <c r="BA157" s="70"/>
    </row>
    <row r="158" spans="1:77" x14ac:dyDescent="0.2">
      <c r="AS158" s="70"/>
      <c r="AT158" s="70"/>
      <c r="AU158" s="70"/>
      <c r="AZ158" s="70"/>
      <c r="BA158" s="70"/>
    </row>
    <row r="159" spans="1:77" x14ac:dyDescent="0.2">
      <c r="AS159" s="70"/>
      <c r="AT159" s="70"/>
      <c r="AU159" s="70"/>
      <c r="AZ159" s="70"/>
      <c r="BA159" s="70"/>
    </row>
    <row r="160" spans="1:77" x14ac:dyDescent="0.2">
      <c r="AS160" s="70"/>
      <c r="AT160" s="70"/>
      <c r="AU160" s="70"/>
      <c r="AZ160" s="70"/>
      <c r="BA160" s="70"/>
    </row>
    <row r="161" spans="45:53" x14ac:dyDescent="0.2">
      <c r="AS161" s="70"/>
      <c r="AT161" s="70"/>
      <c r="AU161" s="70"/>
      <c r="AZ161" s="70"/>
      <c r="BA161" s="70"/>
    </row>
    <row r="162" spans="45:53" x14ac:dyDescent="0.2">
      <c r="AS162" s="70"/>
      <c r="AT162" s="70"/>
      <c r="AU162" s="70"/>
    </row>
    <row r="163" spans="45:53" x14ac:dyDescent="0.2">
      <c r="AS163" s="70"/>
      <c r="AT163" s="70"/>
      <c r="AU163" s="70"/>
      <c r="AZ163" s="77"/>
      <c r="BA163" s="77"/>
    </row>
    <row r="164" spans="45:53" x14ac:dyDescent="0.2">
      <c r="AS164" s="70"/>
      <c r="AT164" s="70"/>
      <c r="AU164" s="70"/>
      <c r="AZ164" s="77"/>
      <c r="BA164" s="77"/>
    </row>
    <row r="165" spans="45:53" x14ac:dyDescent="0.2">
      <c r="AS165" s="70"/>
      <c r="AT165" s="70"/>
      <c r="AU165" s="70"/>
      <c r="AZ165" s="77"/>
      <c r="BA165" s="77"/>
    </row>
    <row r="166" spans="45:53" x14ac:dyDescent="0.2">
      <c r="AS166" s="70"/>
      <c r="AT166" s="70"/>
      <c r="AU166" s="70"/>
      <c r="AZ166" s="77"/>
      <c r="BA166" s="77"/>
    </row>
    <row r="167" spans="45:53" x14ac:dyDescent="0.2">
      <c r="AS167" s="70"/>
      <c r="AT167" s="70"/>
      <c r="AU167" s="70"/>
      <c r="AZ167" s="77"/>
      <c r="BA167" s="77"/>
    </row>
    <row r="168" spans="45:53" x14ac:dyDescent="0.2">
      <c r="AS168" s="70"/>
      <c r="AT168" s="70"/>
      <c r="AU168" s="70"/>
      <c r="AZ168" s="77"/>
      <c r="BA168" s="77"/>
    </row>
    <row r="169" spans="45:53" x14ac:dyDescent="0.2">
      <c r="AS169" s="70"/>
      <c r="AT169" s="70"/>
      <c r="AU169" s="70"/>
      <c r="AZ169" s="77"/>
      <c r="BA169" s="77"/>
    </row>
    <row r="170" spans="45:53" x14ac:dyDescent="0.2">
      <c r="AS170" s="70"/>
      <c r="AT170" s="70"/>
      <c r="AU170" s="70"/>
      <c r="AZ170" s="77"/>
      <c r="BA170" s="77"/>
    </row>
    <row r="171" spans="45:53" x14ac:dyDescent="0.2">
      <c r="AS171" s="70"/>
      <c r="AT171" s="70"/>
      <c r="AU171" s="70"/>
      <c r="AZ171" s="87"/>
      <c r="BA171" s="87"/>
    </row>
    <row r="172" spans="45:53" x14ac:dyDescent="0.2">
      <c r="AS172" s="70"/>
      <c r="AT172" s="70"/>
      <c r="AU172" s="70"/>
      <c r="AZ172" s="93"/>
      <c r="BA172" s="93"/>
    </row>
    <row r="173" spans="45:53" x14ac:dyDescent="0.2">
      <c r="AS173" s="70"/>
      <c r="AT173" s="70"/>
      <c r="AU173" s="70"/>
      <c r="AZ173" s="93"/>
      <c r="BA173" s="93"/>
    </row>
    <row r="174" spans="45:53" x14ac:dyDescent="0.2">
      <c r="AS174" s="77"/>
      <c r="AT174" s="77"/>
      <c r="AU174" s="77"/>
      <c r="AZ174" s="77"/>
      <c r="BA174" s="77"/>
    </row>
    <row r="175" spans="45:53" x14ac:dyDescent="0.2">
      <c r="AS175" s="77"/>
      <c r="AT175" s="77"/>
      <c r="AU175" s="77"/>
      <c r="AZ175" s="77"/>
      <c r="BA175" s="77"/>
    </row>
    <row r="200" spans="45:53" x14ac:dyDescent="0.2">
      <c r="AS200" s="70"/>
      <c r="AT200" s="70"/>
      <c r="AU200" s="70"/>
    </row>
    <row r="201" spans="45:53" x14ac:dyDescent="0.2">
      <c r="AS201" s="70"/>
      <c r="AT201" s="70"/>
      <c r="AU201" s="70"/>
      <c r="AZ201" s="70"/>
      <c r="BA201" s="70"/>
    </row>
    <row r="202" spans="45:53" x14ac:dyDescent="0.2">
      <c r="AS202" s="70"/>
      <c r="AT202" s="70"/>
      <c r="AU202" s="70"/>
      <c r="AZ202" s="70"/>
      <c r="BA202" s="70"/>
    </row>
    <row r="203" spans="45:53" x14ac:dyDescent="0.2">
      <c r="AS203" s="70"/>
      <c r="AT203" s="70"/>
      <c r="AU203" s="70"/>
      <c r="AZ203" s="70"/>
      <c r="BA203" s="70"/>
    </row>
    <row r="204" spans="45:53" x14ac:dyDescent="0.2">
      <c r="AS204" s="70"/>
      <c r="AT204" s="70"/>
      <c r="AU204" s="70"/>
      <c r="AZ204" s="70"/>
      <c r="BA204" s="70"/>
    </row>
    <row r="205" spans="45:53" x14ac:dyDescent="0.2">
      <c r="AS205" s="70"/>
      <c r="AT205" s="70"/>
      <c r="AU205" s="70"/>
      <c r="AZ205" s="70"/>
      <c r="BA205" s="70"/>
    </row>
    <row r="206" spans="45:53" x14ac:dyDescent="0.2">
      <c r="AS206" s="70"/>
      <c r="AT206" s="70"/>
      <c r="AU206" s="70"/>
      <c r="AZ206" s="70"/>
      <c r="BA206" s="70"/>
    </row>
    <row r="207" spans="45:53" x14ac:dyDescent="0.2">
      <c r="AS207" s="70"/>
      <c r="AT207" s="70"/>
      <c r="AU207" s="70"/>
      <c r="AZ207" s="70"/>
      <c r="BA207" s="70"/>
    </row>
    <row r="208" spans="45:53" x14ac:dyDescent="0.2">
      <c r="AS208" s="70"/>
      <c r="AT208" s="70"/>
      <c r="AU208" s="70"/>
      <c r="AZ208" s="70"/>
      <c r="BA208" s="70"/>
    </row>
    <row r="209" spans="45:53" x14ac:dyDescent="0.2">
      <c r="AS209" s="70"/>
      <c r="AT209" s="70"/>
      <c r="AU209" s="70"/>
      <c r="AZ209" s="70"/>
      <c r="BA209" s="70"/>
    </row>
    <row r="210" spans="45:53" x14ac:dyDescent="0.2">
      <c r="AS210" s="70"/>
      <c r="AT210" s="70"/>
      <c r="AU210" s="70"/>
      <c r="AZ210" s="70"/>
      <c r="BA210" s="70"/>
    </row>
    <row r="211" spans="45:53" x14ac:dyDescent="0.2">
      <c r="AS211" s="70"/>
      <c r="AT211" s="70"/>
      <c r="AU211" s="70"/>
      <c r="AZ211" s="70"/>
      <c r="BA211" s="70"/>
    </row>
    <row r="212" spans="45:53" x14ac:dyDescent="0.2">
      <c r="AS212" s="70"/>
      <c r="AT212" s="70"/>
      <c r="AU212" s="70"/>
      <c r="AZ212" s="70"/>
      <c r="BA212" s="70"/>
    </row>
    <row r="213" spans="45:53" x14ac:dyDescent="0.2">
      <c r="AS213" s="70"/>
      <c r="AT213" s="70"/>
      <c r="AU213" s="70"/>
      <c r="AZ213" s="70"/>
      <c r="BA213" s="70"/>
    </row>
    <row r="214" spans="45:53" x14ac:dyDescent="0.2">
      <c r="AS214" s="70"/>
      <c r="AT214" s="70"/>
      <c r="AU214" s="70"/>
      <c r="AZ214" s="70"/>
      <c r="BA214" s="70"/>
    </row>
    <row r="215" spans="45:53" x14ac:dyDescent="0.2">
      <c r="AS215" s="70"/>
      <c r="AT215" s="70"/>
      <c r="AU215" s="70"/>
      <c r="AZ215" s="70"/>
      <c r="BA215" s="70"/>
    </row>
    <row r="216" spans="45:53" x14ac:dyDescent="0.2">
      <c r="AS216" s="70"/>
      <c r="AT216" s="70"/>
      <c r="AU216" s="70"/>
      <c r="AZ216" s="70"/>
      <c r="BA216" s="70"/>
    </row>
    <row r="217" spans="45:53" x14ac:dyDescent="0.2">
      <c r="AS217" s="70"/>
      <c r="AT217" s="70"/>
      <c r="AU217" s="70"/>
      <c r="AZ217" s="70"/>
      <c r="BA217" s="70"/>
    </row>
    <row r="218" spans="45:53" x14ac:dyDescent="0.2">
      <c r="AS218" s="70"/>
      <c r="AT218" s="70"/>
      <c r="AU218" s="70"/>
      <c r="AZ218" s="70"/>
      <c r="BA218" s="70"/>
    </row>
    <row r="219" spans="45:53" x14ac:dyDescent="0.2">
      <c r="AS219" s="70"/>
      <c r="AT219" s="70"/>
      <c r="AU219" s="70"/>
      <c r="AZ219" s="70"/>
      <c r="BA219" s="70"/>
    </row>
    <row r="220" spans="45:53" x14ac:dyDescent="0.2">
      <c r="AS220" s="70"/>
      <c r="AT220" s="70"/>
      <c r="AU220" s="70"/>
      <c r="AZ220" s="70"/>
      <c r="BA220" s="70"/>
    </row>
    <row r="221" spans="45:53" x14ac:dyDescent="0.2">
      <c r="AS221" s="70"/>
      <c r="AT221" s="70"/>
      <c r="AU221" s="70"/>
      <c r="AZ221" s="70"/>
      <c r="BA221" s="70"/>
    </row>
    <row r="222" spans="45:53" x14ac:dyDescent="0.2">
      <c r="AS222" s="70"/>
      <c r="AT222" s="70"/>
      <c r="AU222" s="70"/>
      <c r="AZ222" s="70"/>
      <c r="BA222" s="70"/>
    </row>
    <row r="223" spans="45:53" x14ac:dyDescent="0.2">
      <c r="AS223" s="70"/>
      <c r="AT223" s="70"/>
      <c r="AU223" s="70"/>
      <c r="AZ223" s="70"/>
      <c r="BA223" s="70"/>
    </row>
    <row r="224" spans="45:53" x14ac:dyDescent="0.2">
      <c r="AS224" s="70"/>
      <c r="AT224" s="70"/>
      <c r="AU224" s="70"/>
      <c r="AZ224" s="70"/>
      <c r="BA224" s="70"/>
    </row>
    <row r="225" spans="45:53" x14ac:dyDescent="0.2">
      <c r="AS225" s="70"/>
      <c r="AT225" s="70"/>
      <c r="AU225" s="70"/>
      <c r="AZ225" s="70"/>
      <c r="BA225" s="70"/>
    </row>
    <row r="226" spans="45:53" x14ac:dyDescent="0.2">
      <c r="AS226" s="70"/>
      <c r="AT226" s="70"/>
      <c r="AU226" s="70"/>
      <c r="AZ226" s="70"/>
      <c r="BA226" s="70"/>
    </row>
    <row r="227" spans="45:53" x14ac:dyDescent="0.2">
      <c r="AS227" s="70"/>
      <c r="AT227" s="70"/>
      <c r="AU227" s="70"/>
      <c r="AZ227" s="70"/>
      <c r="BA227" s="70"/>
    </row>
    <row r="228" spans="45:53" x14ac:dyDescent="0.2">
      <c r="AS228" s="70"/>
      <c r="AT228" s="70"/>
      <c r="AU228" s="70"/>
      <c r="AZ228" s="70"/>
      <c r="BA228" s="70"/>
    </row>
    <row r="229" spans="45:53" x14ac:dyDescent="0.2">
      <c r="AS229" s="70"/>
      <c r="AT229" s="70"/>
      <c r="AU229" s="70"/>
      <c r="AZ229" s="70"/>
      <c r="BA229" s="70"/>
    </row>
    <row r="230" spans="45:53" x14ac:dyDescent="0.2">
      <c r="AS230" s="70"/>
      <c r="AT230" s="70"/>
      <c r="AU230" s="70"/>
      <c r="AZ230" s="70"/>
      <c r="BA230" s="70"/>
    </row>
    <row r="231" spans="45:53" x14ac:dyDescent="0.2">
      <c r="AS231" s="70"/>
      <c r="AT231" s="70"/>
      <c r="AU231" s="70"/>
      <c r="AZ231" s="70"/>
      <c r="BA231" s="70"/>
    </row>
    <row r="232" spans="45:53" x14ac:dyDescent="0.2">
      <c r="AS232" s="70"/>
      <c r="AT232" s="70"/>
      <c r="AU232" s="70"/>
      <c r="AZ232" s="70"/>
      <c r="BA232" s="70"/>
    </row>
    <row r="233" spans="45:53" x14ac:dyDescent="0.2">
      <c r="AS233" s="70"/>
      <c r="AT233" s="70"/>
      <c r="AU233" s="70"/>
      <c r="AZ233" s="70"/>
      <c r="BA233" s="70"/>
    </row>
    <row r="234" spans="45:53" x14ac:dyDescent="0.2">
      <c r="AS234" s="70"/>
      <c r="AT234" s="70"/>
      <c r="AU234" s="70"/>
      <c r="AZ234" s="70"/>
      <c r="BA234" s="70"/>
    </row>
    <row r="235" spans="45:53" x14ac:dyDescent="0.2">
      <c r="AS235" s="70"/>
      <c r="AT235" s="70"/>
      <c r="AU235" s="70"/>
      <c r="AZ235" s="70"/>
      <c r="BA235" s="70"/>
    </row>
    <row r="236" spans="45:53" x14ac:dyDescent="0.2">
      <c r="AS236" s="70"/>
      <c r="AT236" s="70"/>
      <c r="AU236" s="70"/>
      <c r="AZ236" s="70"/>
      <c r="BA236" s="70"/>
    </row>
    <row r="237" spans="45:53" x14ac:dyDescent="0.2">
      <c r="AS237" s="70"/>
      <c r="AT237" s="70"/>
      <c r="AU237" s="70"/>
      <c r="AZ237" s="70"/>
      <c r="BA237" s="70"/>
    </row>
    <row r="238" spans="45:53" x14ac:dyDescent="0.2">
      <c r="AS238" s="70"/>
      <c r="AT238" s="70"/>
      <c r="AU238" s="70"/>
      <c r="AZ238" s="70"/>
      <c r="BA238" s="70"/>
    </row>
    <row r="239" spans="45:53" x14ac:dyDescent="0.2">
      <c r="AS239" s="70"/>
      <c r="AT239" s="70"/>
      <c r="AU239" s="70"/>
      <c r="AZ239" s="70"/>
      <c r="BA239" s="70"/>
    </row>
    <row r="240" spans="45:53" x14ac:dyDescent="0.2">
      <c r="AS240" s="70"/>
      <c r="AT240" s="70"/>
      <c r="AU240" s="70"/>
      <c r="AZ240" s="70"/>
      <c r="BA240" s="70"/>
    </row>
    <row r="241" spans="45:53" x14ac:dyDescent="0.2">
      <c r="AS241" s="70"/>
      <c r="AT241" s="70"/>
      <c r="AU241" s="70"/>
      <c r="AZ241" s="70"/>
      <c r="BA241" s="70"/>
    </row>
    <row r="242" spans="45:53" x14ac:dyDescent="0.2">
      <c r="AS242" s="70"/>
      <c r="AT242" s="70"/>
      <c r="AU242" s="70"/>
      <c r="AZ242" s="70"/>
      <c r="BA242" s="70"/>
    </row>
    <row r="243" spans="45:53" x14ac:dyDescent="0.2">
      <c r="AS243" s="70"/>
      <c r="AT243" s="70"/>
      <c r="AU243" s="70"/>
      <c r="AZ243" s="70"/>
      <c r="BA243" s="70"/>
    </row>
    <row r="244" spans="45:53" x14ac:dyDescent="0.2">
      <c r="AS244" s="70"/>
      <c r="AT244" s="70"/>
      <c r="AU244" s="70"/>
      <c r="AZ244" s="70"/>
      <c r="BA244" s="70"/>
    </row>
    <row r="245" spans="45:53" x14ac:dyDescent="0.2">
      <c r="AS245" s="70"/>
      <c r="AT245" s="70"/>
      <c r="AU245" s="70"/>
      <c r="AZ245" s="70"/>
      <c r="BA245" s="70"/>
    </row>
    <row r="246" spans="45:53" x14ac:dyDescent="0.2">
      <c r="AS246" s="77"/>
      <c r="AT246" s="77"/>
      <c r="AU246" s="77"/>
      <c r="AZ246" s="70"/>
      <c r="BA246" s="70"/>
    </row>
    <row r="247" spans="45:53" x14ac:dyDescent="0.2">
      <c r="AS247" s="77"/>
      <c r="AT247" s="77"/>
      <c r="AU247" s="77"/>
    </row>
    <row r="248" spans="45:53" x14ac:dyDescent="0.2">
      <c r="AZ248" s="77"/>
      <c r="BA248" s="77"/>
    </row>
    <row r="249" spans="45:53" x14ac:dyDescent="0.2">
      <c r="AZ249" s="77"/>
      <c r="BA249" s="77"/>
    </row>
    <row r="250" spans="45:53" x14ac:dyDescent="0.2">
      <c r="AZ250" s="77"/>
      <c r="BA250" s="77"/>
    </row>
    <row r="251" spans="45:53" x14ac:dyDescent="0.2">
      <c r="AZ251" s="77"/>
      <c r="BA251" s="77"/>
    </row>
    <row r="252" spans="45:53" x14ac:dyDescent="0.2">
      <c r="AZ252" s="77"/>
      <c r="BA252" s="77"/>
    </row>
    <row r="253" spans="45:53" x14ac:dyDescent="0.2">
      <c r="AZ253" s="77"/>
      <c r="BA253" s="77"/>
    </row>
    <row r="254" spans="45:53" x14ac:dyDescent="0.2">
      <c r="AZ254" s="77"/>
      <c r="BA254" s="77"/>
    </row>
    <row r="255" spans="45:53" x14ac:dyDescent="0.2">
      <c r="AZ255" s="77"/>
      <c r="BA255" s="77"/>
    </row>
    <row r="256" spans="45:53" x14ac:dyDescent="0.2">
      <c r="AZ256" s="87"/>
      <c r="BA256" s="87"/>
    </row>
    <row r="257" spans="45:53" x14ac:dyDescent="0.2">
      <c r="AZ257" s="93"/>
      <c r="BA257" s="93"/>
    </row>
    <row r="258" spans="45:53" x14ac:dyDescent="0.2">
      <c r="AZ258" s="93"/>
      <c r="BA258" s="93"/>
    </row>
    <row r="259" spans="45:53" x14ac:dyDescent="0.2">
      <c r="AZ259" s="77"/>
      <c r="BA259" s="77"/>
    </row>
    <row r="260" spans="45:53" x14ac:dyDescent="0.2">
      <c r="AZ260" s="77"/>
      <c r="BA260" s="77"/>
    </row>
    <row r="272" spans="45:53" x14ac:dyDescent="0.2">
      <c r="AS272" s="70"/>
      <c r="AT272" s="70"/>
      <c r="AU272" s="70"/>
    </row>
    <row r="273" spans="45:53" x14ac:dyDescent="0.2">
      <c r="AS273" s="70"/>
      <c r="AT273" s="70"/>
      <c r="AU273" s="70"/>
    </row>
    <row r="274" spans="45:53" x14ac:dyDescent="0.2">
      <c r="AS274" s="70"/>
      <c r="AT274" s="70"/>
      <c r="AU274" s="70"/>
    </row>
    <row r="275" spans="45:53" x14ac:dyDescent="0.2">
      <c r="AS275" s="70"/>
      <c r="AT275" s="70"/>
      <c r="AU275" s="70"/>
    </row>
    <row r="276" spans="45:53" x14ac:dyDescent="0.2">
      <c r="AS276" s="70"/>
      <c r="AT276" s="70"/>
      <c r="AU276" s="70"/>
    </row>
    <row r="277" spans="45:53" x14ac:dyDescent="0.2">
      <c r="AS277" s="70"/>
      <c r="AT277" s="70"/>
      <c r="AU277" s="70"/>
    </row>
    <row r="278" spans="45:53" x14ac:dyDescent="0.2">
      <c r="AS278" s="70"/>
      <c r="AT278" s="70"/>
      <c r="AU278" s="70"/>
    </row>
    <row r="279" spans="45:53" x14ac:dyDescent="0.2">
      <c r="AS279" s="70"/>
      <c r="AT279" s="70"/>
      <c r="AU279" s="70"/>
    </row>
    <row r="280" spans="45:53" x14ac:dyDescent="0.2">
      <c r="AS280" s="70"/>
      <c r="AT280" s="70"/>
      <c r="AU280" s="70"/>
    </row>
    <row r="281" spans="45:53" x14ac:dyDescent="0.2">
      <c r="AS281" s="70"/>
      <c r="AT281" s="70"/>
      <c r="AU281" s="70"/>
    </row>
    <row r="282" spans="45:53" x14ac:dyDescent="0.2">
      <c r="AS282" s="70"/>
      <c r="AT282" s="70"/>
      <c r="AU282" s="70"/>
    </row>
    <row r="283" spans="45:53" x14ac:dyDescent="0.2">
      <c r="AS283" s="70"/>
      <c r="AT283" s="70"/>
      <c r="AU283" s="70"/>
    </row>
    <row r="284" spans="45:53" x14ac:dyDescent="0.2">
      <c r="AS284" s="70"/>
      <c r="AT284" s="70"/>
      <c r="AU284" s="70"/>
    </row>
    <row r="285" spans="45:53" x14ac:dyDescent="0.2">
      <c r="AS285" s="70"/>
      <c r="AT285" s="70"/>
      <c r="AU285" s="70"/>
    </row>
    <row r="286" spans="45:53" x14ac:dyDescent="0.2">
      <c r="AS286" s="70"/>
      <c r="AT286" s="70"/>
      <c r="AU286" s="70"/>
      <c r="AZ286" s="70"/>
      <c r="BA286" s="70"/>
    </row>
    <row r="287" spans="45:53" x14ac:dyDescent="0.2">
      <c r="AS287" s="70"/>
      <c r="AT287" s="70"/>
      <c r="AU287" s="70"/>
      <c r="AZ287" s="70"/>
      <c r="BA287" s="70"/>
    </row>
    <row r="288" spans="45:53" x14ac:dyDescent="0.2">
      <c r="AS288" s="70"/>
      <c r="AT288" s="70"/>
      <c r="AU288" s="70"/>
      <c r="AZ288" s="70"/>
      <c r="BA288" s="70"/>
    </row>
    <row r="289" spans="45:53" x14ac:dyDescent="0.2">
      <c r="AS289" s="70"/>
      <c r="AT289" s="70"/>
      <c r="AU289" s="70"/>
      <c r="AZ289" s="70"/>
      <c r="BA289" s="70"/>
    </row>
    <row r="290" spans="45:53" x14ac:dyDescent="0.2">
      <c r="AS290" s="70"/>
      <c r="AT290" s="70"/>
      <c r="AU290" s="70"/>
      <c r="AZ290" s="70"/>
      <c r="BA290" s="70"/>
    </row>
    <row r="291" spans="45:53" x14ac:dyDescent="0.2">
      <c r="AS291" s="70"/>
      <c r="AT291" s="70"/>
      <c r="AU291" s="70"/>
      <c r="AZ291" s="70"/>
      <c r="BA291" s="70"/>
    </row>
    <row r="292" spans="45:53" x14ac:dyDescent="0.2">
      <c r="AS292" s="70"/>
      <c r="AT292" s="70"/>
      <c r="AU292" s="70"/>
      <c r="AZ292" s="70"/>
      <c r="BA292" s="70"/>
    </row>
    <row r="293" spans="45:53" x14ac:dyDescent="0.2">
      <c r="AS293" s="70"/>
      <c r="AT293" s="70"/>
      <c r="AU293" s="70"/>
      <c r="AZ293" s="70"/>
      <c r="BA293" s="70"/>
    </row>
    <row r="294" spans="45:53" x14ac:dyDescent="0.2">
      <c r="AS294" s="70"/>
      <c r="AT294" s="70"/>
      <c r="AU294" s="70"/>
      <c r="AZ294" s="70"/>
      <c r="BA294" s="70"/>
    </row>
    <row r="295" spans="45:53" x14ac:dyDescent="0.2">
      <c r="AS295" s="70"/>
      <c r="AT295" s="70"/>
      <c r="AU295" s="70"/>
      <c r="AZ295" s="70"/>
      <c r="BA295" s="70"/>
    </row>
    <row r="296" spans="45:53" x14ac:dyDescent="0.2">
      <c r="AS296" s="70"/>
      <c r="AT296" s="70"/>
      <c r="AU296" s="70"/>
      <c r="AZ296" s="70"/>
      <c r="BA296" s="70"/>
    </row>
    <row r="297" spans="45:53" x14ac:dyDescent="0.2">
      <c r="AS297" s="70"/>
      <c r="AT297" s="70"/>
      <c r="AU297" s="70"/>
      <c r="AZ297" s="70"/>
      <c r="BA297" s="70"/>
    </row>
    <row r="298" spans="45:53" x14ac:dyDescent="0.2">
      <c r="AS298" s="70"/>
      <c r="AT298" s="70"/>
      <c r="AU298" s="70"/>
      <c r="AZ298" s="70"/>
      <c r="BA298" s="70"/>
    </row>
    <row r="299" spans="45:53" x14ac:dyDescent="0.2">
      <c r="AS299" s="70"/>
      <c r="AT299" s="70"/>
      <c r="AU299" s="70"/>
      <c r="AZ299" s="70"/>
      <c r="BA299" s="70"/>
    </row>
    <row r="300" spans="45:53" x14ac:dyDescent="0.2">
      <c r="AS300" s="70"/>
      <c r="AT300" s="70"/>
      <c r="AU300" s="70"/>
      <c r="AZ300" s="70"/>
      <c r="BA300" s="70"/>
    </row>
    <row r="301" spans="45:53" x14ac:dyDescent="0.2">
      <c r="AS301" s="70"/>
      <c r="AT301" s="70"/>
      <c r="AU301" s="70"/>
      <c r="AZ301" s="70"/>
      <c r="BA301" s="70"/>
    </row>
    <row r="302" spans="45:53" x14ac:dyDescent="0.2">
      <c r="AS302" s="70"/>
      <c r="AT302" s="70"/>
      <c r="AU302" s="70"/>
      <c r="AZ302" s="70"/>
      <c r="BA302" s="70"/>
    </row>
    <row r="303" spans="45:53" x14ac:dyDescent="0.2">
      <c r="AS303" s="70"/>
      <c r="AT303" s="70"/>
      <c r="AU303" s="70"/>
      <c r="AZ303" s="70"/>
      <c r="BA303" s="70"/>
    </row>
    <row r="304" spans="45:53" x14ac:dyDescent="0.2">
      <c r="AS304" s="70"/>
      <c r="AT304" s="70"/>
      <c r="AU304" s="70"/>
      <c r="AZ304" s="70"/>
      <c r="BA304" s="70"/>
    </row>
    <row r="305" spans="45:53" x14ac:dyDescent="0.2">
      <c r="AS305" s="70"/>
      <c r="AT305" s="70"/>
      <c r="AU305" s="70"/>
      <c r="AZ305" s="70"/>
      <c r="BA305" s="70"/>
    </row>
    <row r="306" spans="45:53" x14ac:dyDescent="0.2">
      <c r="AS306" s="70"/>
      <c r="AT306" s="70"/>
      <c r="AU306" s="70"/>
      <c r="AZ306" s="70"/>
      <c r="BA306" s="70"/>
    </row>
    <row r="307" spans="45:53" x14ac:dyDescent="0.2">
      <c r="AS307" s="70"/>
      <c r="AT307" s="70"/>
      <c r="AU307" s="70"/>
      <c r="AZ307" s="70"/>
      <c r="BA307" s="70"/>
    </row>
    <row r="308" spans="45:53" x14ac:dyDescent="0.2">
      <c r="AS308" s="70"/>
      <c r="AT308" s="70"/>
      <c r="AU308" s="70"/>
      <c r="AZ308" s="70"/>
      <c r="BA308" s="70"/>
    </row>
    <row r="309" spans="45:53" x14ac:dyDescent="0.2">
      <c r="AS309" s="70"/>
      <c r="AT309" s="70"/>
      <c r="AU309" s="70"/>
      <c r="AZ309" s="70"/>
      <c r="BA309" s="70"/>
    </row>
    <row r="310" spans="45:53" x14ac:dyDescent="0.2">
      <c r="AS310" s="70"/>
      <c r="AT310" s="70"/>
      <c r="AU310" s="70"/>
      <c r="AZ310" s="70"/>
      <c r="BA310" s="70"/>
    </row>
    <row r="311" spans="45:53" x14ac:dyDescent="0.2">
      <c r="AS311" s="70"/>
      <c r="AT311" s="70"/>
      <c r="AU311" s="70"/>
      <c r="AZ311" s="70"/>
      <c r="BA311" s="70"/>
    </row>
    <row r="312" spans="45:53" x14ac:dyDescent="0.2">
      <c r="AS312" s="70"/>
      <c r="AT312" s="70"/>
      <c r="AU312" s="70"/>
      <c r="AZ312" s="70"/>
      <c r="BA312" s="70"/>
    </row>
    <row r="313" spans="45:53" x14ac:dyDescent="0.2">
      <c r="AS313" s="70"/>
      <c r="AT313" s="70"/>
      <c r="AU313" s="70"/>
      <c r="AZ313" s="70"/>
      <c r="BA313" s="70"/>
    </row>
    <row r="314" spans="45:53" x14ac:dyDescent="0.2">
      <c r="AS314" s="70"/>
      <c r="AT314" s="70"/>
      <c r="AU314" s="70"/>
      <c r="AZ314" s="70"/>
      <c r="BA314" s="70"/>
    </row>
    <row r="315" spans="45:53" x14ac:dyDescent="0.2">
      <c r="AS315" s="70"/>
      <c r="AT315" s="70"/>
      <c r="AU315" s="70"/>
      <c r="AZ315" s="70"/>
      <c r="BA315" s="70"/>
    </row>
    <row r="316" spans="45:53" x14ac:dyDescent="0.2">
      <c r="AS316" s="70"/>
      <c r="AT316" s="70"/>
      <c r="AU316" s="70"/>
      <c r="AZ316" s="70"/>
      <c r="BA316" s="70"/>
    </row>
    <row r="317" spans="45:53" x14ac:dyDescent="0.2">
      <c r="AS317" s="70"/>
      <c r="AT317" s="70"/>
      <c r="AU317" s="70"/>
      <c r="AZ317" s="70"/>
      <c r="BA317" s="70"/>
    </row>
    <row r="318" spans="45:53" x14ac:dyDescent="0.2">
      <c r="AS318" s="77"/>
      <c r="AT318" s="77"/>
      <c r="AU318" s="77"/>
      <c r="AZ318" s="70"/>
      <c r="BA318" s="70"/>
    </row>
    <row r="319" spans="45:53" x14ac:dyDescent="0.2">
      <c r="AS319" s="77"/>
      <c r="AT319" s="77"/>
      <c r="AU319" s="77"/>
      <c r="AZ319" s="70"/>
      <c r="BA319" s="70"/>
    </row>
    <row r="320" spans="45:53" x14ac:dyDescent="0.2">
      <c r="AZ320" s="70"/>
      <c r="BA320" s="70"/>
    </row>
    <row r="321" spans="45:53" x14ac:dyDescent="0.2">
      <c r="AZ321" s="70"/>
      <c r="BA321" s="70"/>
    </row>
    <row r="322" spans="45:53" x14ac:dyDescent="0.2">
      <c r="AZ322" s="70"/>
      <c r="BA322" s="70"/>
    </row>
    <row r="323" spans="45:53" x14ac:dyDescent="0.2">
      <c r="AZ323" s="70"/>
      <c r="BA323" s="70"/>
    </row>
    <row r="324" spans="45:53" x14ac:dyDescent="0.2">
      <c r="AZ324" s="70"/>
      <c r="BA324" s="70"/>
    </row>
    <row r="325" spans="45:53" x14ac:dyDescent="0.2">
      <c r="AZ325" s="70"/>
      <c r="BA325" s="70"/>
    </row>
    <row r="326" spans="45:53" x14ac:dyDescent="0.2">
      <c r="AZ326" s="70"/>
      <c r="BA326" s="70"/>
    </row>
    <row r="327" spans="45:53" x14ac:dyDescent="0.2">
      <c r="AZ327" s="70"/>
      <c r="BA327" s="70"/>
    </row>
    <row r="328" spans="45:53" x14ac:dyDescent="0.2">
      <c r="AZ328" s="70"/>
      <c r="BA328" s="70"/>
    </row>
    <row r="329" spans="45:53" x14ac:dyDescent="0.2">
      <c r="AZ329" s="70"/>
      <c r="BA329" s="70"/>
    </row>
    <row r="330" spans="45:53" x14ac:dyDescent="0.2">
      <c r="AZ330" s="70"/>
      <c r="BA330" s="70"/>
    </row>
    <row r="331" spans="45:53" x14ac:dyDescent="0.2">
      <c r="AZ331" s="70"/>
      <c r="BA331" s="70"/>
    </row>
    <row r="333" spans="45:53" x14ac:dyDescent="0.2">
      <c r="AZ333" s="77"/>
      <c r="BA333" s="77"/>
    </row>
    <row r="334" spans="45:53" x14ac:dyDescent="0.2">
      <c r="AS334" s="116"/>
      <c r="AT334" s="116"/>
      <c r="AZ334" s="77"/>
      <c r="BA334" s="77"/>
    </row>
    <row r="335" spans="45:53" x14ac:dyDescent="0.2">
      <c r="AZ335" s="77"/>
      <c r="BA335" s="77"/>
    </row>
    <row r="336" spans="45:53" x14ac:dyDescent="0.2">
      <c r="AZ336" s="77"/>
      <c r="BA336" s="77"/>
    </row>
    <row r="337" spans="52:53" x14ac:dyDescent="0.2">
      <c r="AZ337" s="77"/>
      <c r="BA337" s="77"/>
    </row>
    <row r="338" spans="52:53" x14ac:dyDescent="0.2">
      <c r="AZ338" s="77"/>
      <c r="BA338" s="77"/>
    </row>
    <row r="339" spans="52:53" x14ac:dyDescent="0.2">
      <c r="AZ339" s="77"/>
      <c r="BA339" s="77"/>
    </row>
    <row r="340" spans="52:53" x14ac:dyDescent="0.2">
      <c r="AZ340" s="77"/>
      <c r="BA340" s="77"/>
    </row>
    <row r="341" spans="52:53" x14ac:dyDescent="0.2">
      <c r="AZ341" s="87"/>
      <c r="BA341" s="87"/>
    </row>
    <row r="342" spans="52:53" x14ac:dyDescent="0.2">
      <c r="AZ342" s="93"/>
      <c r="BA342" s="93"/>
    </row>
    <row r="343" spans="52:53" x14ac:dyDescent="0.2">
      <c r="AZ343" s="93"/>
      <c r="BA343" s="93"/>
    </row>
    <row r="344" spans="52:53" x14ac:dyDescent="0.2">
      <c r="AZ344" s="77"/>
      <c r="BA344" s="77"/>
    </row>
    <row r="345" spans="52:53" x14ac:dyDescent="0.2">
      <c r="AZ345" s="77"/>
      <c r="BA345" s="77"/>
    </row>
    <row r="370" spans="45:53" x14ac:dyDescent="0.2">
      <c r="AS370" s="116"/>
      <c r="AT370" s="116"/>
    </row>
    <row r="371" spans="45:53" x14ac:dyDescent="0.2">
      <c r="AZ371" s="70"/>
      <c r="BA371" s="70"/>
    </row>
    <row r="372" spans="45:53" x14ac:dyDescent="0.2">
      <c r="AZ372" s="70"/>
      <c r="BA372" s="70"/>
    </row>
    <row r="373" spans="45:53" x14ac:dyDescent="0.2">
      <c r="AZ373" s="70"/>
      <c r="BA373" s="70"/>
    </row>
    <row r="374" spans="45:53" x14ac:dyDescent="0.2">
      <c r="AZ374" s="70"/>
      <c r="BA374" s="70"/>
    </row>
    <row r="375" spans="45:53" x14ac:dyDescent="0.2">
      <c r="AZ375" s="70"/>
      <c r="BA375" s="70"/>
    </row>
    <row r="376" spans="45:53" x14ac:dyDescent="0.2">
      <c r="AZ376" s="70"/>
      <c r="BA376" s="70"/>
    </row>
    <row r="377" spans="45:53" x14ac:dyDescent="0.2">
      <c r="AZ377" s="70"/>
      <c r="BA377" s="70"/>
    </row>
    <row r="378" spans="45:53" x14ac:dyDescent="0.2">
      <c r="AZ378" s="70"/>
      <c r="BA378" s="70"/>
    </row>
    <row r="379" spans="45:53" x14ac:dyDescent="0.2">
      <c r="AZ379" s="70"/>
      <c r="BA379" s="70"/>
    </row>
    <row r="380" spans="45:53" x14ac:dyDescent="0.2">
      <c r="AZ380" s="70"/>
      <c r="BA380" s="70"/>
    </row>
    <row r="381" spans="45:53" x14ac:dyDescent="0.2">
      <c r="AZ381" s="70"/>
      <c r="BA381" s="70"/>
    </row>
    <row r="382" spans="45:53" x14ac:dyDescent="0.2">
      <c r="AZ382" s="70"/>
      <c r="BA382" s="70"/>
    </row>
    <row r="383" spans="45:53" x14ac:dyDescent="0.2">
      <c r="AZ383" s="70"/>
      <c r="BA383" s="70"/>
    </row>
    <row r="384" spans="45:53" x14ac:dyDescent="0.2">
      <c r="AZ384" s="70"/>
      <c r="BA384" s="70"/>
    </row>
    <row r="385" spans="52:53" x14ac:dyDescent="0.2">
      <c r="AZ385" s="70"/>
      <c r="BA385" s="70"/>
    </row>
    <row r="386" spans="52:53" x14ac:dyDescent="0.2">
      <c r="AZ386" s="70"/>
      <c r="BA386" s="70"/>
    </row>
    <row r="387" spans="52:53" x14ac:dyDescent="0.2">
      <c r="AZ387" s="70"/>
      <c r="BA387" s="70"/>
    </row>
    <row r="388" spans="52:53" x14ac:dyDescent="0.2">
      <c r="AZ388" s="70"/>
      <c r="BA388" s="70"/>
    </row>
    <row r="389" spans="52:53" x14ac:dyDescent="0.2">
      <c r="AZ389" s="70"/>
      <c r="BA389" s="70"/>
    </row>
    <row r="390" spans="52:53" x14ac:dyDescent="0.2">
      <c r="AZ390" s="70"/>
      <c r="BA390" s="70"/>
    </row>
    <row r="391" spans="52:53" x14ac:dyDescent="0.2">
      <c r="AZ391" s="70"/>
      <c r="BA391" s="70"/>
    </row>
    <row r="392" spans="52:53" x14ac:dyDescent="0.2">
      <c r="AZ392" s="70"/>
      <c r="BA392" s="70"/>
    </row>
    <row r="393" spans="52:53" x14ac:dyDescent="0.2">
      <c r="AZ393" s="70"/>
      <c r="BA393" s="70"/>
    </row>
    <row r="394" spans="52:53" x14ac:dyDescent="0.2">
      <c r="AZ394" s="70"/>
      <c r="BA394" s="70"/>
    </row>
    <row r="395" spans="52:53" x14ac:dyDescent="0.2">
      <c r="AZ395" s="70"/>
      <c r="BA395" s="70"/>
    </row>
    <row r="396" spans="52:53" x14ac:dyDescent="0.2">
      <c r="AZ396" s="70"/>
      <c r="BA396" s="70"/>
    </row>
    <row r="397" spans="52:53" x14ac:dyDescent="0.2">
      <c r="AZ397" s="70"/>
      <c r="BA397" s="70"/>
    </row>
    <row r="398" spans="52:53" x14ac:dyDescent="0.2">
      <c r="AZ398" s="70"/>
      <c r="BA398" s="70"/>
    </row>
    <row r="399" spans="52:53" x14ac:dyDescent="0.2">
      <c r="AZ399" s="70"/>
      <c r="BA399" s="70"/>
    </row>
    <row r="400" spans="52:53" x14ac:dyDescent="0.2">
      <c r="AZ400" s="70"/>
      <c r="BA400" s="70"/>
    </row>
    <row r="401" spans="52:53" x14ac:dyDescent="0.2">
      <c r="AZ401" s="70"/>
      <c r="BA401" s="70"/>
    </row>
    <row r="402" spans="52:53" x14ac:dyDescent="0.2">
      <c r="AZ402" s="70"/>
      <c r="BA402" s="70"/>
    </row>
    <row r="403" spans="52:53" x14ac:dyDescent="0.2">
      <c r="AZ403" s="70"/>
      <c r="BA403" s="70"/>
    </row>
    <row r="404" spans="52:53" x14ac:dyDescent="0.2">
      <c r="AZ404" s="70"/>
      <c r="BA404" s="70"/>
    </row>
    <row r="405" spans="52:53" x14ac:dyDescent="0.2">
      <c r="AZ405" s="70"/>
      <c r="BA405" s="70"/>
    </row>
    <row r="406" spans="52:53" x14ac:dyDescent="0.2">
      <c r="AZ406" s="70"/>
      <c r="BA406" s="70"/>
    </row>
    <row r="407" spans="52:53" x14ac:dyDescent="0.2">
      <c r="AZ407" s="70"/>
      <c r="BA407" s="70"/>
    </row>
    <row r="408" spans="52:53" x14ac:dyDescent="0.2">
      <c r="AZ408" s="70"/>
      <c r="BA408" s="70"/>
    </row>
    <row r="409" spans="52:53" x14ac:dyDescent="0.2">
      <c r="AZ409" s="70"/>
      <c r="BA409" s="70"/>
    </row>
    <row r="410" spans="52:53" x14ac:dyDescent="0.2">
      <c r="AZ410" s="70"/>
      <c r="BA410" s="70"/>
    </row>
    <row r="411" spans="52:53" x14ac:dyDescent="0.2">
      <c r="AZ411" s="70"/>
      <c r="BA411" s="70"/>
    </row>
    <row r="412" spans="52:53" x14ac:dyDescent="0.2">
      <c r="AZ412" s="70"/>
      <c r="BA412" s="70"/>
    </row>
    <row r="413" spans="52:53" x14ac:dyDescent="0.2">
      <c r="AZ413" s="70"/>
      <c r="BA413" s="70"/>
    </row>
    <row r="414" spans="52:53" x14ac:dyDescent="0.2">
      <c r="AZ414" s="70"/>
      <c r="BA414" s="70"/>
    </row>
    <row r="415" spans="52:53" x14ac:dyDescent="0.2">
      <c r="AZ415" s="70"/>
      <c r="BA415" s="70"/>
    </row>
    <row r="416" spans="52:53" x14ac:dyDescent="0.2">
      <c r="AZ416" s="70"/>
      <c r="BA416" s="70"/>
    </row>
    <row r="418" spans="52:53" x14ac:dyDescent="0.2">
      <c r="AZ418" s="77"/>
      <c r="BA418" s="77"/>
    </row>
    <row r="419" spans="52:53" x14ac:dyDescent="0.2">
      <c r="AZ419" s="77"/>
      <c r="BA419" s="77"/>
    </row>
    <row r="420" spans="52:53" x14ac:dyDescent="0.2">
      <c r="AZ420" s="77"/>
      <c r="BA420" s="77"/>
    </row>
    <row r="421" spans="52:53" x14ac:dyDescent="0.2">
      <c r="AZ421" s="77"/>
      <c r="BA421" s="77"/>
    </row>
    <row r="422" spans="52:53" x14ac:dyDescent="0.2">
      <c r="AZ422" s="77"/>
      <c r="BA422" s="77"/>
    </row>
    <row r="423" spans="52:53" x14ac:dyDescent="0.2">
      <c r="AZ423" s="77"/>
      <c r="BA423" s="77"/>
    </row>
    <row r="424" spans="52:53" x14ac:dyDescent="0.2">
      <c r="AZ424" s="77"/>
      <c r="BA424" s="77"/>
    </row>
    <row r="425" spans="52:53" x14ac:dyDescent="0.2">
      <c r="AZ425" s="77"/>
      <c r="BA425" s="77"/>
    </row>
    <row r="426" spans="52:53" x14ac:dyDescent="0.2">
      <c r="AZ426" s="87"/>
      <c r="BA426" s="87"/>
    </row>
    <row r="427" spans="52:53" x14ac:dyDescent="0.2">
      <c r="AZ427" s="93"/>
      <c r="BA427" s="93"/>
    </row>
    <row r="428" spans="52:53" x14ac:dyDescent="0.2">
      <c r="AZ428" s="93"/>
      <c r="BA428" s="93"/>
    </row>
    <row r="429" spans="52:53" x14ac:dyDescent="0.2">
      <c r="AZ429" s="77"/>
      <c r="BA429" s="77"/>
    </row>
    <row r="430" spans="52:53" x14ac:dyDescent="0.2">
      <c r="AZ430" s="77"/>
      <c r="BA430" s="77"/>
    </row>
  </sheetData>
  <sheetProtection sheet="1" objects="1" scenarios="1" formatCells="0" selectLockedCells="1"/>
  <mergeCells count="229">
    <mergeCell ref="K132:N132"/>
    <mergeCell ref="K137:N139"/>
    <mergeCell ref="A148:M148"/>
    <mergeCell ref="B129:D129"/>
    <mergeCell ref="E129:G129"/>
    <mergeCell ref="H129:J129"/>
    <mergeCell ref="K129:Q131"/>
    <mergeCell ref="B130:D130"/>
    <mergeCell ref="E130:G130"/>
    <mergeCell ref="H130:J130"/>
    <mergeCell ref="B131:D131"/>
    <mergeCell ref="E131:G131"/>
    <mergeCell ref="H131:J131"/>
    <mergeCell ref="B125:J125"/>
    <mergeCell ref="K125:Q125"/>
    <mergeCell ref="B126:J126"/>
    <mergeCell ref="K126:Q126"/>
    <mergeCell ref="B127:J127"/>
    <mergeCell ref="K127:Q127"/>
    <mergeCell ref="A119:E119"/>
    <mergeCell ref="A122:J122"/>
    <mergeCell ref="B123:J123"/>
    <mergeCell ref="K123:Q123"/>
    <mergeCell ref="B124:J124"/>
    <mergeCell ref="K124:Q124"/>
    <mergeCell ref="A116:D116"/>
    <mergeCell ref="F116:I116"/>
    <mergeCell ref="J116:M116"/>
    <mergeCell ref="A117:E117"/>
    <mergeCell ref="F117:M117"/>
    <mergeCell ref="A118:E118"/>
    <mergeCell ref="J112:P112"/>
    <mergeCell ref="A113:E113"/>
    <mergeCell ref="F113:I113"/>
    <mergeCell ref="J113:P113"/>
    <mergeCell ref="A114:E114"/>
    <mergeCell ref="J114:P114"/>
    <mergeCell ref="A108:E108"/>
    <mergeCell ref="F108:I108"/>
    <mergeCell ref="J108:M108"/>
    <mergeCell ref="A109:E109"/>
    <mergeCell ref="A110:E110"/>
    <mergeCell ref="F111:I111"/>
    <mergeCell ref="A100:K100"/>
    <mergeCell ref="A102:O102"/>
    <mergeCell ref="A104:E104"/>
    <mergeCell ref="A105:E105"/>
    <mergeCell ref="A107:D107"/>
    <mergeCell ref="F107:M107"/>
    <mergeCell ref="AF94:AK94"/>
    <mergeCell ref="AL94:AO94"/>
    <mergeCell ref="A96:AQ96"/>
    <mergeCell ref="A97:AQ97"/>
    <mergeCell ref="A98:AQ98"/>
    <mergeCell ref="A99:AQ99"/>
    <mergeCell ref="V93:AA93"/>
    <mergeCell ref="AB93:AE93"/>
    <mergeCell ref="AF93:AK93"/>
    <mergeCell ref="AL93:AO93"/>
    <mergeCell ref="B94:G94"/>
    <mergeCell ref="H94:K94"/>
    <mergeCell ref="L94:Q94"/>
    <mergeCell ref="R94:U94"/>
    <mergeCell ref="V94:AA94"/>
    <mergeCell ref="AB94:AE94"/>
    <mergeCell ref="A91:AQ91"/>
    <mergeCell ref="A92:A93"/>
    <mergeCell ref="B92:K92"/>
    <mergeCell ref="L92:U92"/>
    <mergeCell ref="V92:AE92"/>
    <mergeCell ref="AF92:AO92"/>
    <mergeCell ref="B93:G93"/>
    <mergeCell ref="H93:K93"/>
    <mergeCell ref="L93:Q93"/>
    <mergeCell ref="R93:U93"/>
    <mergeCell ref="Z23:AB23"/>
    <mergeCell ref="AC23:AE23"/>
    <mergeCell ref="AG57:AK57"/>
    <mergeCell ref="A89:AL89"/>
    <mergeCell ref="AM89:AP89"/>
    <mergeCell ref="A90:AQ90"/>
    <mergeCell ref="Z22:AB22"/>
    <mergeCell ref="AC22:AE22"/>
    <mergeCell ref="B23:D23"/>
    <mergeCell ref="E23:G23"/>
    <mergeCell ref="H23:J23"/>
    <mergeCell ref="K23:M23"/>
    <mergeCell ref="N23:P23"/>
    <mergeCell ref="Q23:S23"/>
    <mergeCell ref="T23:V23"/>
    <mergeCell ref="W23:Y23"/>
    <mergeCell ref="Z21:AB21"/>
    <mergeCell ref="AC21:AE21"/>
    <mergeCell ref="B22:D22"/>
    <mergeCell ref="E22:G22"/>
    <mergeCell ref="H22:J22"/>
    <mergeCell ref="K22:M22"/>
    <mergeCell ref="N22:P22"/>
    <mergeCell ref="Q22:S22"/>
    <mergeCell ref="T22:V22"/>
    <mergeCell ref="W22:Y22"/>
    <mergeCell ref="Z20:AB20"/>
    <mergeCell ref="AC20:AE20"/>
    <mergeCell ref="B21:D21"/>
    <mergeCell ref="E21:G21"/>
    <mergeCell ref="H21:J21"/>
    <mergeCell ref="K21:M21"/>
    <mergeCell ref="N21:P21"/>
    <mergeCell ref="Q21:S21"/>
    <mergeCell ref="T21:V21"/>
    <mergeCell ref="W21:Y21"/>
    <mergeCell ref="AC19:AE19"/>
    <mergeCell ref="AF19:AQ22"/>
    <mergeCell ref="B20:D20"/>
    <mergeCell ref="E20:G20"/>
    <mergeCell ref="H20:J20"/>
    <mergeCell ref="K20:M20"/>
    <mergeCell ref="N20:P20"/>
    <mergeCell ref="Q20:S20"/>
    <mergeCell ref="T20:V20"/>
    <mergeCell ref="W20:Y20"/>
    <mergeCell ref="B18:AI18"/>
    <mergeCell ref="B19:D19"/>
    <mergeCell ref="E19:G19"/>
    <mergeCell ref="H19:J19"/>
    <mergeCell ref="K19:M19"/>
    <mergeCell ref="N19:P19"/>
    <mergeCell ref="Q19:S19"/>
    <mergeCell ref="T19:V19"/>
    <mergeCell ref="W19:Y19"/>
    <mergeCell ref="Z19:AB19"/>
    <mergeCell ref="Z16:AB17"/>
    <mergeCell ref="AC16:AE17"/>
    <mergeCell ref="AF16:AF17"/>
    <mergeCell ref="AG16:AG17"/>
    <mergeCell ref="AH16:AI17"/>
    <mergeCell ref="B17:D17"/>
    <mergeCell ref="E17:K17"/>
    <mergeCell ref="A16:A17"/>
    <mergeCell ref="B16:D16"/>
    <mergeCell ref="E16:K16"/>
    <mergeCell ref="L16:P17"/>
    <mergeCell ref="R16:V17"/>
    <mergeCell ref="W16:Y17"/>
    <mergeCell ref="Z14:AB15"/>
    <mergeCell ref="AC14:AE15"/>
    <mergeCell ref="AF14:AF15"/>
    <mergeCell ref="AG14:AG15"/>
    <mergeCell ref="AH14:AI15"/>
    <mergeCell ref="B15:D15"/>
    <mergeCell ref="E15:K15"/>
    <mergeCell ref="A14:A15"/>
    <mergeCell ref="B14:D14"/>
    <mergeCell ref="E14:K14"/>
    <mergeCell ref="L14:P15"/>
    <mergeCell ref="R14:V15"/>
    <mergeCell ref="W14:Y15"/>
    <mergeCell ref="Z12:AB13"/>
    <mergeCell ref="AC12:AE13"/>
    <mergeCell ref="AF12:AF13"/>
    <mergeCell ref="AG12:AG13"/>
    <mergeCell ref="AH12:AI13"/>
    <mergeCell ref="B13:D13"/>
    <mergeCell ref="E13:K13"/>
    <mergeCell ref="A12:A13"/>
    <mergeCell ref="B12:D12"/>
    <mergeCell ref="E12:K12"/>
    <mergeCell ref="L12:P13"/>
    <mergeCell ref="R12:V13"/>
    <mergeCell ref="W12:Y13"/>
    <mergeCell ref="Z10:AB11"/>
    <mergeCell ref="AC10:AE11"/>
    <mergeCell ref="AF10:AF11"/>
    <mergeCell ref="AG10:AG11"/>
    <mergeCell ref="AH10:AI11"/>
    <mergeCell ref="B11:D11"/>
    <mergeCell ref="E11:K11"/>
    <mergeCell ref="A10:A11"/>
    <mergeCell ref="B10:D10"/>
    <mergeCell ref="E10:K10"/>
    <mergeCell ref="L10:P11"/>
    <mergeCell ref="R10:V11"/>
    <mergeCell ref="W10:Y11"/>
    <mergeCell ref="AC8:AE9"/>
    <mergeCell ref="AF8:AF9"/>
    <mergeCell ref="AG8:AG9"/>
    <mergeCell ref="AH8:AI9"/>
    <mergeCell ref="AT8:AY9"/>
    <mergeCell ref="B9:D9"/>
    <mergeCell ref="E9:K9"/>
    <mergeCell ref="Z7:AB7"/>
    <mergeCell ref="AC7:AE7"/>
    <mergeCell ref="AH7:AI7"/>
    <mergeCell ref="A8:A9"/>
    <mergeCell ref="B8:D8"/>
    <mergeCell ref="E8:K8"/>
    <mergeCell ref="L8:P9"/>
    <mergeCell ref="R8:V9"/>
    <mergeCell ref="W8:Y9"/>
    <mergeCell ref="Z8:AB9"/>
    <mergeCell ref="B5:J5"/>
    <mergeCell ref="K5:AE5"/>
    <mergeCell ref="C6:H6"/>
    <mergeCell ref="I6:J6"/>
    <mergeCell ref="K6:AI6"/>
    <mergeCell ref="B7:K7"/>
    <mergeCell ref="L7:P7"/>
    <mergeCell ref="Q7:Q17"/>
    <mergeCell ref="R7:V7"/>
    <mergeCell ref="W7:Y7"/>
    <mergeCell ref="A4:D4"/>
    <mergeCell ref="E4:M4"/>
    <mergeCell ref="N4:Q4"/>
    <mergeCell ref="R4:AA4"/>
    <mergeCell ref="AB4:AE4"/>
    <mergeCell ref="AF4:AI4"/>
    <mergeCell ref="B3:O3"/>
    <mergeCell ref="P3:R3"/>
    <mergeCell ref="S3:X3"/>
    <mergeCell ref="Y3:AD3"/>
    <mergeCell ref="AE3:AF3"/>
    <mergeCell ref="AG3:AI3"/>
    <mergeCell ref="A1:AI1"/>
    <mergeCell ref="AT1:AV1"/>
    <mergeCell ref="AX1:AY1"/>
    <mergeCell ref="A2:I2"/>
    <mergeCell ref="J2:X2"/>
    <mergeCell ref="Y2:AC2"/>
    <mergeCell ref="AD2:AI2"/>
  </mergeCells>
  <conditionalFormatting sqref="A8">
    <cfRule type="expression" dxfId="5199" priority="5" stopIfTrue="1">
      <formula>IF(AK9&gt;0,0,1)</formula>
    </cfRule>
  </conditionalFormatting>
  <conditionalFormatting sqref="A10:A11">
    <cfRule type="expression" dxfId="5198" priority="6" stopIfTrue="1">
      <formula>IF(AK9&gt;1,0,1)</formula>
    </cfRule>
  </conditionalFormatting>
  <conditionalFormatting sqref="A12:A13">
    <cfRule type="expression" dxfId="5197" priority="7" stopIfTrue="1">
      <formula>IF(AK9&gt;2,0,1)</formula>
    </cfRule>
  </conditionalFormatting>
  <conditionalFormatting sqref="A14:A15">
    <cfRule type="expression" dxfId="5196" priority="8" stopIfTrue="1">
      <formula>IF(AK9&gt;3,0,1)</formula>
    </cfRule>
  </conditionalFormatting>
  <conditionalFormatting sqref="A16:A17">
    <cfRule type="expression" dxfId="5195" priority="9" stopIfTrue="1">
      <formula>IF(AK9&gt;4,0,1)</formula>
    </cfRule>
  </conditionalFormatting>
  <conditionalFormatting sqref="B8">
    <cfRule type="expression" dxfId="5194" priority="10" stopIfTrue="1">
      <formula>IF(AK9&gt;0,0,1)</formula>
    </cfRule>
  </conditionalFormatting>
  <conditionalFormatting sqref="B9">
    <cfRule type="expression" dxfId="5193" priority="11" stopIfTrue="1">
      <formula>IF(AK9&gt;0,0,1)</formula>
    </cfRule>
  </conditionalFormatting>
  <conditionalFormatting sqref="B10">
    <cfRule type="expression" dxfId="5192" priority="12" stopIfTrue="1">
      <formula>IF(AK9&gt;1,0,1)</formula>
    </cfRule>
  </conditionalFormatting>
  <conditionalFormatting sqref="B11:D11">
    <cfRule type="expression" dxfId="5191" priority="13" stopIfTrue="1">
      <formula>IF(AK9&gt;1,0,1)</formula>
    </cfRule>
  </conditionalFormatting>
  <conditionalFormatting sqref="B12:D12">
    <cfRule type="expression" dxfId="5190" priority="14" stopIfTrue="1">
      <formula>IF(AK9&gt;2,0,1)</formula>
    </cfRule>
  </conditionalFormatting>
  <conditionalFormatting sqref="B13:D13">
    <cfRule type="expression" dxfId="5189" priority="15" stopIfTrue="1">
      <formula>IF(AK9&gt;2,0,1)</formula>
    </cfRule>
  </conditionalFormatting>
  <conditionalFormatting sqref="B14:D14">
    <cfRule type="expression" dxfId="5188" priority="16" stopIfTrue="1">
      <formula>IF(AK9&gt;3,0,1)</formula>
    </cfRule>
  </conditionalFormatting>
  <conditionalFormatting sqref="B15:D15">
    <cfRule type="expression" dxfId="5187" priority="17" stopIfTrue="1">
      <formula>IF(AK9&gt;3,0,1)</formula>
    </cfRule>
  </conditionalFormatting>
  <conditionalFormatting sqref="B16:D16">
    <cfRule type="expression" dxfId="5186" priority="18" stopIfTrue="1">
      <formula>IF(AK9&gt;4,0,1)</formula>
    </cfRule>
  </conditionalFormatting>
  <conditionalFormatting sqref="B17:D17">
    <cfRule type="expression" dxfId="5185" priority="19" stopIfTrue="1">
      <formula>IF(AK9&gt;4,0,1)</formula>
    </cfRule>
  </conditionalFormatting>
  <conditionalFormatting sqref="E8">
    <cfRule type="expression" dxfId="5184" priority="20" stopIfTrue="1">
      <formula>IF(AK9&gt;0,0,1)</formula>
    </cfRule>
  </conditionalFormatting>
  <conditionalFormatting sqref="E9">
    <cfRule type="expression" dxfId="5183" priority="21" stopIfTrue="1">
      <formula>IF(AK9&gt;0,0,1)</formula>
    </cfRule>
  </conditionalFormatting>
  <conditionalFormatting sqref="E10">
    <cfRule type="expression" dxfId="5182" priority="22" stopIfTrue="1">
      <formula>IF(AK9&gt;1,0,1)</formula>
    </cfRule>
  </conditionalFormatting>
  <conditionalFormatting sqref="E11">
    <cfRule type="expression" dxfId="5181" priority="23" stopIfTrue="1">
      <formula>IF(AK9&gt;1,0,1)</formula>
    </cfRule>
  </conditionalFormatting>
  <conditionalFormatting sqref="E12">
    <cfRule type="expression" dxfId="5180" priority="24" stopIfTrue="1">
      <formula>IF(AK9&gt;2,0,1)</formula>
    </cfRule>
  </conditionalFormatting>
  <conditionalFormatting sqref="E13">
    <cfRule type="expression" dxfId="5179" priority="25" stopIfTrue="1">
      <formula>IF(AK9&gt;2,0,1)</formula>
    </cfRule>
  </conditionalFormatting>
  <conditionalFormatting sqref="E14">
    <cfRule type="expression" dxfId="5178" priority="26" stopIfTrue="1">
      <formula>IF(AK9&gt;3,0,1)</formula>
    </cfRule>
  </conditionalFormatting>
  <conditionalFormatting sqref="E15">
    <cfRule type="expression" dxfId="5177" priority="27" stopIfTrue="1">
      <formula>IF(AK9&gt;3,0,1)</formula>
    </cfRule>
  </conditionalFormatting>
  <conditionalFormatting sqref="E16">
    <cfRule type="expression" dxfId="5176" priority="28" stopIfTrue="1">
      <formula>IF(AK9&gt;4,0,1)</formula>
    </cfRule>
  </conditionalFormatting>
  <conditionalFormatting sqref="E17">
    <cfRule type="expression" dxfId="5175" priority="29" stopIfTrue="1">
      <formula>IF(AK9&gt;4,0,1)</formula>
    </cfRule>
  </conditionalFormatting>
  <conditionalFormatting sqref="AC8">
    <cfRule type="expression" dxfId="5174" priority="30" stopIfTrue="1">
      <formula>IF(AK11=1,IF(AK9&gt;0,0,1),1)</formula>
    </cfRule>
  </conditionalFormatting>
  <conditionalFormatting sqref="AC10:AE11">
    <cfRule type="expression" dxfId="5173" priority="31" stopIfTrue="1">
      <formula>IF(AK11=1,IF(AK9&gt;1,0,1),1)</formula>
    </cfRule>
  </conditionalFormatting>
  <conditionalFormatting sqref="AC12:AE13">
    <cfRule type="expression" dxfId="5172" priority="32" stopIfTrue="1">
      <formula>IF(AK11=1,IF(AK9&gt;2,0,1),1)</formula>
    </cfRule>
  </conditionalFormatting>
  <conditionalFormatting sqref="AC14:AE15">
    <cfRule type="expression" dxfId="5171" priority="33" stopIfTrue="1">
      <formula>IF(AK11=1,IF(AK9&gt;3,0,1),1)</formula>
    </cfRule>
  </conditionalFormatting>
  <conditionalFormatting sqref="AC16:AE17">
    <cfRule type="expression" dxfId="5170" priority="34" stopIfTrue="1">
      <formula>IF(AK11=1,IF(AK9&gt;4,0,1),1)</formula>
    </cfRule>
  </conditionalFormatting>
  <conditionalFormatting sqref="AH8">
    <cfRule type="expression" dxfId="5169" priority="35" stopIfTrue="1">
      <formula>IF(AK9&gt;0,0,1)</formula>
    </cfRule>
  </conditionalFormatting>
  <conditionalFormatting sqref="AH10:AI11">
    <cfRule type="expression" dxfId="5168" priority="36" stopIfTrue="1">
      <formula>IF(AK9&gt;1,0,1)</formula>
    </cfRule>
  </conditionalFormatting>
  <conditionalFormatting sqref="AH12:AI13">
    <cfRule type="expression" dxfId="5167" priority="37" stopIfTrue="1">
      <formula>IF(AK9&gt;2,0,1)</formula>
    </cfRule>
  </conditionalFormatting>
  <conditionalFormatting sqref="AH14:AI15">
    <cfRule type="expression" dxfId="5166" priority="38" stopIfTrue="1">
      <formula>IF(AK9&gt;3,0,1)</formula>
    </cfRule>
  </conditionalFormatting>
  <conditionalFormatting sqref="AH16:AI17">
    <cfRule type="expression" dxfId="5165" priority="39" stopIfTrue="1">
      <formula>IF(AK9&gt;4,0,1)</formula>
    </cfRule>
  </conditionalFormatting>
  <conditionalFormatting sqref="B19:D19">
    <cfRule type="expression" dxfId="5164" priority="40" stopIfTrue="1">
      <formula>IF(AK8&gt;0,0,1)</formula>
    </cfRule>
  </conditionalFormatting>
  <conditionalFormatting sqref="E19:G19">
    <cfRule type="expression" dxfId="5163" priority="41" stopIfTrue="1">
      <formula>IF(AK8&gt;1,0,1)</formula>
    </cfRule>
  </conditionalFormatting>
  <conditionalFormatting sqref="H19:J19">
    <cfRule type="expression" dxfId="5162" priority="42" stopIfTrue="1">
      <formula>IF(AK8&gt;2,0,1)</formula>
    </cfRule>
  </conditionalFormatting>
  <conditionalFormatting sqref="K19:M19">
    <cfRule type="expression" dxfId="5161" priority="43" stopIfTrue="1">
      <formula>IF(AK8&gt;3,0,1)</formula>
    </cfRule>
  </conditionalFormatting>
  <conditionalFormatting sqref="N19:P19">
    <cfRule type="expression" dxfId="5160" priority="44" stopIfTrue="1">
      <formula>IF(AK8&gt;4,0,1)</formula>
    </cfRule>
  </conditionalFormatting>
  <conditionalFormatting sqref="Q19:S19">
    <cfRule type="expression" dxfId="5159" priority="45" stopIfTrue="1">
      <formula>IF(AK8&gt;5,0,1)</formula>
    </cfRule>
  </conditionalFormatting>
  <conditionalFormatting sqref="T19:V19">
    <cfRule type="expression" dxfId="5158" priority="46" stopIfTrue="1">
      <formula>IF(AK8&gt;6,0,1)</formula>
    </cfRule>
  </conditionalFormatting>
  <conditionalFormatting sqref="W19:Y19">
    <cfRule type="expression" dxfId="5157" priority="47" stopIfTrue="1">
      <formula>IF(AK8&gt;7,0,1)</formula>
    </cfRule>
  </conditionalFormatting>
  <conditionalFormatting sqref="Z19:AB19">
    <cfRule type="expression" dxfId="5156" priority="48" stopIfTrue="1">
      <formula>IF(AK8&gt;8,0,1)</formula>
    </cfRule>
  </conditionalFormatting>
  <conditionalFormatting sqref="AC19:AE19">
    <cfRule type="expression" dxfId="5155" priority="49" stopIfTrue="1">
      <formula>IF(AK8&gt;9,0,1)</formula>
    </cfRule>
  </conditionalFormatting>
  <conditionalFormatting sqref="B20:D20">
    <cfRule type="expression" dxfId="5154" priority="50" stopIfTrue="1">
      <formula>IF(AK8&gt;0,0,1)</formula>
    </cfRule>
  </conditionalFormatting>
  <conditionalFormatting sqref="E20:G20">
    <cfRule type="expression" dxfId="5153" priority="51" stopIfTrue="1">
      <formula>IF(AK8&gt;1,0,1)</formula>
    </cfRule>
  </conditionalFormatting>
  <conditionalFormatting sqref="H20:J20">
    <cfRule type="expression" dxfId="5152" priority="52" stopIfTrue="1">
      <formula>IF(AK8&gt;2,0,1)</formula>
    </cfRule>
  </conditionalFormatting>
  <conditionalFormatting sqref="K20:M20">
    <cfRule type="expression" dxfId="5151" priority="53" stopIfTrue="1">
      <formula>IF(AK8&gt;3,0,1)</formula>
    </cfRule>
  </conditionalFormatting>
  <conditionalFormatting sqref="N20:P20">
    <cfRule type="expression" dxfId="5150" priority="54" stopIfTrue="1">
      <formula>IF(AK8&gt;4,0,1)</formula>
    </cfRule>
  </conditionalFormatting>
  <conditionalFormatting sqref="Q20:S20">
    <cfRule type="expression" dxfId="5149" priority="55" stopIfTrue="1">
      <formula>IF(AK8&gt;5,0,1)</formula>
    </cfRule>
  </conditionalFormatting>
  <conditionalFormatting sqref="T20:V20">
    <cfRule type="expression" dxfId="5148" priority="56" stopIfTrue="1">
      <formula>IF(AK8&gt;6,0,1)</formula>
    </cfRule>
  </conditionalFormatting>
  <conditionalFormatting sqref="W20:Y20">
    <cfRule type="expression" dxfId="5147" priority="57" stopIfTrue="1">
      <formula>IF(AK8&gt;7,0,1)</formula>
    </cfRule>
  </conditionalFormatting>
  <conditionalFormatting sqref="Z20:AB20">
    <cfRule type="expression" dxfId="5146" priority="58" stopIfTrue="1">
      <formula>IF(AK8&gt;8,0,1)</formula>
    </cfRule>
  </conditionalFormatting>
  <conditionalFormatting sqref="AC20:AE20">
    <cfRule type="expression" dxfId="5145" priority="59" stopIfTrue="1">
      <formula>IF(AK8&gt;9,0,1)</formula>
    </cfRule>
  </conditionalFormatting>
  <conditionalFormatting sqref="E22:G22">
    <cfRule type="expression" dxfId="5144" priority="60" stopIfTrue="1">
      <formula>IF(AK8&gt;1,0,1)</formula>
    </cfRule>
  </conditionalFormatting>
  <conditionalFormatting sqref="H22:J22">
    <cfRule type="expression" dxfId="5143" priority="61" stopIfTrue="1">
      <formula>IF(AK8&gt;2,0,1)</formula>
    </cfRule>
  </conditionalFormatting>
  <conditionalFormatting sqref="K22:M22">
    <cfRule type="expression" dxfId="5142" priority="62" stopIfTrue="1">
      <formula>IF(AK8&gt;3,0,1)</formula>
    </cfRule>
  </conditionalFormatting>
  <conditionalFormatting sqref="N22:P22">
    <cfRule type="expression" dxfId="5141" priority="63" stopIfTrue="1">
      <formula>IF(AK8&gt;4,0,1)</formula>
    </cfRule>
  </conditionalFormatting>
  <conditionalFormatting sqref="Q22:S22">
    <cfRule type="expression" dxfId="5140" priority="64" stopIfTrue="1">
      <formula>IF(AK8&gt;5,0,1)</formula>
    </cfRule>
  </conditionalFormatting>
  <conditionalFormatting sqref="T22:V22">
    <cfRule type="expression" dxfId="5139" priority="65" stopIfTrue="1">
      <formula>IF(AK8&gt;6,0,1)</formula>
    </cfRule>
  </conditionalFormatting>
  <conditionalFormatting sqref="W22:Y22">
    <cfRule type="expression" dxfId="5138" priority="66" stopIfTrue="1">
      <formula>IF(AK8&gt;7,0,1)</formula>
    </cfRule>
  </conditionalFormatting>
  <conditionalFormatting sqref="Z22:AB22">
    <cfRule type="expression" dxfId="5137" priority="67" stopIfTrue="1">
      <formula>IF(AK8&gt;8,0,1)</formula>
    </cfRule>
  </conditionalFormatting>
  <conditionalFormatting sqref="AC22:AE22">
    <cfRule type="expression" dxfId="5136" priority="68" stopIfTrue="1">
      <formula>IF(AK8&gt;9,0,1)</formula>
    </cfRule>
  </conditionalFormatting>
  <conditionalFormatting sqref="E23:G23">
    <cfRule type="expression" dxfId="5135" priority="69" stopIfTrue="1">
      <formula>IF(AK8&gt;1,0,1)</formula>
    </cfRule>
  </conditionalFormatting>
  <conditionalFormatting sqref="H23:J23">
    <cfRule type="expression" dxfId="5134" priority="70" stopIfTrue="1">
      <formula>IF(AK8&gt;2,0,1)</formula>
    </cfRule>
  </conditionalFormatting>
  <conditionalFormatting sqref="K23:M23">
    <cfRule type="expression" dxfId="5133" priority="71" stopIfTrue="1">
      <formula>IF(AK8&gt;3,0,1)</formula>
    </cfRule>
  </conditionalFormatting>
  <conditionalFormatting sqref="N23:P23">
    <cfRule type="expression" dxfId="5132" priority="72" stopIfTrue="1">
      <formula>IF(AK8&gt;4,0,1)</formula>
    </cfRule>
  </conditionalFormatting>
  <conditionalFormatting sqref="Q23:S23">
    <cfRule type="expression" dxfId="5131" priority="73" stopIfTrue="1">
      <formula>IF(AK8&gt;5,0,1)</formula>
    </cfRule>
  </conditionalFormatting>
  <conditionalFormatting sqref="T23:V23">
    <cfRule type="expression" dxfId="5130" priority="74" stopIfTrue="1">
      <formula>IF(AK8&gt;6,0,1)</formula>
    </cfRule>
  </conditionalFormatting>
  <conditionalFormatting sqref="W23:Y23">
    <cfRule type="expression" dxfId="5129" priority="75" stopIfTrue="1">
      <formula>IF(AK8&gt;7,0,1)</formula>
    </cfRule>
  </conditionalFormatting>
  <conditionalFormatting sqref="Z23:AB23">
    <cfRule type="expression" dxfId="5128" priority="76" stopIfTrue="1">
      <formula>IF(AK8&gt;8,0,1)</formula>
    </cfRule>
  </conditionalFormatting>
  <conditionalFormatting sqref="AC23:AE23">
    <cfRule type="expression" dxfId="5127" priority="77" stopIfTrue="1">
      <formula>IF(AK8&gt;9,0,1)</formula>
    </cfRule>
  </conditionalFormatting>
  <conditionalFormatting sqref="B24">
    <cfRule type="expression" dxfId="5126" priority="78" stopIfTrue="1">
      <formula>IF(AK8&gt;0,0,1)</formula>
    </cfRule>
  </conditionalFormatting>
  <conditionalFormatting sqref="C24">
    <cfRule type="expression" dxfId="5125" priority="79" stopIfTrue="1">
      <formula>IF(AK8&gt;0,0,1)</formula>
    </cfRule>
  </conditionalFormatting>
  <conditionalFormatting sqref="D24">
    <cfRule type="expression" dxfId="5124" priority="80" stopIfTrue="1">
      <formula>IF(AK8&gt;0,0,1)</formula>
    </cfRule>
  </conditionalFormatting>
  <conditionalFormatting sqref="E24">
    <cfRule type="expression" dxfId="5123" priority="81" stopIfTrue="1">
      <formula>IF(AK8&gt;1,0,1)</formula>
    </cfRule>
  </conditionalFormatting>
  <conditionalFormatting sqref="F24">
    <cfRule type="expression" dxfId="5122" priority="82" stopIfTrue="1">
      <formula>IF(AK8&gt;1,0,1)</formula>
    </cfRule>
  </conditionalFormatting>
  <conditionalFormatting sqref="G24">
    <cfRule type="expression" dxfId="5121" priority="83" stopIfTrue="1">
      <formula>IF(AK8&gt;1,0,1)</formula>
    </cfRule>
  </conditionalFormatting>
  <conditionalFormatting sqref="H24">
    <cfRule type="expression" dxfId="5120" priority="84" stopIfTrue="1">
      <formula>IF(AK8&gt;2,0,1)</formula>
    </cfRule>
  </conditionalFormatting>
  <conditionalFormatting sqref="I24">
    <cfRule type="expression" dxfId="5119" priority="85" stopIfTrue="1">
      <formula>IF(AK8&gt;2,0,1)</formula>
    </cfRule>
  </conditionalFormatting>
  <conditionalFormatting sqref="J24">
    <cfRule type="expression" dxfId="5118" priority="86" stopIfTrue="1">
      <formula>IF(AK8&gt;2,0,1)</formula>
    </cfRule>
  </conditionalFormatting>
  <conditionalFormatting sqref="K24">
    <cfRule type="expression" dxfId="5117" priority="87" stopIfTrue="1">
      <formula>IF(AK8&gt;3,0,1)</formula>
    </cfRule>
  </conditionalFormatting>
  <conditionalFormatting sqref="L24">
    <cfRule type="expression" dxfId="5116" priority="88" stopIfTrue="1">
      <formula>IF(AK8&gt;3,0,1)</formula>
    </cfRule>
  </conditionalFormatting>
  <conditionalFormatting sqref="M24">
    <cfRule type="expression" dxfId="5115" priority="89" stopIfTrue="1">
      <formula>IF(AK8&gt;3,0,1)</formula>
    </cfRule>
  </conditionalFormatting>
  <conditionalFormatting sqref="N24">
    <cfRule type="expression" dxfId="5114" priority="90" stopIfTrue="1">
      <formula>IF(AK8&gt;4,0,1)</formula>
    </cfRule>
  </conditionalFormatting>
  <conditionalFormatting sqref="O24">
    <cfRule type="expression" dxfId="5113" priority="91" stopIfTrue="1">
      <formula>IF(AK8&gt;4,0,1)</formula>
    </cfRule>
  </conditionalFormatting>
  <conditionalFormatting sqref="P24">
    <cfRule type="expression" dxfId="5112" priority="92" stopIfTrue="1">
      <formula>IF(AK8&gt;4,0,1)</formula>
    </cfRule>
  </conditionalFormatting>
  <conditionalFormatting sqref="Q24">
    <cfRule type="expression" dxfId="5111" priority="93" stopIfTrue="1">
      <formula>IF(AK8&gt;5,0,1)</formula>
    </cfRule>
  </conditionalFormatting>
  <conditionalFormatting sqref="R24">
    <cfRule type="expression" dxfId="5110" priority="94" stopIfTrue="1">
      <formula>IF(AK8&gt;5,0,1)</formula>
    </cfRule>
  </conditionalFormatting>
  <conditionalFormatting sqref="S24">
    <cfRule type="expression" dxfId="5109" priority="95" stopIfTrue="1">
      <formula>IF(AK8&gt;5,0,1)</formula>
    </cfRule>
  </conditionalFormatting>
  <conditionalFormatting sqref="T24">
    <cfRule type="expression" dxfId="5108" priority="96" stopIfTrue="1">
      <formula>IF(AK8&gt;6,0,1)</formula>
    </cfRule>
  </conditionalFormatting>
  <conditionalFormatting sqref="U24">
    <cfRule type="expression" dxfId="5107" priority="97" stopIfTrue="1">
      <formula>IF(AK8&gt;6,0,1)</formula>
    </cfRule>
  </conditionalFormatting>
  <conditionalFormatting sqref="V24">
    <cfRule type="expression" dxfId="5106" priority="98" stopIfTrue="1">
      <formula>IF(AK8&gt;6,0,1)</formula>
    </cfRule>
  </conditionalFormatting>
  <conditionalFormatting sqref="W24">
    <cfRule type="expression" dxfId="5105" priority="99" stopIfTrue="1">
      <formula>IF(AK8&gt;7,0,1)</formula>
    </cfRule>
  </conditionalFormatting>
  <conditionalFormatting sqref="X24">
    <cfRule type="expression" dxfId="5104" priority="100" stopIfTrue="1">
      <formula>IF(AK8&gt;7,0,1)</formula>
    </cfRule>
  </conditionalFormatting>
  <conditionalFormatting sqref="Y24">
    <cfRule type="expression" dxfId="5103" priority="101" stopIfTrue="1">
      <formula>IF(AK8&gt;7,0,1)</formula>
    </cfRule>
  </conditionalFormatting>
  <conditionalFormatting sqref="Z24">
    <cfRule type="expression" dxfId="5102" priority="102" stopIfTrue="1">
      <formula>IF(AK8&gt;8,0,1)</formula>
    </cfRule>
  </conditionalFormatting>
  <conditionalFormatting sqref="AA24">
    <cfRule type="expression" dxfId="5101" priority="103" stopIfTrue="1">
      <formula>IF(AK8&gt;8,0,1)</formula>
    </cfRule>
  </conditionalFormatting>
  <conditionalFormatting sqref="AB24">
    <cfRule type="expression" dxfId="5100" priority="104" stopIfTrue="1">
      <formula>IF(AK8&gt;8,0,1)</formula>
    </cfRule>
  </conditionalFormatting>
  <conditionalFormatting sqref="AC24">
    <cfRule type="expression" dxfId="5099" priority="105" stopIfTrue="1">
      <formula>IF(AK8&gt;9,0,1)</formula>
    </cfRule>
  </conditionalFormatting>
  <conditionalFormatting sqref="AD24">
    <cfRule type="expression" dxfId="5098" priority="106" stopIfTrue="1">
      <formula>IF(AK8&gt;9,0,1)</formula>
    </cfRule>
  </conditionalFormatting>
  <conditionalFormatting sqref="AE24">
    <cfRule type="expression" dxfId="5097" priority="107" stopIfTrue="1">
      <formula>IF(AK8&gt;9,0,1)</formula>
    </cfRule>
  </conditionalFormatting>
  <conditionalFormatting sqref="A26">
    <cfRule type="expression" dxfId="5096" priority="108" stopIfTrue="1">
      <formula>IF(AK7&gt;1,0,1)</formula>
    </cfRule>
  </conditionalFormatting>
  <conditionalFormatting sqref="A27">
    <cfRule type="expression" dxfId="5095" priority="109" stopIfTrue="1">
      <formula>IF(AK7&gt;2,0,1)</formula>
    </cfRule>
  </conditionalFormatting>
  <conditionalFormatting sqref="A28">
    <cfRule type="expression" dxfId="5094" priority="110" stopIfTrue="1">
      <formula>IF(AK7&gt;3,0,1)</formula>
    </cfRule>
  </conditionalFormatting>
  <conditionalFormatting sqref="A29">
    <cfRule type="expression" dxfId="5093" priority="111" stopIfTrue="1">
      <formula>IF(AK7&gt;4,0,1)</formula>
    </cfRule>
  </conditionalFormatting>
  <conditionalFormatting sqref="B25:D25">
    <cfRule type="expression" dxfId="5092" priority="112" stopIfTrue="1">
      <formula>IF($AK8&gt;0,0,1)</formula>
    </cfRule>
  </conditionalFormatting>
  <conditionalFormatting sqref="B26:D26">
    <cfRule type="expression" dxfId="5091" priority="113" stopIfTrue="1">
      <formula>IF($AK8&lt;1,1,IF($AK7&lt;2,1,0))</formula>
    </cfRule>
  </conditionalFormatting>
  <conditionalFormatting sqref="B27:D27">
    <cfRule type="expression" dxfId="5090" priority="114" stopIfTrue="1">
      <formula>IF($AK8&lt;1,1,IF($AK7&lt;3,1,0))</formula>
    </cfRule>
  </conditionalFormatting>
  <conditionalFormatting sqref="B28:D28">
    <cfRule type="expression" dxfId="5089" priority="115" stopIfTrue="1">
      <formula>IF($AK8&lt;1,1,IF($AK7&lt;4,1,0))</formula>
    </cfRule>
  </conditionalFormatting>
  <conditionalFormatting sqref="B29:D29">
    <cfRule type="expression" dxfId="5088" priority="116" stopIfTrue="1">
      <formula>IF($AK8&lt;1,1,IF($AK7&lt;5,1,0))</formula>
    </cfRule>
  </conditionalFormatting>
  <conditionalFormatting sqref="AG23">
    <cfRule type="expression" dxfId="5087" priority="117" stopIfTrue="1">
      <formula>IF($AK8&lt;1,1,0)</formula>
    </cfRule>
  </conditionalFormatting>
  <conditionalFormatting sqref="AH23">
    <cfRule type="expression" dxfId="5086" priority="118" stopIfTrue="1">
      <formula>IF($AK8&lt;2,1,0)</formula>
    </cfRule>
  </conditionalFormatting>
  <conditionalFormatting sqref="AI23">
    <cfRule type="expression" dxfId="5085" priority="119" stopIfTrue="1">
      <formula>IF($AK8&lt;3,1,0)</formula>
    </cfRule>
  </conditionalFormatting>
  <conditionalFormatting sqref="AJ23">
    <cfRule type="expression" dxfId="5084" priority="120" stopIfTrue="1">
      <formula>IF($AK8&lt;4,1,0)</formula>
    </cfRule>
  </conditionalFormatting>
  <conditionalFormatting sqref="AK23">
    <cfRule type="expression" dxfId="5083" priority="121" stopIfTrue="1">
      <formula>IF($AK8&lt;5,1,0)</formula>
    </cfRule>
  </conditionalFormatting>
  <conditionalFormatting sqref="AL23">
    <cfRule type="expression" dxfId="5082" priority="122" stopIfTrue="1">
      <formula>IF($AK8&lt;6,1,0)</formula>
    </cfRule>
  </conditionalFormatting>
  <conditionalFormatting sqref="AM23">
    <cfRule type="expression" dxfId="5081" priority="123" stopIfTrue="1">
      <formula>IF($AK8&lt;7,1,0)</formula>
    </cfRule>
  </conditionalFormatting>
  <conditionalFormatting sqref="AN23">
    <cfRule type="expression" dxfId="5080" priority="124" stopIfTrue="1">
      <formula>IF($AK8&lt;8,1,0)</formula>
    </cfRule>
  </conditionalFormatting>
  <conditionalFormatting sqref="AO23">
    <cfRule type="expression" dxfId="5079" priority="125" stopIfTrue="1">
      <formula>IF($AK8&lt;9,1,0)</formula>
    </cfRule>
  </conditionalFormatting>
  <conditionalFormatting sqref="AP23">
    <cfRule type="expression" dxfId="5078" priority="126" stopIfTrue="1">
      <formula>IF($AK8&lt;10,1,0)</formula>
    </cfRule>
  </conditionalFormatting>
  <conditionalFormatting sqref="AQ24">
    <cfRule type="expression" dxfId="5077" priority="127" stopIfTrue="1">
      <formula>IF($AK9&gt;0,0,1)</formula>
    </cfRule>
  </conditionalFormatting>
  <conditionalFormatting sqref="AQ25">
    <cfRule type="expression" dxfId="5076" priority="128" stopIfTrue="1">
      <formula>IF($AK9&gt;1,0,1)</formula>
    </cfRule>
  </conditionalFormatting>
  <conditionalFormatting sqref="AQ26 H25:J25">
    <cfRule type="expression" dxfId="5075" priority="129" stopIfTrue="1">
      <formula>IF($AK8&gt;2,0,1)</formula>
    </cfRule>
  </conditionalFormatting>
  <conditionalFormatting sqref="AQ27">
    <cfRule type="expression" dxfId="5074" priority="130" stopIfTrue="1">
      <formula>IF($AK9&gt;3,0,1)</formula>
    </cfRule>
  </conditionalFormatting>
  <conditionalFormatting sqref="AQ28">
    <cfRule type="expression" dxfId="5073" priority="131" stopIfTrue="1">
      <formula>IF($AK9&gt;4,0,1)</formula>
    </cfRule>
  </conditionalFormatting>
  <conditionalFormatting sqref="E25:G25">
    <cfRule type="expression" dxfId="5072" priority="132" stopIfTrue="1">
      <formula>IF($AK8&gt;1,0,1)</formula>
    </cfRule>
  </conditionalFormatting>
  <conditionalFormatting sqref="E26:G26">
    <cfRule type="expression" dxfId="5071" priority="133" stopIfTrue="1">
      <formula>IF($AK8&lt;2,1,IF($AK7&lt;2,1,0))</formula>
    </cfRule>
  </conditionalFormatting>
  <conditionalFormatting sqref="E27:G27">
    <cfRule type="expression" dxfId="5070" priority="134" stopIfTrue="1">
      <formula>IF($AK8&lt;2,1,IF($AK7&lt;3,1,0))</formula>
    </cfRule>
  </conditionalFormatting>
  <conditionalFormatting sqref="E28:G28">
    <cfRule type="expression" dxfId="5069" priority="135" stopIfTrue="1">
      <formula>IF($AK8&lt;2,1,IF($AK7&lt;4,1,0))</formula>
    </cfRule>
  </conditionalFormatting>
  <conditionalFormatting sqref="E29:G29">
    <cfRule type="expression" dxfId="5068" priority="136" stopIfTrue="1">
      <formula>IF($AK8&lt;2,1,IF($AK7&lt;5,1,0))</formula>
    </cfRule>
  </conditionalFormatting>
  <conditionalFormatting sqref="K25:M25">
    <cfRule type="expression" dxfId="5067" priority="137" stopIfTrue="1">
      <formula>IF($AK8&gt;3,0,1)</formula>
    </cfRule>
  </conditionalFormatting>
  <conditionalFormatting sqref="N25:P25">
    <cfRule type="expression" dxfId="5066" priority="138" stopIfTrue="1">
      <formula>IF($AK8&gt;4,0,1)</formula>
    </cfRule>
  </conditionalFormatting>
  <conditionalFormatting sqref="Q25:S25">
    <cfRule type="expression" dxfId="5065" priority="139" stopIfTrue="1">
      <formula>IF($AK8&gt;5,0,1)</formula>
    </cfRule>
  </conditionalFormatting>
  <conditionalFormatting sqref="T25:V25">
    <cfRule type="expression" dxfId="5064" priority="140" stopIfTrue="1">
      <formula>IF($AK8&gt;6,0,1)</formula>
    </cfRule>
  </conditionalFormatting>
  <conditionalFormatting sqref="W25:Y25">
    <cfRule type="expression" dxfId="5063" priority="141" stopIfTrue="1">
      <formula>IF($AK8&gt;7,0,1)</formula>
    </cfRule>
  </conditionalFormatting>
  <conditionalFormatting sqref="Z25:AB25">
    <cfRule type="expression" dxfId="5062" priority="142" stopIfTrue="1">
      <formula>IF($AK8&gt;8,0,1)</formula>
    </cfRule>
  </conditionalFormatting>
  <conditionalFormatting sqref="AC25:AE25">
    <cfRule type="expression" dxfId="5061" priority="143" stopIfTrue="1">
      <formula>IF($AK8&gt;9,0,1)</formula>
    </cfRule>
  </conditionalFormatting>
  <conditionalFormatting sqref="H26:J26">
    <cfRule type="expression" dxfId="5060" priority="144" stopIfTrue="1">
      <formula>IF($AK8&lt;3,1,IF($AK7&lt;2,1,0))</formula>
    </cfRule>
  </conditionalFormatting>
  <conditionalFormatting sqref="K26:M26">
    <cfRule type="expression" dxfId="5059" priority="145" stopIfTrue="1">
      <formula>IF($AK8&lt;4,1,IF($AK7&lt;2,1,0))</formula>
    </cfRule>
  </conditionalFormatting>
  <conditionalFormatting sqref="N26:P26">
    <cfRule type="expression" dxfId="5058" priority="146" stopIfTrue="1">
      <formula>IF($AK8&lt;5,1,IF($AK7&lt;2,1,0))</formula>
    </cfRule>
  </conditionalFormatting>
  <conditionalFormatting sqref="Q26:S26">
    <cfRule type="expression" dxfId="5057" priority="147" stopIfTrue="1">
      <formula>IF($AK8&lt;6,1,IF($AK7&lt;2,1,0))</formula>
    </cfRule>
  </conditionalFormatting>
  <conditionalFormatting sqref="T26:V26">
    <cfRule type="expression" dxfId="5056" priority="148" stopIfTrue="1">
      <formula>IF($AK8&lt;7,1,IF($AK7&lt;2,1,0))</formula>
    </cfRule>
  </conditionalFormatting>
  <conditionalFormatting sqref="W26:Y26">
    <cfRule type="expression" dxfId="5055" priority="149" stopIfTrue="1">
      <formula>IF($AK8&lt;8,1,IF($AK7&lt;2,1,0))</formula>
    </cfRule>
  </conditionalFormatting>
  <conditionalFormatting sqref="Z26:AB26">
    <cfRule type="expression" dxfId="5054" priority="150" stopIfTrue="1">
      <formula>IF($AK8&lt;9,1,IF($AK7&lt;2,1,0))</formula>
    </cfRule>
  </conditionalFormatting>
  <conditionalFormatting sqref="AC26:AE26">
    <cfRule type="expression" dxfId="5053" priority="151" stopIfTrue="1">
      <formula>IF($AK8&lt;10,1,IF($AK7&lt;2,1,0))</formula>
    </cfRule>
  </conditionalFormatting>
  <conditionalFormatting sqref="H27:J27">
    <cfRule type="expression" dxfId="5052" priority="152" stopIfTrue="1">
      <formula>IF($AK8&lt;3,1,IF($AK7&lt;3,1,0))</formula>
    </cfRule>
  </conditionalFormatting>
  <conditionalFormatting sqref="K27:M27">
    <cfRule type="expression" dxfId="5051" priority="153" stopIfTrue="1">
      <formula>IF($AK8&lt;4,1,IF($AK7&lt;3,1,0))</formula>
    </cfRule>
  </conditionalFormatting>
  <conditionalFormatting sqref="N27:P27">
    <cfRule type="expression" dxfId="5050" priority="154" stopIfTrue="1">
      <formula>IF($AK8&lt;5,1,IF($AK7&lt;3,1,0))</formula>
    </cfRule>
  </conditionalFormatting>
  <conditionalFormatting sqref="Q27:S27">
    <cfRule type="expression" dxfId="5049" priority="155" stopIfTrue="1">
      <formula>IF($AK8&lt;6,1,IF($AK7&lt;3,1,0))</formula>
    </cfRule>
  </conditionalFormatting>
  <conditionalFormatting sqref="T27:V27">
    <cfRule type="expression" dxfId="5048" priority="156" stopIfTrue="1">
      <formula>IF($AK8&lt;7,1,IF($AK7&lt;3,1,0))</formula>
    </cfRule>
  </conditionalFormatting>
  <conditionalFormatting sqref="W27:Y27">
    <cfRule type="expression" dxfId="5047" priority="157" stopIfTrue="1">
      <formula>IF($AK8&lt;8,1,IF($AK7&lt;3,1,0))</formula>
    </cfRule>
  </conditionalFormatting>
  <conditionalFormatting sqref="Z27:AB27">
    <cfRule type="expression" dxfId="5046" priority="158" stopIfTrue="1">
      <formula>IF($AK8&lt;9,1,IF($AK7&lt;3,1,0))</formula>
    </cfRule>
  </conditionalFormatting>
  <conditionalFormatting sqref="AC27:AE27">
    <cfRule type="expression" dxfId="5045" priority="159" stopIfTrue="1">
      <formula>IF($AK8&lt;10,1,IF($AK7&lt;3,1,0))</formula>
    </cfRule>
  </conditionalFormatting>
  <conditionalFormatting sqref="H28:J28">
    <cfRule type="expression" dxfId="5044" priority="160" stopIfTrue="1">
      <formula>IF($AK8&lt;3,1,IF($AK7&lt;4,1,0))</formula>
    </cfRule>
  </conditionalFormatting>
  <conditionalFormatting sqref="K28:M28">
    <cfRule type="expression" dxfId="5043" priority="161" stopIfTrue="1">
      <formula>IF($AK8&lt;4,1,IF($AK7&lt;4,1,0))</formula>
    </cfRule>
  </conditionalFormatting>
  <conditionalFormatting sqref="N28:P28">
    <cfRule type="expression" dxfId="5042" priority="162" stopIfTrue="1">
      <formula>IF($AK8&lt;5,1,IF($AK7&lt;4,1,0))</formula>
    </cfRule>
  </conditionalFormatting>
  <conditionalFormatting sqref="Q28:S28">
    <cfRule type="expression" dxfId="5041" priority="163" stopIfTrue="1">
      <formula>IF($AK8&lt;6,1,IF($AK7&lt;4,1,0))</formula>
    </cfRule>
  </conditionalFormatting>
  <conditionalFormatting sqref="T28:V28">
    <cfRule type="expression" dxfId="5040" priority="164" stopIfTrue="1">
      <formula>IF($AK8&lt;7,1,IF($AK7&lt;4,1,0))</formula>
    </cfRule>
  </conditionalFormatting>
  <conditionalFormatting sqref="W28:Y28">
    <cfRule type="expression" dxfId="5039" priority="165" stopIfTrue="1">
      <formula>IF($AK8&lt;8,1,IF($AK7&lt;4,1,0))</formula>
    </cfRule>
  </conditionalFormatting>
  <conditionalFormatting sqref="Z28:AB28">
    <cfRule type="expression" dxfId="5038" priority="166" stopIfTrue="1">
      <formula>IF($AK8&lt;9,1,IF($AK7&lt;4,1,0))</formula>
    </cfRule>
  </conditionalFormatting>
  <conditionalFormatting sqref="AC28:AE28">
    <cfRule type="expression" dxfId="5037" priority="167" stopIfTrue="1">
      <formula>IF($AK8&lt;10,1,IF($AK7&lt;4,1,0))</formula>
    </cfRule>
  </conditionalFormatting>
  <conditionalFormatting sqref="H29:J29">
    <cfRule type="expression" dxfId="5036" priority="168" stopIfTrue="1">
      <formula>IF($AK8&lt;3,1,IF($AK7&lt;5,1,0))</formula>
    </cfRule>
  </conditionalFormatting>
  <conditionalFormatting sqref="K29:M29">
    <cfRule type="expression" dxfId="5035" priority="169" stopIfTrue="1">
      <formula>IF($AK8&lt;4,1,IF($AK7&lt;5,1,0))</formula>
    </cfRule>
  </conditionalFormatting>
  <conditionalFormatting sqref="N29:P29">
    <cfRule type="expression" dxfId="5034" priority="170" stopIfTrue="1">
      <formula>IF($AK8&lt;5,1,IF($AK7&lt;5,1,0))</formula>
    </cfRule>
  </conditionalFormatting>
  <conditionalFormatting sqref="Q29:S29">
    <cfRule type="expression" dxfId="5033" priority="171" stopIfTrue="1">
      <formula>IF($AK8&lt;6,1,IF($AK7&lt;5,1,0))</formula>
    </cfRule>
  </conditionalFormatting>
  <conditionalFormatting sqref="T29:V29">
    <cfRule type="expression" dxfId="5032" priority="172" stopIfTrue="1">
      <formula>IF($AK8&lt;7,1,IF($AK7&lt;5,1,0))</formula>
    </cfRule>
  </conditionalFormatting>
  <conditionalFormatting sqref="W29:Y29">
    <cfRule type="expression" dxfId="5031" priority="173" stopIfTrue="1">
      <formula>IF($AK8&lt;8,1,IF($AK7&lt;5,1,0))</formula>
    </cfRule>
  </conditionalFormatting>
  <conditionalFormatting sqref="Z29:AB29">
    <cfRule type="expression" dxfId="5030" priority="174" stopIfTrue="1">
      <formula>IF($AK8&lt;9,1,IF($AK7&lt;5,1,0))</formula>
    </cfRule>
  </conditionalFormatting>
  <conditionalFormatting sqref="AC29:AE29">
    <cfRule type="expression" dxfId="5029" priority="175" stopIfTrue="1">
      <formula>IF($AK8&lt;10,1,IF($AK7&lt;5,1,0))</formula>
    </cfRule>
  </conditionalFormatting>
  <conditionalFormatting sqref="R14:AB15 AF14:AF15 L14:P15 AG14">
    <cfRule type="expression" dxfId="5028" priority="176" stopIfTrue="1">
      <formula>IF($AK9&gt;3,0,1)</formula>
    </cfRule>
  </conditionalFormatting>
  <conditionalFormatting sqref="R16:AB17 AF16:AF17 L16:P17 AG16">
    <cfRule type="expression" dxfId="5027" priority="177" stopIfTrue="1">
      <formula>IF($AK9&gt;4,0,1)</formula>
    </cfRule>
  </conditionalFormatting>
  <conditionalFormatting sqref="R8:AB9 AF8:AF9 L8:P9 AG8">
    <cfRule type="expression" dxfId="5026" priority="178" stopIfTrue="1">
      <formula>IF($AK9&gt;0,0,1)</formula>
    </cfRule>
  </conditionalFormatting>
  <conditionalFormatting sqref="R10:AB11 AF10:AF11 L10:P11 AG10">
    <cfRule type="expression" dxfId="5025" priority="179" stopIfTrue="1">
      <formula>IF($AK9&gt;1,0,1)</formula>
    </cfRule>
  </conditionalFormatting>
  <conditionalFormatting sqref="R12:AB13 AF12:AF13 L12:P13 AG12">
    <cfRule type="expression" dxfId="5024" priority="180" stopIfTrue="1">
      <formula>IF($AK9&gt;2,0,1)</formula>
    </cfRule>
  </conditionalFormatting>
  <conditionalFormatting sqref="B21:D21">
    <cfRule type="expression" dxfId="5023" priority="181" stopIfTrue="1">
      <formula>IF(AK8&gt;0,0,1)</formula>
    </cfRule>
  </conditionalFormatting>
  <conditionalFormatting sqref="E21:G21">
    <cfRule type="expression" dxfId="5022" priority="182" stopIfTrue="1">
      <formula>IF(AK8&gt;1,0,1)</formula>
    </cfRule>
  </conditionalFormatting>
  <conditionalFormatting sqref="H21:J21">
    <cfRule type="expression" dxfId="5021" priority="183" stopIfTrue="1">
      <formula>IF(AK8&gt;2,0,1)</formula>
    </cfRule>
  </conditionalFormatting>
  <conditionalFormatting sqref="K21:M21">
    <cfRule type="expression" dxfId="5020" priority="184" stopIfTrue="1">
      <formula>IF(AK8&gt;3,0,1)</formula>
    </cfRule>
  </conditionalFormatting>
  <conditionalFormatting sqref="N21:P21">
    <cfRule type="expression" dxfId="5019" priority="185" stopIfTrue="1">
      <formula>IF(AK8&gt;4,0,1)</formula>
    </cfRule>
  </conditionalFormatting>
  <conditionalFormatting sqref="Q21:S21">
    <cfRule type="expression" dxfId="5018" priority="186" stopIfTrue="1">
      <formula>IF(AK8&gt;5,0,1)</formula>
    </cfRule>
  </conditionalFormatting>
  <conditionalFormatting sqref="T21:V21">
    <cfRule type="expression" dxfId="5017" priority="187" stopIfTrue="1">
      <formula>IF(AK8&gt;6,0,1)</formula>
    </cfRule>
  </conditionalFormatting>
  <conditionalFormatting sqref="W21:Y21">
    <cfRule type="expression" dxfId="5016" priority="188" stopIfTrue="1">
      <formula>IF(AK8&gt;7,0,1)</formula>
    </cfRule>
  </conditionalFormatting>
  <conditionalFormatting sqref="Z21:AB21">
    <cfRule type="expression" dxfId="5015" priority="189" stopIfTrue="1">
      <formula>IF(AK8&gt;8,0,1)</formula>
    </cfRule>
  </conditionalFormatting>
  <conditionalFormatting sqref="AC21:AE21">
    <cfRule type="expression" dxfId="5014" priority="190" stopIfTrue="1">
      <formula>IF(AK8&gt;9,0,1)</formula>
    </cfRule>
  </conditionalFormatting>
  <conditionalFormatting sqref="X138:X139 W129:W130 X129:Y129 W132:Y137 Z133:AE136 AA137:AA139 I137:I139 F137:F139 B129:B130 C129:D129 B132:D137 C138:C139 E133:J136 AD137:AD139">
    <cfRule type="expression" dxfId="5013" priority="191" stopIfTrue="1">
      <formula>IF(#REF!&gt;0,0,1)</formula>
    </cfRule>
  </conditionalFormatting>
  <conditionalFormatting sqref="AA129:AB129 AB137 AA132:AB132 Z137 Z129:Z132 F129:G129 G137 F132:G132 E137 E129:E132 T140:AE147">
    <cfRule type="expression" dxfId="5012" priority="192" stopIfTrue="1">
      <formula>IF(#REF!&gt;1,0,1)</formula>
    </cfRule>
  </conditionalFormatting>
  <conditionalFormatting sqref="AC129:AC132 AD129:AE129 AE137 AD132:AE132 AC137 H137 H129:H132 I129:J129 I132:J132 J137">
    <cfRule type="expression" dxfId="5011" priority="193" stopIfTrue="1">
      <formula>IF(#REF!&gt;2,0,1)</formula>
    </cfRule>
  </conditionalFormatting>
  <conditionalFormatting sqref="W138 Y138 B138 D138">
    <cfRule type="expression" dxfId="5010" priority="194" stopIfTrue="1">
      <formula>IF(#REF!&lt;1,1,IF(#REF!&lt;2,1,0))</formula>
    </cfRule>
  </conditionalFormatting>
  <conditionalFormatting sqref="Z138 AB138 E138 G138">
    <cfRule type="expression" dxfId="5009" priority="195" stopIfTrue="1">
      <formula>IF(#REF!&lt;2,1,IF(#REF!&lt;2,1,0))</formula>
    </cfRule>
  </conditionalFormatting>
  <conditionalFormatting sqref="AC138 AE138 H138 J138">
    <cfRule type="expression" dxfId="5008" priority="196" stopIfTrue="1">
      <formula>IF(#REF!&lt;3,1,IF(#REF!&lt;2,1,0))</formula>
    </cfRule>
  </conditionalFormatting>
  <conditionalFormatting sqref="Y139 B139 D139 W139">
    <cfRule type="expression" dxfId="5007" priority="197" stopIfTrue="1">
      <formula>IF(#REF!&lt;1,1,IF(#REF!&lt;3,1,0))</formula>
    </cfRule>
  </conditionalFormatting>
  <conditionalFormatting sqref="AB139 E139 G139 Z139">
    <cfRule type="expression" dxfId="5006" priority="198" stopIfTrue="1">
      <formula>IF(#REF!&lt;2,1,IF(#REF!&lt;3,1,0))</formula>
    </cfRule>
  </conditionalFormatting>
  <conditionalFormatting sqref="AE139 H139 J139 AC139">
    <cfRule type="expression" dxfId="5005" priority="199" stopIfTrue="1">
      <formula>IF(#REF!&lt;3,1,IF(#REF!&lt;3,1,0))</formula>
    </cfRule>
  </conditionalFormatting>
  <conditionalFormatting sqref="AG24:AP28">
    <cfRule type="cellIs" dxfId="5004" priority="200" stopIfTrue="1" operator="notBetween">
      <formula>-9999</formula>
      <formula>9999</formula>
    </cfRule>
  </conditionalFormatting>
  <conditionalFormatting sqref="AC7">
    <cfRule type="expression" dxfId="5003" priority="201" stopIfTrue="1">
      <formula>IF($AK$11=0,1,0)</formula>
    </cfRule>
  </conditionalFormatting>
  <conditionalFormatting sqref="B18">
    <cfRule type="expression" dxfId="5002" priority="202" stopIfTrue="1">
      <formula>IF($AK$9&gt;0,0,1)</formula>
    </cfRule>
  </conditionalFormatting>
  <conditionalFormatting sqref="B22:D23">
    <cfRule type="cellIs" dxfId="5001" priority="203" stopIfTrue="1" operator="equal">
      <formula>99</formula>
    </cfRule>
  </conditionalFormatting>
  <conditionalFormatting sqref="C140 F140">
    <cfRule type="expression" dxfId="5000" priority="204" stopIfTrue="1">
      <formula>IF(#REF!&gt;0,0,1)</formula>
    </cfRule>
  </conditionalFormatting>
  <conditionalFormatting sqref="K129">
    <cfRule type="expression" dxfId="4999" priority="4" stopIfTrue="1">
      <formula>IF(#REF!&gt;2,0,1)</formula>
    </cfRule>
  </conditionalFormatting>
  <conditionalFormatting sqref="K129">
    <cfRule type="expression" dxfId="4998" priority="3" stopIfTrue="1">
      <formula>IF(#REF!&gt;2,0,1)</formula>
    </cfRule>
  </conditionalFormatting>
  <conditionalFormatting sqref="K129">
    <cfRule type="expression" dxfId="4997" priority="2" stopIfTrue="1">
      <formula>IF(#REF!&gt;2,0,1)</formula>
    </cfRule>
  </conditionalFormatting>
  <conditionalFormatting sqref="K129">
    <cfRule type="expression" dxfId="4996" priority="1" stopIfTrue="1">
      <formula>IF(ISNUMBER(K137),0,1)</formula>
    </cfRule>
  </conditionalFormatting>
  <pageMargins left="0.25" right="0.25" top="0.25" bottom="0.25" header="0" footer="0"/>
  <pageSetup scale="78" fitToHeight="2" orientation="landscape" r:id="rId1"/>
  <headerFooter alignWithMargins="0"/>
  <drawing r:id="rId2"/>
  <legacyDrawing r:id="rId3"/>
  <controls>
    <mc:AlternateContent xmlns:mc="http://schemas.openxmlformats.org/markup-compatibility/2006">
      <mc:Choice Requires="x14">
        <control shapeId="10241" r:id="rId4" name="Pool1RecalcFinish">
          <controlPr defaultSize="0" autoLine="0" r:id="rId5">
            <anchor moveWithCells="1" sizeWithCells="1">
              <from>
                <xdr:col>36</xdr:col>
                <xdr:colOff>104775</xdr:colOff>
                <xdr:row>13</xdr:row>
                <xdr:rowOff>9525</xdr:rowOff>
              </from>
              <to>
                <xdr:col>41</xdr:col>
                <xdr:colOff>228600</xdr:colOff>
                <xdr:row>16</xdr:row>
                <xdr:rowOff>104775</xdr:rowOff>
              </to>
            </anchor>
          </controlPr>
        </control>
      </mc:Choice>
      <mc:Fallback>
        <control shapeId="10241" r:id="rId4" name="Pool1RecalcFinish"/>
      </mc:Fallback>
    </mc:AlternateContent>
  </control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982"/>
  <sheetViews>
    <sheetView topLeftCell="E393" workbookViewId="0">
      <selection activeCell="H414" sqref="H414"/>
    </sheetView>
  </sheetViews>
  <sheetFormatPr defaultRowHeight="15" x14ac:dyDescent="0.25"/>
  <cols>
    <col min="1" max="1" width="7.140625" style="451" bestFit="1" customWidth="1"/>
    <col min="2" max="2" width="3" style="451" customWidth="1"/>
    <col min="3" max="3" width="3" style="451" bestFit="1" customWidth="1"/>
    <col min="4" max="4" width="5.28515625" style="451" bestFit="1" customWidth="1"/>
    <col min="5" max="5" width="4.42578125" style="451" bestFit="1" customWidth="1"/>
    <col min="6" max="6" width="4.85546875" style="451" bestFit="1" customWidth="1"/>
    <col min="7" max="7" width="13.85546875" style="451" bestFit="1" customWidth="1"/>
    <col min="8" max="8" width="34.85546875" style="451" bestFit="1" customWidth="1"/>
    <col min="9" max="9" width="27.140625" style="451" bestFit="1" customWidth="1"/>
    <col min="10" max="10" width="6.7109375" style="451" bestFit="1" customWidth="1"/>
    <col min="11" max="11" width="7.7109375" style="450" bestFit="1" customWidth="1"/>
    <col min="12" max="12" width="7.5703125" style="451" bestFit="1" customWidth="1"/>
    <col min="13" max="13" width="10" style="450" bestFit="1" customWidth="1"/>
    <col min="14" max="14" width="10" style="450" customWidth="1"/>
    <col min="15" max="16" width="8.7109375" style="451" bestFit="1" customWidth="1"/>
    <col min="17" max="19" width="9.7109375" style="451" bestFit="1" customWidth="1"/>
    <col min="20" max="20" width="8.7109375" style="451" bestFit="1" customWidth="1"/>
    <col min="21" max="23" width="9.7109375" style="451" bestFit="1" customWidth="1"/>
    <col min="24" max="24" width="8.7109375" style="451" bestFit="1" customWidth="1"/>
    <col min="25" max="28" width="9.7109375" style="451" bestFit="1" customWidth="1"/>
    <col min="29" max="29" width="8.7109375" style="451" bestFit="1" customWidth="1"/>
    <col min="30" max="33" width="9.140625" style="451"/>
    <col min="36" max="16384" width="9.140625" style="451"/>
  </cols>
  <sheetData>
    <row r="1" spans="1:35" s="447" customFormat="1" ht="30" x14ac:dyDescent="0.25">
      <c r="A1" s="444" t="s">
        <v>282</v>
      </c>
      <c r="B1" s="444"/>
      <c r="C1" s="444" t="s">
        <v>283</v>
      </c>
      <c r="D1" s="444" t="s">
        <v>284</v>
      </c>
      <c r="E1" s="444" t="s">
        <v>18</v>
      </c>
      <c r="F1" s="444" t="s">
        <v>285</v>
      </c>
      <c r="G1" s="444" t="s">
        <v>286</v>
      </c>
      <c r="H1" s="444" t="s">
        <v>287</v>
      </c>
      <c r="I1" s="444" t="s">
        <v>10</v>
      </c>
      <c r="J1" s="444" t="s">
        <v>288</v>
      </c>
      <c r="K1" s="445" t="s">
        <v>289</v>
      </c>
      <c r="L1" s="444"/>
      <c r="M1" s="445" t="s">
        <v>110</v>
      </c>
      <c r="N1" s="445"/>
      <c r="O1" s="446" t="s">
        <v>290</v>
      </c>
      <c r="P1" s="446" t="s">
        <v>291</v>
      </c>
      <c r="Q1" s="446">
        <v>42383</v>
      </c>
      <c r="R1" s="446">
        <f>Q1+7</f>
        <v>42390</v>
      </c>
      <c r="S1" s="446">
        <f t="shared" ref="S1:AC1" si="0">R1+7</f>
        <v>42397</v>
      </c>
      <c r="T1" s="446">
        <f t="shared" si="0"/>
        <v>42404</v>
      </c>
      <c r="U1" s="446">
        <f t="shared" si="0"/>
        <v>42411</v>
      </c>
      <c r="V1" s="446">
        <f t="shared" si="0"/>
        <v>42418</v>
      </c>
      <c r="W1" s="446">
        <f t="shared" si="0"/>
        <v>42425</v>
      </c>
      <c r="X1" s="446">
        <f t="shared" si="0"/>
        <v>42432</v>
      </c>
      <c r="Y1" s="446">
        <f t="shared" si="0"/>
        <v>42439</v>
      </c>
      <c r="Z1" s="446">
        <f t="shared" si="0"/>
        <v>42446</v>
      </c>
      <c r="AA1" s="446">
        <f t="shared" si="0"/>
        <v>42453</v>
      </c>
      <c r="AB1" s="446">
        <f t="shared" si="0"/>
        <v>42460</v>
      </c>
      <c r="AC1" s="446">
        <f t="shared" si="0"/>
        <v>42467</v>
      </c>
      <c r="AH1"/>
      <c r="AI1"/>
    </row>
    <row r="2" spans="1:35" x14ac:dyDescent="0.25">
      <c r="A2" s="448">
        <v>3</v>
      </c>
      <c r="B2" s="448"/>
      <c r="C2" s="448">
        <f t="shared" ref="C2:C65" si="1">IF(E2=E1,C1+1,1)</f>
        <v>1</v>
      </c>
      <c r="D2" s="448">
        <f t="shared" ref="D2:D65" si="2">IF(M2=M1,D1,C2)</f>
        <v>1</v>
      </c>
      <c r="E2" s="448">
        <f t="shared" ref="E2:E65" si="3">10+VALUE(RIGHT(LEFT(G2,3),1))</f>
        <v>11</v>
      </c>
      <c r="F2" s="448" t="str">
        <f t="shared" ref="F2:F65" si="4">RIGHT(G2,2) &amp; IF(A2&lt;2,"x","")</f>
        <v>pm</v>
      </c>
      <c r="G2" s="448" t="s">
        <v>292</v>
      </c>
      <c r="H2" s="448" t="s">
        <v>293</v>
      </c>
      <c r="I2" s="448" t="s">
        <v>294</v>
      </c>
      <c r="J2" s="449" t="s">
        <v>21</v>
      </c>
      <c r="K2" s="450">
        <f t="shared" ref="K2:K65" si="5">LOOKUP(1E+100,M2:AC2)</f>
        <v>1420.2491124742737</v>
      </c>
      <c r="L2" s="448"/>
      <c r="M2" s="450">
        <v>1600</v>
      </c>
      <c r="O2" s="450">
        <v>1473.3153485871062</v>
      </c>
      <c r="P2" s="450"/>
      <c r="Q2" s="450"/>
      <c r="R2" s="450"/>
      <c r="S2" s="450">
        <v>1420.2491124742737</v>
      </c>
      <c r="T2" s="450"/>
      <c r="U2" s="450"/>
      <c r="V2" s="450"/>
      <c r="W2" s="450"/>
      <c r="X2" s="450"/>
      <c r="Y2" s="450"/>
      <c r="Z2" s="450"/>
      <c r="AA2" s="450"/>
      <c r="AB2" s="450"/>
      <c r="AC2" s="450"/>
      <c r="AD2" s="450"/>
      <c r="AE2" s="450"/>
      <c r="AF2" s="450"/>
      <c r="AG2" s="450"/>
    </row>
    <row r="3" spans="1:35" x14ac:dyDescent="0.25">
      <c r="A3" s="448">
        <v>3</v>
      </c>
      <c r="B3" s="448"/>
      <c r="C3" s="448">
        <f t="shared" si="1"/>
        <v>2</v>
      </c>
      <c r="D3" s="448">
        <f t="shared" si="2"/>
        <v>2</v>
      </c>
      <c r="E3" s="448">
        <f t="shared" si="3"/>
        <v>11</v>
      </c>
      <c r="F3" s="448" t="str">
        <f t="shared" si="4"/>
        <v>pm</v>
      </c>
      <c r="G3" s="448" t="s">
        <v>295</v>
      </c>
      <c r="H3" s="448" t="s">
        <v>296</v>
      </c>
      <c r="I3" s="448" t="s">
        <v>297</v>
      </c>
      <c r="J3" s="449" t="s">
        <v>20</v>
      </c>
      <c r="K3" s="450">
        <f t="shared" si="5"/>
        <v>1414.1860693632427</v>
      </c>
      <c r="L3" s="448"/>
      <c r="M3" s="450">
        <v>1400</v>
      </c>
      <c r="O3" s="450"/>
      <c r="P3" s="450"/>
      <c r="Q3" s="450"/>
      <c r="R3" s="450">
        <v>1414.1860693632427</v>
      </c>
      <c r="S3" s="450"/>
      <c r="T3" s="450"/>
      <c r="U3" s="450"/>
      <c r="V3" s="450"/>
      <c r="W3" s="450"/>
      <c r="X3" s="450"/>
      <c r="Y3" s="450"/>
      <c r="Z3" s="450"/>
      <c r="AA3" s="450"/>
      <c r="AB3" s="450"/>
      <c r="AC3" s="450"/>
      <c r="AD3" s="450"/>
      <c r="AE3" s="450"/>
      <c r="AF3" s="450"/>
      <c r="AG3" s="450"/>
    </row>
    <row r="4" spans="1:35" x14ac:dyDescent="0.25">
      <c r="A4" s="448">
        <v>5</v>
      </c>
      <c r="B4" s="448"/>
      <c r="C4" s="448">
        <f t="shared" si="1"/>
        <v>3</v>
      </c>
      <c r="D4" s="448">
        <f t="shared" si="2"/>
        <v>3</v>
      </c>
      <c r="E4" s="448">
        <f t="shared" si="3"/>
        <v>11</v>
      </c>
      <c r="F4" s="448" t="str">
        <f t="shared" si="4"/>
        <v>pm</v>
      </c>
      <c r="G4" s="448" t="s">
        <v>298</v>
      </c>
      <c r="H4" s="448" t="s">
        <v>299</v>
      </c>
      <c r="I4" s="448" t="s">
        <v>300</v>
      </c>
      <c r="J4" s="449" t="s">
        <v>301</v>
      </c>
      <c r="K4" s="450">
        <f t="shared" si="5"/>
        <v>1295.1387328963617</v>
      </c>
      <c r="L4" s="448"/>
      <c r="M4" s="450">
        <v>1200</v>
      </c>
      <c r="O4" s="450"/>
      <c r="P4" s="450"/>
      <c r="Q4" s="450"/>
      <c r="R4" s="450">
        <v>1217.5505615019474</v>
      </c>
      <c r="S4" s="450"/>
      <c r="T4" s="450">
        <v>1216.2682939252052</v>
      </c>
      <c r="U4" s="450"/>
      <c r="V4" s="450">
        <v>1295.1387328963617</v>
      </c>
      <c r="W4" s="450"/>
      <c r="X4" s="450"/>
      <c r="Y4" s="450"/>
      <c r="Z4" s="450"/>
      <c r="AA4" s="450"/>
      <c r="AB4" s="450"/>
      <c r="AC4" s="450"/>
      <c r="AD4" s="450"/>
      <c r="AE4" s="450"/>
      <c r="AF4" s="450"/>
      <c r="AG4" s="450"/>
    </row>
    <row r="5" spans="1:35" x14ac:dyDescent="0.25">
      <c r="A5" s="448">
        <v>2</v>
      </c>
      <c r="B5" s="448"/>
      <c r="C5" s="448">
        <f t="shared" si="1"/>
        <v>1</v>
      </c>
      <c r="D5" s="448">
        <f t="shared" si="2"/>
        <v>1</v>
      </c>
      <c r="E5" s="448">
        <f t="shared" si="3"/>
        <v>12</v>
      </c>
      <c r="F5" s="448" t="str">
        <f t="shared" si="4"/>
        <v>pm</v>
      </c>
      <c r="G5" s="448" t="s">
        <v>302</v>
      </c>
      <c r="H5" s="448" t="s">
        <v>303</v>
      </c>
      <c r="I5" s="448" t="s">
        <v>304</v>
      </c>
      <c r="J5" s="449" t="s">
        <v>21</v>
      </c>
      <c r="K5" s="450">
        <f t="shared" si="5"/>
        <v>1608.4927494249498</v>
      </c>
      <c r="L5" s="448"/>
      <c r="M5" s="450">
        <v>1600</v>
      </c>
      <c r="O5" s="450">
        <v>1588.0546571711616</v>
      </c>
      <c r="P5" s="450"/>
      <c r="Q5" s="450"/>
      <c r="R5" s="450"/>
      <c r="S5" s="450"/>
      <c r="T5" s="450"/>
      <c r="U5" s="450">
        <v>1608.4927494249498</v>
      </c>
      <c r="V5" s="450"/>
      <c r="W5" s="450"/>
      <c r="X5" s="450"/>
      <c r="Y5" s="450"/>
      <c r="Z5" s="450"/>
      <c r="AA5" s="450"/>
      <c r="AB5" s="450"/>
      <c r="AC5" s="450"/>
      <c r="AD5" s="450"/>
      <c r="AE5" s="450"/>
      <c r="AF5" s="450"/>
      <c r="AG5" s="450"/>
    </row>
    <row r="6" spans="1:35" x14ac:dyDescent="0.25">
      <c r="A6" s="448">
        <v>4</v>
      </c>
      <c r="B6" s="448"/>
      <c r="C6" s="448">
        <f t="shared" si="1"/>
        <v>2</v>
      </c>
      <c r="D6" s="448">
        <f t="shared" si="2"/>
        <v>1</v>
      </c>
      <c r="E6" s="448">
        <f t="shared" si="3"/>
        <v>12</v>
      </c>
      <c r="F6" s="448" t="str">
        <f t="shared" si="4"/>
        <v>pm</v>
      </c>
      <c r="G6" s="448" t="s">
        <v>305</v>
      </c>
      <c r="H6" s="448" t="s">
        <v>306</v>
      </c>
      <c r="I6" s="448" t="s">
        <v>307</v>
      </c>
      <c r="J6" s="449" t="s">
        <v>21</v>
      </c>
      <c r="K6" s="450">
        <f t="shared" si="5"/>
        <v>1599.5723816566881</v>
      </c>
      <c r="L6" s="448"/>
      <c r="M6" s="450">
        <v>1600</v>
      </c>
      <c r="O6" s="450"/>
      <c r="P6" s="450"/>
      <c r="Q6" s="450"/>
      <c r="R6" s="450"/>
      <c r="S6" s="450"/>
      <c r="T6" s="450"/>
      <c r="U6" s="450">
        <v>1599.5723816566881</v>
      </c>
      <c r="V6" s="450"/>
      <c r="W6" s="450"/>
      <c r="X6" s="450"/>
      <c r="Y6" s="450"/>
      <c r="Z6" s="450"/>
      <c r="AA6" s="450"/>
      <c r="AB6" s="450"/>
      <c r="AC6" s="450"/>
      <c r="AD6" s="450"/>
      <c r="AE6" s="450"/>
      <c r="AF6" s="450"/>
      <c r="AG6" s="450"/>
    </row>
    <row r="7" spans="1:35" x14ac:dyDescent="0.25">
      <c r="A7" s="448">
        <v>7</v>
      </c>
      <c r="B7" s="448"/>
      <c r="C7" s="448">
        <f t="shared" si="1"/>
        <v>3</v>
      </c>
      <c r="D7" s="448">
        <f t="shared" si="2"/>
        <v>1</v>
      </c>
      <c r="E7" s="448">
        <f t="shared" si="3"/>
        <v>12</v>
      </c>
      <c r="F7" s="448" t="str">
        <f t="shared" si="4"/>
        <v>pm</v>
      </c>
      <c r="G7" s="448" t="s">
        <v>308</v>
      </c>
      <c r="H7" s="448" t="s">
        <v>309</v>
      </c>
      <c r="I7" s="448" t="s">
        <v>310</v>
      </c>
      <c r="J7" s="449" t="s">
        <v>21</v>
      </c>
      <c r="K7" s="450">
        <f t="shared" si="5"/>
        <v>1765.8607290603154</v>
      </c>
      <c r="L7" s="448"/>
      <c r="M7" s="450">
        <v>1600</v>
      </c>
      <c r="O7" s="450">
        <v>1636.9148649131555</v>
      </c>
      <c r="P7" s="450"/>
      <c r="Q7" s="450">
        <v>1746.8509792457253</v>
      </c>
      <c r="R7" s="450"/>
      <c r="S7" s="450">
        <v>1730.1249302111369</v>
      </c>
      <c r="T7" s="450"/>
      <c r="U7" s="450">
        <v>1765.8607290603154</v>
      </c>
      <c r="V7" s="450"/>
      <c r="W7" s="450"/>
      <c r="X7" s="450"/>
      <c r="Y7" s="450"/>
      <c r="Z7" s="450"/>
      <c r="AA7" s="450"/>
      <c r="AB7" s="450"/>
      <c r="AC7" s="450"/>
      <c r="AD7" s="450"/>
      <c r="AE7" s="450"/>
      <c r="AF7" s="450"/>
      <c r="AG7" s="450"/>
    </row>
    <row r="8" spans="1:35" x14ac:dyDescent="0.25">
      <c r="A8" s="448">
        <v>2</v>
      </c>
      <c r="B8" s="448"/>
      <c r="C8" s="448">
        <f t="shared" si="1"/>
        <v>4</v>
      </c>
      <c r="D8" s="448">
        <f t="shared" si="2"/>
        <v>1</v>
      </c>
      <c r="E8" s="448">
        <f t="shared" si="3"/>
        <v>12</v>
      </c>
      <c r="F8" s="448" t="str">
        <f t="shared" si="4"/>
        <v>pm</v>
      </c>
      <c r="G8" s="448" t="s">
        <v>311</v>
      </c>
      <c r="H8" s="448" t="s">
        <v>293</v>
      </c>
      <c r="I8" s="448" t="s">
        <v>312</v>
      </c>
      <c r="J8" s="449" t="s">
        <v>21</v>
      </c>
      <c r="K8" s="450">
        <f t="shared" si="5"/>
        <v>1707.8006673986267</v>
      </c>
      <c r="L8" s="448"/>
      <c r="M8" s="450">
        <v>1600</v>
      </c>
      <c r="O8" s="450">
        <v>1707.8006673986267</v>
      </c>
      <c r="P8" s="450"/>
      <c r="Q8" s="450"/>
      <c r="R8" s="450"/>
      <c r="S8" s="450"/>
      <c r="T8" s="450"/>
      <c r="U8" s="450"/>
      <c r="V8" s="450"/>
      <c r="W8" s="450"/>
      <c r="X8" s="450"/>
      <c r="Y8" s="450"/>
      <c r="Z8" s="450"/>
      <c r="AA8" s="450"/>
      <c r="AB8" s="450"/>
      <c r="AC8" s="450"/>
      <c r="AD8" s="450"/>
      <c r="AE8" s="450"/>
      <c r="AF8" s="450"/>
      <c r="AG8" s="450"/>
    </row>
    <row r="9" spans="1:35" x14ac:dyDescent="0.25">
      <c r="A9" s="448">
        <v>2</v>
      </c>
      <c r="B9" s="448"/>
      <c r="C9" s="448">
        <f t="shared" si="1"/>
        <v>5</v>
      </c>
      <c r="D9" s="448">
        <f t="shared" si="2"/>
        <v>1</v>
      </c>
      <c r="E9" s="448">
        <f t="shared" si="3"/>
        <v>12</v>
      </c>
      <c r="F9" s="448" t="str">
        <f t="shared" si="4"/>
        <v>pm</v>
      </c>
      <c r="G9" s="448" t="s">
        <v>313</v>
      </c>
      <c r="H9" s="448" t="s">
        <v>293</v>
      </c>
      <c r="I9" s="448" t="s">
        <v>314</v>
      </c>
      <c r="J9" s="449" t="s">
        <v>21</v>
      </c>
      <c r="K9" s="450">
        <f t="shared" si="5"/>
        <v>1536.8245779108793</v>
      </c>
      <c r="L9" s="448"/>
      <c r="M9" s="450">
        <v>1600</v>
      </c>
      <c r="O9" s="450">
        <v>1536.8245779108793</v>
      </c>
      <c r="P9" s="450"/>
      <c r="Q9" s="450"/>
      <c r="R9" s="450"/>
      <c r="S9" s="450"/>
      <c r="T9" s="450"/>
      <c r="U9" s="450"/>
      <c r="V9" s="450"/>
      <c r="W9" s="450"/>
      <c r="X9" s="450"/>
      <c r="Y9" s="450"/>
      <c r="Z9" s="450"/>
      <c r="AA9" s="450"/>
      <c r="AB9" s="450"/>
      <c r="AC9" s="450"/>
      <c r="AD9" s="450"/>
      <c r="AE9" s="450"/>
      <c r="AF9" s="450"/>
      <c r="AG9" s="450"/>
    </row>
    <row r="10" spans="1:35" x14ac:dyDescent="0.25">
      <c r="A10" s="448">
        <v>2</v>
      </c>
      <c r="B10" s="448"/>
      <c r="C10" s="448">
        <f t="shared" si="1"/>
        <v>6</v>
      </c>
      <c r="D10" s="448">
        <f t="shared" si="2"/>
        <v>1</v>
      </c>
      <c r="E10" s="448">
        <f t="shared" si="3"/>
        <v>12</v>
      </c>
      <c r="F10" s="448" t="str">
        <f t="shared" si="4"/>
        <v>pm</v>
      </c>
      <c r="G10" s="448" t="s">
        <v>315</v>
      </c>
      <c r="H10" s="448" t="s">
        <v>316</v>
      </c>
      <c r="I10" s="448" t="s">
        <v>317</v>
      </c>
      <c r="J10" s="449" t="s">
        <v>21</v>
      </c>
      <c r="K10" s="450">
        <f t="shared" si="5"/>
        <v>1600</v>
      </c>
      <c r="L10" s="448"/>
      <c r="M10" s="450">
        <v>1600</v>
      </c>
      <c r="O10" s="450"/>
      <c r="P10" s="450"/>
      <c r="Q10" s="450"/>
      <c r="R10" s="450"/>
      <c r="S10" s="450"/>
      <c r="T10" s="450"/>
      <c r="U10" s="450"/>
      <c r="V10" s="450"/>
      <c r="W10" s="450"/>
      <c r="X10" s="450"/>
      <c r="Y10" s="450"/>
      <c r="Z10" s="450"/>
      <c r="AA10" s="450"/>
      <c r="AB10" s="450"/>
      <c r="AC10" s="450"/>
      <c r="AD10" s="450"/>
      <c r="AE10" s="450"/>
      <c r="AF10" s="450"/>
      <c r="AG10" s="450"/>
    </row>
    <row r="11" spans="1:35" x14ac:dyDescent="0.25">
      <c r="A11" s="448">
        <v>1</v>
      </c>
      <c r="B11" s="448"/>
      <c r="C11" s="448">
        <f t="shared" si="1"/>
        <v>7</v>
      </c>
      <c r="D11" s="448">
        <f t="shared" si="2"/>
        <v>1</v>
      </c>
      <c r="E11" s="448">
        <f t="shared" si="3"/>
        <v>12</v>
      </c>
      <c r="F11" s="448" t="str">
        <f t="shared" si="4"/>
        <v>pmx</v>
      </c>
      <c r="G11" s="448" t="s">
        <v>318</v>
      </c>
      <c r="H11" s="448" t="s">
        <v>319</v>
      </c>
      <c r="I11" s="448" t="s">
        <v>320</v>
      </c>
      <c r="J11" s="449" t="s">
        <v>21</v>
      </c>
      <c r="K11" s="450">
        <f t="shared" si="5"/>
        <v>1549.7575137856709</v>
      </c>
      <c r="L11" s="448"/>
      <c r="M11" s="450">
        <v>1600</v>
      </c>
      <c r="O11" s="450">
        <v>1549.7575137856709</v>
      </c>
      <c r="P11" s="450"/>
      <c r="Q11" s="450"/>
      <c r="R11" s="450"/>
      <c r="S11" s="450"/>
      <c r="T11" s="450"/>
      <c r="U11" s="450"/>
      <c r="V11" s="450"/>
      <c r="W11" s="450"/>
      <c r="X11" s="450"/>
      <c r="Y11" s="450"/>
      <c r="Z11" s="450"/>
      <c r="AA11" s="450"/>
      <c r="AB11" s="450"/>
      <c r="AC11" s="450"/>
      <c r="AD11" s="450"/>
      <c r="AE11" s="450"/>
      <c r="AF11" s="450"/>
      <c r="AG11" s="450"/>
    </row>
    <row r="12" spans="1:35" x14ac:dyDescent="0.25">
      <c r="A12" s="448"/>
      <c r="B12" s="448"/>
      <c r="C12" s="448">
        <f t="shared" si="1"/>
        <v>8</v>
      </c>
      <c r="D12" s="448">
        <f t="shared" si="2"/>
        <v>1</v>
      </c>
      <c r="E12" s="448">
        <f t="shared" si="3"/>
        <v>12</v>
      </c>
      <c r="F12" s="448" t="str">
        <f t="shared" si="4"/>
        <v>pmx</v>
      </c>
      <c r="G12" s="448" t="s">
        <v>318</v>
      </c>
      <c r="H12" s="448"/>
      <c r="I12" s="448" t="s">
        <v>321</v>
      </c>
      <c r="J12" s="449" t="s">
        <v>21</v>
      </c>
      <c r="K12" s="450">
        <f t="shared" si="5"/>
        <v>1600</v>
      </c>
      <c r="L12" s="448"/>
      <c r="M12" s="450">
        <v>1600</v>
      </c>
    </row>
    <row r="13" spans="1:35" x14ac:dyDescent="0.25">
      <c r="A13" s="448">
        <v>4</v>
      </c>
      <c r="B13" s="448"/>
      <c r="C13" s="448">
        <f t="shared" si="1"/>
        <v>9</v>
      </c>
      <c r="D13" s="448">
        <f t="shared" si="2"/>
        <v>9</v>
      </c>
      <c r="E13" s="448">
        <f t="shared" si="3"/>
        <v>12</v>
      </c>
      <c r="F13" s="448" t="str">
        <f t="shared" si="4"/>
        <v>pm</v>
      </c>
      <c r="G13" s="448" t="s">
        <v>322</v>
      </c>
      <c r="H13" s="448" t="s">
        <v>319</v>
      </c>
      <c r="I13" s="448" t="s">
        <v>323</v>
      </c>
      <c r="J13" s="449" t="s">
        <v>21</v>
      </c>
      <c r="K13" s="450">
        <f t="shared" si="5"/>
        <v>1706.1407986026627</v>
      </c>
      <c r="L13" s="448"/>
      <c r="M13" s="450">
        <v>1550</v>
      </c>
      <c r="O13" s="450">
        <v>1590.1567686677104</v>
      </c>
      <c r="P13" s="450"/>
      <c r="Q13" s="450"/>
      <c r="R13" s="450"/>
      <c r="S13" s="450">
        <v>1683.9371318599437</v>
      </c>
      <c r="T13" s="450">
        <v>1706.1407986026627</v>
      </c>
      <c r="U13" s="450"/>
      <c r="V13" s="450"/>
      <c r="W13" s="450"/>
      <c r="X13" s="450"/>
      <c r="Y13" s="450"/>
      <c r="Z13" s="450"/>
      <c r="AA13" s="450"/>
      <c r="AB13" s="450"/>
      <c r="AC13" s="450"/>
      <c r="AD13" s="450"/>
      <c r="AE13" s="450"/>
      <c r="AF13" s="450"/>
      <c r="AG13" s="450"/>
    </row>
    <row r="14" spans="1:35" x14ac:dyDescent="0.25">
      <c r="A14" s="448">
        <v>3</v>
      </c>
      <c r="B14" s="448"/>
      <c r="C14" s="448">
        <f t="shared" si="1"/>
        <v>10</v>
      </c>
      <c r="D14" s="448">
        <f t="shared" si="2"/>
        <v>10</v>
      </c>
      <c r="E14" s="448">
        <f t="shared" si="3"/>
        <v>12</v>
      </c>
      <c r="F14" s="448" t="str">
        <f t="shared" si="4"/>
        <v>pm</v>
      </c>
      <c r="G14" s="448" t="s">
        <v>324</v>
      </c>
      <c r="H14" s="448" t="s">
        <v>299</v>
      </c>
      <c r="I14" s="448" t="s">
        <v>325</v>
      </c>
      <c r="J14" s="449" t="s">
        <v>21</v>
      </c>
      <c r="K14" s="450">
        <f t="shared" si="5"/>
        <v>1601.107366554467</v>
      </c>
      <c r="L14" s="448"/>
      <c r="M14" s="450">
        <v>1533.3333333333333</v>
      </c>
      <c r="O14" s="450">
        <v>1601.107366554467</v>
      </c>
      <c r="P14" s="450"/>
      <c r="Q14" s="450"/>
      <c r="R14" s="450"/>
      <c r="S14" s="450"/>
      <c r="T14" s="450"/>
      <c r="U14" s="450"/>
      <c r="V14" s="450"/>
      <c r="W14" s="450"/>
      <c r="X14" s="450"/>
      <c r="Y14" s="450"/>
      <c r="Z14" s="450"/>
      <c r="AA14" s="450"/>
      <c r="AB14" s="450"/>
      <c r="AC14" s="450"/>
      <c r="AD14" s="450"/>
      <c r="AE14" s="450"/>
      <c r="AF14" s="450"/>
      <c r="AG14" s="450"/>
    </row>
    <row r="15" spans="1:35" x14ac:dyDescent="0.25">
      <c r="A15" s="448">
        <v>5</v>
      </c>
      <c r="B15" s="448"/>
      <c r="C15" s="448">
        <f t="shared" si="1"/>
        <v>11</v>
      </c>
      <c r="D15" s="448">
        <f t="shared" si="2"/>
        <v>11</v>
      </c>
      <c r="E15" s="448">
        <f t="shared" si="3"/>
        <v>12</v>
      </c>
      <c r="F15" s="448" t="str">
        <f t="shared" si="4"/>
        <v>pm</v>
      </c>
      <c r="G15" s="448" t="s">
        <v>326</v>
      </c>
      <c r="H15" s="448" t="s">
        <v>327</v>
      </c>
      <c r="I15" s="448" t="s">
        <v>328</v>
      </c>
      <c r="J15" s="449" t="s">
        <v>21</v>
      </c>
      <c r="K15" s="450">
        <f t="shared" si="5"/>
        <v>1449.5507700226187</v>
      </c>
      <c r="L15" s="448"/>
      <c r="M15" s="450">
        <v>1520</v>
      </c>
      <c r="O15" s="450">
        <v>1522.1891036154591</v>
      </c>
      <c r="P15" s="450"/>
      <c r="Q15" s="450"/>
      <c r="R15" s="450"/>
      <c r="S15" s="450">
        <v>1449.5507700226187</v>
      </c>
      <c r="T15" s="450"/>
      <c r="U15" s="450"/>
      <c r="V15" s="450"/>
      <c r="W15" s="450"/>
      <c r="X15" s="450"/>
      <c r="Y15" s="450"/>
      <c r="Z15" s="450"/>
      <c r="AA15" s="450"/>
      <c r="AB15" s="450"/>
      <c r="AC15" s="450"/>
      <c r="AD15" s="450"/>
      <c r="AE15" s="450"/>
      <c r="AF15" s="450"/>
      <c r="AG15" s="450"/>
    </row>
    <row r="16" spans="1:35" x14ac:dyDescent="0.25">
      <c r="A16" s="448">
        <v>4</v>
      </c>
      <c r="B16" s="448"/>
      <c r="C16" s="448">
        <f t="shared" si="1"/>
        <v>12</v>
      </c>
      <c r="D16" s="448">
        <f t="shared" si="2"/>
        <v>12</v>
      </c>
      <c r="E16" s="448">
        <f t="shared" si="3"/>
        <v>12</v>
      </c>
      <c r="F16" s="448" t="str">
        <f t="shared" si="4"/>
        <v>pm</v>
      </c>
      <c r="G16" s="448" t="s">
        <v>329</v>
      </c>
      <c r="H16" s="448" t="s">
        <v>330</v>
      </c>
      <c r="I16" s="448" t="s">
        <v>331</v>
      </c>
      <c r="J16" s="449" t="s">
        <v>21</v>
      </c>
      <c r="K16" s="450">
        <f t="shared" si="5"/>
        <v>1579.837673206011</v>
      </c>
      <c r="L16" s="448"/>
      <c r="M16" s="450">
        <v>1500</v>
      </c>
      <c r="O16" s="450"/>
      <c r="P16" s="450">
        <v>1529.0989384029981</v>
      </c>
      <c r="Q16" s="450"/>
      <c r="R16" s="450">
        <v>1587.0203486316693</v>
      </c>
      <c r="S16" s="450">
        <v>1579.837673206011</v>
      </c>
      <c r="T16" s="450"/>
      <c r="U16" s="450"/>
      <c r="V16" s="450"/>
      <c r="W16" s="450"/>
      <c r="X16" s="450"/>
      <c r="Y16" s="450"/>
      <c r="Z16" s="450"/>
      <c r="AA16" s="450"/>
      <c r="AB16" s="450"/>
      <c r="AC16" s="450"/>
      <c r="AD16" s="450"/>
      <c r="AE16" s="450"/>
      <c r="AF16" s="450"/>
      <c r="AG16" s="450"/>
    </row>
    <row r="17" spans="1:35" s="450" customFormat="1" x14ac:dyDescent="0.25">
      <c r="A17" s="448">
        <v>4</v>
      </c>
      <c r="B17" s="448"/>
      <c r="C17" s="448">
        <f t="shared" si="1"/>
        <v>13</v>
      </c>
      <c r="D17" s="448">
        <f t="shared" si="2"/>
        <v>12</v>
      </c>
      <c r="E17" s="448">
        <f t="shared" si="3"/>
        <v>12</v>
      </c>
      <c r="F17" s="448" t="str">
        <f t="shared" si="4"/>
        <v>pm</v>
      </c>
      <c r="G17" s="448" t="s">
        <v>332</v>
      </c>
      <c r="H17" s="448" t="s">
        <v>319</v>
      </c>
      <c r="I17" s="448" t="s">
        <v>333</v>
      </c>
      <c r="J17" s="449" t="s">
        <v>21</v>
      </c>
      <c r="K17" s="450">
        <f t="shared" si="5"/>
        <v>1445.0590104301564</v>
      </c>
      <c r="L17" s="448"/>
      <c r="M17" s="450">
        <v>1500</v>
      </c>
      <c r="O17" s="450">
        <v>1497.2124647290968</v>
      </c>
      <c r="S17" s="450">
        <v>1545.8627202771247</v>
      </c>
      <c r="T17" s="450">
        <v>1445.0590104301564</v>
      </c>
      <c r="AH17"/>
      <c r="AI17"/>
    </row>
    <row r="18" spans="1:35" s="450" customFormat="1" x14ac:dyDescent="0.25">
      <c r="A18" s="448">
        <v>2</v>
      </c>
      <c r="B18" s="448"/>
      <c r="C18" s="448">
        <f t="shared" si="1"/>
        <v>14</v>
      </c>
      <c r="D18" s="448">
        <f t="shared" si="2"/>
        <v>12</v>
      </c>
      <c r="E18" s="448">
        <f t="shared" si="3"/>
        <v>12</v>
      </c>
      <c r="F18" s="448" t="str">
        <f t="shared" si="4"/>
        <v>pm</v>
      </c>
      <c r="G18" s="448" t="s">
        <v>334</v>
      </c>
      <c r="H18" s="448" t="s">
        <v>335</v>
      </c>
      <c r="I18" s="448" t="s">
        <v>336</v>
      </c>
      <c r="J18" s="449" t="s">
        <v>21</v>
      </c>
      <c r="K18" s="450">
        <f t="shared" si="5"/>
        <v>1495.1518906606425</v>
      </c>
      <c r="L18" s="448"/>
      <c r="M18" s="450">
        <v>1500</v>
      </c>
      <c r="R18" s="450">
        <v>1495.1518906606425</v>
      </c>
      <c r="AH18"/>
      <c r="AI18"/>
    </row>
    <row r="19" spans="1:35" s="450" customFormat="1" x14ac:dyDescent="0.25">
      <c r="A19" s="448">
        <v>6</v>
      </c>
      <c r="B19" s="448"/>
      <c r="C19" s="448">
        <f t="shared" si="1"/>
        <v>15</v>
      </c>
      <c r="D19" s="448">
        <f t="shared" si="2"/>
        <v>15</v>
      </c>
      <c r="E19" s="448">
        <f t="shared" si="3"/>
        <v>12</v>
      </c>
      <c r="F19" s="448" t="str">
        <f t="shared" si="4"/>
        <v>pm</v>
      </c>
      <c r="G19" s="448" t="s">
        <v>337</v>
      </c>
      <c r="H19" s="448" t="s">
        <v>338</v>
      </c>
      <c r="I19" s="448" t="s">
        <v>339</v>
      </c>
      <c r="J19" s="449" t="s">
        <v>20</v>
      </c>
      <c r="K19" s="450">
        <f t="shared" si="5"/>
        <v>1425.664964424519</v>
      </c>
      <c r="L19" s="448"/>
      <c r="M19" s="450">
        <v>1466.6666666666667</v>
      </c>
      <c r="R19" s="450">
        <v>1393.502057373001</v>
      </c>
      <c r="T19" s="450">
        <v>1425.664964424519</v>
      </c>
      <c r="AH19"/>
      <c r="AI19"/>
    </row>
    <row r="20" spans="1:35" s="450" customFormat="1" x14ac:dyDescent="0.25">
      <c r="A20" s="448">
        <v>4</v>
      </c>
      <c r="B20" s="448"/>
      <c r="C20" s="448">
        <f t="shared" si="1"/>
        <v>16</v>
      </c>
      <c r="D20" s="448">
        <f t="shared" si="2"/>
        <v>16</v>
      </c>
      <c r="E20" s="448">
        <f t="shared" si="3"/>
        <v>12</v>
      </c>
      <c r="F20" s="448" t="str">
        <f t="shared" si="4"/>
        <v>pm</v>
      </c>
      <c r="G20" s="448" t="s">
        <v>340</v>
      </c>
      <c r="H20" s="448" t="s">
        <v>341</v>
      </c>
      <c r="I20" s="448" t="s">
        <v>342</v>
      </c>
      <c r="J20" s="449" t="s">
        <v>20</v>
      </c>
      <c r="K20" s="450">
        <f t="shared" si="5"/>
        <v>1305.2213636020242</v>
      </c>
      <c r="L20" s="448"/>
      <c r="M20" s="450">
        <v>1450</v>
      </c>
      <c r="Q20" s="450">
        <v>1426.4507672949526</v>
      </c>
      <c r="T20" s="450">
        <v>1354.9820024523272</v>
      </c>
      <c r="V20" s="450">
        <v>1305.2213636020242</v>
      </c>
      <c r="AH20"/>
      <c r="AI20"/>
    </row>
    <row r="21" spans="1:35" s="450" customFormat="1" x14ac:dyDescent="0.25">
      <c r="A21" s="448">
        <v>3</v>
      </c>
      <c r="B21" s="448"/>
      <c r="C21" s="448">
        <f t="shared" si="1"/>
        <v>17</v>
      </c>
      <c r="D21" s="448">
        <f t="shared" si="2"/>
        <v>17</v>
      </c>
      <c r="E21" s="448">
        <f t="shared" si="3"/>
        <v>12</v>
      </c>
      <c r="F21" s="448" t="str">
        <f t="shared" si="4"/>
        <v>pm</v>
      </c>
      <c r="G21" s="448" t="s">
        <v>343</v>
      </c>
      <c r="H21" s="448" t="s">
        <v>296</v>
      </c>
      <c r="I21" s="448" t="s">
        <v>344</v>
      </c>
      <c r="J21" s="449" t="s">
        <v>20</v>
      </c>
      <c r="K21" s="450">
        <f t="shared" si="5"/>
        <v>1441.797756397913</v>
      </c>
      <c r="L21" s="448"/>
      <c r="M21" s="450">
        <v>1400</v>
      </c>
      <c r="P21" s="450">
        <v>1354.5958072424739</v>
      </c>
      <c r="R21" s="450">
        <v>1441.797756397913</v>
      </c>
      <c r="AH21"/>
      <c r="AI21"/>
    </row>
    <row r="22" spans="1:35" s="450" customFormat="1" x14ac:dyDescent="0.25">
      <c r="A22" s="448">
        <v>3</v>
      </c>
      <c r="B22" s="448"/>
      <c r="C22" s="448">
        <f t="shared" si="1"/>
        <v>18</v>
      </c>
      <c r="D22" s="448">
        <f t="shared" si="2"/>
        <v>17</v>
      </c>
      <c r="E22" s="448">
        <f t="shared" si="3"/>
        <v>12</v>
      </c>
      <c r="F22" s="448" t="str">
        <f t="shared" si="4"/>
        <v>pm</v>
      </c>
      <c r="G22" s="448" t="s">
        <v>345</v>
      </c>
      <c r="H22" s="448" t="s">
        <v>296</v>
      </c>
      <c r="I22" s="448" t="s">
        <v>346</v>
      </c>
      <c r="J22" s="449" t="s">
        <v>20</v>
      </c>
      <c r="K22" s="450">
        <f t="shared" si="5"/>
        <v>1396.2512544527322</v>
      </c>
      <c r="L22" s="448"/>
      <c r="M22" s="450">
        <v>1400</v>
      </c>
      <c r="R22" s="450">
        <v>1396.2512544527322</v>
      </c>
      <c r="AH22"/>
      <c r="AI22"/>
    </row>
    <row r="23" spans="1:35" s="450" customFormat="1" x14ac:dyDescent="0.25">
      <c r="A23" s="448">
        <v>3</v>
      </c>
      <c r="B23" s="448"/>
      <c r="C23" s="448">
        <f t="shared" si="1"/>
        <v>19</v>
      </c>
      <c r="D23" s="448">
        <f t="shared" si="2"/>
        <v>17</v>
      </c>
      <c r="E23" s="448">
        <f t="shared" si="3"/>
        <v>12</v>
      </c>
      <c r="F23" s="448" t="str">
        <f t="shared" si="4"/>
        <v>pm</v>
      </c>
      <c r="G23" s="448" t="s">
        <v>347</v>
      </c>
      <c r="H23" s="448" t="s">
        <v>296</v>
      </c>
      <c r="I23" s="448" t="s">
        <v>348</v>
      </c>
      <c r="J23" s="449" t="s">
        <v>20</v>
      </c>
      <c r="K23" s="450">
        <f t="shared" si="5"/>
        <v>1441.0927735916528</v>
      </c>
      <c r="L23" s="448"/>
      <c r="M23" s="450">
        <v>1400</v>
      </c>
      <c r="R23" s="450">
        <v>1441.0927735916528</v>
      </c>
      <c r="AH23"/>
      <c r="AI23"/>
    </row>
    <row r="24" spans="1:35" s="450" customFormat="1" x14ac:dyDescent="0.25">
      <c r="A24" s="448">
        <v>4</v>
      </c>
      <c r="B24" s="448"/>
      <c r="C24" s="448">
        <f t="shared" si="1"/>
        <v>20</v>
      </c>
      <c r="D24" s="448">
        <f t="shared" si="2"/>
        <v>17</v>
      </c>
      <c r="E24" s="448">
        <f t="shared" si="3"/>
        <v>12</v>
      </c>
      <c r="F24" s="448" t="str">
        <f t="shared" si="4"/>
        <v>pm</v>
      </c>
      <c r="G24" s="448" t="s">
        <v>349</v>
      </c>
      <c r="H24" s="448" t="s">
        <v>350</v>
      </c>
      <c r="I24" s="448" t="s">
        <v>351</v>
      </c>
      <c r="J24" s="449" t="s">
        <v>20</v>
      </c>
      <c r="K24" s="450">
        <f t="shared" si="5"/>
        <v>1463.1894432027352</v>
      </c>
      <c r="L24" s="448"/>
      <c r="M24" s="450">
        <v>1400</v>
      </c>
      <c r="R24" s="450">
        <v>1400.1815869502536</v>
      </c>
      <c r="T24" s="450">
        <v>1498.9080818919695</v>
      </c>
      <c r="V24" s="450">
        <v>1463.1894432027352</v>
      </c>
      <c r="AH24"/>
      <c r="AI24"/>
    </row>
    <row r="25" spans="1:35" s="450" customFormat="1" x14ac:dyDescent="0.25">
      <c r="A25" s="448">
        <v>6</v>
      </c>
      <c r="B25" s="448"/>
      <c r="C25" s="448">
        <f t="shared" si="1"/>
        <v>21</v>
      </c>
      <c r="D25" s="448">
        <f t="shared" si="2"/>
        <v>17</v>
      </c>
      <c r="E25" s="448">
        <f t="shared" si="3"/>
        <v>12</v>
      </c>
      <c r="F25" s="448" t="str">
        <f t="shared" si="4"/>
        <v>pm</v>
      </c>
      <c r="G25" s="448" t="s">
        <v>352</v>
      </c>
      <c r="H25" s="448" t="s">
        <v>353</v>
      </c>
      <c r="I25" s="448" t="s">
        <v>354</v>
      </c>
      <c r="J25" s="449" t="s">
        <v>20</v>
      </c>
      <c r="K25" s="450">
        <f t="shared" si="5"/>
        <v>1537.7382146778934</v>
      </c>
      <c r="L25" s="448"/>
      <c r="M25" s="450">
        <v>1400</v>
      </c>
      <c r="R25" s="450">
        <v>1417.7394943703641</v>
      </c>
      <c r="T25" s="450">
        <v>1516.8809749614643</v>
      </c>
      <c r="V25" s="450">
        <v>1537.7382146778934</v>
      </c>
      <c r="AH25"/>
      <c r="AI25"/>
    </row>
    <row r="26" spans="1:35" s="450" customFormat="1" x14ac:dyDescent="0.25">
      <c r="A26" s="448">
        <v>6</v>
      </c>
      <c r="B26" s="448"/>
      <c r="C26" s="448">
        <f t="shared" si="1"/>
        <v>22</v>
      </c>
      <c r="D26" s="448">
        <f t="shared" si="2"/>
        <v>17</v>
      </c>
      <c r="E26" s="448">
        <f t="shared" si="3"/>
        <v>12</v>
      </c>
      <c r="F26" s="448" t="str">
        <f t="shared" si="4"/>
        <v>pm</v>
      </c>
      <c r="G26" s="448" t="s">
        <v>355</v>
      </c>
      <c r="H26" s="448" t="s">
        <v>353</v>
      </c>
      <c r="I26" s="448" t="s">
        <v>356</v>
      </c>
      <c r="J26" s="449" t="s">
        <v>20</v>
      </c>
      <c r="K26" s="450">
        <f t="shared" si="5"/>
        <v>1279.6658022562799</v>
      </c>
      <c r="L26" s="448"/>
      <c r="M26" s="450">
        <v>1400</v>
      </c>
      <c r="R26" s="450">
        <v>1373.7743082657332</v>
      </c>
      <c r="T26" s="450">
        <v>1288.8770288740386</v>
      </c>
      <c r="V26" s="450">
        <v>1279.6658022562799</v>
      </c>
      <c r="AH26"/>
      <c r="AI26"/>
    </row>
    <row r="27" spans="1:35" s="450" customFormat="1" x14ac:dyDescent="0.25">
      <c r="A27" s="448">
        <v>6</v>
      </c>
      <c r="B27" s="448"/>
      <c r="C27" s="448">
        <f t="shared" si="1"/>
        <v>23</v>
      </c>
      <c r="D27" s="448">
        <f t="shared" si="2"/>
        <v>17</v>
      </c>
      <c r="E27" s="448">
        <f t="shared" si="3"/>
        <v>12</v>
      </c>
      <c r="F27" s="448" t="str">
        <f t="shared" si="4"/>
        <v>pm</v>
      </c>
      <c r="G27" s="448" t="s">
        <v>357</v>
      </c>
      <c r="H27" s="448" t="s">
        <v>358</v>
      </c>
      <c r="I27" s="448" t="s">
        <v>359</v>
      </c>
      <c r="J27" s="449" t="s">
        <v>20</v>
      </c>
      <c r="K27" s="450">
        <f t="shared" si="5"/>
        <v>1474.4556011761406</v>
      </c>
      <c r="L27" s="448"/>
      <c r="M27" s="450">
        <v>1400</v>
      </c>
      <c r="R27" s="450">
        <v>1375.6647897871101</v>
      </c>
      <c r="T27" s="450">
        <v>1421.4642724843534</v>
      </c>
      <c r="V27" s="450">
        <v>1474.4556011761406</v>
      </c>
      <c r="AH27"/>
      <c r="AI27"/>
    </row>
    <row r="28" spans="1:35" s="450" customFormat="1" x14ac:dyDescent="0.25">
      <c r="A28" s="448">
        <v>6</v>
      </c>
      <c r="B28" s="448"/>
      <c r="C28" s="448">
        <f t="shared" si="1"/>
        <v>24</v>
      </c>
      <c r="D28" s="448">
        <f t="shared" si="2"/>
        <v>17</v>
      </c>
      <c r="E28" s="448">
        <f t="shared" si="3"/>
        <v>12</v>
      </c>
      <c r="F28" s="448" t="str">
        <f t="shared" si="4"/>
        <v>pm</v>
      </c>
      <c r="G28" s="448" t="s">
        <v>360</v>
      </c>
      <c r="H28" s="448" t="s">
        <v>358</v>
      </c>
      <c r="I28" s="448" t="s">
        <v>361</v>
      </c>
      <c r="J28" s="449" t="s">
        <v>20</v>
      </c>
      <c r="K28" s="450">
        <f t="shared" si="5"/>
        <v>1341.5862543706771</v>
      </c>
      <c r="L28" s="448"/>
      <c r="M28" s="450">
        <v>1400</v>
      </c>
      <c r="R28" s="450">
        <v>1418.8311236422678</v>
      </c>
      <c r="T28" s="450">
        <v>1400.8863763371542</v>
      </c>
      <c r="V28" s="450">
        <v>1341.5862543706771</v>
      </c>
      <c r="AH28"/>
      <c r="AI28"/>
    </row>
    <row r="29" spans="1:35" s="450" customFormat="1" x14ac:dyDescent="0.25">
      <c r="A29" s="448">
        <v>4</v>
      </c>
      <c r="B29" s="448"/>
      <c r="C29" s="448">
        <f t="shared" si="1"/>
        <v>25</v>
      </c>
      <c r="D29" s="448">
        <f t="shared" si="2"/>
        <v>17</v>
      </c>
      <c r="E29" s="448">
        <f t="shared" si="3"/>
        <v>12</v>
      </c>
      <c r="F29" s="448" t="str">
        <f t="shared" si="4"/>
        <v>pm</v>
      </c>
      <c r="G29" s="448" t="s">
        <v>362</v>
      </c>
      <c r="H29" s="448" t="s">
        <v>299</v>
      </c>
      <c r="I29" s="448" t="s">
        <v>363</v>
      </c>
      <c r="J29" s="449" t="s">
        <v>20</v>
      </c>
      <c r="K29" s="450">
        <f t="shared" si="5"/>
        <v>1367.9021761426804</v>
      </c>
      <c r="L29" s="448"/>
      <c r="M29" s="450">
        <v>1400</v>
      </c>
      <c r="P29" s="450">
        <v>1375.0523383535012</v>
      </c>
      <c r="R29" s="450">
        <v>1318.2541648485399</v>
      </c>
      <c r="V29" s="450">
        <v>1367.9021761426804</v>
      </c>
      <c r="AH29"/>
      <c r="AI29"/>
    </row>
    <row r="30" spans="1:35" s="450" customFormat="1" x14ac:dyDescent="0.25">
      <c r="A30" s="448">
        <v>4</v>
      </c>
      <c r="B30" s="448"/>
      <c r="C30" s="448">
        <f t="shared" si="1"/>
        <v>26</v>
      </c>
      <c r="D30" s="448">
        <f t="shared" si="2"/>
        <v>17</v>
      </c>
      <c r="E30" s="448">
        <f t="shared" si="3"/>
        <v>12</v>
      </c>
      <c r="F30" s="448" t="str">
        <f t="shared" si="4"/>
        <v>pm</v>
      </c>
      <c r="G30" s="448" t="s">
        <v>364</v>
      </c>
      <c r="H30" s="448" t="s">
        <v>365</v>
      </c>
      <c r="I30" s="448" t="s">
        <v>366</v>
      </c>
      <c r="J30" s="449" t="s">
        <v>20</v>
      </c>
      <c r="K30" s="450">
        <f t="shared" si="5"/>
        <v>1497.1340685933187</v>
      </c>
      <c r="L30" s="448"/>
      <c r="M30" s="450">
        <v>1400</v>
      </c>
      <c r="P30" s="450">
        <v>1437.3487614330793</v>
      </c>
      <c r="R30" s="450">
        <v>1497.5998860297041</v>
      </c>
      <c r="V30" s="450">
        <v>1497.1340685933187</v>
      </c>
      <c r="AH30"/>
      <c r="AI30"/>
    </row>
    <row r="31" spans="1:35" s="450" customFormat="1" x14ac:dyDescent="0.25">
      <c r="A31" s="448">
        <v>3</v>
      </c>
      <c r="B31" s="448"/>
      <c r="C31" s="448">
        <f t="shared" si="1"/>
        <v>27</v>
      </c>
      <c r="D31" s="448">
        <f t="shared" si="2"/>
        <v>17</v>
      </c>
      <c r="E31" s="448">
        <f t="shared" si="3"/>
        <v>12</v>
      </c>
      <c r="F31" s="448" t="str">
        <f t="shared" si="4"/>
        <v>pm</v>
      </c>
      <c r="G31" s="448" t="s">
        <v>367</v>
      </c>
      <c r="H31" s="448" t="s">
        <v>368</v>
      </c>
      <c r="I31" s="448" t="s">
        <v>369</v>
      </c>
      <c r="J31" s="449" t="s">
        <v>20</v>
      </c>
      <c r="K31" s="450">
        <f t="shared" si="5"/>
        <v>1460.4507880808455</v>
      </c>
      <c r="L31" s="448"/>
      <c r="M31" s="450">
        <v>1400</v>
      </c>
      <c r="T31" s="450">
        <v>1460.4507880808455</v>
      </c>
      <c r="AH31"/>
      <c r="AI31"/>
    </row>
    <row r="32" spans="1:35" s="450" customFormat="1" x14ac:dyDescent="0.25">
      <c r="A32" s="448">
        <v>1</v>
      </c>
      <c r="B32" s="448"/>
      <c r="C32" s="448">
        <f t="shared" si="1"/>
        <v>28</v>
      </c>
      <c r="D32" s="448">
        <f t="shared" si="2"/>
        <v>17</v>
      </c>
      <c r="E32" s="448">
        <f t="shared" si="3"/>
        <v>12</v>
      </c>
      <c r="F32" s="448" t="str">
        <f t="shared" si="4"/>
        <v>pmx</v>
      </c>
      <c r="G32" s="448" t="s">
        <v>370</v>
      </c>
      <c r="H32" s="448" t="s">
        <v>371</v>
      </c>
      <c r="I32" s="448" t="s">
        <v>372</v>
      </c>
      <c r="J32" s="449" t="s">
        <v>20</v>
      </c>
      <c r="K32" s="450">
        <f t="shared" si="5"/>
        <v>1491.818053534166</v>
      </c>
      <c r="L32" s="448"/>
      <c r="M32" s="450">
        <v>1400</v>
      </c>
      <c r="P32" s="450">
        <v>1491.818053534166</v>
      </c>
      <c r="AH32"/>
      <c r="AI32"/>
    </row>
    <row r="33" spans="1:35" s="450" customFormat="1" x14ac:dyDescent="0.25">
      <c r="A33" s="448">
        <v>6</v>
      </c>
      <c r="B33" s="448"/>
      <c r="C33" s="448">
        <f t="shared" si="1"/>
        <v>29</v>
      </c>
      <c r="D33" s="448">
        <f t="shared" si="2"/>
        <v>17</v>
      </c>
      <c r="E33" s="448">
        <f t="shared" si="3"/>
        <v>12</v>
      </c>
      <c r="F33" s="448" t="str">
        <f t="shared" si="4"/>
        <v>pm</v>
      </c>
      <c r="G33" s="448" t="s">
        <v>373</v>
      </c>
      <c r="H33" s="448" t="s">
        <v>374</v>
      </c>
      <c r="I33" s="448" t="s">
        <v>375</v>
      </c>
      <c r="J33" s="449" t="s">
        <v>20</v>
      </c>
      <c r="K33" s="450">
        <f t="shared" si="5"/>
        <v>1407.4123000681666</v>
      </c>
      <c r="L33" s="448"/>
      <c r="M33" s="450">
        <v>1400</v>
      </c>
      <c r="R33" s="450">
        <v>1368.3041030693962</v>
      </c>
      <c r="T33" s="450">
        <v>1389.3253833869005</v>
      </c>
      <c r="V33" s="450">
        <v>1407.4123000681666</v>
      </c>
      <c r="AH33"/>
      <c r="AI33"/>
    </row>
    <row r="34" spans="1:35" s="450" customFormat="1" x14ac:dyDescent="0.25">
      <c r="A34" s="448">
        <v>6</v>
      </c>
      <c r="B34" s="448"/>
      <c r="C34" s="448">
        <f t="shared" si="1"/>
        <v>30</v>
      </c>
      <c r="D34" s="448">
        <f t="shared" si="2"/>
        <v>17</v>
      </c>
      <c r="E34" s="448">
        <f t="shared" si="3"/>
        <v>12</v>
      </c>
      <c r="F34" s="448" t="str">
        <f t="shared" si="4"/>
        <v>pm</v>
      </c>
      <c r="G34" s="448" t="s">
        <v>376</v>
      </c>
      <c r="H34" s="448" t="s">
        <v>374</v>
      </c>
      <c r="I34" s="448" t="s">
        <v>377</v>
      </c>
      <c r="J34" s="449" t="s">
        <v>20</v>
      </c>
      <c r="K34" s="450">
        <f t="shared" si="5"/>
        <v>1443.7437121655691</v>
      </c>
      <c r="L34" s="448"/>
      <c r="M34" s="450">
        <v>1400</v>
      </c>
      <c r="R34" s="450">
        <v>1443.6793957766529</v>
      </c>
      <c r="T34" s="450">
        <v>1361.4639314907565</v>
      </c>
      <c r="V34" s="450">
        <v>1443.7437121655691</v>
      </c>
      <c r="AH34"/>
      <c r="AI34"/>
    </row>
    <row r="35" spans="1:35" s="450" customFormat="1" x14ac:dyDescent="0.25">
      <c r="A35" s="448">
        <v>4</v>
      </c>
      <c r="B35" s="448"/>
      <c r="C35" s="448">
        <f t="shared" si="1"/>
        <v>31</v>
      </c>
      <c r="D35" s="448">
        <f t="shared" si="2"/>
        <v>17</v>
      </c>
      <c r="E35" s="448">
        <f t="shared" si="3"/>
        <v>12</v>
      </c>
      <c r="F35" s="448" t="str">
        <f t="shared" si="4"/>
        <v>pm</v>
      </c>
      <c r="G35" s="448" t="s">
        <v>378</v>
      </c>
      <c r="H35" s="448" t="s">
        <v>306</v>
      </c>
      <c r="I35" s="448" t="s">
        <v>379</v>
      </c>
      <c r="J35" s="449" t="s">
        <v>20</v>
      </c>
      <c r="K35" s="450">
        <f t="shared" si="5"/>
        <v>1289.6307267867726</v>
      </c>
      <c r="L35" s="448"/>
      <c r="M35" s="450">
        <v>1400</v>
      </c>
      <c r="T35" s="450">
        <v>1289.6307267867726</v>
      </c>
      <c r="AH35"/>
      <c r="AI35"/>
    </row>
    <row r="36" spans="1:35" s="450" customFormat="1" x14ac:dyDescent="0.25">
      <c r="A36" s="448">
        <v>3</v>
      </c>
      <c r="B36" s="448"/>
      <c r="C36" s="448">
        <f t="shared" si="1"/>
        <v>32</v>
      </c>
      <c r="D36" s="448">
        <f t="shared" si="2"/>
        <v>17</v>
      </c>
      <c r="E36" s="448">
        <f t="shared" si="3"/>
        <v>12</v>
      </c>
      <c r="F36" s="448" t="str">
        <f t="shared" si="4"/>
        <v>pm</v>
      </c>
      <c r="G36" s="448" t="s">
        <v>380</v>
      </c>
      <c r="H36" s="448" t="s">
        <v>330</v>
      </c>
      <c r="I36" s="448" t="s">
        <v>381</v>
      </c>
      <c r="J36" s="449" t="s">
        <v>20</v>
      </c>
      <c r="K36" s="450">
        <f t="shared" si="5"/>
        <v>1557.6316958008827</v>
      </c>
      <c r="L36" s="448"/>
      <c r="M36" s="450">
        <v>1400</v>
      </c>
      <c r="R36" s="450">
        <v>1503.5614357480144</v>
      </c>
      <c r="V36" s="450">
        <v>1557.6316958008827</v>
      </c>
      <c r="AH36"/>
      <c r="AI36"/>
    </row>
    <row r="37" spans="1:35" s="450" customFormat="1" x14ac:dyDescent="0.25">
      <c r="A37" s="448">
        <v>2</v>
      </c>
      <c r="B37" s="448"/>
      <c r="C37" s="448">
        <f t="shared" si="1"/>
        <v>33</v>
      </c>
      <c r="D37" s="448">
        <f t="shared" si="2"/>
        <v>17</v>
      </c>
      <c r="E37" s="448">
        <f t="shared" si="3"/>
        <v>12</v>
      </c>
      <c r="F37" s="448" t="str">
        <f t="shared" si="4"/>
        <v>pm</v>
      </c>
      <c r="G37" s="448" t="s">
        <v>382</v>
      </c>
      <c r="H37" s="448" t="s">
        <v>330</v>
      </c>
      <c r="I37" s="448" t="s">
        <v>383</v>
      </c>
      <c r="J37" s="449" t="s">
        <v>20</v>
      </c>
      <c r="K37" s="450">
        <f t="shared" si="5"/>
        <v>1339.761735911097</v>
      </c>
      <c r="L37" s="448"/>
      <c r="M37" s="450">
        <v>1400</v>
      </c>
      <c r="R37" s="450">
        <v>1339.761735911097</v>
      </c>
      <c r="AH37"/>
      <c r="AI37"/>
    </row>
    <row r="38" spans="1:35" s="450" customFormat="1" x14ac:dyDescent="0.25">
      <c r="A38" s="448">
        <v>2</v>
      </c>
      <c r="B38" s="448"/>
      <c r="C38" s="448">
        <f t="shared" si="1"/>
        <v>34</v>
      </c>
      <c r="D38" s="448">
        <f t="shared" si="2"/>
        <v>17</v>
      </c>
      <c r="E38" s="448">
        <f t="shared" si="3"/>
        <v>12</v>
      </c>
      <c r="F38" s="448" t="str">
        <f t="shared" si="4"/>
        <v>pm</v>
      </c>
      <c r="G38" s="448" t="s">
        <v>384</v>
      </c>
      <c r="H38" s="448" t="s">
        <v>330</v>
      </c>
      <c r="I38" s="448" t="s">
        <v>385</v>
      </c>
      <c r="J38" s="449" t="s">
        <v>20</v>
      </c>
      <c r="K38" s="450">
        <f t="shared" si="5"/>
        <v>1279.5314323800401</v>
      </c>
      <c r="L38" s="448"/>
      <c r="M38" s="450">
        <v>1400</v>
      </c>
      <c r="R38" s="450">
        <v>1279.5314323800401</v>
      </c>
      <c r="AH38"/>
      <c r="AI38"/>
    </row>
    <row r="39" spans="1:35" s="450" customFormat="1" x14ac:dyDescent="0.25">
      <c r="A39" s="448">
        <v>3</v>
      </c>
      <c r="B39" s="448"/>
      <c r="C39" s="448">
        <f t="shared" si="1"/>
        <v>35</v>
      </c>
      <c r="D39" s="448">
        <f t="shared" si="2"/>
        <v>17</v>
      </c>
      <c r="E39" s="448">
        <f t="shared" si="3"/>
        <v>12</v>
      </c>
      <c r="F39" s="448" t="str">
        <f t="shared" si="4"/>
        <v>pm</v>
      </c>
      <c r="G39" s="448" t="s">
        <v>386</v>
      </c>
      <c r="H39" s="448" t="s">
        <v>330</v>
      </c>
      <c r="I39" s="448" t="s">
        <v>387</v>
      </c>
      <c r="J39" s="449" t="s">
        <v>20</v>
      </c>
      <c r="K39" s="450">
        <f t="shared" si="5"/>
        <v>1260.9158287077748</v>
      </c>
      <c r="L39" s="448"/>
      <c r="M39" s="450">
        <v>1400</v>
      </c>
      <c r="R39" s="450">
        <v>1371.0061506271329</v>
      </c>
      <c r="V39" s="450">
        <v>1260.9158287077748</v>
      </c>
      <c r="AH39"/>
      <c r="AI39"/>
    </row>
    <row r="40" spans="1:35" s="450" customFormat="1" x14ac:dyDescent="0.25">
      <c r="A40" s="448">
        <v>6</v>
      </c>
      <c r="B40" s="448"/>
      <c r="C40" s="448">
        <f t="shared" si="1"/>
        <v>36</v>
      </c>
      <c r="D40" s="448">
        <f t="shared" si="2"/>
        <v>17</v>
      </c>
      <c r="E40" s="448">
        <f t="shared" si="3"/>
        <v>12</v>
      </c>
      <c r="F40" s="448" t="str">
        <f t="shared" si="4"/>
        <v>pm</v>
      </c>
      <c r="G40" s="448" t="s">
        <v>388</v>
      </c>
      <c r="H40" s="448" t="s">
        <v>338</v>
      </c>
      <c r="I40" s="448" t="s">
        <v>389</v>
      </c>
      <c r="J40" s="449" t="s">
        <v>20</v>
      </c>
      <c r="K40" s="450">
        <f t="shared" si="5"/>
        <v>1291.4848792296757</v>
      </c>
      <c r="L40" s="448"/>
      <c r="M40" s="450">
        <v>1400</v>
      </c>
      <c r="R40" s="450">
        <v>1321.2738836240517</v>
      </c>
      <c r="T40" s="450">
        <v>1307.0130824494734</v>
      </c>
      <c r="V40" s="450">
        <v>1291.4848792296757</v>
      </c>
      <c r="AH40"/>
      <c r="AI40"/>
    </row>
    <row r="41" spans="1:35" s="450" customFormat="1" x14ac:dyDescent="0.25">
      <c r="A41" s="448">
        <v>5</v>
      </c>
      <c r="B41" s="448"/>
      <c r="C41" s="448">
        <f t="shared" si="1"/>
        <v>37</v>
      </c>
      <c r="D41" s="448">
        <f t="shared" si="2"/>
        <v>17</v>
      </c>
      <c r="E41" s="448">
        <f t="shared" si="3"/>
        <v>12</v>
      </c>
      <c r="F41" s="448" t="str">
        <f t="shared" si="4"/>
        <v>pm</v>
      </c>
      <c r="G41" s="448" t="s">
        <v>390</v>
      </c>
      <c r="H41" s="448" t="s">
        <v>391</v>
      </c>
      <c r="I41" s="448" t="s">
        <v>392</v>
      </c>
      <c r="J41" s="449" t="s">
        <v>20</v>
      </c>
      <c r="K41" s="450">
        <f t="shared" si="5"/>
        <v>1500.3554410797956</v>
      </c>
      <c r="L41" s="448"/>
      <c r="M41" s="450">
        <v>1400</v>
      </c>
      <c r="R41" s="450">
        <v>1450.7912672511281</v>
      </c>
      <c r="T41" s="450">
        <v>1453.397960125621</v>
      </c>
      <c r="V41" s="450">
        <v>1500.3554410797956</v>
      </c>
      <c r="AH41"/>
      <c r="AI41"/>
    </row>
    <row r="42" spans="1:35" s="450" customFormat="1" x14ac:dyDescent="0.25">
      <c r="A42" s="448">
        <v>7</v>
      </c>
      <c r="B42" s="448"/>
      <c r="C42" s="448">
        <f t="shared" si="1"/>
        <v>38</v>
      </c>
      <c r="D42" s="448">
        <f t="shared" si="2"/>
        <v>38</v>
      </c>
      <c r="E42" s="448">
        <f t="shared" si="3"/>
        <v>12</v>
      </c>
      <c r="F42" s="448" t="str">
        <f t="shared" si="4"/>
        <v>pm</v>
      </c>
      <c r="G42" s="448" t="s">
        <v>393</v>
      </c>
      <c r="H42" s="448" t="s">
        <v>374</v>
      </c>
      <c r="I42" s="448" t="s">
        <v>394</v>
      </c>
      <c r="J42" s="449" t="s">
        <v>20</v>
      </c>
      <c r="K42" s="450">
        <f t="shared" si="5"/>
        <v>1312.1560854954805</v>
      </c>
      <c r="L42" s="448"/>
      <c r="M42" s="450">
        <v>1371.4285714285713</v>
      </c>
      <c r="R42" s="450">
        <v>1345.1281772310635</v>
      </c>
      <c r="T42" s="450">
        <v>1391.547816818643</v>
      </c>
      <c r="V42" s="450">
        <v>1312.1560854954805</v>
      </c>
      <c r="AH42"/>
      <c r="AI42"/>
    </row>
    <row r="43" spans="1:35" s="450" customFormat="1" x14ac:dyDescent="0.25">
      <c r="A43" s="448">
        <v>4</v>
      </c>
      <c r="B43" s="448"/>
      <c r="C43" s="448">
        <f t="shared" si="1"/>
        <v>39</v>
      </c>
      <c r="D43" s="448">
        <f t="shared" si="2"/>
        <v>39</v>
      </c>
      <c r="E43" s="448">
        <f t="shared" si="3"/>
        <v>12</v>
      </c>
      <c r="F43" s="448" t="str">
        <f t="shared" si="4"/>
        <v>pm</v>
      </c>
      <c r="G43" s="448" t="s">
        <v>395</v>
      </c>
      <c r="H43" s="448" t="s">
        <v>396</v>
      </c>
      <c r="I43" s="448" t="s">
        <v>397</v>
      </c>
      <c r="J43" s="449" t="s">
        <v>20</v>
      </c>
      <c r="K43" s="450">
        <f t="shared" si="5"/>
        <v>1178.6422198857679</v>
      </c>
      <c r="L43" s="448"/>
      <c r="M43" s="450">
        <v>1350</v>
      </c>
      <c r="P43" s="450">
        <v>1262.0861010337815</v>
      </c>
      <c r="R43" s="450">
        <v>1212.6460682694362</v>
      </c>
      <c r="T43" s="450">
        <v>1178.6422198857679</v>
      </c>
      <c r="AH43"/>
      <c r="AI43"/>
    </row>
    <row r="44" spans="1:35" s="450" customFormat="1" x14ac:dyDescent="0.25">
      <c r="A44" s="448">
        <v>6</v>
      </c>
      <c r="B44" s="448"/>
      <c r="C44" s="448">
        <f t="shared" si="1"/>
        <v>40</v>
      </c>
      <c r="D44" s="448">
        <f t="shared" si="2"/>
        <v>40</v>
      </c>
      <c r="E44" s="448">
        <f t="shared" si="3"/>
        <v>12</v>
      </c>
      <c r="F44" s="448" t="str">
        <f t="shared" si="4"/>
        <v>pm</v>
      </c>
      <c r="G44" s="448" t="s">
        <v>398</v>
      </c>
      <c r="H44" s="448" t="s">
        <v>338</v>
      </c>
      <c r="I44" s="448" t="s">
        <v>399</v>
      </c>
      <c r="J44" s="449" t="s">
        <v>20</v>
      </c>
      <c r="K44" s="450">
        <f t="shared" si="5"/>
        <v>1541.7446072243681</v>
      </c>
      <c r="L44" s="448"/>
      <c r="M44" s="450">
        <v>1333.3333333333333</v>
      </c>
      <c r="R44" s="450">
        <v>1456.291164140775</v>
      </c>
      <c r="T44" s="450">
        <v>1541.7446072243681</v>
      </c>
      <c r="AH44"/>
      <c r="AI44"/>
    </row>
    <row r="45" spans="1:35" s="450" customFormat="1" x14ac:dyDescent="0.25">
      <c r="A45" s="448">
        <v>2</v>
      </c>
      <c r="B45" s="448"/>
      <c r="C45" s="448">
        <f t="shared" si="1"/>
        <v>41</v>
      </c>
      <c r="D45" s="448">
        <f t="shared" si="2"/>
        <v>41</v>
      </c>
      <c r="E45" s="448">
        <f t="shared" si="3"/>
        <v>12</v>
      </c>
      <c r="F45" s="448" t="str">
        <f t="shared" si="4"/>
        <v>pm</v>
      </c>
      <c r="G45" s="448" t="s">
        <v>400</v>
      </c>
      <c r="H45" s="448" t="s">
        <v>335</v>
      </c>
      <c r="I45" s="448" t="s">
        <v>401</v>
      </c>
      <c r="J45" s="449" t="s">
        <v>20</v>
      </c>
      <c r="K45" s="450">
        <f t="shared" si="5"/>
        <v>1293.619933628122</v>
      </c>
      <c r="L45" s="448"/>
      <c r="M45" s="450">
        <v>1300</v>
      </c>
      <c r="R45" s="450">
        <v>1293.619933628122</v>
      </c>
      <c r="AH45"/>
      <c r="AI45"/>
    </row>
    <row r="46" spans="1:35" s="450" customFormat="1" x14ac:dyDescent="0.25">
      <c r="A46" s="448">
        <v>3</v>
      </c>
      <c r="B46" s="448"/>
      <c r="C46" s="448">
        <f t="shared" si="1"/>
        <v>42</v>
      </c>
      <c r="D46" s="448">
        <f t="shared" si="2"/>
        <v>42</v>
      </c>
      <c r="E46" s="448">
        <f t="shared" si="3"/>
        <v>12</v>
      </c>
      <c r="F46" s="448" t="str">
        <f t="shared" si="4"/>
        <v>pm</v>
      </c>
      <c r="G46" s="448" t="s">
        <v>402</v>
      </c>
      <c r="H46" s="448" t="s">
        <v>296</v>
      </c>
      <c r="I46" s="448" t="s">
        <v>403</v>
      </c>
      <c r="J46" s="449" t="s">
        <v>301</v>
      </c>
      <c r="K46" s="450">
        <f t="shared" si="5"/>
        <v>1167.1631014180109</v>
      </c>
      <c r="L46" s="448"/>
      <c r="M46" s="450">
        <v>1200</v>
      </c>
      <c r="R46" s="450">
        <v>1208.4683851329539</v>
      </c>
      <c r="V46" s="450">
        <v>1167.1631014180109</v>
      </c>
      <c r="AH46"/>
      <c r="AI46"/>
    </row>
    <row r="47" spans="1:35" s="450" customFormat="1" x14ac:dyDescent="0.25">
      <c r="A47" s="448">
        <v>3</v>
      </c>
      <c r="B47" s="448"/>
      <c r="C47" s="448">
        <f t="shared" si="1"/>
        <v>43</v>
      </c>
      <c r="D47" s="448">
        <f t="shared" si="2"/>
        <v>42</v>
      </c>
      <c r="E47" s="448">
        <f t="shared" si="3"/>
        <v>12</v>
      </c>
      <c r="F47" s="448" t="str">
        <f t="shared" si="4"/>
        <v>pm</v>
      </c>
      <c r="G47" s="448" t="s">
        <v>404</v>
      </c>
      <c r="H47" s="448" t="s">
        <v>296</v>
      </c>
      <c r="I47" s="448" t="s">
        <v>405</v>
      </c>
      <c r="J47" s="449" t="s">
        <v>301</v>
      </c>
      <c r="K47" s="450">
        <f t="shared" si="5"/>
        <v>1259.4640372039044</v>
      </c>
      <c r="L47" s="448"/>
      <c r="M47" s="450">
        <v>1200</v>
      </c>
      <c r="R47" s="450">
        <v>1292.6373253209092</v>
      </c>
      <c r="V47" s="450">
        <v>1259.4640372039044</v>
      </c>
      <c r="AH47"/>
      <c r="AI47"/>
    </row>
    <row r="48" spans="1:35" s="450" customFormat="1" x14ac:dyDescent="0.25">
      <c r="A48" s="448">
        <v>3</v>
      </c>
      <c r="B48" s="448"/>
      <c r="C48" s="448">
        <f t="shared" si="1"/>
        <v>44</v>
      </c>
      <c r="D48" s="448">
        <f t="shared" si="2"/>
        <v>42</v>
      </c>
      <c r="E48" s="448">
        <f t="shared" si="3"/>
        <v>12</v>
      </c>
      <c r="F48" s="448" t="str">
        <f t="shared" si="4"/>
        <v>pm</v>
      </c>
      <c r="G48" s="448" t="s">
        <v>406</v>
      </c>
      <c r="H48" s="448" t="s">
        <v>296</v>
      </c>
      <c r="I48" s="448" t="s">
        <v>407</v>
      </c>
      <c r="J48" s="449" t="s">
        <v>301</v>
      </c>
      <c r="K48" s="450">
        <f t="shared" si="5"/>
        <v>1235.3295353093363</v>
      </c>
      <c r="L48" s="448"/>
      <c r="M48" s="450">
        <v>1200</v>
      </c>
      <c r="R48" s="450">
        <v>1233.1715808383456</v>
      </c>
      <c r="V48" s="450">
        <v>1235.3295353093363</v>
      </c>
      <c r="AH48"/>
      <c r="AI48"/>
    </row>
    <row r="49" spans="1:35" s="450" customFormat="1" x14ac:dyDescent="0.25">
      <c r="A49" s="448">
        <v>4</v>
      </c>
      <c r="B49" s="448"/>
      <c r="C49" s="448">
        <f t="shared" si="1"/>
        <v>45</v>
      </c>
      <c r="D49" s="448">
        <f t="shared" si="2"/>
        <v>42</v>
      </c>
      <c r="E49" s="448">
        <f t="shared" si="3"/>
        <v>12</v>
      </c>
      <c r="F49" s="448" t="str">
        <f t="shared" si="4"/>
        <v>pm</v>
      </c>
      <c r="G49" s="448" t="s">
        <v>408</v>
      </c>
      <c r="H49" s="448" t="s">
        <v>409</v>
      </c>
      <c r="I49" s="448" t="s">
        <v>410</v>
      </c>
      <c r="J49" s="449" t="s">
        <v>301</v>
      </c>
      <c r="K49" s="450">
        <f t="shared" si="5"/>
        <v>1349.0901439792528</v>
      </c>
      <c r="L49" s="448"/>
      <c r="M49" s="450">
        <v>1200</v>
      </c>
      <c r="R49" s="450">
        <v>1274.9503770355423</v>
      </c>
      <c r="T49" s="450">
        <v>1314.5144620222545</v>
      </c>
      <c r="V49" s="450">
        <v>1349.0901439792528</v>
      </c>
      <c r="AH49"/>
      <c r="AI49"/>
    </row>
    <row r="50" spans="1:35" s="450" customFormat="1" x14ac:dyDescent="0.25">
      <c r="A50" s="448">
        <v>4</v>
      </c>
      <c r="B50" s="448"/>
      <c r="C50" s="448">
        <f t="shared" si="1"/>
        <v>46</v>
      </c>
      <c r="D50" s="448">
        <f t="shared" si="2"/>
        <v>42</v>
      </c>
      <c r="E50" s="448">
        <f t="shared" si="3"/>
        <v>12</v>
      </c>
      <c r="F50" s="448" t="str">
        <f t="shared" si="4"/>
        <v>pm</v>
      </c>
      <c r="G50" s="448" t="s">
        <v>411</v>
      </c>
      <c r="H50" s="448" t="s">
        <v>365</v>
      </c>
      <c r="I50" s="448" t="s">
        <v>412</v>
      </c>
      <c r="J50" s="449" t="s">
        <v>301</v>
      </c>
      <c r="K50" s="450">
        <f t="shared" si="5"/>
        <v>1037.6144600253788</v>
      </c>
      <c r="L50" s="448"/>
      <c r="M50" s="450">
        <v>1200</v>
      </c>
      <c r="R50" s="450">
        <v>1157.9314597187015</v>
      </c>
      <c r="T50" s="450">
        <v>1129.3970315328922</v>
      </c>
      <c r="V50" s="450">
        <v>1037.6144600253788</v>
      </c>
      <c r="AH50"/>
      <c r="AI50"/>
    </row>
    <row r="51" spans="1:35" s="450" customFormat="1" x14ac:dyDescent="0.25">
      <c r="A51" s="448">
        <v>4</v>
      </c>
      <c r="B51" s="448"/>
      <c r="C51" s="448">
        <f t="shared" si="1"/>
        <v>47</v>
      </c>
      <c r="D51" s="448">
        <f t="shared" si="2"/>
        <v>42</v>
      </c>
      <c r="E51" s="448">
        <f t="shared" si="3"/>
        <v>12</v>
      </c>
      <c r="F51" s="448" t="str">
        <f t="shared" si="4"/>
        <v>pm</v>
      </c>
      <c r="G51" s="448" t="s">
        <v>413</v>
      </c>
      <c r="H51" s="448" t="s">
        <v>365</v>
      </c>
      <c r="I51" s="448" t="s">
        <v>414</v>
      </c>
      <c r="J51" s="449" t="s">
        <v>301</v>
      </c>
      <c r="K51" s="450">
        <f t="shared" si="5"/>
        <v>1291.6672494374643</v>
      </c>
      <c r="L51" s="448"/>
      <c r="M51" s="450">
        <v>1200</v>
      </c>
      <c r="R51" s="450">
        <v>1202.1576214335375</v>
      </c>
      <c r="T51" s="450">
        <v>1237.8733435233182</v>
      </c>
      <c r="V51" s="450">
        <v>1291.6672494374643</v>
      </c>
      <c r="AH51"/>
      <c r="AI51"/>
    </row>
    <row r="52" spans="1:35" s="450" customFormat="1" x14ac:dyDescent="0.25">
      <c r="A52" s="448">
        <v>4</v>
      </c>
      <c r="B52" s="448"/>
      <c r="C52" s="448">
        <f t="shared" si="1"/>
        <v>48</v>
      </c>
      <c r="D52" s="448">
        <f t="shared" si="2"/>
        <v>42</v>
      </c>
      <c r="E52" s="448">
        <f t="shared" si="3"/>
        <v>12</v>
      </c>
      <c r="F52" s="448" t="str">
        <f t="shared" si="4"/>
        <v>pm</v>
      </c>
      <c r="G52" s="448" t="s">
        <v>415</v>
      </c>
      <c r="H52" s="448" t="s">
        <v>365</v>
      </c>
      <c r="I52" s="448" t="s">
        <v>416</v>
      </c>
      <c r="J52" s="449" t="s">
        <v>301</v>
      </c>
      <c r="K52" s="450">
        <f t="shared" si="5"/>
        <v>1277.1888079106297</v>
      </c>
      <c r="L52" s="448"/>
      <c r="M52" s="450">
        <v>1200</v>
      </c>
      <c r="R52" s="450">
        <v>1203.1411394635875</v>
      </c>
      <c r="T52" s="450">
        <v>1225.2301659580562</v>
      </c>
      <c r="V52" s="450">
        <v>1277.1888079106297</v>
      </c>
      <c r="AH52"/>
      <c r="AI52"/>
    </row>
    <row r="53" spans="1:35" s="450" customFormat="1" x14ac:dyDescent="0.25">
      <c r="A53" s="448">
        <v>3</v>
      </c>
      <c r="B53" s="448"/>
      <c r="C53" s="448">
        <f t="shared" si="1"/>
        <v>49</v>
      </c>
      <c r="D53" s="448">
        <f t="shared" si="2"/>
        <v>42</v>
      </c>
      <c r="E53" s="448">
        <f t="shared" si="3"/>
        <v>12</v>
      </c>
      <c r="F53" s="448" t="str">
        <f t="shared" si="4"/>
        <v>pm</v>
      </c>
      <c r="G53" s="448" t="s">
        <v>417</v>
      </c>
      <c r="H53" s="448" t="s">
        <v>374</v>
      </c>
      <c r="I53" s="448" t="s">
        <v>418</v>
      </c>
      <c r="J53" s="449" t="s">
        <v>301</v>
      </c>
      <c r="K53" s="450">
        <f t="shared" si="5"/>
        <v>1238.2996717476778</v>
      </c>
      <c r="L53" s="448"/>
      <c r="M53" s="450">
        <v>1200</v>
      </c>
      <c r="R53" s="450">
        <v>1238.5911205484977</v>
      </c>
      <c r="T53" s="450">
        <v>1254.0220353337193</v>
      </c>
      <c r="V53" s="450">
        <v>1238.2996717476778</v>
      </c>
      <c r="AH53"/>
      <c r="AI53"/>
    </row>
    <row r="54" spans="1:35" s="450" customFormat="1" x14ac:dyDescent="0.25">
      <c r="A54" s="448">
        <v>3</v>
      </c>
      <c r="B54" s="448"/>
      <c r="C54" s="448">
        <f t="shared" si="1"/>
        <v>50</v>
      </c>
      <c r="D54" s="448">
        <f t="shared" si="2"/>
        <v>42</v>
      </c>
      <c r="E54" s="448">
        <f t="shared" si="3"/>
        <v>12</v>
      </c>
      <c r="F54" s="448" t="str">
        <f t="shared" si="4"/>
        <v>pm</v>
      </c>
      <c r="G54" s="448" t="s">
        <v>419</v>
      </c>
      <c r="H54" s="448" t="s">
        <v>374</v>
      </c>
      <c r="I54" s="448" t="s">
        <v>420</v>
      </c>
      <c r="J54" s="449" t="s">
        <v>301</v>
      </c>
      <c r="K54" s="450">
        <f t="shared" si="5"/>
        <v>1198.7779068321081</v>
      </c>
      <c r="L54" s="448"/>
      <c r="M54" s="450">
        <v>1200</v>
      </c>
      <c r="R54" s="450">
        <v>1110.6532770275439</v>
      </c>
      <c r="T54" s="450">
        <v>1156.9377403644455</v>
      </c>
      <c r="V54" s="450">
        <v>1198.7779068321081</v>
      </c>
      <c r="AH54"/>
      <c r="AI54"/>
    </row>
    <row r="55" spans="1:35" s="450" customFormat="1" x14ac:dyDescent="0.25">
      <c r="A55" s="448">
        <v>2</v>
      </c>
      <c r="B55" s="448"/>
      <c r="C55" s="448">
        <f t="shared" si="1"/>
        <v>51</v>
      </c>
      <c r="D55" s="448">
        <f t="shared" si="2"/>
        <v>42</v>
      </c>
      <c r="E55" s="448">
        <f t="shared" si="3"/>
        <v>12</v>
      </c>
      <c r="F55" s="448" t="str">
        <f t="shared" si="4"/>
        <v>pm</v>
      </c>
      <c r="G55" s="448" t="s">
        <v>421</v>
      </c>
      <c r="H55" s="448" t="s">
        <v>306</v>
      </c>
      <c r="I55" s="448" t="s">
        <v>422</v>
      </c>
      <c r="J55" s="449" t="s">
        <v>301</v>
      </c>
      <c r="K55" s="450">
        <f t="shared" si="5"/>
        <v>1190.2613111223468</v>
      </c>
      <c r="L55" s="448"/>
      <c r="M55" s="450">
        <v>1200</v>
      </c>
      <c r="T55" s="450">
        <v>1190.2613111223468</v>
      </c>
      <c r="AH55"/>
      <c r="AI55"/>
    </row>
    <row r="56" spans="1:35" s="450" customFormat="1" x14ac:dyDescent="0.25">
      <c r="A56" s="448">
        <v>2</v>
      </c>
      <c r="B56" s="448"/>
      <c r="C56" s="448">
        <f t="shared" si="1"/>
        <v>52</v>
      </c>
      <c r="D56" s="448">
        <f t="shared" si="2"/>
        <v>42</v>
      </c>
      <c r="E56" s="448">
        <f t="shared" si="3"/>
        <v>12</v>
      </c>
      <c r="F56" s="448" t="str">
        <f t="shared" si="4"/>
        <v>pm</v>
      </c>
      <c r="G56" s="448" t="s">
        <v>423</v>
      </c>
      <c r="H56" s="448" t="s">
        <v>306</v>
      </c>
      <c r="I56" s="448" t="s">
        <v>424</v>
      </c>
      <c r="J56" s="449" t="s">
        <v>301</v>
      </c>
      <c r="K56" s="450">
        <f t="shared" si="5"/>
        <v>1104.9764908703403</v>
      </c>
      <c r="L56" s="448"/>
      <c r="M56" s="450">
        <v>1200</v>
      </c>
      <c r="T56" s="450">
        <v>1104.9764908703403</v>
      </c>
      <c r="AH56"/>
      <c r="AI56"/>
    </row>
    <row r="57" spans="1:35" s="450" customFormat="1" x14ac:dyDescent="0.25">
      <c r="A57" s="448">
        <v>1</v>
      </c>
      <c r="B57" s="448"/>
      <c r="C57" s="448">
        <f t="shared" si="1"/>
        <v>53</v>
      </c>
      <c r="D57" s="448">
        <f t="shared" si="2"/>
        <v>42</v>
      </c>
      <c r="E57" s="448">
        <f t="shared" si="3"/>
        <v>12</v>
      </c>
      <c r="F57" s="448" t="str">
        <f t="shared" si="4"/>
        <v>pmx</v>
      </c>
      <c r="G57" s="448" t="s">
        <v>425</v>
      </c>
      <c r="H57" s="448" t="s">
        <v>426</v>
      </c>
      <c r="I57" s="448" t="s">
        <v>427</v>
      </c>
      <c r="J57" s="449" t="s">
        <v>301</v>
      </c>
      <c r="K57" s="450">
        <f t="shared" si="5"/>
        <v>1200</v>
      </c>
      <c r="L57" s="448"/>
      <c r="M57" s="450">
        <v>1200</v>
      </c>
      <c r="AH57"/>
      <c r="AI57"/>
    </row>
    <row r="58" spans="1:35" s="450" customFormat="1" x14ac:dyDescent="0.25">
      <c r="A58" s="448">
        <v>1</v>
      </c>
      <c r="B58" s="448"/>
      <c r="C58" s="448">
        <f t="shared" si="1"/>
        <v>54</v>
      </c>
      <c r="D58" s="448">
        <f t="shared" si="2"/>
        <v>42</v>
      </c>
      <c r="E58" s="448">
        <f t="shared" si="3"/>
        <v>12</v>
      </c>
      <c r="F58" s="448" t="str">
        <f t="shared" si="4"/>
        <v>pmx</v>
      </c>
      <c r="G58" s="448" t="s">
        <v>428</v>
      </c>
      <c r="H58" s="448" t="s">
        <v>330</v>
      </c>
      <c r="I58" s="448" t="s">
        <v>429</v>
      </c>
      <c r="J58" s="449" t="s">
        <v>301</v>
      </c>
      <c r="K58" s="450">
        <f t="shared" si="5"/>
        <v>1140.5868344378484</v>
      </c>
      <c r="L58" s="448"/>
      <c r="M58" s="450">
        <v>1200</v>
      </c>
      <c r="R58" s="450">
        <v>1158.7524498540417</v>
      </c>
      <c r="T58" s="450">
        <v>1193.6457795917684</v>
      </c>
      <c r="V58" s="450">
        <v>1140.5868344378484</v>
      </c>
      <c r="AH58"/>
      <c r="AI58"/>
    </row>
    <row r="59" spans="1:35" s="450" customFormat="1" x14ac:dyDescent="0.25">
      <c r="A59" s="448">
        <v>3</v>
      </c>
      <c r="B59" s="448"/>
      <c r="C59" s="448">
        <f t="shared" si="1"/>
        <v>55</v>
      </c>
      <c r="D59" s="448">
        <f t="shared" si="2"/>
        <v>42</v>
      </c>
      <c r="E59" s="448">
        <f t="shared" si="3"/>
        <v>12</v>
      </c>
      <c r="F59" s="448" t="str">
        <f t="shared" si="4"/>
        <v>pm</v>
      </c>
      <c r="G59" s="448" t="s">
        <v>430</v>
      </c>
      <c r="H59" s="448" t="s">
        <v>431</v>
      </c>
      <c r="I59" s="448" t="s">
        <v>432</v>
      </c>
      <c r="J59" s="449" t="s">
        <v>301</v>
      </c>
      <c r="K59" s="450">
        <f t="shared" si="5"/>
        <v>1225.5441183253949</v>
      </c>
      <c r="L59" s="448"/>
      <c r="M59" s="450">
        <v>1200</v>
      </c>
      <c r="R59" s="450">
        <v>1231.5000238061393</v>
      </c>
      <c r="V59" s="450">
        <v>1225.5441183253949</v>
      </c>
      <c r="AH59"/>
      <c r="AI59"/>
    </row>
    <row r="60" spans="1:35" s="450" customFormat="1" x14ac:dyDescent="0.25">
      <c r="A60" s="448">
        <v>5</v>
      </c>
      <c r="B60" s="448"/>
      <c r="C60" s="448">
        <f t="shared" si="1"/>
        <v>56</v>
      </c>
      <c r="D60" s="448">
        <f t="shared" si="2"/>
        <v>42</v>
      </c>
      <c r="E60" s="448">
        <f t="shared" si="3"/>
        <v>12</v>
      </c>
      <c r="F60" s="448" t="str">
        <f t="shared" si="4"/>
        <v>pm</v>
      </c>
      <c r="G60" s="448" t="s">
        <v>433</v>
      </c>
      <c r="H60" s="448" t="s">
        <v>338</v>
      </c>
      <c r="I60" s="448" t="s">
        <v>434</v>
      </c>
      <c r="J60" s="449" t="s">
        <v>301</v>
      </c>
      <c r="K60" s="450">
        <f t="shared" si="5"/>
        <v>1174.2782340237165</v>
      </c>
      <c r="L60" s="448"/>
      <c r="M60" s="450">
        <v>1200</v>
      </c>
      <c r="R60" s="450">
        <v>1166.1154316050067</v>
      </c>
      <c r="T60" s="450">
        <v>1124.1168813812924</v>
      </c>
      <c r="V60" s="450">
        <v>1174.2782340237165</v>
      </c>
      <c r="AH60"/>
      <c r="AI60"/>
    </row>
    <row r="61" spans="1:35" s="450" customFormat="1" x14ac:dyDescent="0.25">
      <c r="A61" s="448">
        <v>5</v>
      </c>
      <c r="B61" s="448"/>
      <c r="C61" s="448">
        <f t="shared" si="1"/>
        <v>57</v>
      </c>
      <c r="D61" s="448">
        <f t="shared" si="2"/>
        <v>42</v>
      </c>
      <c r="E61" s="448">
        <f t="shared" si="3"/>
        <v>12</v>
      </c>
      <c r="F61" s="448" t="str">
        <f t="shared" si="4"/>
        <v>pm</v>
      </c>
      <c r="G61" s="448" t="s">
        <v>435</v>
      </c>
      <c r="H61" s="448" t="s">
        <v>338</v>
      </c>
      <c r="I61" s="448" t="s">
        <v>436</v>
      </c>
      <c r="J61" s="449" t="s">
        <v>301</v>
      </c>
      <c r="K61" s="450">
        <f t="shared" si="5"/>
        <v>1138.9992153970975</v>
      </c>
      <c r="L61" s="448"/>
      <c r="M61" s="450">
        <v>1200</v>
      </c>
      <c r="R61" s="450">
        <v>1166.3348618337313</v>
      </c>
      <c r="T61" s="450">
        <v>1160.1293279867637</v>
      </c>
      <c r="V61" s="450">
        <v>1138.9992153970975</v>
      </c>
      <c r="AH61"/>
      <c r="AI61"/>
    </row>
    <row r="62" spans="1:35" s="450" customFormat="1" x14ac:dyDescent="0.25">
      <c r="A62" s="448">
        <v>3</v>
      </c>
      <c r="B62" s="448"/>
      <c r="C62" s="448">
        <f t="shared" si="1"/>
        <v>1</v>
      </c>
      <c r="D62" s="448">
        <f t="shared" si="2"/>
        <v>1</v>
      </c>
      <c r="E62" s="448">
        <f t="shared" si="3"/>
        <v>13</v>
      </c>
      <c r="F62" s="448" t="str">
        <f t="shared" si="4"/>
        <v>pm</v>
      </c>
      <c r="G62" s="448" t="s">
        <v>47</v>
      </c>
      <c r="H62" s="448" t="s">
        <v>437</v>
      </c>
      <c r="I62" s="448" t="s">
        <v>46</v>
      </c>
      <c r="J62" s="449" t="s">
        <v>21</v>
      </c>
      <c r="K62" s="450">
        <f t="shared" si="5"/>
        <v>1937.4919528089513</v>
      </c>
      <c r="L62" s="448"/>
      <c r="M62" s="450">
        <v>2000</v>
      </c>
      <c r="O62" s="450">
        <v>1937.4919528089513</v>
      </c>
      <c r="AH62"/>
      <c r="AI62"/>
    </row>
    <row r="63" spans="1:35" s="450" customFormat="1" x14ac:dyDescent="0.25">
      <c r="A63" s="448">
        <v>3</v>
      </c>
      <c r="B63" s="448"/>
      <c r="C63" s="448">
        <f t="shared" si="1"/>
        <v>2</v>
      </c>
      <c r="D63" s="448">
        <f t="shared" si="2"/>
        <v>1</v>
      </c>
      <c r="E63" s="448">
        <f t="shared" si="3"/>
        <v>13</v>
      </c>
      <c r="F63" s="448" t="str">
        <f t="shared" si="4"/>
        <v>pm</v>
      </c>
      <c r="G63" s="448" t="s">
        <v>438</v>
      </c>
      <c r="H63" s="448" t="s">
        <v>296</v>
      </c>
      <c r="I63" s="448" t="s">
        <v>439</v>
      </c>
      <c r="J63" s="449" t="s">
        <v>21</v>
      </c>
      <c r="K63" s="450">
        <f t="shared" si="5"/>
        <v>2263.6995845511233</v>
      </c>
      <c r="L63" s="448"/>
      <c r="M63" s="450">
        <v>2000</v>
      </c>
      <c r="O63" s="450">
        <v>2152.6882339125423</v>
      </c>
      <c r="U63" s="450">
        <v>2263.6995845511233</v>
      </c>
      <c r="AH63"/>
      <c r="AI63"/>
    </row>
    <row r="64" spans="1:35" s="450" customFormat="1" x14ac:dyDescent="0.25">
      <c r="A64" s="448">
        <v>4</v>
      </c>
      <c r="B64" s="448"/>
      <c r="C64" s="448">
        <f t="shared" si="1"/>
        <v>3</v>
      </c>
      <c r="D64" s="448">
        <f t="shared" si="2"/>
        <v>1</v>
      </c>
      <c r="E64" s="448">
        <f t="shared" si="3"/>
        <v>13</v>
      </c>
      <c r="F64" s="448" t="str">
        <f t="shared" si="4"/>
        <v>pm</v>
      </c>
      <c r="G64" s="448" t="s">
        <v>38</v>
      </c>
      <c r="H64" s="448" t="s">
        <v>296</v>
      </c>
      <c r="I64" s="448" t="s">
        <v>37</v>
      </c>
      <c r="J64" s="449" t="s">
        <v>21</v>
      </c>
      <c r="K64" s="450">
        <f t="shared" si="5"/>
        <v>1978.9631245417181</v>
      </c>
      <c r="L64" s="448"/>
      <c r="M64" s="450">
        <v>2000</v>
      </c>
      <c r="O64" s="450">
        <v>1942.7428613495103</v>
      </c>
      <c r="U64" s="450">
        <v>1978.9631245417181</v>
      </c>
      <c r="AH64"/>
      <c r="AI64"/>
    </row>
    <row r="65" spans="1:35" s="450" customFormat="1" x14ac:dyDescent="0.25">
      <c r="A65" s="448">
        <v>5</v>
      </c>
      <c r="B65" s="448"/>
      <c r="C65" s="448">
        <f t="shared" si="1"/>
        <v>4</v>
      </c>
      <c r="D65" s="448">
        <f t="shared" si="2"/>
        <v>1</v>
      </c>
      <c r="E65" s="448">
        <f t="shared" si="3"/>
        <v>13</v>
      </c>
      <c r="F65" s="448" t="str">
        <f t="shared" si="4"/>
        <v>pm</v>
      </c>
      <c r="G65" s="448" t="s">
        <v>23</v>
      </c>
      <c r="H65" s="448" t="s">
        <v>350</v>
      </c>
      <c r="I65" s="448" t="s">
        <v>22</v>
      </c>
      <c r="J65" s="449" t="s">
        <v>21</v>
      </c>
      <c r="K65" s="450">
        <f t="shared" si="5"/>
        <v>2157.74321750217</v>
      </c>
      <c r="L65" s="448"/>
      <c r="M65" s="450">
        <v>2000</v>
      </c>
      <c r="O65" s="450">
        <v>2090.0660361022765</v>
      </c>
      <c r="U65" s="450">
        <v>2157.74321750217</v>
      </c>
      <c r="AH65"/>
      <c r="AI65"/>
    </row>
    <row r="66" spans="1:35" s="450" customFormat="1" x14ac:dyDescent="0.25">
      <c r="A66" s="448">
        <v>7</v>
      </c>
      <c r="B66" s="448"/>
      <c r="C66" s="448">
        <f t="shared" ref="C66:C129" si="6">IF(E66=E65,C65+1,1)</f>
        <v>5</v>
      </c>
      <c r="D66" s="448">
        <f t="shared" ref="D66:D129" si="7">IF(M66=M65,D65,C66)</f>
        <v>1</v>
      </c>
      <c r="E66" s="448">
        <f t="shared" ref="E66:E129" si="8">10+VALUE(RIGHT(LEFT(G66,3),1))</f>
        <v>13</v>
      </c>
      <c r="F66" s="448" t="str">
        <f t="shared" ref="F66:F129" si="9">RIGHT(G66,2) &amp; IF(A66&lt;2,"x","")</f>
        <v>pm</v>
      </c>
      <c r="G66" s="448" t="s">
        <v>30</v>
      </c>
      <c r="H66" s="448" t="s">
        <v>353</v>
      </c>
      <c r="I66" s="448" t="s">
        <v>29</v>
      </c>
      <c r="J66" s="449" t="s">
        <v>21</v>
      </c>
      <c r="K66" s="450">
        <f t="shared" ref="K66:K129" si="10">LOOKUP(1E+100,M66:AC66)</f>
        <v>1991.6720830602626</v>
      </c>
      <c r="L66" s="448"/>
      <c r="M66" s="450">
        <v>2000</v>
      </c>
      <c r="O66" s="450">
        <v>1943.416124532403</v>
      </c>
      <c r="Q66" s="450">
        <v>1966.1656268304903</v>
      </c>
      <c r="S66" s="450">
        <v>1958.1634755038049</v>
      </c>
      <c r="U66" s="450">
        <v>1991.6720830602626</v>
      </c>
      <c r="AH66"/>
      <c r="AI66"/>
    </row>
    <row r="67" spans="1:35" s="450" customFormat="1" x14ac:dyDescent="0.25">
      <c r="A67" s="448">
        <v>4</v>
      </c>
      <c r="B67" s="448"/>
      <c r="C67" s="448">
        <f t="shared" si="6"/>
        <v>6</v>
      </c>
      <c r="D67" s="448">
        <f t="shared" si="7"/>
        <v>1</v>
      </c>
      <c r="E67" s="448">
        <f t="shared" si="8"/>
        <v>13</v>
      </c>
      <c r="F67" s="448" t="str">
        <f t="shared" si="9"/>
        <v>pm</v>
      </c>
      <c r="G67" s="448" t="s">
        <v>33</v>
      </c>
      <c r="H67" s="448" t="s">
        <v>374</v>
      </c>
      <c r="I67" s="448" t="s">
        <v>32</v>
      </c>
      <c r="J67" s="449" t="s">
        <v>21</v>
      </c>
      <c r="K67" s="450">
        <f t="shared" si="10"/>
        <v>1985.6455041357583</v>
      </c>
      <c r="L67" s="448"/>
      <c r="M67" s="450">
        <v>2000</v>
      </c>
      <c r="U67" s="450">
        <v>1985.6455041357583</v>
      </c>
      <c r="AH67"/>
      <c r="AI67"/>
    </row>
    <row r="68" spans="1:35" s="450" customFormat="1" x14ac:dyDescent="0.25">
      <c r="A68" s="448">
        <v>1</v>
      </c>
      <c r="B68" s="448"/>
      <c r="C68" s="448">
        <f t="shared" si="6"/>
        <v>7</v>
      </c>
      <c r="D68" s="448">
        <f t="shared" si="7"/>
        <v>1</v>
      </c>
      <c r="E68" s="448">
        <f t="shared" si="8"/>
        <v>13</v>
      </c>
      <c r="F68" s="448" t="str">
        <f t="shared" si="9"/>
        <v>pmx</v>
      </c>
      <c r="G68" s="448" t="s">
        <v>440</v>
      </c>
      <c r="H68" s="448" t="s">
        <v>330</v>
      </c>
      <c r="I68" s="448" t="s">
        <v>441</v>
      </c>
      <c r="J68" s="449" t="s">
        <v>21</v>
      </c>
      <c r="K68" s="450">
        <f t="shared" si="10"/>
        <v>2047.5215589916952</v>
      </c>
      <c r="L68" s="448"/>
      <c r="M68" s="450">
        <v>2000</v>
      </c>
      <c r="S68" s="450">
        <v>2047.5215589916952</v>
      </c>
      <c r="AH68"/>
      <c r="AI68"/>
    </row>
    <row r="69" spans="1:35" s="450" customFormat="1" x14ac:dyDescent="0.25">
      <c r="A69" s="448">
        <v>1</v>
      </c>
      <c r="B69" s="448"/>
      <c r="C69" s="448">
        <f t="shared" si="6"/>
        <v>8</v>
      </c>
      <c r="D69" s="448">
        <f t="shared" si="7"/>
        <v>1</v>
      </c>
      <c r="E69" s="448">
        <f t="shared" si="8"/>
        <v>13</v>
      </c>
      <c r="F69" s="448" t="str">
        <f t="shared" si="9"/>
        <v>pmx</v>
      </c>
      <c r="G69" s="448" t="s">
        <v>442</v>
      </c>
      <c r="H69" s="448" t="s">
        <v>293</v>
      </c>
      <c r="I69" s="448" t="s">
        <v>443</v>
      </c>
      <c r="J69" s="449" t="s">
        <v>21</v>
      </c>
      <c r="K69" s="450">
        <f t="shared" si="10"/>
        <v>2000</v>
      </c>
      <c r="L69" s="448"/>
      <c r="M69" s="450">
        <v>2000</v>
      </c>
      <c r="AH69"/>
      <c r="AI69"/>
    </row>
    <row r="70" spans="1:35" s="450" customFormat="1" x14ac:dyDescent="0.25">
      <c r="A70" s="448">
        <v>1</v>
      </c>
      <c r="B70" s="448"/>
      <c r="C70" s="448">
        <f t="shared" si="6"/>
        <v>9</v>
      </c>
      <c r="D70" s="448">
        <f t="shared" si="7"/>
        <v>1</v>
      </c>
      <c r="E70" s="448">
        <f t="shared" si="8"/>
        <v>13</v>
      </c>
      <c r="F70" s="448" t="str">
        <f t="shared" si="9"/>
        <v>pmx</v>
      </c>
      <c r="G70" s="448" t="s">
        <v>444</v>
      </c>
      <c r="H70" s="448" t="s">
        <v>293</v>
      </c>
      <c r="I70" s="448" t="s">
        <v>445</v>
      </c>
      <c r="J70" s="449" t="s">
        <v>21</v>
      </c>
      <c r="K70" s="450">
        <f t="shared" si="10"/>
        <v>2000</v>
      </c>
      <c r="L70" s="448"/>
      <c r="M70" s="450">
        <v>2000</v>
      </c>
      <c r="AH70"/>
      <c r="AI70"/>
    </row>
    <row r="71" spans="1:35" s="450" customFormat="1" x14ac:dyDescent="0.25">
      <c r="A71" s="448">
        <v>3</v>
      </c>
      <c r="B71" s="448"/>
      <c r="C71" s="448">
        <f t="shared" si="6"/>
        <v>10</v>
      </c>
      <c r="D71" s="448">
        <f t="shared" si="7"/>
        <v>1</v>
      </c>
      <c r="E71" s="448">
        <f t="shared" si="8"/>
        <v>13</v>
      </c>
      <c r="F71" s="448" t="str">
        <f t="shared" si="9"/>
        <v>pm</v>
      </c>
      <c r="G71" s="448" t="s">
        <v>446</v>
      </c>
      <c r="H71" s="448" t="s">
        <v>293</v>
      </c>
      <c r="I71" s="448" t="s">
        <v>447</v>
      </c>
      <c r="J71" s="449" t="s">
        <v>21</v>
      </c>
      <c r="K71" s="450">
        <f t="shared" si="10"/>
        <v>1821.6037506813182</v>
      </c>
      <c r="L71" s="448"/>
      <c r="M71" s="450">
        <v>2000</v>
      </c>
      <c r="O71" s="450">
        <v>1915.8645173769876</v>
      </c>
      <c r="S71" s="450">
        <v>1821.6037506813182</v>
      </c>
      <c r="AH71"/>
      <c r="AI71"/>
    </row>
    <row r="72" spans="1:35" s="450" customFormat="1" x14ac:dyDescent="0.25">
      <c r="A72" s="448">
        <v>3</v>
      </c>
      <c r="B72" s="448"/>
      <c r="C72" s="448">
        <f t="shared" si="6"/>
        <v>11</v>
      </c>
      <c r="D72" s="448">
        <f t="shared" si="7"/>
        <v>1</v>
      </c>
      <c r="E72" s="448">
        <f t="shared" si="8"/>
        <v>13</v>
      </c>
      <c r="F72" s="448" t="str">
        <f t="shared" si="9"/>
        <v>pm</v>
      </c>
      <c r="G72" s="448" t="s">
        <v>448</v>
      </c>
      <c r="H72" s="448" t="s">
        <v>319</v>
      </c>
      <c r="I72" s="448" t="s">
        <v>449</v>
      </c>
      <c r="J72" s="449" t="s">
        <v>21</v>
      </c>
      <c r="K72" s="450">
        <f t="shared" si="10"/>
        <v>2100.0545135197281</v>
      </c>
      <c r="L72" s="448"/>
      <c r="M72" s="450">
        <v>2000</v>
      </c>
      <c r="O72" s="450">
        <v>2039.0534480015622</v>
      </c>
      <c r="S72" s="450">
        <v>2100.0545135197281</v>
      </c>
      <c r="AH72"/>
      <c r="AI72"/>
    </row>
    <row r="73" spans="1:35" s="450" customFormat="1" x14ac:dyDescent="0.25">
      <c r="A73" s="448">
        <v>2</v>
      </c>
      <c r="B73" s="448"/>
      <c r="C73" s="448">
        <f t="shared" si="6"/>
        <v>12</v>
      </c>
      <c r="D73" s="448">
        <f t="shared" si="7"/>
        <v>1</v>
      </c>
      <c r="E73" s="448">
        <f t="shared" si="8"/>
        <v>13</v>
      </c>
      <c r="F73" s="448" t="str">
        <f t="shared" si="9"/>
        <v>pm</v>
      </c>
      <c r="G73" s="448" t="s">
        <v>450</v>
      </c>
      <c r="H73" s="448" t="s">
        <v>316</v>
      </c>
      <c r="I73" s="448" t="s">
        <v>451</v>
      </c>
      <c r="J73" s="449" t="s">
        <v>21</v>
      </c>
      <c r="K73" s="450">
        <f t="shared" si="10"/>
        <v>2033.2515181332528</v>
      </c>
      <c r="L73" s="448"/>
      <c r="M73" s="450">
        <v>2000</v>
      </c>
      <c r="S73" s="450">
        <v>2033.2515181332528</v>
      </c>
      <c r="AH73"/>
      <c r="AI73"/>
    </row>
    <row r="74" spans="1:35" s="450" customFormat="1" x14ac:dyDescent="0.25">
      <c r="A74" s="448">
        <v>7</v>
      </c>
      <c r="B74" s="448"/>
      <c r="C74" s="448">
        <f t="shared" si="6"/>
        <v>13</v>
      </c>
      <c r="D74" s="448">
        <f t="shared" si="7"/>
        <v>13</v>
      </c>
      <c r="E74" s="448">
        <f t="shared" si="8"/>
        <v>13</v>
      </c>
      <c r="F74" s="448" t="str">
        <f t="shared" si="9"/>
        <v>pm</v>
      </c>
      <c r="G74" s="448" t="s">
        <v>50</v>
      </c>
      <c r="H74" s="448" t="s">
        <v>338</v>
      </c>
      <c r="I74" s="448" t="s">
        <v>49</v>
      </c>
      <c r="J74" s="449" t="s">
        <v>21</v>
      </c>
      <c r="K74" s="450">
        <f t="shared" si="10"/>
        <v>1856.0832418209029</v>
      </c>
      <c r="L74" s="448"/>
      <c r="M74" s="450">
        <v>1942.8571428571429</v>
      </c>
      <c r="Q74" s="450">
        <v>1852.3713067755587</v>
      </c>
      <c r="S74" s="450">
        <v>1873.5532472996633</v>
      </c>
      <c r="U74" s="450">
        <v>1856.0832418209029</v>
      </c>
      <c r="AH74"/>
      <c r="AI74"/>
    </row>
    <row r="75" spans="1:35" s="450" customFormat="1" x14ac:dyDescent="0.25">
      <c r="A75" s="448">
        <v>4</v>
      </c>
      <c r="B75" s="448"/>
      <c r="C75" s="448">
        <f t="shared" si="6"/>
        <v>14</v>
      </c>
      <c r="D75" s="448">
        <f t="shared" si="7"/>
        <v>14</v>
      </c>
      <c r="E75" s="448">
        <f t="shared" si="8"/>
        <v>13</v>
      </c>
      <c r="F75" s="448" t="str">
        <f t="shared" si="9"/>
        <v>pm</v>
      </c>
      <c r="G75" s="448" t="s">
        <v>452</v>
      </c>
      <c r="H75" s="448" t="s">
        <v>319</v>
      </c>
      <c r="I75" s="448" t="s">
        <v>453</v>
      </c>
      <c r="J75" s="449" t="s">
        <v>21</v>
      </c>
      <c r="K75" s="450">
        <f t="shared" si="10"/>
        <v>1896.502812306353</v>
      </c>
      <c r="L75" s="448"/>
      <c r="M75" s="450">
        <v>1900</v>
      </c>
      <c r="O75" s="450">
        <v>1896.502812306353</v>
      </c>
      <c r="AH75"/>
      <c r="AI75"/>
    </row>
    <row r="76" spans="1:35" s="450" customFormat="1" x14ac:dyDescent="0.25">
      <c r="A76" s="448">
        <v>3</v>
      </c>
      <c r="B76" s="448"/>
      <c r="C76" s="448">
        <f t="shared" si="6"/>
        <v>15</v>
      </c>
      <c r="D76" s="448">
        <f t="shared" si="7"/>
        <v>15</v>
      </c>
      <c r="E76" s="448">
        <f t="shared" si="8"/>
        <v>13</v>
      </c>
      <c r="F76" s="448" t="str">
        <f t="shared" si="9"/>
        <v>pm</v>
      </c>
      <c r="G76" s="448" t="s">
        <v>454</v>
      </c>
      <c r="H76" s="448" t="s">
        <v>330</v>
      </c>
      <c r="I76" s="448" t="s">
        <v>455</v>
      </c>
      <c r="J76" s="449" t="s">
        <v>20</v>
      </c>
      <c r="K76" s="450">
        <f t="shared" si="10"/>
        <v>1581.2933664625068</v>
      </c>
      <c r="L76" s="448"/>
      <c r="M76" s="450">
        <v>1733.3333333333333</v>
      </c>
      <c r="R76" s="450">
        <v>1596.5625330002313</v>
      </c>
      <c r="S76" s="450">
        <v>1581.2933664625068</v>
      </c>
      <c r="AH76"/>
      <c r="AI76"/>
    </row>
    <row r="77" spans="1:35" s="450" customFormat="1" x14ac:dyDescent="0.25">
      <c r="A77" s="448">
        <v>3</v>
      </c>
      <c r="B77" s="448"/>
      <c r="C77" s="448">
        <f t="shared" si="6"/>
        <v>16</v>
      </c>
      <c r="D77" s="448">
        <f t="shared" si="7"/>
        <v>15</v>
      </c>
      <c r="E77" s="448">
        <f t="shared" si="8"/>
        <v>13</v>
      </c>
      <c r="F77" s="448" t="str">
        <f t="shared" si="9"/>
        <v>pm</v>
      </c>
      <c r="G77" s="448" t="s">
        <v>456</v>
      </c>
      <c r="H77" s="448" t="s">
        <v>316</v>
      </c>
      <c r="I77" s="448" t="s">
        <v>457</v>
      </c>
      <c r="J77" s="449" t="s">
        <v>20</v>
      </c>
      <c r="K77" s="450">
        <f t="shared" si="10"/>
        <v>1889.9786980074723</v>
      </c>
      <c r="L77" s="448"/>
      <c r="M77" s="450">
        <v>1733.3333333333333</v>
      </c>
      <c r="O77" s="450">
        <v>1854.2018399827273</v>
      </c>
      <c r="R77" s="450">
        <v>1889.9786980074723</v>
      </c>
      <c r="AH77"/>
      <c r="AI77"/>
    </row>
    <row r="78" spans="1:35" s="450" customFormat="1" x14ac:dyDescent="0.25">
      <c r="A78" s="448">
        <v>4</v>
      </c>
      <c r="B78" s="448"/>
      <c r="C78" s="448">
        <f t="shared" si="6"/>
        <v>17</v>
      </c>
      <c r="D78" s="448">
        <f t="shared" si="7"/>
        <v>17</v>
      </c>
      <c r="E78" s="448">
        <f t="shared" si="8"/>
        <v>13</v>
      </c>
      <c r="F78" s="448" t="str">
        <f t="shared" si="9"/>
        <v>pm</v>
      </c>
      <c r="G78" s="448" t="s">
        <v>458</v>
      </c>
      <c r="H78" s="448" t="s">
        <v>319</v>
      </c>
      <c r="I78" s="448" t="s">
        <v>459</v>
      </c>
      <c r="J78" s="449" t="s">
        <v>20</v>
      </c>
      <c r="K78" s="450">
        <f t="shared" si="10"/>
        <v>1669.2299346493558</v>
      </c>
      <c r="L78" s="448"/>
      <c r="M78" s="450">
        <v>1700</v>
      </c>
      <c r="O78" s="450">
        <v>1693.6375418300127</v>
      </c>
      <c r="R78" s="450">
        <v>1657.3872938785414</v>
      </c>
      <c r="T78" s="450">
        <v>1669.2299346493558</v>
      </c>
      <c r="AH78"/>
      <c r="AI78"/>
    </row>
    <row r="79" spans="1:35" s="450" customFormat="1" x14ac:dyDescent="0.25">
      <c r="A79" s="448">
        <v>6</v>
      </c>
      <c r="B79" s="448"/>
      <c r="C79" s="448">
        <f t="shared" si="6"/>
        <v>18</v>
      </c>
      <c r="D79" s="448">
        <f t="shared" si="7"/>
        <v>18</v>
      </c>
      <c r="E79" s="448">
        <f t="shared" si="8"/>
        <v>13</v>
      </c>
      <c r="F79" s="448" t="str">
        <f t="shared" si="9"/>
        <v>pm</v>
      </c>
      <c r="G79" s="448" t="s">
        <v>460</v>
      </c>
      <c r="H79" s="448" t="s">
        <v>437</v>
      </c>
      <c r="I79" s="448" t="s">
        <v>461</v>
      </c>
      <c r="J79" s="449" t="s">
        <v>20</v>
      </c>
      <c r="K79" s="450">
        <f t="shared" si="10"/>
        <v>1677.2690977446232</v>
      </c>
      <c r="L79" s="448"/>
      <c r="M79" s="450">
        <v>1666.6666666666667</v>
      </c>
      <c r="O79" s="450">
        <v>1693.5789788646412</v>
      </c>
      <c r="R79" s="450">
        <v>1641.6440767325234</v>
      </c>
      <c r="T79" s="450">
        <v>1623.8204049929316</v>
      </c>
      <c r="V79" s="450">
        <v>1677.2690977446232</v>
      </c>
      <c r="AH79"/>
      <c r="AI79"/>
    </row>
    <row r="80" spans="1:35" s="450" customFormat="1" x14ac:dyDescent="0.25">
      <c r="A80" s="448">
        <v>6</v>
      </c>
      <c r="B80" s="448"/>
      <c r="C80" s="448">
        <f t="shared" si="6"/>
        <v>19</v>
      </c>
      <c r="D80" s="448">
        <f t="shared" si="7"/>
        <v>18</v>
      </c>
      <c r="E80" s="448">
        <f t="shared" si="8"/>
        <v>13</v>
      </c>
      <c r="F80" s="448" t="str">
        <f t="shared" si="9"/>
        <v>pm</v>
      </c>
      <c r="G80" s="448" t="s">
        <v>462</v>
      </c>
      <c r="H80" s="448" t="s">
        <v>368</v>
      </c>
      <c r="I80" s="448" t="s">
        <v>463</v>
      </c>
      <c r="J80" s="449" t="s">
        <v>20</v>
      </c>
      <c r="K80" s="450">
        <f t="shared" si="10"/>
        <v>1853.9788599591745</v>
      </c>
      <c r="L80" s="448"/>
      <c r="M80" s="450">
        <v>1666.6666666666667</v>
      </c>
      <c r="P80" s="450">
        <v>1728.1310461413079</v>
      </c>
      <c r="T80" s="450">
        <v>1804.7578750763826</v>
      </c>
      <c r="V80" s="450">
        <v>1853.9788599591745</v>
      </c>
      <c r="AH80"/>
      <c r="AI80"/>
    </row>
    <row r="81" spans="1:35" s="450" customFormat="1" x14ac:dyDescent="0.25">
      <c r="A81" s="448">
        <v>3</v>
      </c>
      <c r="B81" s="448"/>
      <c r="C81" s="448">
        <f t="shared" si="6"/>
        <v>20</v>
      </c>
      <c r="D81" s="448">
        <f t="shared" si="7"/>
        <v>20</v>
      </c>
      <c r="E81" s="448">
        <f t="shared" si="8"/>
        <v>13</v>
      </c>
      <c r="F81" s="448" t="str">
        <f t="shared" si="9"/>
        <v>pm</v>
      </c>
      <c r="G81" s="448" t="s">
        <v>464</v>
      </c>
      <c r="H81" s="448" t="s">
        <v>296</v>
      </c>
      <c r="I81" s="448" t="s">
        <v>465</v>
      </c>
      <c r="J81" s="449" t="s">
        <v>20</v>
      </c>
      <c r="K81" s="450">
        <f t="shared" si="10"/>
        <v>1684.9021174510051</v>
      </c>
      <c r="L81" s="448"/>
      <c r="M81" s="450">
        <v>1600</v>
      </c>
      <c r="P81" s="450">
        <v>1559.7550744981997</v>
      </c>
      <c r="R81" s="450">
        <v>1684.9021174510051</v>
      </c>
      <c r="AH81"/>
      <c r="AI81"/>
    </row>
    <row r="82" spans="1:35" s="450" customFormat="1" x14ac:dyDescent="0.25">
      <c r="A82" s="448">
        <v>3</v>
      </c>
      <c r="B82" s="448"/>
      <c r="C82" s="448">
        <f t="shared" si="6"/>
        <v>21</v>
      </c>
      <c r="D82" s="448">
        <f t="shared" si="7"/>
        <v>20</v>
      </c>
      <c r="E82" s="448">
        <f t="shared" si="8"/>
        <v>13</v>
      </c>
      <c r="F82" s="448" t="str">
        <f t="shared" si="9"/>
        <v>pm</v>
      </c>
      <c r="G82" s="448" t="s">
        <v>466</v>
      </c>
      <c r="H82" s="448" t="s">
        <v>296</v>
      </c>
      <c r="I82" s="448" t="s">
        <v>467</v>
      </c>
      <c r="J82" s="449" t="s">
        <v>20</v>
      </c>
      <c r="K82" s="450">
        <f t="shared" si="10"/>
        <v>1663.7820960089477</v>
      </c>
      <c r="L82" s="448"/>
      <c r="M82" s="450">
        <v>1600</v>
      </c>
      <c r="P82" s="450">
        <v>1590.1315477575743</v>
      </c>
      <c r="R82" s="450">
        <v>1663.7820960089477</v>
      </c>
      <c r="AH82"/>
      <c r="AI82"/>
    </row>
    <row r="83" spans="1:35" s="450" customFormat="1" x14ac:dyDescent="0.25">
      <c r="A83" s="448">
        <v>3</v>
      </c>
      <c r="B83" s="448"/>
      <c r="C83" s="448">
        <f t="shared" si="6"/>
        <v>22</v>
      </c>
      <c r="D83" s="448">
        <f t="shared" si="7"/>
        <v>20</v>
      </c>
      <c r="E83" s="448">
        <f t="shared" si="8"/>
        <v>13</v>
      </c>
      <c r="F83" s="448" t="str">
        <f t="shared" si="9"/>
        <v>pm</v>
      </c>
      <c r="G83" s="448" t="s">
        <v>468</v>
      </c>
      <c r="H83" s="448" t="s">
        <v>296</v>
      </c>
      <c r="I83" s="448" t="s">
        <v>469</v>
      </c>
      <c r="J83" s="449" t="s">
        <v>20</v>
      </c>
      <c r="K83" s="450">
        <f t="shared" si="10"/>
        <v>1602.913856020094</v>
      </c>
      <c r="L83" s="448"/>
      <c r="M83" s="450">
        <v>1600</v>
      </c>
      <c r="R83" s="450">
        <v>1602.913856020094</v>
      </c>
      <c r="AH83"/>
      <c r="AI83"/>
    </row>
    <row r="84" spans="1:35" s="450" customFormat="1" x14ac:dyDescent="0.25">
      <c r="A84" s="448">
        <v>5</v>
      </c>
      <c r="B84" s="448"/>
      <c r="C84" s="448">
        <f t="shared" si="6"/>
        <v>23</v>
      </c>
      <c r="D84" s="448">
        <f t="shared" si="7"/>
        <v>20</v>
      </c>
      <c r="E84" s="448">
        <f t="shared" si="8"/>
        <v>13</v>
      </c>
      <c r="F84" s="448" t="str">
        <f t="shared" si="9"/>
        <v>pm</v>
      </c>
      <c r="G84" s="448" t="s">
        <v>470</v>
      </c>
      <c r="H84" s="448" t="s">
        <v>350</v>
      </c>
      <c r="I84" s="448" t="s">
        <v>471</v>
      </c>
      <c r="J84" s="449" t="s">
        <v>20</v>
      </c>
      <c r="K84" s="450">
        <f t="shared" si="10"/>
        <v>1700.7528131422339</v>
      </c>
      <c r="L84" s="448"/>
      <c r="M84" s="450">
        <v>1600</v>
      </c>
      <c r="P84" s="450">
        <v>1633.9324219018492</v>
      </c>
      <c r="R84" s="450">
        <v>1640.1661561444348</v>
      </c>
      <c r="V84" s="450">
        <v>1700.7528131422339</v>
      </c>
      <c r="AH84"/>
      <c r="AI84"/>
    </row>
    <row r="85" spans="1:35" s="450" customFormat="1" x14ac:dyDescent="0.25">
      <c r="A85" s="448">
        <v>6</v>
      </c>
      <c r="B85" s="448"/>
      <c r="C85" s="448">
        <f t="shared" si="6"/>
        <v>24</v>
      </c>
      <c r="D85" s="448">
        <f t="shared" si="7"/>
        <v>20</v>
      </c>
      <c r="E85" s="448">
        <f t="shared" si="8"/>
        <v>13</v>
      </c>
      <c r="F85" s="448" t="str">
        <f t="shared" si="9"/>
        <v>pm</v>
      </c>
      <c r="G85" s="448" t="s">
        <v>472</v>
      </c>
      <c r="H85" s="448" t="s">
        <v>353</v>
      </c>
      <c r="I85" s="448" t="s">
        <v>473</v>
      </c>
      <c r="J85" s="449" t="s">
        <v>20</v>
      </c>
      <c r="K85" s="450">
        <f t="shared" si="10"/>
        <v>1585.6650654510097</v>
      </c>
      <c r="L85" s="448"/>
      <c r="M85" s="450">
        <v>1600</v>
      </c>
      <c r="R85" s="450">
        <v>1568.2233091455873</v>
      </c>
      <c r="T85" s="450">
        <v>1509.7586404382946</v>
      </c>
      <c r="V85" s="450">
        <v>1585.6650654510097</v>
      </c>
      <c r="AH85"/>
      <c r="AI85"/>
    </row>
    <row r="86" spans="1:35" s="450" customFormat="1" x14ac:dyDescent="0.25">
      <c r="A86" s="448">
        <v>4</v>
      </c>
      <c r="B86" s="448"/>
      <c r="C86" s="448">
        <f t="shared" si="6"/>
        <v>25</v>
      </c>
      <c r="D86" s="448">
        <f t="shared" si="7"/>
        <v>20</v>
      </c>
      <c r="E86" s="448">
        <f t="shared" si="8"/>
        <v>13</v>
      </c>
      <c r="F86" s="448" t="str">
        <f t="shared" si="9"/>
        <v>pm</v>
      </c>
      <c r="G86" s="448" t="s">
        <v>474</v>
      </c>
      <c r="H86" s="448" t="s">
        <v>365</v>
      </c>
      <c r="I86" s="448" t="s">
        <v>475</v>
      </c>
      <c r="J86" s="449" t="s">
        <v>20</v>
      </c>
      <c r="K86" s="450">
        <f t="shared" si="10"/>
        <v>1583.1178074464576</v>
      </c>
      <c r="L86" s="448"/>
      <c r="M86" s="450">
        <v>1600</v>
      </c>
      <c r="P86" s="450">
        <v>1552.9187728513743</v>
      </c>
      <c r="R86" s="450">
        <v>1638.9168688111979</v>
      </c>
      <c r="V86" s="450">
        <v>1583.1178074464576</v>
      </c>
      <c r="AH86"/>
      <c r="AI86"/>
    </row>
    <row r="87" spans="1:35" s="450" customFormat="1" x14ac:dyDescent="0.25">
      <c r="A87" s="448">
        <v>5</v>
      </c>
      <c r="B87" s="448"/>
      <c r="C87" s="448">
        <f t="shared" si="6"/>
        <v>26</v>
      </c>
      <c r="D87" s="448">
        <f t="shared" si="7"/>
        <v>20</v>
      </c>
      <c r="E87" s="448">
        <f t="shared" si="8"/>
        <v>13</v>
      </c>
      <c r="F87" s="448" t="str">
        <f t="shared" si="9"/>
        <v>pm</v>
      </c>
      <c r="G87" s="448" t="s">
        <v>53</v>
      </c>
      <c r="H87" s="448" t="s">
        <v>368</v>
      </c>
      <c r="I87" s="448" t="s">
        <v>52</v>
      </c>
      <c r="J87" s="449" t="s">
        <v>20</v>
      </c>
      <c r="K87" s="450">
        <f t="shared" si="10"/>
        <v>1846.0824249958619</v>
      </c>
      <c r="L87" s="448"/>
      <c r="M87" s="450">
        <v>1600</v>
      </c>
      <c r="P87" s="450">
        <v>1715.7263580857598</v>
      </c>
      <c r="R87" s="450">
        <v>1789.2595678161492</v>
      </c>
      <c r="T87" s="450">
        <v>1846.0824249958619</v>
      </c>
      <c r="AH87"/>
      <c r="AI87"/>
    </row>
    <row r="88" spans="1:35" s="450" customFormat="1" x14ac:dyDescent="0.25">
      <c r="A88" s="448">
        <v>6</v>
      </c>
      <c r="B88" s="448"/>
      <c r="C88" s="448">
        <f t="shared" si="6"/>
        <v>27</v>
      </c>
      <c r="D88" s="448">
        <f t="shared" si="7"/>
        <v>20</v>
      </c>
      <c r="E88" s="448">
        <f t="shared" si="8"/>
        <v>13</v>
      </c>
      <c r="F88" s="448" t="str">
        <f t="shared" si="9"/>
        <v>pm</v>
      </c>
      <c r="G88" s="448" t="s">
        <v>476</v>
      </c>
      <c r="H88" s="448" t="s">
        <v>374</v>
      </c>
      <c r="I88" s="448" t="s">
        <v>477</v>
      </c>
      <c r="J88" s="449" t="s">
        <v>20</v>
      </c>
      <c r="K88" s="450">
        <f t="shared" si="10"/>
        <v>1635.5777991113016</v>
      </c>
      <c r="L88" s="448"/>
      <c r="M88" s="450">
        <v>1600</v>
      </c>
      <c r="R88" s="450">
        <v>1568.3090521625732</v>
      </c>
      <c r="T88" s="450">
        <v>1616.1193355748426</v>
      </c>
      <c r="V88" s="450">
        <v>1635.5777991113016</v>
      </c>
      <c r="AH88"/>
      <c r="AI88"/>
    </row>
    <row r="89" spans="1:35" s="450" customFormat="1" x14ac:dyDescent="0.25">
      <c r="A89" s="448">
        <v>6</v>
      </c>
      <c r="B89" s="448"/>
      <c r="C89" s="448">
        <f t="shared" si="6"/>
        <v>28</v>
      </c>
      <c r="D89" s="448">
        <f t="shared" si="7"/>
        <v>20</v>
      </c>
      <c r="E89" s="448">
        <f t="shared" si="8"/>
        <v>13</v>
      </c>
      <c r="F89" s="448" t="str">
        <f t="shared" si="9"/>
        <v>pm</v>
      </c>
      <c r="G89" s="448" t="s">
        <v>478</v>
      </c>
      <c r="H89" s="448" t="s">
        <v>374</v>
      </c>
      <c r="I89" s="448" t="s">
        <v>479</v>
      </c>
      <c r="J89" s="449" t="s">
        <v>20</v>
      </c>
      <c r="K89" s="450">
        <f t="shared" si="10"/>
        <v>1347.213525205284</v>
      </c>
      <c r="L89" s="448"/>
      <c r="M89" s="450">
        <v>1600</v>
      </c>
      <c r="R89" s="450">
        <v>1475.1822078119806</v>
      </c>
      <c r="T89" s="450">
        <v>1401.235994520837</v>
      </c>
      <c r="V89" s="450">
        <v>1347.213525205284</v>
      </c>
      <c r="AH89"/>
      <c r="AI89"/>
    </row>
    <row r="90" spans="1:35" s="450" customFormat="1" x14ac:dyDescent="0.25">
      <c r="A90" s="448">
        <v>6</v>
      </c>
      <c r="B90" s="448"/>
      <c r="C90" s="448">
        <f t="shared" si="6"/>
        <v>29</v>
      </c>
      <c r="D90" s="448">
        <f t="shared" si="7"/>
        <v>20</v>
      </c>
      <c r="E90" s="448">
        <f t="shared" si="8"/>
        <v>13</v>
      </c>
      <c r="F90" s="448" t="str">
        <f t="shared" si="9"/>
        <v>pm</v>
      </c>
      <c r="G90" s="448" t="s">
        <v>480</v>
      </c>
      <c r="H90" s="448" t="s">
        <v>374</v>
      </c>
      <c r="I90" s="448" t="s">
        <v>481</v>
      </c>
      <c r="J90" s="449" t="s">
        <v>20</v>
      </c>
      <c r="K90" s="450">
        <f t="shared" si="10"/>
        <v>1507.6966129179052</v>
      </c>
      <c r="L90" s="448"/>
      <c r="M90" s="450">
        <v>1600</v>
      </c>
      <c r="R90" s="450">
        <v>1624.823853549269</v>
      </c>
      <c r="T90" s="450">
        <v>1520.7107114660023</v>
      </c>
      <c r="V90" s="450">
        <v>1507.6966129179052</v>
      </c>
      <c r="AH90"/>
      <c r="AI90"/>
    </row>
    <row r="91" spans="1:35" s="450" customFormat="1" x14ac:dyDescent="0.25">
      <c r="A91" s="448">
        <v>4</v>
      </c>
      <c r="B91" s="448"/>
      <c r="C91" s="448">
        <f t="shared" si="6"/>
        <v>30</v>
      </c>
      <c r="D91" s="448">
        <f t="shared" si="7"/>
        <v>20</v>
      </c>
      <c r="E91" s="448">
        <f t="shared" si="8"/>
        <v>13</v>
      </c>
      <c r="F91" s="448" t="str">
        <f t="shared" si="9"/>
        <v>pm</v>
      </c>
      <c r="G91" s="448" t="s">
        <v>482</v>
      </c>
      <c r="H91" s="448" t="s">
        <v>306</v>
      </c>
      <c r="I91" s="448" t="s">
        <v>483</v>
      </c>
      <c r="J91" s="449" t="s">
        <v>20</v>
      </c>
      <c r="K91" s="450">
        <f t="shared" si="10"/>
        <v>1570.670589341255</v>
      </c>
      <c r="L91" s="448"/>
      <c r="M91" s="450">
        <v>1600</v>
      </c>
      <c r="T91" s="450">
        <v>1611.1186992330199</v>
      </c>
      <c r="V91" s="450">
        <v>1570.670589341255</v>
      </c>
      <c r="AH91"/>
      <c r="AI91"/>
    </row>
    <row r="92" spans="1:35" s="450" customFormat="1" x14ac:dyDescent="0.25">
      <c r="A92" s="448">
        <v>5</v>
      </c>
      <c r="B92" s="448"/>
      <c r="C92" s="448">
        <f t="shared" si="6"/>
        <v>31</v>
      </c>
      <c r="D92" s="448">
        <f t="shared" si="7"/>
        <v>20</v>
      </c>
      <c r="E92" s="448">
        <f t="shared" si="8"/>
        <v>13</v>
      </c>
      <c r="F92" s="448" t="str">
        <f t="shared" si="9"/>
        <v>pm</v>
      </c>
      <c r="G92" s="448" t="s">
        <v>484</v>
      </c>
      <c r="H92" s="448" t="s">
        <v>485</v>
      </c>
      <c r="I92" s="448" t="s">
        <v>486</v>
      </c>
      <c r="J92" s="449" t="s">
        <v>20</v>
      </c>
      <c r="K92" s="450">
        <f t="shared" si="10"/>
        <v>1482.1099170701641</v>
      </c>
      <c r="L92" s="448"/>
      <c r="M92" s="450">
        <v>1600</v>
      </c>
      <c r="R92" s="450">
        <v>1540.9289312215133</v>
      </c>
      <c r="T92" s="450">
        <v>1471.7276842658753</v>
      </c>
      <c r="V92" s="450">
        <v>1482.1099170701641</v>
      </c>
      <c r="AH92"/>
      <c r="AI92"/>
    </row>
    <row r="93" spans="1:35" s="450" customFormat="1" x14ac:dyDescent="0.25">
      <c r="A93" s="448">
        <v>5</v>
      </c>
      <c r="B93" s="448"/>
      <c r="C93" s="448">
        <f t="shared" si="6"/>
        <v>32</v>
      </c>
      <c r="D93" s="448">
        <f t="shared" si="7"/>
        <v>20</v>
      </c>
      <c r="E93" s="448">
        <f t="shared" si="8"/>
        <v>13</v>
      </c>
      <c r="F93" s="448" t="str">
        <f t="shared" si="9"/>
        <v>pm</v>
      </c>
      <c r="G93" s="448" t="s">
        <v>487</v>
      </c>
      <c r="H93" s="448" t="s">
        <v>485</v>
      </c>
      <c r="I93" s="448" t="s">
        <v>488</v>
      </c>
      <c r="J93" s="449" t="s">
        <v>20</v>
      </c>
      <c r="K93" s="450">
        <f t="shared" si="10"/>
        <v>1624.3375045624421</v>
      </c>
      <c r="L93" s="448"/>
      <c r="M93" s="450">
        <v>1600</v>
      </c>
      <c r="R93" s="450">
        <v>1624.3375045624421</v>
      </c>
      <c r="AH93"/>
      <c r="AI93"/>
    </row>
    <row r="94" spans="1:35" s="450" customFormat="1" x14ac:dyDescent="0.25">
      <c r="A94" s="448">
        <v>7</v>
      </c>
      <c r="B94" s="448"/>
      <c r="C94" s="448">
        <f t="shared" si="6"/>
        <v>33</v>
      </c>
      <c r="D94" s="448">
        <f t="shared" si="7"/>
        <v>20</v>
      </c>
      <c r="E94" s="448">
        <f t="shared" si="8"/>
        <v>13</v>
      </c>
      <c r="F94" s="448" t="str">
        <f t="shared" si="9"/>
        <v>pm</v>
      </c>
      <c r="G94" s="448" t="s">
        <v>489</v>
      </c>
      <c r="H94" s="448" t="s">
        <v>490</v>
      </c>
      <c r="I94" s="448" t="s">
        <v>491</v>
      </c>
      <c r="J94" s="449" t="s">
        <v>20</v>
      </c>
      <c r="K94" s="450">
        <f t="shared" si="10"/>
        <v>1593.8895537160881</v>
      </c>
      <c r="L94" s="448"/>
      <c r="M94" s="450">
        <v>1600</v>
      </c>
      <c r="P94" s="450">
        <v>1540.0355769325172</v>
      </c>
      <c r="R94" s="450">
        <v>1576.7047718940707</v>
      </c>
      <c r="T94" s="450">
        <v>1622.9329591490934</v>
      </c>
      <c r="V94" s="450">
        <v>1593.8895537160881</v>
      </c>
      <c r="AH94"/>
      <c r="AI94"/>
    </row>
    <row r="95" spans="1:35" s="450" customFormat="1" x14ac:dyDescent="0.25">
      <c r="A95" s="448">
        <v>3</v>
      </c>
      <c r="B95" s="448"/>
      <c r="C95" s="448">
        <f t="shared" si="6"/>
        <v>34</v>
      </c>
      <c r="D95" s="448">
        <f t="shared" si="7"/>
        <v>20</v>
      </c>
      <c r="E95" s="448">
        <f t="shared" si="8"/>
        <v>13</v>
      </c>
      <c r="F95" s="448" t="str">
        <f t="shared" si="9"/>
        <v>pm</v>
      </c>
      <c r="G95" s="448" t="s">
        <v>492</v>
      </c>
      <c r="H95" s="448" t="s">
        <v>431</v>
      </c>
      <c r="I95" s="448" t="s">
        <v>493</v>
      </c>
      <c r="J95" s="449" t="s">
        <v>20</v>
      </c>
      <c r="K95" s="450">
        <f t="shared" si="10"/>
        <v>1590.7069587238871</v>
      </c>
      <c r="L95" s="448"/>
      <c r="M95" s="450">
        <v>1600</v>
      </c>
      <c r="R95" s="450">
        <v>1590.7069587238871</v>
      </c>
      <c r="AH95"/>
      <c r="AI95"/>
    </row>
    <row r="96" spans="1:35" s="450" customFormat="1" x14ac:dyDescent="0.25">
      <c r="A96" s="448">
        <v>4</v>
      </c>
      <c r="B96" s="448"/>
      <c r="C96" s="448">
        <f t="shared" si="6"/>
        <v>35</v>
      </c>
      <c r="D96" s="448">
        <f t="shared" si="7"/>
        <v>20</v>
      </c>
      <c r="E96" s="448">
        <f t="shared" si="8"/>
        <v>13</v>
      </c>
      <c r="F96" s="448" t="str">
        <f t="shared" si="9"/>
        <v>pm</v>
      </c>
      <c r="G96" s="448" t="s">
        <v>494</v>
      </c>
      <c r="H96" s="448" t="s">
        <v>495</v>
      </c>
      <c r="I96" s="448" t="s">
        <v>496</v>
      </c>
      <c r="J96" s="449" t="s">
        <v>20</v>
      </c>
      <c r="K96" s="450">
        <f t="shared" si="10"/>
        <v>1543.1249027046999</v>
      </c>
      <c r="L96" s="448"/>
      <c r="M96" s="450">
        <v>1600</v>
      </c>
      <c r="P96" s="450">
        <v>1546.0358684980845</v>
      </c>
      <c r="T96" s="450">
        <v>1543.1249027046999</v>
      </c>
      <c r="AH96"/>
      <c r="AI96"/>
    </row>
    <row r="97" spans="1:35" s="450" customFormat="1" x14ac:dyDescent="0.25">
      <c r="A97" s="448">
        <v>6</v>
      </c>
      <c r="B97" s="448"/>
      <c r="C97" s="448">
        <f t="shared" si="6"/>
        <v>36</v>
      </c>
      <c r="D97" s="448">
        <f t="shared" si="7"/>
        <v>20</v>
      </c>
      <c r="E97" s="448">
        <f t="shared" si="8"/>
        <v>13</v>
      </c>
      <c r="F97" s="448" t="str">
        <f t="shared" si="9"/>
        <v>pm</v>
      </c>
      <c r="G97" s="448" t="s">
        <v>497</v>
      </c>
      <c r="H97" s="448" t="s">
        <v>338</v>
      </c>
      <c r="I97" s="448" t="s">
        <v>498</v>
      </c>
      <c r="J97" s="449" t="s">
        <v>20</v>
      </c>
      <c r="K97" s="450">
        <f t="shared" si="10"/>
        <v>1634.3041815697231</v>
      </c>
      <c r="L97" s="448"/>
      <c r="M97" s="450">
        <v>1600</v>
      </c>
      <c r="R97" s="450">
        <v>1616.8234096527883</v>
      </c>
      <c r="T97" s="450">
        <v>1595.6889931925523</v>
      </c>
      <c r="V97" s="450">
        <v>1634.3041815697231</v>
      </c>
      <c r="AH97"/>
      <c r="AI97"/>
    </row>
    <row r="98" spans="1:35" s="450" customFormat="1" x14ac:dyDescent="0.25">
      <c r="A98" s="448">
        <v>6</v>
      </c>
      <c r="B98" s="448"/>
      <c r="C98" s="448">
        <f t="shared" si="6"/>
        <v>37</v>
      </c>
      <c r="D98" s="448">
        <f t="shared" si="7"/>
        <v>20</v>
      </c>
      <c r="E98" s="448">
        <f t="shared" si="8"/>
        <v>13</v>
      </c>
      <c r="F98" s="448" t="str">
        <f t="shared" si="9"/>
        <v>pm</v>
      </c>
      <c r="G98" s="448" t="s">
        <v>499</v>
      </c>
      <c r="H98" s="448" t="s">
        <v>338</v>
      </c>
      <c r="I98" s="448" t="s">
        <v>500</v>
      </c>
      <c r="J98" s="449" t="s">
        <v>20</v>
      </c>
      <c r="K98" s="450">
        <f t="shared" si="10"/>
        <v>1424.539517337709</v>
      </c>
      <c r="L98" s="448"/>
      <c r="M98" s="450">
        <v>1600</v>
      </c>
      <c r="R98" s="450">
        <v>1511.9591340892896</v>
      </c>
      <c r="T98" s="450">
        <v>1466.8482393616123</v>
      </c>
      <c r="V98" s="450">
        <v>1424.539517337709</v>
      </c>
      <c r="AH98"/>
      <c r="AI98"/>
    </row>
    <row r="99" spans="1:35" s="450" customFormat="1" x14ac:dyDescent="0.25">
      <c r="A99" s="448">
        <v>5</v>
      </c>
      <c r="B99" s="448"/>
      <c r="C99" s="448">
        <f t="shared" si="6"/>
        <v>38</v>
      </c>
      <c r="D99" s="448">
        <f t="shared" si="7"/>
        <v>20</v>
      </c>
      <c r="E99" s="448">
        <f t="shared" si="8"/>
        <v>13</v>
      </c>
      <c r="F99" s="448" t="str">
        <f t="shared" si="9"/>
        <v>pm</v>
      </c>
      <c r="G99" s="448" t="s">
        <v>501</v>
      </c>
      <c r="H99" s="448" t="s">
        <v>391</v>
      </c>
      <c r="I99" s="448" t="s">
        <v>502</v>
      </c>
      <c r="J99" s="449" t="s">
        <v>20</v>
      </c>
      <c r="K99" s="450">
        <f t="shared" si="10"/>
        <v>1753.9958516551837</v>
      </c>
      <c r="L99" s="448"/>
      <c r="M99" s="450">
        <v>1600</v>
      </c>
      <c r="R99" s="450">
        <v>1647.4740230165003</v>
      </c>
      <c r="T99" s="450">
        <v>1726.3713626144149</v>
      </c>
      <c r="V99" s="450">
        <v>1753.9958516551837</v>
      </c>
      <c r="AH99"/>
      <c r="AI99"/>
    </row>
    <row r="100" spans="1:35" s="450" customFormat="1" x14ac:dyDescent="0.25">
      <c r="A100" s="448">
        <v>5</v>
      </c>
      <c r="B100" s="448"/>
      <c r="C100" s="448">
        <f t="shared" si="6"/>
        <v>39</v>
      </c>
      <c r="D100" s="448">
        <f t="shared" si="7"/>
        <v>20</v>
      </c>
      <c r="E100" s="448">
        <f t="shared" si="8"/>
        <v>13</v>
      </c>
      <c r="F100" s="448" t="str">
        <f t="shared" si="9"/>
        <v>pm</v>
      </c>
      <c r="G100" s="448" t="s">
        <v>503</v>
      </c>
      <c r="H100" s="448" t="s">
        <v>504</v>
      </c>
      <c r="I100" s="448" t="s">
        <v>505</v>
      </c>
      <c r="J100" s="449" t="s">
        <v>20</v>
      </c>
      <c r="K100" s="450">
        <f t="shared" si="10"/>
        <v>1585.9506762402145</v>
      </c>
      <c r="L100" s="448"/>
      <c r="M100" s="450">
        <v>1600</v>
      </c>
      <c r="R100" s="450">
        <v>1639.4730821157075</v>
      </c>
      <c r="T100" s="450">
        <v>1613.0329052350071</v>
      </c>
      <c r="V100" s="450">
        <v>1585.9506762402145</v>
      </c>
      <c r="AH100"/>
      <c r="AI100"/>
    </row>
    <row r="101" spans="1:35" s="450" customFormat="1" x14ac:dyDescent="0.25">
      <c r="A101" s="448">
        <v>3</v>
      </c>
      <c r="B101" s="448"/>
      <c r="C101" s="448">
        <f t="shared" si="6"/>
        <v>40</v>
      </c>
      <c r="D101" s="448">
        <f t="shared" si="7"/>
        <v>20</v>
      </c>
      <c r="E101" s="448">
        <f t="shared" si="8"/>
        <v>13</v>
      </c>
      <c r="F101" s="448" t="str">
        <f t="shared" si="9"/>
        <v>pm</v>
      </c>
      <c r="G101" s="448" t="s">
        <v>506</v>
      </c>
      <c r="H101" s="448" t="s">
        <v>335</v>
      </c>
      <c r="I101" s="448" t="s">
        <v>507</v>
      </c>
      <c r="J101" s="449" t="s">
        <v>20</v>
      </c>
      <c r="K101" s="450">
        <f t="shared" si="10"/>
        <v>1519.2343150248782</v>
      </c>
      <c r="L101" s="448"/>
      <c r="M101" s="450">
        <v>1600</v>
      </c>
      <c r="V101" s="450">
        <v>1519.2343150248782</v>
      </c>
      <c r="AH101"/>
      <c r="AI101"/>
    </row>
    <row r="102" spans="1:35" s="450" customFormat="1" x14ac:dyDescent="0.25">
      <c r="A102" s="448">
        <v>3</v>
      </c>
      <c r="B102" s="448"/>
      <c r="C102" s="448">
        <f t="shared" si="6"/>
        <v>41</v>
      </c>
      <c r="D102" s="448">
        <f t="shared" si="7"/>
        <v>41</v>
      </c>
      <c r="E102" s="448">
        <f t="shared" si="8"/>
        <v>13</v>
      </c>
      <c r="F102" s="448" t="str">
        <f t="shared" si="9"/>
        <v>pm</v>
      </c>
      <c r="G102" s="448" t="s">
        <v>508</v>
      </c>
      <c r="H102" s="448" t="s">
        <v>365</v>
      </c>
      <c r="I102" s="448" t="s">
        <v>509</v>
      </c>
      <c r="J102" s="449" t="s">
        <v>301</v>
      </c>
      <c r="K102" s="450">
        <f t="shared" si="10"/>
        <v>1261.8357619275132</v>
      </c>
      <c r="L102" s="448"/>
      <c r="M102" s="450">
        <v>1200</v>
      </c>
      <c r="R102" s="450">
        <v>1251.7655011857189</v>
      </c>
      <c r="T102" s="450">
        <v>1278.4897521966338</v>
      </c>
      <c r="V102" s="450">
        <v>1261.8357619275132</v>
      </c>
      <c r="AH102"/>
      <c r="AI102"/>
    </row>
    <row r="103" spans="1:35" s="450" customFormat="1" x14ac:dyDescent="0.25">
      <c r="A103" s="448">
        <v>2</v>
      </c>
      <c r="B103" s="448"/>
      <c r="C103" s="448">
        <f t="shared" si="6"/>
        <v>1</v>
      </c>
      <c r="D103" s="448">
        <f t="shared" si="7"/>
        <v>1</v>
      </c>
      <c r="E103" s="448">
        <f t="shared" si="8"/>
        <v>14</v>
      </c>
      <c r="F103" s="448" t="str">
        <f t="shared" si="9"/>
        <v>pm</v>
      </c>
      <c r="G103" s="448" t="s">
        <v>510</v>
      </c>
      <c r="H103" s="448" t="s">
        <v>303</v>
      </c>
      <c r="I103" s="448" t="s">
        <v>511</v>
      </c>
      <c r="J103" s="449" t="s">
        <v>21</v>
      </c>
      <c r="K103" s="450">
        <f t="shared" si="10"/>
        <v>2398.996097103628</v>
      </c>
      <c r="L103" s="448"/>
      <c r="M103" s="450">
        <v>2200</v>
      </c>
      <c r="S103" s="450">
        <v>2311.0807161779258</v>
      </c>
      <c r="U103" s="450">
        <v>2398.996097103628</v>
      </c>
      <c r="AH103"/>
      <c r="AI103"/>
    </row>
    <row r="104" spans="1:35" s="450" customFormat="1" x14ac:dyDescent="0.25">
      <c r="A104" s="448">
        <v>3</v>
      </c>
      <c r="B104" s="448"/>
      <c r="C104" s="448">
        <f t="shared" si="6"/>
        <v>2</v>
      </c>
      <c r="D104" s="448">
        <f t="shared" si="7"/>
        <v>1</v>
      </c>
      <c r="E104" s="448">
        <f t="shared" si="8"/>
        <v>14</v>
      </c>
      <c r="F104" s="448" t="str">
        <f t="shared" si="9"/>
        <v>pm</v>
      </c>
      <c r="G104" s="448" t="s">
        <v>512</v>
      </c>
      <c r="H104" s="448" t="s">
        <v>303</v>
      </c>
      <c r="I104" s="448" t="s">
        <v>513</v>
      </c>
      <c r="J104" s="449" t="s">
        <v>21</v>
      </c>
      <c r="K104" s="450">
        <f t="shared" si="10"/>
        <v>2019.8522816770092</v>
      </c>
      <c r="L104" s="448"/>
      <c r="M104" s="450">
        <v>2200</v>
      </c>
      <c r="S104" s="450">
        <v>2092.2750042388857</v>
      </c>
      <c r="U104" s="450">
        <v>2019.8522816770092</v>
      </c>
      <c r="AH104"/>
      <c r="AI104"/>
    </row>
    <row r="105" spans="1:35" s="450" customFormat="1" x14ac:dyDescent="0.25">
      <c r="A105" s="448">
        <v>2</v>
      </c>
      <c r="B105" s="448"/>
      <c r="C105" s="448">
        <f t="shared" si="6"/>
        <v>3</v>
      </c>
      <c r="D105" s="448">
        <f t="shared" si="7"/>
        <v>1</v>
      </c>
      <c r="E105" s="448">
        <f t="shared" si="8"/>
        <v>14</v>
      </c>
      <c r="F105" s="448" t="str">
        <f t="shared" si="9"/>
        <v>pm</v>
      </c>
      <c r="G105" s="448" t="s">
        <v>186</v>
      </c>
      <c r="H105" s="448" t="s">
        <v>437</v>
      </c>
      <c r="I105" s="448" t="s">
        <v>185</v>
      </c>
      <c r="J105" s="449" t="s">
        <v>21</v>
      </c>
      <c r="K105" s="450">
        <f t="shared" si="10"/>
        <v>2120.4974639095253</v>
      </c>
      <c r="L105" s="448"/>
      <c r="M105" s="450">
        <v>2200</v>
      </c>
      <c r="O105" s="450">
        <v>2120.4974639095253</v>
      </c>
      <c r="AH105"/>
      <c r="AI105"/>
    </row>
    <row r="106" spans="1:35" s="450" customFormat="1" x14ac:dyDescent="0.25">
      <c r="A106" s="448">
        <v>3</v>
      </c>
      <c r="B106" s="448"/>
      <c r="C106" s="448">
        <f t="shared" si="6"/>
        <v>4</v>
      </c>
      <c r="D106" s="448">
        <f t="shared" si="7"/>
        <v>1</v>
      </c>
      <c r="E106" s="448">
        <f t="shared" si="8"/>
        <v>14</v>
      </c>
      <c r="F106" s="448" t="str">
        <f t="shared" si="9"/>
        <v>pm</v>
      </c>
      <c r="G106" s="448" t="s">
        <v>514</v>
      </c>
      <c r="H106" s="448" t="s">
        <v>296</v>
      </c>
      <c r="I106" s="448" t="s">
        <v>515</v>
      </c>
      <c r="J106" s="449" t="s">
        <v>21</v>
      </c>
      <c r="K106" s="450">
        <f t="shared" si="10"/>
        <v>2315.2483412329166</v>
      </c>
      <c r="L106" s="448"/>
      <c r="M106" s="450">
        <v>2200</v>
      </c>
      <c r="O106" s="450">
        <v>2257.1292784787197</v>
      </c>
      <c r="U106" s="450">
        <v>2315.2483412329166</v>
      </c>
      <c r="AH106"/>
      <c r="AI106"/>
    </row>
    <row r="107" spans="1:35" s="450" customFormat="1" x14ac:dyDescent="0.25">
      <c r="A107" s="448">
        <v>4</v>
      </c>
      <c r="B107" s="448"/>
      <c r="C107" s="448">
        <f t="shared" si="6"/>
        <v>5</v>
      </c>
      <c r="D107" s="448">
        <f t="shared" si="7"/>
        <v>1</v>
      </c>
      <c r="E107" s="448">
        <f t="shared" si="8"/>
        <v>14</v>
      </c>
      <c r="F107" s="448" t="str">
        <f t="shared" si="9"/>
        <v>pm</v>
      </c>
      <c r="G107" s="448" t="s">
        <v>180</v>
      </c>
      <c r="H107" s="448" t="s">
        <v>296</v>
      </c>
      <c r="I107" s="448" t="s">
        <v>179</v>
      </c>
      <c r="J107" s="449" t="s">
        <v>21</v>
      </c>
      <c r="K107" s="450">
        <f t="shared" si="10"/>
        <v>2169.631559284067</v>
      </c>
      <c r="L107" s="448"/>
      <c r="M107" s="450">
        <v>2200</v>
      </c>
      <c r="O107" s="450">
        <v>2175.0809426337946</v>
      </c>
      <c r="U107" s="450">
        <v>2169.631559284067</v>
      </c>
      <c r="AH107"/>
      <c r="AI107"/>
    </row>
    <row r="108" spans="1:35" s="450" customFormat="1" x14ac:dyDescent="0.25">
      <c r="A108" s="448">
        <v>5</v>
      </c>
      <c r="B108" s="448"/>
      <c r="C108" s="448">
        <f t="shared" si="6"/>
        <v>6</v>
      </c>
      <c r="D108" s="448">
        <f t="shared" si="7"/>
        <v>1</v>
      </c>
      <c r="E108" s="448">
        <f t="shared" si="8"/>
        <v>14</v>
      </c>
      <c r="F108" s="448" t="str">
        <f t="shared" si="9"/>
        <v>pm</v>
      </c>
      <c r="G108" s="448" t="s">
        <v>172</v>
      </c>
      <c r="H108" s="448" t="s">
        <v>350</v>
      </c>
      <c r="I108" s="448" t="s">
        <v>171</v>
      </c>
      <c r="J108" s="449" t="s">
        <v>21</v>
      </c>
      <c r="K108" s="450">
        <f t="shared" si="10"/>
        <v>2197.2309027352453</v>
      </c>
      <c r="L108" s="448"/>
      <c r="M108" s="450">
        <v>2200</v>
      </c>
      <c r="O108" s="450">
        <v>2166.7823153530389</v>
      </c>
      <c r="U108" s="450">
        <v>2197.2309027352453</v>
      </c>
      <c r="AH108"/>
      <c r="AI108"/>
    </row>
    <row r="109" spans="1:35" s="450" customFormat="1" x14ac:dyDescent="0.25">
      <c r="A109" s="448">
        <v>5</v>
      </c>
      <c r="B109" s="448"/>
      <c r="C109" s="448">
        <f t="shared" si="6"/>
        <v>7</v>
      </c>
      <c r="D109" s="448">
        <f t="shared" si="7"/>
        <v>1</v>
      </c>
      <c r="E109" s="448">
        <f t="shared" si="8"/>
        <v>14</v>
      </c>
      <c r="F109" s="448" t="str">
        <f t="shared" si="9"/>
        <v>pm</v>
      </c>
      <c r="G109" s="448" t="s">
        <v>516</v>
      </c>
      <c r="H109" s="448" t="s">
        <v>353</v>
      </c>
      <c r="I109" s="448" t="s">
        <v>517</v>
      </c>
      <c r="J109" s="449" t="s">
        <v>21</v>
      </c>
      <c r="K109" s="450">
        <f t="shared" si="10"/>
        <v>2316.2969734080621</v>
      </c>
      <c r="L109" s="448"/>
      <c r="M109" s="450">
        <v>2200</v>
      </c>
      <c r="O109" s="450">
        <v>2180.5987194531212</v>
      </c>
      <c r="S109" s="450">
        <v>2250.3476060341486</v>
      </c>
      <c r="U109" s="450">
        <v>2316.2969734080621</v>
      </c>
      <c r="AH109"/>
      <c r="AI109"/>
    </row>
    <row r="110" spans="1:35" s="450" customFormat="1" x14ac:dyDescent="0.25">
      <c r="A110" s="448">
        <v>6</v>
      </c>
      <c r="B110" s="448"/>
      <c r="C110" s="448">
        <f t="shared" si="6"/>
        <v>8</v>
      </c>
      <c r="D110" s="448">
        <f t="shared" si="7"/>
        <v>1</v>
      </c>
      <c r="E110" s="448">
        <f t="shared" si="8"/>
        <v>14</v>
      </c>
      <c r="F110" s="448" t="str">
        <f t="shared" si="9"/>
        <v>pm</v>
      </c>
      <c r="G110" s="448" t="s">
        <v>188</v>
      </c>
      <c r="H110" s="448" t="s">
        <v>353</v>
      </c>
      <c r="I110" s="448" t="s">
        <v>187</v>
      </c>
      <c r="J110" s="449" t="s">
        <v>21</v>
      </c>
      <c r="K110" s="450">
        <f t="shared" si="10"/>
        <v>2118.0809304980062</v>
      </c>
      <c r="L110" s="448"/>
      <c r="M110" s="450">
        <v>2200</v>
      </c>
      <c r="O110" s="450">
        <v>2136.9547286873108</v>
      </c>
      <c r="Q110" s="450">
        <v>2208.3131101752324</v>
      </c>
      <c r="S110" s="450">
        <v>2195.9003251665326</v>
      </c>
      <c r="U110" s="450">
        <v>2118.0809304980062</v>
      </c>
      <c r="AH110"/>
      <c r="AI110"/>
    </row>
    <row r="111" spans="1:35" s="450" customFormat="1" x14ac:dyDescent="0.25">
      <c r="A111" s="448">
        <v>1</v>
      </c>
      <c r="B111" s="448"/>
      <c r="C111" s="448">
        <f t="shared" si="6"/>
        <v>9</v>
      </c>
      <c r="D111" s="448">
        <f t="shared" si="7"/>
        <v>1</v>
      </c>
      <c r="E111" s="448">
        <f t="shared" si="8"/>
        <v>14</v>
      </c>
      <c r="F111" s="448" t="str">
        <f t="shared" si="9"/>
        <v>pmx</v>
      </c>
      <c r="G111" s="448" t="s">
        <v>518</v>
      </c>
      <c r="H111" s="448" t="s">
        <v>371</v>
      </c>
      <c r="I111" s="448" t="s">
        <v>519</v>
      </c>
      <c r="J111" s="449" t="s">
        <v>21</v>
      </c>
      <c r="K111" s="450">
        <f t="shared" si="10"/>
        <v>2234.7732834134567</v>
      </c>
      <c r="L111" s="448"/>
      <c r="M111" s="450">
        <v>2200</v>
      </c>
      <c r="U111" s="450">
        <v>2234.7732834134567</v>
      </c>
      <c r="AH111"/>
      <c r="AI111"/>
    </row>
    <row r="112" spans="1:35" s="450" customFormat="1" x14ac:dyDescent="0.25">
      <c r="A112" s="448">
        <v>2</v>
      </c>
      <c r="B112" s="448"/>
      <c r="C112" s="448">
        <f t="shared" si="6"/>
        <v>10</v>
      </c>
      <c r="D112" s="448">
        <f t="shared" si="7"/>
        <v>1</v>
      </c>
      <c r="E112" s="448">
        <f t="shared" si="8"/>
        <v>14</v>
      </c>
      <c r="F112" s="448" t="str">
        <f t="shared" si="9"/>
        <v>pm</v>
      </c>
      <c r="G112" s="448" t="s">
        <v>520</v>
      </c>
      <c r="H112" s="448" t="s">
        <v>371</v>
      </c>
      <c r="I112" s="448" t="s">
        <v>521</v>
      </c>
      <c r="J112" s="449" t="s">
        <v>21</v>
      </c>
      <c r="K112" s="450">
        <f t="shared" si="10"/>
        <v>2075.0837694627789</v>
      </c>
      <c r="L112" s="448"/>
      <c r="M112" s="450">
        <v>2200</v>
      </c>
      <c r="O112" s="450">
        <v>2104.8159469865618</v>
      </c>
      <c r="U112" s="450">
        <v>2075.0837694627789</v>
      </c>
      <c r="AH112"/>
      <c r="AI112"/>
    </row>
    <row r="113" spans="1:35" s="450" customFormat="1" x14ac:dyDescent="0.25">
      <c r="A113" s="448">
        <v>5</v>
      </c>
      <c r="B113" s="448"/>
      <c r="C113" s="448">
        <f t="shared" si="6"/>
        <v>11</v>
      </c>
      <c r="D113" s="448">
        <f t="shared" si="7"/>
        <v>1</v>
      </c>
      <c r="E113" s="448">
        <f t="shared" si="8"/>
        <v>14</v>
      </c>
      <c r="F113" s="448" t="str">
        <f t="shared" si="9"/>
        <v>pm</v>
      </c>
      <c r="G113" s="448" t="s">
        <v>174</v>
      </c>
      <c r="H113" s="448" t="s">
        <v>374</v>
      </c>
      <c r="I113" s="448" t="s">
        <v>173</v>
      </c>
      <c r="J113" s="449" t="s">
        <v>21</v>
      </c>
      <c r="K113" s="450">
        <f t="shared" si="10"/>
        <v>2192.5369343564885</v>
      </c>
      <c r="L113" s="448"/>
      <c r="M113" s="450">
        <v>2200</v>
      </c>
      <c r="O113" s="450">
        <v>2192.5369343564885</v>
      </c>
      <c r="AH113"/>
      <c r="AI113"/>
    </row>
    <row r="114" spans="1:35" s="450" customFormat="1" x14ac:dyDescent="0.25">
      <c r="A114" s="448">
        <v>4</v>
      </c>
      <c r="B114" s="448"/>
      <c r="C114" s="448">
        <f t="shared" si="6"/>
        <v>12</v>
      </c>
      <c r="D114" s="448">
        <f t="shared" si="7"/>
        <v>1</v>
      </c>
      <c r="E114" s="448">
        <f t="shared" si="8"/>
        <v>14</v>
      </c>
      <c r="F114" s="448" t="str">
        <f t="shared" si="9"/>
        <v>pm</v>
      </c>
      <c r="G114" s="448" t="s">
        <v>176</v>
      </c>
      <c r="H114" s="448" t="s">
        <v>374</v>
      </c>
      <c r="I114" s="448" t="s">
        <v>175</v>
      </c>
      <c r="J114" s="449" t="s">
        <v>21</v>
      </c>
      <c r="K114" s="450">
        <f t="shared" si="10"/>
        <v>2186.8300605333634</v>
      </c>
      <c r="L114" s="448"/>
      <c r="M114" s="450">
        <v>2200</v>
      </c>
      <c r="U114" s="450">
        <v>2186.8300605333634</v>
      </c>
      <c r="AH114"/>
      <c r="AI114"/>
    </row>
    <row r="115" spans="1:35" s="450" customFormat="1" x14ac:dyDescent="0.25">
      <c r="A115" s="448">
        <v>6</v>
      </c>
      <c r="B115" s="448"/>
      <c r="C115" s="448">
        <f t="shared" si="6"/>
        <v>13</v>
      </c>
      <c r="D115" s="448">
        <f t="shared" si="7"/>
        <v>1</v>
      </c>
      <c r="E115" s="448">
        <f t="shared" si="8"/>
        <v>14</v>
      </c>
      <c r="F115" s="448" t="str">
        <f t="shared" si="9"/>
        <v>pm</v>
      </c>
      <c r="G115" s="448" t="s">
        <v>194</v>
      </c>
      <c r="H115" s="448" t="s">
        <v>374</v>
      </c>
      <c r="I115" s="448" t="s">
        <v>193</v>
      </c>
      <c r="J115" s="449" t="s">
        <v>21</v>
      </c>
      <c r="K115" s="450">
        <f t="shared" si="10"/>
        <v>2047.8105361849766</v>
      </c>
      <c r="L115" s="448"/>
      <c r="M115" s="450">
        <v>2200</v>
      </c>
      <c r="Q115" s="450">
        <v>2163.7344821514484</v>
      </c>
      <c r="S115" s="450">
        <v>2076.1154229393692</v>
      </c>
      <c r="U115" s="450">
        <v>2047.8105361849766</v>
      </c>
      <c r="AH115"/>
      <c r="AI115"/>
    </row>
    <row r="116" spans="1:35" s="450" customFormat="1" x14ac:dyDescent="0.25">
      <c r="A116" s="448">
        <v>6</v>
      </c>
      <c r="B116" s="448"/>
      <c r="C116" s="448">
        <f t="shared" si="6"/>
        <v>14</v>
      </c>
      <c r="D116" s="448">
        <f t="shared" si="7"/>
        <v>1</v>
      </c>
      <c r="E116" s="448">
        <f t="shared" si="8"/>
        <v>14</v>
      </c>
      <c r="F116" s="448" t="str">
        <f t="shared" si="9"/>
        <v>pm</v>
      </c>
      <c r="G116" s="448" t="s">
        <v>199</v>
      </c>
      <c r="H116" s="448" t="s">
        <v>374</v>
      </c>
      <c r="I116" s="448" t="s">
        <v>198</v>
      </c>
      <c r="J116" s="449" t="s">
        <v>21</v>
      </c>
      <c r="K116" s="450">
        <f t="shared" si="10"/>
        <v>1875.9252781891223</v>
      </c>
      <c r="L116" s="448"/>
      <c r="M116" s="450">
        <v>2200</v>
      </c>
      <c r="Q116" s="450">
        <v>2088.3530041259473</v>
      </c>
      <c r="S116" s="450">
        <v>1955.6661733617088</v>
      </c>
      <c r="U116" s="450">
        <v>1875.9252781891223</v>
      </c>
      <c r="AH116"/>
      <c r="AI116"/>
    </row>
    <row r="117" spans="1:35" s="450" customFormat="1" x14ac:dyDescent="0.25">
      <c r="A117" s="448">
        <v>4</v>
      </c>
      <c r="B117" s="448"/>
      <c r="C117" s="448">
        <f t="shared" si="6"/>
        <v>15</v>
      </c>
      <c r="D117" s="448">
        <f t="shared" si="7"/>
        <v>1</v>
      </c>
      <c r="E117" s="448">
        <f t="shared" si="8"/>
        <v>14</v>
      </c>
      <c r="F117" s="448" t="str">
        <f t="shared" si="9"/>
        <v>pm</v>
      </c>
      <c r="G117" s="448" t="s">
        <v>178</v>
      </c>
      <c r="H117" s="448" t="s">
        <v>374</v>
      </c>
      <c r="I117" s="448" t="s">
        <v>177</v>
      </c>
      <c r="J117" s="449" t="s">
        <v>21</v>
      </c>
      <c r="K117" s="450">
        <f t="shared" si="10"/>
        <v>2183.6636711289457</v>
      </c>
      <c r="L117" s="448"/>
      <c r="M117" s="450">
        <v>2200</v>
      </c>
      <c r="U117" s="450">
        <v>2183.6636711289457</v>
      </c>
      <c r="AH117"/>
      <c r="AI117"/>
    </row>
    <row r="118" spans="1:35" s="450" customFormat="1" x14ac:dyDescent="0.25">
      <c r="A118" s="448">
        <v>4</v>
      </c>
      <c r="B118" s="448"/>
      <c r="C118" s="448">
        <f t="shared" si="6"/>
        <v>16</v>
      </c>
      <c r="D118" s="448">
        <f t="shared" si="7"/>
        <v>1</v>
      </c>
      <c r="E118" s="448">
        <f t="shared" si="8"/>
        <v>14</v>
      </c>
      <c r="F118" s="448" t="str">
        <f t="shared" si="9"/>
        <v>pm</v>
      </c>
      <c r="G118" s="448" t="s">
        <v>182</v>
      </c>
      <c r="H118" s="448" t="s">
        <v>306</v>
      </c>
      <c r="I118" s="448" t="s">
        <v>181</v>
      </c>
      <c r="J118" s="449" t="s">
        <v>21</v>
      </c>
      <c r="K118" s="450">
        <f t="shared" si="10"/>
        <v>2134.1731065083045</v>
      </c>
      <c r="L118" s="448"/>
      <c r="M118" s="450">
        <v>2200</v>
      </c>
      <c r="U118" s="450">
        <v>2134.1731065083045</v>
      </c>
      <c r="AH118"/>
      <c r="AI118"/>
    </row>
    <row r="119" spans="1:35" s="450" customFormat="1" x14ac:dyDescent="0.25">
      <c r="A119" s="448">
        <v>3</v>
      </c>
      <c r="B119" s="448"/>
      <c r="C119" s="448">
        <f t="shared" si="6"/>
        <v>17</v>
      </c>
      <c r="D119" s="448">
        <f t="shared" si="7"/>
        <v>1</v>
      </c>
      <c r="E119" s="448">
        <f t="shared" si="8"/>
        <v>14</v>
      </c>
      <c r="F119" s="448" t="str">
        <f t="shared" si="9"/>
        <v>pm</v>
      </c>
      <c r="G119" s="448" t="s">
        <v>522</v>
      </c>
      <c r="H119" s="448" t="s">
        <v>523</v>
      </c>
      <c r="I119" s="448" t="s">
        <v>524</v>
      </c>
      <c r="J119" s="449" t="s">
        <v>21</v>
      </c>
      <c r="K119" s="450">
        <f t="shared" si="10"/>
        <v>2156.2324864205407</v>
      </c>
      <c r="L119" s="448"/>
      <c r="M119" s="450">
        <v>2200</v>
      </c>
      <c r="O119" s="450">
        <v>2156.2324864205407</v>
      </c>
      <c r="AH119"/>
      <c r="AI119"/>
    </row>
    <row r="120" spans="1:35" s="450" customFormat="1" x14ac:dyDescent="0.25">
      <c r="A120" s="448">
        <v>3</v>
      </c>
      <c r="B120" s="448"/>
      <c r="C120" s="448">
        <f t="shared" si="6"/>
        <v>18</v>
      </c>
      <c r="D120" s="448">
        <f t="shared" si="7"/>
        <v>1</v>
      </c>
      <c r="E120" s="448">
        <f t="shared" si="8"/>
        <v>14</v>
      </c>
      <c r="F120" s="448" t="str">
        <f t="shared" si="9"/>
        <v>pm</v>
      </c>
      <c r="G120" s="448" t="s">
        <v>525</v>
      </c>
      <c r="H120" s="448" t="s">
        <v>523</v>
      </c>
      <c r="I120" s="448" t="s">
        <v>526</v>
      </c>
      <c r="J120" s="449" t="s">
        <v>21</v>
      </c>
      <c r="K120" s="450">
        <f t="shared" si="10"/>
        <v>2202.1728034434786</v>
      </c>
      <c r="L120" s="448"/>
      <c r="M120" s="450">
        <v>2200</v>
      </c>
      <c r="O120" s="450">
        <v>2202.1728034434786</v>
      </c>
      <c r="AH120"/>
      <c r="AI120"/>
    </row>
    <row r="121" spans="1:35" s="450" customFormat="1" x14ac:dyDescent="0.25">
      <c r="A121" s="448">
        <v>1</v>
      </c>
      <c r="B121" s="448"/>
      <c r="C121" s="448">
        <f t="shared" si="6"/>
        <v>19</v>
      </c>
      <c r="D121" s="448">
        <f t="shared" si="7"/>
        <v>1</v>
      </c>
      <c r="E121" s="448">
        <f t="shared" si="8"/>
        <v>14</v>
      </c>
      <c r="F121" s="448" t="str">
        <f t="shared" si="9"/>
        <v>pmx</v>
      </c>
      <c r="G121" s="448" t="s">
        <v>527</v>
      </c>
      <c r="H121" s="448" t="s">
        <v>330</v>
      </c>
      <c r="I121" s="448" t="s">
        <v>528</v>
      </c>
      <c r="J121" s="449" t="s">
        <v>21</v>
      </c>
      <c r="K121" s="450">
        <f t="shared" si="10"/>
        <v>2306.8327545238444</v>
      </c>
      <c r="L121" s="448"/>
      <c r="M121" s="450">
        <v>2200</v>
      </c>
      <c r="S121" s="450">
        <v>2306.8327545238444</v>
      </c>
      <c r="AH121"/>
      <c r="AI121"/>
    </row>
    <row r="122" spans="1:35" s="450" customFormat="1" x14ac:dyDescent="0.25">
      <c r="A122" s="448">
        <v>2</v>
      </c>
      <c r="B122" s="448"/>
      <c r="C122" s="448">
        <f t="shared" si="6"/>
        <v>20</v>
      </c>
      <c r="D122" s="448">
        <f t="shared" si="7"/>
        <v>1</v>
      </c>
      <c r="E122" s="448">
        <f t="shared" si="8"/>
        <v>14</v>
      </c>
      <c r="F122" s="448" t="str">
        <f t="shared" si="9"/>
        <v>pm</v>
      </c>
      <c r="G122" s="448" t="s">
        <v>168</v>
      </c>
      <c r="H122" s="448" t="s">
        <v>330</v>
      </c>
      <c r="I122" s="448" t="s">
        <v>167</v>
      </c>
      <c r="J122" s="449" t="s">
        <v>21</v>
      </c>
      <c r="K122" s="450">
        <f t="shared" si="10"/>
        <v>2267.1704673081986</v>
      </c>
      <c r="L122" s="448"/>
      <c r="M122" s="450">
        <v>2200</v>
      </c>
      <c r="S122" s="450">
        <v>2267.1704673081986</v>
      </c>
      <c r="AH122"/>
      <c r="AI122"/>
    </row>
    <row r="123" spans="1:35" s="450" customFormat="1" x14ac:dyDescent="0.25">
      <c r="A123" s="448">
        <v>3</v>
      </c>
      <c r="B123" s="448"/>
      <c r="C123" s="448">
        <f t="shared" si="6"/>
        <v>21</v>
      </c>
      <c r="D123" s="448">
        <f t="shared" si="7"/>
        <v>1</v>
      </c>
      <c r="E123" s="448">
        <f t="shared" si="8"/>
        <v>14</v>
      </c>
      <c r="F123" s="448" t="str">
        <f t="shared" si="9"/>
        <v>pm</v>
      </c>
      <c r="G123" s="448" t="s">
        <v>170</v>
      </c>
      <c r="H123" s="448" t="s">
        <v>330</v>
      </c>
      <c r="I123" s="448" t="s">
        <v>169</v>
      </c>
      <c r="J123" s="449" t="s">
        <v>21</v>
      </c>
      <c r="K123" s="450">
        <f t="shared" si="10"/>
        <v>2220.2025999969192</v>
      </c>
      <c r="L123" s="448"/>
      <c r="M123" s="450">
        <v>2200</v>
      </c>
      <c r="S123" s="450">
        <v>2229.3799913634903</v>
      </c>
      <c r="V123" s="450">
        <v>2220.2025999969192</v>
      </c>
      <c r="AH123"/>
      <c r="AI123"/>
    </row>
    <row r="124" spans="1:35" s="450" customFormat="1" x14ac:dyDescent="0.25">
      <c r="A124" s="448">
        <v>1</v>
      </c>
      <c r="B124" s="448"/>
      <c r="C124" s="448">
        <f t="shared" si="6"/>
        <v>22</v>
      </c>
      <c r="D124" s="448">
        <f t="shared" si="7"/>
        <v>1</v>
      </c>
      <c r="E124" s="448">
        <f t="shared" si="8"/>
        <v>14</v>
      </c>
      <c r="F124" s="448" t="str">
        <f t="shared" si="9"/>
        <v>pmx</v>
      </c>
      <c r="G124" s="448" t="s">
        <v>529</v>
      </c>
      <c r="H124" s="448" t="s">
        <v>293</v>
      </c>
      <c r="I124" s="448" t="s">
        <v>530</v>
      </c>
      <c r="J124" s="449" t="s">
        <v>21</v>
      </c>
      <c r="K124" s="450">
        <f t="shared" si="10"/>
        <v>2200</v>
      </c>
      <c r="L124" s="448"/>
      <c r="M124" s="450">
        <v>2200</v>
      </c>
      <c r="AH124"/>
      <c r="AI124"/>
    </row>
    <row r="125" spans="1:35" s="450" customFormat="1" x14ac:dyDescent="0.25">
      <c r="A125" s="448">
        <v>4</v>
      </c>
      <c r="B125" s="448"/>
      <c r="C125" s="448">
        <f t="shared" si="6"/>
        <v>23</v>
      </c>
      <c r="D125" s="448">
        <f t="shared" si="7"/>
        <v>1</v>
      </c>
      <c r="E125" s="448">
        <f t="shared" si="8"/>
        <v>14</v>
      </c>
      <c r="F125" s="448" t="str">
        <f t="shared" si="9"/>
        <v>pm</v>
      </c>
      <c r="G125" s="448" t="s">
        <v>531</v>
      </c>
      <c r="H125" s="448" t="s">
        <v>319</v>
      </c>
      <c r="I125" s="448" t="s">
        <v>532</v>
      </c>
      <c r="J125" s="449" t="s">
        <v>21</v>
      </c>
      <c r="K125" s="450">
        <f t="shared" si="10"/>
        <v>2227.7056095642806</v>
      </c>
      <c r="L125" s="448"/>
      <c r="M125" s="450">
        <v>2200</v>
      </c>
      <c r="O125" s="450">
        <v>2237.4859062594396</v>
      </c>
      <c r="S125" s="450">
        <v>2234.6390291425291</v>
      </c>
      <c r="U125" s="450">
        <v>2227.7056095642806</v>
      </c>
      <c r="AH125"/>
      <c r="AI125"/>
    </row>
    <row r="126" spans="1:35" s="450" customFormat="1" x14ac:dyDescent="0.25">
      <c r="A126" s="448">
        <v>4</v>
      </c>
      <c r="B126" s="448"/>
      <c r="C126" s="448">
        <f t="shared" si="6"/>
        <v>24</v>
      </c>
      <c r="D126" s="448">
        <f t="shared" si="7"/>
        <v>1</v>
      </c>
      <c r="E126" s="448">
        <f t="shared" si="8"/>
        <v>14</v>
      </c>
      <c r="F126" s="448" t="str">
        <f t="shared" si="9"/>
        <v>pm</v>
      </c>
      <c r="G126" s="448" t="s">
        <v>533</v>
      </c>
      <c r="H126" s="448" t="s">
        <v>319</v>
      </c>
      <c r="I126" s="448" t="s">
        <v>534</v>
      </c>
      <c r="J126" s="449" t="s">
        <v>21</v>
      </c>
      <c r="K126" s="450">
        <f t="shared" si="10"/>
        <v>2181.6712479640219</v>
      </c>
      <c r="L126" s="448"/>
      <c r="M126" s="450">
        <v>2200</v>
      </c>
      <c r="O126" s="450">
        <v>2210.6639227494029</v>
      </c>
      <c r="S126" s="450">
        <v>2180.5396784301838</v>
      </c>
      <c r="U126" s="450">
        <v>2181.6712479640219</v>
      </c>
      <c r="AH126"/>
      <c r="AI126"/>
    </row>
    <row r="127" spans="1:35" s="450" customFormat="1" x14ac:dyDescent="0.25">
      <c r="A127" s="448">
        <v>5</v>
      </c>
      <c r="B127" s="448"/>
      <c r="C127" s="448">
        <f t="shared" si="6"/>
        <v>25</v>
      </c>
      <c r="D127" s="448">
        <f t="shared" si="7"/>
        <v>1</v>
      </c>
      <c r="E127" s="448">
        <f t="shared" si="8"/>
        <v>14</v>
      </c>
      <c r="F127" s="448" t="str">
        <f t="shared" si="9"/>
        <v>pm</v>
      </c>
      <c r="G127" s="448" t="s">
        <v>166</v>
      </c>
      <c r="H127" s="448" t="s">
        <v>338</v>
      </c>
      <c r="I127" s="448" t="s">
        <v>165</v>
      </c>
      <c r="J127" s="449" t="s">
        <v>21</v>
      </c>
      <c r="K127" s="450">
        <f t="shared" si="10"/>
        <v>2278.9585369408887</v>
      </c>
      <c r="L127" s="448"/>
      <c r="M127" s="450">
        <v>2200</v>
      </c>
      <c r="S127" s="450">
        <v>2214.1140087089798</v>
      </c>
      <c r="U127" s="450">
        <v>2278.9585369408887</v>
      </c>
      <c r="AH127"/>
      <c r="AI127"/>
    </row>
    <row r="128" spans="1:35" s="450" customFormat="1" x14ac:dyDescent="0.25">
      <c r="A128" s="448">
        <v>5</v>
      </c>
      <c r="B128" s="448"/>
      <c r="C128" s="448">
        <f t="shared" si="6"/>
        <v>26</v>
      </c>
      <c r="D128" s="448">
        <f t="shared" si="7"/>
        <v>1</v>
      </c>
      <c r="E128" s="448">
        <f t="shared" si="8"/>
        <v>14</v>
      </c>
      <c r="F128" s="448" t="str">
        <f t="shared" si="9"/>
        <v>pm</v>
      </c>
      <c r="G128" s="448" t="s">
        <v>197</v>
      </c>
      <c r="H128" s="448" t="s">
        <v>338</v>
      </c>
      <c r="I128" s="448" t="s">
        <v>196</v>
      </c>
      <c r="J128" s="449" t="s">
        <v>21</v>
      </c>
      <c r="K128" s="450">
        <f t="shared" si="10"/>
        <v>2029.7385368406767</v>
      </c>
      <c r="L128" s="448"/>
      <c r="M128" s="450">
        <v>2200</v>
      </c>
      <c r="S128" s="450">
        <v>2101.7123322867064</v>
      </c>
      <c r="U128" s="450">
        <v>2029.7385368406767</v>
      </c>
      <c r="AH128"/>
      <c r="AI128"/>
    </row>
    <row r="129" spans="1:35" s="450" customFormat="1" x14ac:dyDescent="0.25">
      <c r="A129" s="448">
        <v>2</v>
      </c>
      <c r="B129" s="448"/>
      <c r="C129" s="448">
        <f t="shared" si="6"/>
        <v>27</v>
      </c>
      <c r="D129" s="448">
        <f t="shared" si="7"/>
        <v>1</v>
      </c>
      <c r="E129" s="448">
        <f t="shared" si="8"/>
        <v>14</v>
      </c>
      <c r="F129" s="448" t="str">
        <f t="shared" si="9"/>
        <v>pm</v>
      </c>
      <c r="G129" s="448" t="s">
        <v>535</v>
      </c>
      <c r="H129" s="448" t="s">
        <v>316</v>
      </c>
      <c r="I129" s="448" t="s">
        <v>536</v>
      </c>
      <c r="J129" s="449" t="s">
        <v>21</v>
      </c>
      <c r="K129" s="450">
        <f t="shared" si="10"/>
        <v>2257.5203872558918</v>
      </c>
      <c r="L129" s="448"/>
      <c r="M129" s="450">
        <v>2200</v>
      </c>
      <c r="O129" s="450">
        <v>2257.5203872558918</v>
      </c>
      <c r="AH129"/>
      <c r="AI129"/>
    </row>
    <row r="130" spans="1:35" s="450" customFormat="1" x14ac:dyDescent="0.25">
      <c r="A130" s="448">
        <v>2</v>
      </c>
      <c r="B130" s="448"/>
      <c r="C130" s="448">
        <f t="shared" ref="C130:C193" si="11">IF(E130=E129,C129+1,1)</f>
        <v>28</v>
      </c>
      <c r="D130" s="448">
        <f t="shared" ref="D130:D193" si="12">IF(M130=M129,D129,C130)</f>
        <v>1</v>
      </c>
      <c r="E130" s="448">
        <f t="shared" ref="E130:E193" si="13">10+VALUE(RIGHT(LEFT(G130,3),1))</f>
        <v>14</v>
      </c>
      <c r="F130" s="448" t="str">
        <f t="shared" ref="F130:F193" si="14">RIGHT(G130,2) &amp; IF(A130&lt;2,"x","")</f>
        <v>pm</v>
      </c>
      <c r="G130" s="448" t="s">
        <v>537</v>
      </c>
      <c r="H130" s="448" t="s">
        <v>335</v>
      </c>
      <c r="I130" s="448" t="s">
        <v>538</v>
      </c>
      <c r="J130" s="449" t="s">
        <v>21</v>
      </c>
      <c r="K130" s="450">
        <f t="shared" ref="K130:K193" si="15">LOOKUP(1E+100,M130:AC130)</f>
        <v>2312.9812528642774</v>
      </c>
      <c r="L130" s="448"/>
      <c r="M130" s="450">
        <v>2200</v>
      </c>
      <c r="O130" s="450">
        <v>2312.9812528642774</v>
      </c>
      <c r="AH130"/>
      <c r="AI130"/>
    </row>
    <row r="131" spans="1:35" s="450" customFormat="1" x14ac:dyDescent="0.25">
      <c r="A131" s="448">
        <v>2</v>
      </c>
      <c r="B131" s="448"/>
      <c r="C131" s="448">
        <f t="shared" si="11"/>
        <v>29</v>
      </c>
      <c r="D131" s="448">
        <f t="shared" si="12"/>
        <v>1</v>
      </c>
      <c r="E131" s="448">
        <f t="shared" si="13"/>
        <v>14</v>
      </c>
      <c r="F131" s="448" t="str">
        <f t="shared" si="14"/>
        <v>pm</v>
      </c>
      <c r="G131" s="448" t="s">
        <v>539</v>
      </c>
      <c r="H131" s="448" t="s">
        <v>303</v>
      </c>
      <c r="I131" s="448" t="s">
        <v>540</v>
      </c>
      <c r="J131" s="449" t="s">
        <v>21</v>
      </c>
      <c r="K131" s="450">
        <f t="shared" si="15"/>
        <v>2164.4049745183374</v>
      </c>
      <c r="L131" s="448"/>
      <c r="M131" s="450">
        <v>2200</v>
      </c>
      <c r="O131" s="450">
        <v>2175.4488963954454</v>
      </c>
      <c r="U131" s="450">
        <v>2164.4049745183374</v>
      </c>
      <c r="AH131"/>
      <c r="AI131"/>
    </row>
    <row r="132" spans="1:35" s="450" customFormat="1" x14ac:dyDescent="0.25">
      <c r="A132" s="448"/>
      <c r="B132" s="448"/>
      <c r="C132" s="448">
        <f t="shared" si="11"/>
        <v>30</v>
      </c>
      <c r="D132" s="448">
        <f t="shared" si="12"/>
        <v>1</v>
      </c>
      <c r="E132" s="448">
        <f t="shared" si="13"/>
        <v>14</v>
      </c>
      <c r="F132" s="448" t="str">
        <f t="shared" si="14"/>
        <v>pmx</v>
      </c>
      <c r="G132" s="448" t="s">
        <v>539</v>
      </c>
      <c r="H132" s="448"/>
      <c r="I132" s="448" t="s">
        <v>541</v>
      </c>
      <c r="J132" s="449" t="s">
        <v>21</v>
      </c>
      <c r="K132" s="450">
        <f t="shared" si="15"/>
        <v>2200</v>
      </c>
      <c r="L132" s="448"/>
      <c r="M132" s="450">
        <v>2200</v>
      </c>
      <c r="O132" s="451"/>
      <c r="P132" s="451"/>
      <c r="Q132" s="451"/>
      <c r="R132" s="451"/>
      <c r="S132" s="451"/>
      <c r="T132" s="451"/>
      <c r="U132" s="451"/>
      <c r="V132" s="451"/>
      <c r="W132" s="451"/>
      <c r="X132" s="451"/>
      <c r="Y132" s="451"/>
      <c r="Z132" s="451"/>
      <c r="AA132" s="451"/>
      <c r="AB132" s="451"/>
      <c r="AC132" s="451"/>
      <c r="AD132" s="451"/>
      <c r="AE132" s="451"/>
      <c r="AF132" s="451"/>
      <c r="AG132" s="451"/>
      <c r="AH132"/>
      <c r="AI132"/>
    </row>
    <row r="133" spans="1:35" s="450" customFormat="1" x14ac:dyDescent="0.25">
      <c r="A133" s="448">
        <v>4</v>
      </c>
      <c r="B133" s="448"/>
      <c r="C133" s="448">
        <f t="shared" si="11"/>
        <v>31</v>
      </c>
      <c r="D133" s="448">
        <f t="shared" si="12"/>
        <v>31</v>
      </c>
      <c r="E133" s="448">
        <f t="shared" si="13"/>
        <v>14</v>
      </c>
      <c r="F133" s="448" t="str">
        <f t="shared" si="14"/>
        <v>pm</v>
      </c>
      <c r="G133" s="448" t="s">
        <v>190</v>
      </c>
      <c r="H133" s="448" t="s">
        <v>335</v>
      </c>
      <c r="I133" s="448" t="s">
        <v>189</v>
      </c>
      <c r="J133" s="449" t="s">
        <v>21</v>
      </c>
      <c r="K133" s="450">
        <f t="shared" si="15"/>
        <v>2111.5716033290137</v>
      </c>
      <c r="L133" s="448"/>
      <c r="M133" s="450">
        <v>2150</v>
      </c>
      <c r="S133" s="450">
        <v>2111.5716033290137</v>
      </c>
      <c r="AH133"/>
      <c r="AI133"/>
    </row>
    <row r="134" spans="1:35" s="450" customFormat="1" x14ac:dyDescent="0.25">
      <c r="A134" s="448">
        <v>4</v>
      </c>
      <c r="B134" s="448"/>
      <c r="C134" s="448">
        <f t="shared" si="11"/>
        <v>32</v>
      </c>
      <c r="D134" s="448">
        <f t="shared" si="12"/>
        <v>32</v>
      </c>
      <c r="E134" s="448">
        <f t="shared" si="13"/>
        <v>14</v>
      </c>
      <c r="F134" s="448" t="str">
        <f t="shared" si="14"/>
        <v>pm</v>
      </c>
      <c r="G134" s="448" t="s">
        <v>542</v>
      </c>
      <c r="H134" s="448" t="s">
        <v>543</v>
      </c>
      <c r="I134" s="448" t="s">
        <v>544</v>
      </c>
      <c r="J134" s="449" t="s">
        <v>21</v>
      </c>
      <c r="K134" s="450">
        <f t="shared" si="15"/>
        <v>2043.0775176055329</v>
      </c>
      <c r="L134" s="448"/>
      <c r="M134" s="450">
        <v>2100</v>
      </c>
      <c r="U134" s="450">
        <v>2043.0775176055329</v>
      </c>
      <c r="AH134"/>
      <c r="AI134"/>
    </row>
    <row r="135" spans="1:35" s="450" customFormat="1" x14ac:dyDescent="0.25">
      <c r="A135" s="448">
        <v>2</v>
      </c>
      <c r="B135" s="448"/>
      <c r="C135" s="448">
        <f t="shared" si="11"/>
        <v>33</v>
      </c>
      <c r="D135" s="448">
        <f t="shared" si="12"/>
        <v>32</v>
      </c>
      <c r="E135" s="448">
        <f t="shared" si="13"/>
        <v>14</v>
      </c>
      <c r="F135" s="448" t="str">
        <f t="shared" si="14"/>
        <v>pm</v>
      </c>
      <c r="G135" s="448" t="s">
        <v>545</v>
      </c>
      <c r="H135" s="448" t="s">
        <v>431</v>
      </c>
      <c r="I135" s="448" t="s">
        <v>546</v>
      </c>
      <c r="J135" s="449" t="s">
        <v>21</v>
      </c>
      <c r="K135" s="450">
        <f t="shared" si="15"/>
        <v>2113.396842419188</v>
      </c>
      <c r="L135" s="448"/>
      <c r="M135" s="450">
        <v>2100</v>
      </c>
      <c r="O135" s="450">
        <v>2113.396842419188</v>
      </c>
      <c r="AH135"/>
      <c r="AI135"/>
    </row>
    <row r="136" spans="1:35" s="450" customFormat="1" x14ac:dyDescent="0.25">
      <c r="A136" s="448">
        <v>3</v>
      </c>
      <c r="B136" s="448"/>
      <c r="C136" s="448">
        <f t="shared" si="11"/>
        <v>34</v>
      </c>
      <c r="D136" s="448">
        <f t="shared" si="12"/>
        <v>34</v>
      </c>
      <c r="E136" s="448">
        <f t="shared" si="13"/>
        <v>14</v>
      </c>
      <c r="F136" s="448" t="str">
        <f t="shared" si="14"/>
        <v>pm</v>
      </c>
      <c r="G136" s="448" t="s">
        <v>547</v>
      </c>
      <c r="H136" s="448" t="s">
        <v>316</v>
      </c>
      <c r="I136" s="448" t="s">
        <v>548</v>
      </c>
      <c r="J136" s="449" t="s">
        <v>21</v>
      </c>
      <c r="K136" s="450">
        <f t="shared" si="15"/>
        <v>2201.9753930179209</v>
      </c>
      <c r="L136" s="448"/>
      <c r="M136" s="450">
        <v>2066.6666666666665</v>
      </c>
      <c r="O136" s="450">
        <v>2201.9753930179209</v>
      </c>
      <c r="AH136"/>
      <c r="AI136"/>
    </row>
    <row r="137" spans="1:35" s="450" customFormat="1" x14ac:dyDescent="0.25">
      <c r="A137" s="448">
        <v>5</v>
      </c>
      <c r="B137" s="448"/>
      <c r="C137" s="448">
        <f t="shared" si="11"/>
        <v>35</v>
      </c>
      <c r="D137" s="448">
        <f t="shared" si="12"/>
        <v>35</v>
      </c>
      <c r="E137" s="448">
        <f t="shared" si="13"/>
        <v>14</v>
      </c>
      <c r="F137" s="448" t="str">
        <f t="shared" si="14"/>
        <v>pm</v>
      </c>
      <c r="G137" s="448" t="s">
        <v>192</v>
      </c>
      <c r="H137" s="448" t="s">
        <v>327</v>
      </c>
      <c r="I137" s="448" t="s">
        <v>191</v>
      </c>
      <c r="J137" s="449" t="s">
        <v>21</v>
      </c>
      <c r="K137" s="450">
        <f t="shared" si="15"/>
        <v>2065.5934655640858</v>
      </c>
      <c r="L137" s="448"/>
      <c r="M137" s="450">
        <v>2040</v>
      </c>
      <c r="O137" s="450">
        <v>2039.2796529523846</v>
      </c>
      <c r="S137" s="450">
        <v>2065.5934655640858</v>
      </c>
      <c r="AH137"/>
      <c r="AI137"/>
    </row>
    <row r="138" spans="1:35" s="450" customFormat="1" x14ac:dyDescent="0.25">
      <c r="A138" s="448">
        <v>5</v>
      </c>
      <c r="B138" s="448"/>
      <c r="C138" s="448">
        <f t="shared" si="11"/>
        <v>36</v>
      </c>
      <c r="D138" s="448">
        <f t="shared" si="12"/>
        <v>35</v>
      </c>
      <c r="E138" s="448">
        <f t="shared" si="13"/>
        <v>14</v>
      </c>
      <c r="F138" s="448" t="str">
        <f t="shared" si="14"/>
        <v>pm</v>
      </c>
      <c r="G138" s="448" t="s">
        <v>201</v>
      </c>
      <c r="H138" s="448" t="s">
        <v>327</v>
      </c>
      <c r="I138" s="448" t="s">
        <v>200</v>
      </c>
      <c r="J138" s="449" t="s">
        <v>21</v>
      </c>
      <c r="K138" s="450">
        <f t="shared" si="15"/>
        <v>1894.2272816119016</v>
      </c>
      <c r="L138" s="448"/>
      <c r="M138" s="450">
        <v>2040</v>
      </c>
      <c r="O138" s="450">
        <v>1896.3415220391612</v>
      </c>
      <c r="S138" s="450">
        <v>1894.2272816119016</v>
      </c>
      <c r="AH138"/>
      <c r="AI138"/>
    </row>
    <row r="139" spans="1:35" s="450" customFormat="1" x14ac:dyDescent="0.25">
      <c r="A139" s="448">
        <v>6</v>
      </c>
      <c r="B139" s="448"/>
      <c r="C139" s="448">
        <f t="shared" si="11"/>
        <v>37</v>
      </c>
      <c r="D139" s="448">
        <f t="shared" si="12"/>
        <v>37</v>
      </c>
      <c r="E139" s="448">
        <f t="shared" si="13"/>
        <v>14</v>
      </c>
      <c r="F139" s="448" t="str">
        <f t="shared" si="14"/>
        <v>pm</v>
      </c>
      <c r="G139" s="448" t="s">
        <v>549</v>
      </c>
      <c r="H139" s="448" t="s">
        <v>396</v>
      </c>
      <c r="I139" s="448" t="s">
        <v>550</v>
      </c>
      <c r="J139" s="449" t="s">
        <v>20</v>
      </c>
      <c r="K139" s="450">
        <f t="shared" si="15"/>
        <v>1882.1510640657773</v>
      </c>
      <c r="L139" s="448"/>
      <c r="M139" s="450">
        <v>2000</v>
      </c>
      <c r="P139" s="450">
        <v>1895.6498384460454</v>
      </c>
      <c r="S139" s="450">
        <v>1878.2752759660921</v>
      </c>
      <c r="U139" s="450">
        <v>1841.279855537357</v>
      </c>
      <c r="V139" s="450">
        <v>1882.1510640657773</v>
      </c>
      <c r="AH139"/>
      <c r="AI139"/>
    </row>
    <row r="140" spans="1:35" s="450" customFormat="1" x14ac:dyDescent="0.25">
      <c r="A140" s="448">
        <v>6</v>
      </c>
      <c r="B140" s="448"/>
      <c r="C140" s="448">
        <f t="shared" si="11"/>
        <v>38</v>
      </c>
      <c r="D140" s="448">
        <f t="shared" si="12"/>
        <v>37</v>
      </c>
      <c r="E140" s="448">
        <f t="shared" si="13"/>
        <v>14</v>
      </c>
      <c r="F140" s="448" t="str">
        <f t="shared" si="14"/>
        <v>pm</v>
      </c>
      <c r="G140" s="448" t="s">
        <v>184</v>
      </c>
      <c r="H140" s="448" t="s">
        <v>368</v>
      </c>
      <c r="I140" s="448" t="s">
        <v>183</v>
      </c>
      <c r="J140" s="449" t="s">
        <v>20</v>
      </c>
      <c r="K140" s="450">
        <f t="shared" si="15"/>
        <v>2125.9014593645511</v>
      </c>
      <c r="L140" s="448"/>
      <c r="M140" s="450">
        <v>2000</v>
      </c>
      <c r="P140" s="450">
        <v>2046.5213833507919</v>
      </c>
      <c r="R140" s="450">
        <v>2056.3147376237139</v>
      </c>
      <c r="T140" s="450">
        <v>2125.9014593645511</v>
      </c>
      <c r="AH140"/>
      <c r="AI140"/>
    </row>
    <row r="141" spans="1:35" s="450" customFormat="1" x14ac:dyDescent="0.25">
      <c r="A141" s="448">
        <v>4</v>
      </c>
      <c r="B141" s="448"/>
      <c r="C141" s="448">
        <f t="shared" si="11"/>
        <v>39</v>
      </c>
      <c r="D141" s="448">
        <f t="shared" si="12"/>
        <v>37</v>
      </c>
      <c r="E141" s="448">
        <f t="shared" si="13"/>
        <v>14</v>
      </c>
      <c r="F141" s="448" t="str">
        <f t="shared" si="14"/>
        <v>pm</v>
      </c>
      <c r="G141" s="448" t="s">
        <v>551</v>
      </c>
      <c r="H141" s="448" t="s">
        <v>319</v>
      </c>
      <c r="I141" s="448" t="s">
        <v>552</v>
      </c>
      <c r="J141" s="449" t="s">
        <v>20</v>
      </c>
      <c r="K141" s="450">
        <f t="shared" si="15"/>
        <v>1890.3332168465452</v>
      </c>
      <c r="L141" s="448"/>
      <c r="M141" s="450">
        <v>2000</v>
      </c>
      <c r="O141" s="450">
        <v>1987.3948411288115</v>
      </c>
      <c r="R141" s="450">
        <v>1890.3332168465452</v>
      </c>
      <c r="AH141"/>
      <c r="AI141"/>
    </row>
    <row r="142" spans="1:35" s="450" customFormat="1" x14ac:dyDescent="0.25">
      <c r="A142" s="448">
        <v>3</v>
      </c>
      <c r="B142" s="448"/>
      <c r="C142" s="448">
        <f t="shared" si="11"/>
        <v>40</v>
      </c>
      <c r="D142" s="448">
        <f t="shared" si="12"/>
        <v>40</v>
      </c>
      <c r="E142" s="448">
        <f t="shared" si="13"/>
        <v>14</v>
      </c>
      <c r="F142" s="448" t="str">
        <f t="shared" si="14"/>
        <v>pm</v>
      </c>
      <c r="G142" s="448" t="s">
        <v>553</v>
      </c>
      <c r="H142" s="448" t="s">
        <v>554</v>
      </c>
      <c r="I142" s="448" t="s">
        <v>555</v>
      </c>
      <c r="J142" s="449" t="s">
        <v>20</v>
      </c>
      <c r="K142" s="450">
        <f t="shared" si="15"/>
        <v>1879.2335628365884</v>
      </c>
      <c r="L142" s="448"/>
      <c r="M142" s="450">
        <v>1933.3333333333333</v>
      </c>
      <c r="O142" s="451"/>
      <c r="P142" s="451"/>
      <c r="Q142" s="451">
        <v>1916.9532749111102</v>
      </c>
      <c r="R142" s="451"/>
      <c r="S142" s="451"/>
      <c r="T142" s="451"/>
      <c r="U142" s="451"/>
      <c r="V142" s="451">
        <v>1879.2335628365884</v>
      </c>
      <c r="W142" s="451"/>
      <c r="X142" s="451"/>
      <c r="Y142" s="451"/>
      <c r="Z142" s="451"/>
      <c r="AA142" s="451"/>
      <c r="AB142" s="451"/>
      <c r="AC142" s="451"/>
      <c r="AD142" s="451"/>
      <c r="AE142" s="451"/>
      <c r="AF142" s="451"/>
      <c r="AG142" s="451"/>
      <c r="AH142"/>
      <c r="AI142"/>
    </row>
    <row r="143" spans="1:35" s="450" customFormat="1" x14ac:dyDescent="0.25">
      <c r="A143" s="448">
        <v>3</v>
      </c>
      <c r="B143" s="448"/>
      <c r="C143" s="448">
        <f t="shared" si="11"/>
        <v>41</v>
      </c>
      <c r="D143" s="448">
        <f t="shared" si="12"/>
        <v>40</v>
      </c>
      <c r="E143" s="448">
        <f t="shared" si="13"/>
        <v>14</v>
      </c>
      <c r="F143" s="448" t="str">
        <f t="shared" si="14"/>
        <v>pm</v>
      </c>
      <c r="G143" s="448" t="s">
        <v>556</v>
      </c>
      <c r="H143" s="448" t="s">
        <v>437</v>
      </c>
      <c r="I143" s="448" t="s">
        <v>557</v>
      </c>
      <c r="J143" s="449" t="s">
        <v>20</v>
      </c>
      <c r="K143" s="450">
        <f t="shared" si="15"/>
        <v>1759.1551334434296</v>
      </c>
      <c r="L143" s="448"/>
      <c r="M143" s="450">
        <v>1933.3333333333333</v>
      </c>
      <c r="O143" s="450">
        <v>1895.4654161275282</v>
      </c>
      <c r="T143" s="450">
        <v>1819.6878315091337</v>
      </c>
      <c r="V143" s="450">
        <v>1759.1551334434296</v>
      </c>
      <c r="AH143"/>
      <c r="AI143"/>
    </row>
    <row r="144" spans="1:35" s="450" customFormat="1" x14ac:dyDescent="0.25">
      <c r="A144" s="448">
        <v>3</v>
      </c>
      <c r="B144" s="448"/>
      <c r="C144" s="448">
        <f t="shared" si="11"/>
        <v>42</v>
      </c>
      <c r="D144" s="448">
        <f t="shared" si="12"/>
        <v>40</v>
      </c>
      <c r="E144" s="448">
        <f t="shared" si="13"/>
        <v>14</v>
      </c>
      <c r="F144" s="448" t="str">
        <f t="shared" si="14"/>
        <v>pm</v>
      </c>
      <c r="G144" s="448" t="s">
        <v>203</v>
      </c>
      <c r="H144" s="448" t="s">
        <v>558</v>
      </c>
      <c r="I144" s="448" t="s">
        <v>202</v>
      </c>
      <c r="J144" s="449" t="s">
        <v>20</v>
      </c>
      <c r="K144" s="450">
        <f t="shared" si="15"/>
        <v>1929.3910828969913</v>
      </c>
      <c r="L144" s="448"/>
      <c r="M144" s="450">
        <v>1933.3333333333333</v>
      </c>
      <c r="P144" s="450">
        <v>1921.8901473006756</v>
      </c>
      <c r="T144" s="450">
        <v>1929.3910828969913</v>
      </c>
      <c r="AH144"/>
      <c r="AI144"/>
    </row>
    <row r="145" spans="1:35" s="450" customFormat="1" x14ac:dyDescent="0.25">
      <c r="A145" s="448">
        <v>4</v>
      </c>
      <c r="B145" s="448"/>
      <c r="C145" s="448">
        <f t="shared" si="11"/>
        <v>43</v>
      </c>
      <c r="D145" s="448">
        <f t="shared" si="12"/>
        <v>43</v>
      </c>
      <c r="E145" s="448">
        <f t="shared" si="13"/>
        <v>14</v>
      </c>
      <c r="F145" s="448" t="str">
        <f t="shared" si="14"/>
        <v>pm</v>
      </c>
      <c r="G145" s="448" t="s">
        <v>559</v>
      </c>
      <c r="H145" s="448" t="s">
        <v>341</v>
      </c>
      <c r="I145" s="448" t="s">
        <v>560</v>
      </c>
      <c r="J145" s="449" t="s">
        <v>20</v>
      </c>
      <c r="K145" s="450">
        <f t="shared" si="15"/>
        <v>1692.4696826543368</v>
      </c>
      <c r="L145" s="448"/>
      <c r="M145" s="450">
        <v>1900</v>
      </c>
      <c r="Q145" s="450">
        <v>1885.2929818149187</v>
      </c>
      <c r="T145" s="450">
        <v>1780.8711874278245</v>
      </c>
      <c r="V145" s="450">
        <v>1692.4696826543368</v>
      </c>
      <c r="AH145"/>
      <c r="AI145"/>
    </row>
    <row r="146" spans="1:35" s="450" customFormat="1" x14ac:dyDescent="0.25">
      <c r="A146" s="448">
        <v>5</v>
      </c>
      <c r="B146" s="448"/>
      <c r="C146" s="448">
        <f t="shared" si="11"/>
        <v>44</v>
      </c>
      <c r="D146" s="448">
        <f t="shared" si="12"/>
        <v>44</v>
      </c>
      <c r="E146" s="448">
        <f t="shared" si="13"/>
        <v>14</v>
      </c>
      <c r="F146" s="448" t="str">
        <f t="shared" si="14"/>
        <v>pm</v>
      </c>
      <c r="G146" s="448" t="s">
        <v>561</v>
      </c>
      <c r="H146" s="448" t="s">
        <v>485</v>
      </c>
      <c r="I146" s="448" t="s">
        <v>562</v>
      </c>
      <c r="J146" s="449" t="s">
        <v>20</v>
      </c>
      <c r="K146" s="450">
        <f t="shared" si="15"/>
        <v>1869.2345247091835</v>
      </c>
      <c r="L146" s="448"/>
      <c r="M146" s="450">
        <v>1880</v>
      </c>
      <c r="S146" s="450">
        <v>1918.746719402327</v>
      </c>
      <c r="T146" s="450">
        <v>1928.6532904156654</v>
      </c>
      <c r="V146" s="450">
        <v>1869.2345247091835</v>
      </c>
      <c r="AH146"/>
      <c r="AI146"/>
    </row>
    <row r="147" spans="1:35" s="450" customFormat="1" x14ac:dyDescent="0.25">
      <c r="A147" s="448">
        <v>6</v>
      </c>
      <c r="B147" s="448"/>
      <c r="C147" s="448">
        <f t="shared" si="11"/>
        <v>45</v>
      </c>
      <c r="D147" s="448">
        <f t="shared" si="12"/>
        <v>45</v>
      </c>
      <c r="E147" s="448">
        <f t="shared" si="13"/>
        <v>14</v>
      </c>
      <c r="F147" s="448" t="str">
        <f t="shared" si="14"/>
        <v>pm</v>
      </c>
      <c r="G147" s="448" t="s">
        <v>563</v>
      </c>
      <c r="H147" s="448" t="s">
        <v>490</v>
      </c>
      <c r="I147" s="448" t="s">
        <v>564</v>
      </c>
      <c r="J147" s="449" t="s">
        <v>20</v>
      </c>
      <c r="K147" s="450">
        <f t="shared" si="15"/>
        <v>2303.7999889493012</v>
      </c>
      <c r="L147" s="450">
        <v>1866.6666666666667</v>
      </c>
      <c r="M147" s="450">
        <v>2200</v>
      </c>
      <c r="P147" s="450">
        <v>2232.5282669272556</v>
      </c>
      <c r="T147" s="450">
        <v>2259.1775396240569</v>
      </c>
      <c r="U147" s="450">
        <v>2303.7999889493012</v>
      </c>
      <c r="AH147"/>
      <c r="AI147"/>
    </row>
    <row r="148" spans="1:35" s="450" customFormat="1" x14ac:dyDescent="0.25">
      <c r="A148" s="448">
        <v>4</v>
      </c>
      <c r="B148" s="448"/>
      <c r="C148" s="448">
        <f t="shared" si="11"/>
        <v>46</v>
      </c>
      <c r="D148" s="448">
        <f t="shared" si="12"/>
        <v>46</v>
      </c>
      <c r="E148" s="448">
        <f t="shared" si="13"/>
        <v>14</v>
      </c>
      <c r="F148" s="448" t="str">
        <f t="shared" si="14"/>
        <v>pm</v>
      </c>
      <c r="G148" s="448" t="s">
        <v>565</v>
      </c>
      <c r="H148" s="448" t="s">
        <v>396</v>
      </c>
      <c r="I148" s="448" t="s">
        <v>566</v>
      </c>
      <c r="J148" s="449" t="s">
        <v>20</v>
      </c>
      <c r="K148" s="450">
        <f t="shared" si="15"/>
        <v>1712.2144655286952</v>
      </c>
      <c r="L148" s="448"/>
      <c r="M148" s="450">
        <v>1800</v>
      </c>
      <c r="P148" s="450">
        <v>1733.1802264513806</v>
      </c>
      <c r="T148" s="450">
        <v>1654.9795718834444</v>
      </c>
      <c r="V148" s="450">
        <v>1712.2144655286952</v>
      </c>
      <c r="AH148"/>
      <c r="AI148"/>
    </row>
    <row r="149" spans="1:35" s="450" customFormat="1" x14ac:dyDescent="0.25">
      <c r="A149" s="448">
        <v>6</v>
      </c>
      <c r="B149" s="448"/>
      <c r="C149" s="448">
        <f t="shared" si="11"/>
        <v>47</v>
      </c>
      <c r="D149" s="448">
        <f t="shared" si="12"/>
        <v>46</v>
      </c>
      <c r="E149" s="448">
        <f t="shared" si="13"/>
        <v>14</v>
      </c>
      <c r="F149" s="448" t="str">
        <f t="shared" si="14"/>
        <v>pm</v>
      </c>
      <c r="G149" s="448" t="s">
        <v>567</v>
      </c>
      <c r="H149" s="448" t="s">
        <v>568</v>
      </c>
      <c r="I149" s="448" t="s">
        <v>569</v>
      </c>
      <c r="J149" s="449" t="s">
        <v>20</v>
      </c>
      <c r="K149" s="450">
        <f t="shared" si="15"/>
        <v>1737.9169156030787</v>
      </c>
      <c r="L149" s="448"/>
      <c r="M149" s="450">
        <v>1800</v>
      </c>
      <c r="P149" s="450">
        <v>1729.4670159274219</v>
      </c>
      <c r="R149" s="450">
        <v>1809.1480647862352</v>
      </c>
      <c r="T149" s="450">
        <v>1780.5921122747741</v>
      </c>
      <c r="V149" s="450">
        <v>1737.9169156030787</v>
      </c>
      <c r="AH149"/>
      <c r="AI149"/>
    </row>
    <row r="150" spans="1:35" s="450" customFormat="1" x14ac:dyDescent="0.25">
      <c r="A150" s="448">
        <v>3</v>
      </c>
      <c r="B150" s="448"/>
      <c r="C150" s="448">
        <f t="shared" si="11"/>
        <v>48</v>
      </c>
      <c r="D150" s="448">
        <f t="shared" si="12"/>
        <v>46</v>
      </c>
      <c r="E150" s="448">
        <f t="shared" si="13"/>
        <v>14</v>
      </c>
      <c r="F150" s="448" t="str">
        <f t="shared" si="14"/>
        <v>pm</v>
      </c>
      <c r="G150" s="448" t="s">
        <v>570</v>
      </c>
      <c r="H150" s="448" t="s">
        <v>296</v>
      </c>
      <c r="I150" s="448" t="s">
        <v>571</v>
      </c>
      <c r="J150" s="449" t="s">
        <v>20</v>
      </c>
      <c r="K150" s="450">
        <f t="shared" si="15"/>
        <v>1862.9777228164949</v>
      </c>
      <c r="L150" s="448"/>
      <c r="M150" s="450">
        <v>1800</v>
      </c>
      <c r="P150" s="450">
        <v>1841.8890710091171</v>
      </c>
      <c r="R150" s="450">
        <v>1862.9777228164949</v>
      </c>
      <c r="AH150"/>
      <c r="AI150"/>
    </row>
    <row r="151" spans="1:35" s="450" customFormat="1" x14ac:dyDescent="0.25">
      <c r="A151" s="448">
        <v>3</v>
      </c>
      <c r="B151" s="448"/>
      <c r="C151" s="448">
        <f t="shared" si="11"/>
        <v>49</v>
      </c>
      <c r="D151" s="448">
        <f t="shared" si="12"/>
        <v>46</v>
      </c>
      <c r="E151" s="448">
        <f t="shared" si="13"/>
        <v>14</v>
      </c>
      <c r="F151" s="448" t="str">
        <f t="shared" si="14"/>
        <v>pm</v>
      </c>
      <c r="G151" s="448" t="s">
        <v>572</v>
      </c>
      <c r="H151" s="448" t="s">
        <v>296</v>
      </c>
      <c r="I151" s="448" t="s">
        <v>573</v>
      </c>
      <c r="J151" s="449" t="s">
        <v>20</v>
      </c>
      <c r="K151" s="450">
        <f t="shared" si="15"/>
        <v>1787.9889007294696</v>
      </c>
      <c r="L151" s="448"/>
      <c r="M151" s="450">
        <v>1800</v>
      </c>
      <c r="P151" s="450">
        <v>1836.7243012650156</v>
      </c>
      <c r="R151" s="450">
        <v>1787.9889007294696</v>
      </c>
      <c r="AH151"/>
      <c r="AI151"/>
    </row>
    <row r="152" spans="1:35" s="450" customFormat="1" x14ac:dyDescent="0.25">
      <c r="A152" s="448">
        <v>3</v>
      </c>
      <c r="B152" s="448"/>
      <c r="C152" s="448">
        <f t="shared" si="11"/>
        <v>50</v>
      </c>
      <c r="D152" s="448">
        <f t="shared" si="12"/>
        <v>46</v>
      </c>
      <c r="E152" s="448">
        <f t="shared" si="13"/>
        <v>14</v>
      </c>
      <c r="F152" s="448" t="str">
        <f t="shared" si="14"/>
        <v>pm</v>
      </c>
      <c r="G152" s="448" t="s">
        <v>574</v>
      </c>
      <c r="H152" s="448" t="s">
        <v>296</v>
      </c>
      <c r="I152" s="448" t="s">
        <v>575</v>
      </c>
      <c r="J152" s="449" t="s">
        <v>20</v>
      </c>
      <c r="K152" s="450">
        <f t="shared" si="15"/>
        <v>1890.6902473066109</v>
      </c>
      <c r="L152" s="448"/>
      <c r="M152" s="450">
        <v>1800</v>
      </c>
      <c r="R152" s="450">
        <v>1890.6902473066109</v>
      </c>
      <c r="AH152"/>
      <c r="AI152"/>
    </row>
    <row r="153" spans="1:35" s="450" customFormat="1" x14ac:dyDescent="0.25">
      <c r="A153" s="448">
        <v>5</v>
      </c>
      <c r="B153" s="448"/>
      <c r="C153" s="448">
        <f t="shared" si="11"/>
        <v>51</v>
      </c>
      <c r="D153" s="448">
        <f t="shared" si="12"/>
        <v>46</v>
      </c>
      <c r="E153" s="448">
        <f t="shared" si="13"/>
        <v>14</v>
      </c>
      <c r="F153" s="448" t="str">
        <f t="shared" si="14"/>
        <v>pm</v>
      </c>
      <c r="G153" s="448" t="s">
        <v>576</v>
      </c>
      <c r="H153" s="448" t="s">
        <v>350</v>
      </c>
      <c r="I153" s="448" t="s">
        <v>577</v>
      </c>
      <c r="J153" s="449" t="s">
        <v>20</v>
      </c>
      <c r="K153" s="450">
        <f t="shared" si="15"/>
        <v>1903.4201689696713</v>
      </c>
      <c r="L153" s="448"/>
      <c r="M153" s="450">
        <v>1800</v>
      </c>
      <c r="P153" s="450">
        <v>1853.5993664092457</v>
      </c>
      <c r="R153" s="450">
        <v>1866.2716900036432</v>
      </c>
      <c r="V153" s="450">
        <v>1903.4201689696713</v>
      </c>
      <c r="AH153"/>
      <c r="AI153"/>
    </row>
    <row r="154" spans="1:35" s="450" customFormat="1" x14ac:dyDescent="0.25">
      <c r="A154" s="448">
        <v>7</v>
      </c>
      <c r="B154" s="448"/>
      <c r="C154" s="448">
        <f t="shared" si="11"/>
        <v>52</v>
      </c>
      <c r="D154" s="448">
        <f t="shared" si="12"/>
        <v>46</v>
      </c>
      <c r="E154" s="448">
        <f t="shared" si="13"/>
        <v>14</v>
      </c>
      <c r="F154" s="448" t="str">
        <f t="shared" si="14"/>
        <v>pm</v>
      </c>
      <c r="G154" s="448" t="s">
        <v>578</v>
      </c>
      <c r="H154" s="448" t="s">
        <v>353</v>
      </c>
      <c r="I154" s="448" t="s">
        <v>579</v>
      </c>
      <c r="J154" s="449" t="s">
        <v>20</v>
      </c>
      <c r="K154" s="450">
        <f t="shared" si="15"/>
        <v>1883.8626441487413</v>
      </c>
      <c r="L154" s="448"/>
      <c r="M154" s="450">
        <v>1800</v>
      </c>
      <c r="P154" s="450">
        <v>1835.2847547112133</v>
      </c>
      <c r="R154" s="450">
        <v>1889.110814092702</v>
      </c>
      <c r="T154" s="450">
        <v>1852.5892192097544</v>
      </c>
      <c r="V154" s="450">
        <v>1883.8626441487413</v>
      </c>
      <c r="AH154"/>
      <c r="AI154"/>
    </row>
    <row r="155" spans="1:35" s="450" customFormat="1" x14ac:dyDescent="0.25">
      <c r="A155" s="448">
        <v>7</v>
      </c>
      <c r="B155" s="448"/>
      <c r="C155" s="448">
        <f t="shared" si="11"/>
        <v>53</v>
      </c>
      <c r="D155" s="448">
        <f t="shared" si="12"/>
        <v>46</v>
      </c>
      <c r="E155" s="448">
        <f t="shared" si="13"/>
        <v>14</v>
      </c>
      <c r="F155" s="448" t="str">
        <f t="shared" si="14"/>
        <v>pm</v>
      </c>
      <c r="G155" s="448" t="s">
        <v>580</v>
      </c>
      <c r="H155" s="448" t="s">
        <v>353</v>
      </c>
      <c r="I155" s="448" t="s">
        <v>581</v>
      </c>
      <c r="J155" s="449" t="s">
        <v>20</v>
      </c>
      <c r="K155" s="450">
        <f t="shared" si="15"/>
        <v>1568.0436579916152</v>
      </c>
      <c r="L155" s="448"/>
      <c r="M155" s="450">
        <v>1800</v>
      </c>
      <c r="P155" s="450">
        <v>1729.2404985207163</v>
      </c>
      <c r="R155" s="450">
        <v>1648.5261762534274</v>
      </c>
      <c r="T155" s="450">
        <v>1515.9353141743402</v>
      </c>
      <c r="V155" s="450">
        <v>1568.0436579916152</v>
      </c>
      <c r="AH155"/>
      <c r="AI155"/>
    </row>
    <row r="156" spans="1:35" s="450" customFormat="1" x14ac:dyDescent="0.25">
      <c r="A156" s="448">
        <v>4</v>
      </c>
      <c r="B156" s="448"/>
      <c r="C156" s="448">
        <f t="shared" si="11"/>
        <v>54</v>
      </c>
      <c r="D156" s="448">
        <f t="shared" si="12"/>
        <v>46</v>
      </c>
      <c r="E156" s="448">
        <f t="shared" si="13"/>
        <v>14</v>
      </c>
      <c r="F156" s="448" t="str">
        <f t="shared" si="14"/>
        <v>pm</v>
      </c>
      <c r="G156" s="448" t="s">
        <v>582</v>
      </c>
      <c r="H156" s="448" t="s">
        <v>353</v>
      </c>
      <c r="I156" s="448" t="s">
        <v>583</v>
      </c>
      <c r="J156" s="449" t="s">
        <v>20</v>
      </c>
      <c r="K156" s="450">
        <f t="shared" si="15"/>
        <v>1701.7743581563075</v>
      </c>
      <c r="L156" s="448"/>
      <c r="M156" s="450">
        <v>1800</v>
      </c>
      <c r="R156" s="450">
        <v>1748.8001298774316</v>
      </c>
      <c r="T156" s="450">
        <v>1685.4617602962937</v>
      </c>
      <c r="V156" s="450">
        <v>1701.7743581563075</v>
      </c>
      <c r="AH156"/>
      <c r="AI156"/>
    </row>
    <row r="157" spans="1:35" s="450" customFormat="1" x14ac:dyDescent="0.25">
      <c r="A157" s="448">
        <v>6</v>
      </c>
      <c r="B157" s="448"/>
      <c r="C157" s="448">
        <f t="shared" si="11"/>
        <v>55</v>
      </c>
      <c r="D157" s="448">
        <f t="shared" si="12"/>
        <v>46</v>
      </c>
      <c r="E157" s="448">
        <f t="shared" si="13"/>
        <v>14</v>
      </c>
      <c r="F157" s="448" t="str">
        <f t="shared" si="14"/>
        <v>pm</v>
      </c>
      <c r="G157" s="448" t="s">
        <v>584</v>
      </c>
      <c r="H157" s="448" t="s">
        <v>358</v>
      </c>
      <c r="I157" s="448" t="s">
        <v>585</v>
      </c>
      <c r="J157" s="449" t="s">
        <v>20</v>
      </c>
      <c r="K157" s="450">
        <f t="shared" si="15"/>
        <v>1840.5251094339849</v>
      </c>
      <c r="L157" s="448"/>
      <c r="M157" s="450">
        <v>1800</v>
      </c>
      <c r="R157" s="450">
        <v>1729.7293688033053</v>
      </c>
      <c r="T157" s="450">
        <v>1791.8211586686618</v>
      </c>
      <c r="V157" s="450">
        <v>1840.5251094339849</v>
      </c>
      <c r="AH157"/>
      <c r="AI157"/>
    </row>
    <row r="158" spans="1:35" s="450" customFormat="1" x14ac:dyDescent="0.25">
      <c r="A158" s="448">
        <v>6</v>
      </c>
      <c r="B158" s="448"/>
      <c r="C158" s="448">
        <f t="shared" si="11"/>
        <v>56</v>
      </c>
      <c r="D158" s="448">
        <f t="shared" si="12"/>
        <v>46</v>
      </c>
      <c r="E158" s="448">
        <f t="shared" si="13"/>
        <v>14</v>
      </c>
      <c r="F158" s="448" t="str">
        <f t="shared" si="14"/>
        <v>pm</v>
      </c>
      <c r="G158" s="448" t="s">
        <v>586</v>
      </c>
      <c r="H158" s="448" t="s">
        <v>358</v>
      </c>
      <c r="I158" s="448" t="s">
        <v>587</v>
      </c>
      <c r="J158" s="449" t="s">
        <v>20</v>
      </c>
      <c r="K158" s="450">
        <f t="shared" si="15"/>
        <v>1648.153322818715</v>
      </c>
      <c r="L158" s="448"/>
      <c r="M158" s="450">
        <v>1800</v>
      </c>
      <c r="R158" s="450">
        <v>1773.2758988569869</v>
      </c>
      <c r="T158" s="450">
        <v>1696.7559274545094</v>
      </c>
      <c r="V158" s="450">
        <v>1648.153322818715</v>
      </c>
      <c r="AH158"/>
      <c r="AI158"/>
    </row>
    <row r="159" spans="1:35" s="450" customFormat="1" x14ac:dyDescent="0.25">
      <c r="A159" s="448">
        <v>4</v>
      </c>
      <c r="B159" s="448"/>
      <c r="C159" s="448">
        <f t="shared" si="11"/>
        <v>57</v>
      </c>
      <c r="D159" s="448">
        <f t="shared" si="12"/>
        <v>46</v>
      </c>
      <c r="E159" s="448">
        <f t="shared" si="13"/>
        <v>14</v>
      </c>
      <c r="F159" s="448" t="str">
        <f t="shared" si="14"/>
        <v>pm</v>
      </c>
      <c r="G159" s="448" t="s">
        <v>588</v>
      </c>
      <c r="H159" s="448" t="s">
        <v>365</v>
      </c>
      <c r="I159" s="448" t="s">
        <v>589</v>
      </c>
      <c r="J159" s="449" t="s">
        <v>20</v>
      </c>
      <c r="K159" s="450">
        <f t="shared" si="15"/>
        <v>1896.3579642330565</v>
      </c>
      <c r="L159" s="448"/>
      <c r="M159" s="450">
        <v>1800</v>
      </c>
      <c r="P159" s="450">
        <v>1819.9309139814898</v>
      </c>
      <c r="R159" s="450">
        <v>1851.9753031841728</v>
      </c>
      <c r="V159" s="450">
        <v>1896.3579642330565</v>
      </c>
      <c r="AH159"/>
      <c r="AI159"/>
    </row>
    <row r="160" spans="1:35" s="450" customFormat="1" x14ac:dyDescent="0.25">
      <c r="A160" s="448">
        <v>6</v>
      </c>
      <c r="B160" s="448"/>
      <c r="C160" s="448">
        <f t="shared" si="11"/>
        <v>58</v>
      </c>
      <c r="D160" s="448">
        <f t="shared" si="12"/>
        <v>46</v>
      </c>
      <c r="E160" s="448">
        <f t="shared" si="13"/>
        <v>14</v>
      </c>
      <c r="F160" s="448" t="str">
        <f t="shared" si="14"/>
        <v>pm</v>
      </c>
      <c r="G160" s="448" t="s">
        <v>590</v>
      </c>
      <c r="H160" s="448" t="s">
        <v>374</v>
      </c>
      <c r="I160" s="448" t="s">
        <v>591</v>
      </c>
      <c r="J160" s="449" t="s">
        <v>20</v>
      </c>
      <c r="K160" s="450">
        <f t="shared" si="15"/>
        <v>1668.0341830996538</v>
      </c>
      <c r="L160" s="448"/>
      <c r="M160" s="450">
        <v>1800</v>
      </c>
      <c r="R160" s="450">
        <v>1746.3122871137466</v>
      </c>
      <c r="T160" s="450">
        <v>1746.2697448355425</v>
      </c>
      <c r="V160" s="450">
        <v>1668.0341830996538</v>
      </c>
      <c r="AH160"/>
      <c r="AI160"/>
    </row>
    <row r="161" spans="1:35" s="450" customFormat="1" x14ac:dyDescent="0.25">
      <c r="A161" s="448">
        <v>2</v>
      </c>
      <c r="B161" s="448"/>
      <c r="C161" s="448">
        <f t="shared" si="11"/>
        <v>59</v>
      </c>
      <c r="D161" s="448">
        <f t="shared" si="12"/>
        <v>46</v>
      </c>
      <c r="E161" s="448">
        <f t="shared" si="13"/>
        <v>14</v>
      </c>
      <c r="F161" s="448" t="str">
        <f t="shared" si="14"/>
        <v>pm</v>
      </c>
      <c r="G161" s="448" t="s">
        <v>592</v>
      </c>
      <c r="H161" s="448" t="s">
        <v>426</v>
      </c>
      <c r="I161" s="448" t="s">
        <v>593</v>
      </c>
      <c r="J161" s="449" t="s">
        <v>20</v>
      </c>
      <c r="K161" s="450">
        <f t="shared" si="15"/>
        <v>1891.4062864972918</v>
      </c>
      <c r="L161" s="448"/>
      <c r="M161" s="450">
        <v>1800</v>
      </c>
      <c r="V161" s="450">
        <v>1891.4062864972918</v>
      </c>
      <c r="AH161"/>
      <c r="AI161"/>
    </row>
    <row r="162" spans="1:35" s="450" customFormat="1" x14ac:dyDescent="0.25">
      <c r="A162" s="448">
        <v>6</v>
      </c>
      <c r="B162" s="448"/>
      <c r="C162" s="448">
        <f t="shared" si="11"/>
        <v>60</v>
      </c>
      <c r="D162" s="448">
        <f t="shared" si="12"/>
        <v>46</v>
      </c>
      <c r="E162" s="448">
        <f t="shared" si="13"/>
        <v>14</v>
      </c>
      <c r="F162" s="448" t="str">
        <f t="shared" si="14"/>
        <v>pm</v>
      </c>
      <c r="G162" s="448" t="s">
        <v>594</v>
      </c>
      <c r="H162" s="448" t="s">
        <v>309</v>
      </c>
      <c r="I162" s="448" t="s">
        <v>595</v>
      </c>
      <c r="J162" s="449" t="s">
        <v>20</v>
      </c>
      <c r="K162" s="450">
        <f t="shared" si="15"/>
        <v>2071.7297456703855</v>
      </c>
      <c r="L162" s="448"/>
      <c r="M162" s="450">
        <v>1800</v>
      </c>
      <c r="P162" s="450">
        <v>1884.515075674077</v>
      </c>
      <c r="R162" s="450">
        <v>1952.1722411424284</v>
      </c>
      <c r="T162" s="450">
        <v>2033.1069131537579</v>
      </c>
      <c r="V162" s="450">
        <v>2071.7297456703855</v>
      </c>
      <c r="AH162"/>
      <c r="AI162"/>
    </row>
    <row r="163" spans="1:35" s="450" customFormat="1" x14ac:dyDescent="0.25">
      <c r="A163" s="448">
        <v>2</v>
      </c>
      <c r="B163" s="448"/>
      <c r="C163" s="448">
        <f t="shared" si="11"/>
        <v>61</v>
      </c>
      <c r="D163" s="448">
        <f t="shared" si="12"/>
        <v>46</v>
      </c>
      <c r="E163" s="448">
        <f t="shared" si="13"/>
        <v>14</v>
      </c>
      <c r="F163" s="448" t="str">
        <f t="shared" si="14"/>
        <v>pm</v>
      </c>
      <c r="G163" s="448" t="s">
        <v>596</v>
      </c>
      <c r="H163" s="448" t="s">
        <v>330</v>
      </c>
      <c r="I163" s="448" t="s">
        <v>597</v>
      </c>
      <c r="J163" s="449" t="s">
        <v>20</v>
      </c>
      <c r="K163" s="450">
        <f t="shared" si="15"/>
        <v>1772.6800095339315</v>
      </c>
      <c r="L163" s="448"/>
      <c r="M163" s="450">
        <v>1800</v>
      </c>
      <c r="R163" s="450">
        <v>1763.399773723718</v>
      </c>
      <c r="S163" s="450">
        <v>1772.6800095339315</v>
      </c>
      <c r="AH163"/>
      <c r="AI163"/>
    </row>
    <row r="164" spans="1:35" s="450" customFormat="1" x14ac:dyDescent="0.25">
      <c r="A164" s="448">
        <v>3</v>
      </c>
      <c r="B164" s="448"/>
      <c r="C164" s="448">
        <f t="shared" si="11"/>
        <v>62</v>
      </c>
      <c r="D164" s="448">
        <f t="shared" si="12"/>
        <v>46</v>
      </c>
      <c r="E164" s="448">
        <f t="shared" si="13"/>
        <v>14</v>
      </c>
      <c r="F164" s="448" t="str">
        <f t="shared" si="14"/>
        <v>pm</v>
      </c>
      <c r="G164" s="448" t="s">
        <v>598</v>
      </c>
      <c r="H164" s="448" t="s">
        <v>330</v>
      </c>
      <c r="I164" s="448" t="s">
        <v>599</v>
      </c>
      <c r="J164" s="449" t="s">
        <v>20</v>
      </c>
      <c r="K164" s="450">
        <f t="shared" si="15"/>
        <v>1887.0177572843741</v>
      </c>
      <c r="L164" s="448"/>
      <c r="M164" s="450">
        <v>1800</v>
      </c>
      <c r="R164" s="450">
        <v>1828.715389683282</v>
      </c>
      <c r="V164" s="450">
        <v>1887.0177572843741</v>
      </c>
      <c r="AH164"/>
      <c r="AI164"/>
    </row>
    <row r="165" spans="1:35" s="450" customFormat="1" x14ac:dyDescent="0.25">
      <c r="A165" s="448">
        <v>2</v>
      </c>
      <c r="B165" s="448"/>
      <c r="C165" s="448">
        <f t="shared" si="11"/>
        <v>63</v>
      </c>
      <c r="D165" s="448">
        <f t="shared" si="12"/>
        <v>46</v>
      </c>
      <c r="E165" s="448">
        <f t="shared" si="13"/>
        <v>14</v>
      </c>
      <c r="F165" s="448" t="str">
        <f t="shared" si="14"/>
        <v>pm</v>
      </c>
      <c r="G165" s="448" t="s">
        <v>600</v>
      </c>
      <c r="H165" s="448" t="s">
        <v>330</v>
      </c>
      <c r="I165" s="448" t="s">
        <v>601</v>
      </c>
      <c r="J165" s="449" t="s">
        <v>20</v>
      </c>
      <c r="K165" s="450">
        <f t="shared" si="15"/>
        <v>1883.6554537840855</v>
      </c>
      <c r="L165" s="448"/>
      <c r="M165" s="450">
        <v>1800</v>
      </c>
      <c r="R165" s="450">
        <v>1883.6554537840855</v>
      </c>
      <c r="AH165"/>
      <c r="AI165"/>
    </row>
    <row r="166" spans="1:35" s="450" customFormat="1" x14ac:dyDescent="0.25">
      <c r="A166" s="448">
        <v>5</v>
      </c>
      <c r="B166" s="448"/>
      <c r="C166" s="448">
        <f t="shared" si="11"/>
        <v>64</v>
      </c>
      <c r="D166" s="448">
        <f t="shared" si="12"/>
        <v>46</v>
      </c>
      <c r="E166" s="448">
        <f t="shared" si="13"/>
        <v>14</v>
      </c>
      <c r="F166" s="448" t="str">
        <f t="shared" si="14"/>
        <v>pm</v>
      </c>
      <c r="G166" s="448" t="s">
        <v>602</v>
      </c>
      <c r="H166" s="448" t="s">
        <v>495</v>
      </c>
      <c r="I166" s="448" t="s">
        <v>603</v>
      </c>
      <c r="J166" s="449" t="s">
        <v>20</v>
      </c>
      <c r="K166" s="450">
        <f t="shared" si="15"/>
        <v>1792.2971263265672</v>
      </c>
      <c r="L166" s="448"/>
      <c r="M166" s="450">
        <v>1800</v>
      </c>
      <c r="P166" s="450">
        <v>1772.9124733588862</v>
      </c>
      <c r="R166" s="450">
        <v>1792.2971263265672</v>
      </c>
      <c r="AH166"/>
      <c r="AI166"/>
    </row>
    <row r="167" spans="1:35" s="450" customFormat="1" x14ac:dyDescent="0.25">
      <c r="A167" s="448">
        <v>6</v>
      </c>
      <c r="B167" s="448"/>
      <c r="C167" s="448">
        <f t="shared" si="11"/>
        <v>65</v>
      </c>
      <c r="D167" s="448">
        <f t="shared" si="12"/>
        <v>46</v>
      </c>
      <c r="E167" s="448">
        <f t="shared" si="13"/>
        <v>14</v>
      </c>
      <c r="F167" s="448" t="str">
        <f t="shared" si="14"/>
        <v>pm</v>
      </c>
      <c r="G167" s="448" t="s">
        <v>604</v>
      </c>
      <c r="H167" s="448" t="s">
        <v>338</v>
      </c>
      <c r="I167" s="448" t="s">
        <v>605</v>
      </c>
      <c r="J167" s="449" t="s">
        <v>20</v>
      </c>
      <c r="K167" s="450">
        <f t="shared" si="15"/>
        <v>1814.1018016892203</v>
      </c>
      <c r="L167" s="448"/>
      <c r="M167" s="450">
        <v>1800</v>
      </c>
      <c r="R167" s="450">
        <v>1805.8700188425732</v>
      </c>
      <c r="T167" s="450">
        <v>1811.9546724182255</v>
      </c>
      <c r="V167" s="450">
        <v>1814.1018016892203</v>
      </c>
      <c r="AH167"/>
      <c r="AI167"/>
    </row>
    <row r="168" spans="1:35" s="450" customFormat="1" x14ac:dyDescent="0.25">
      <c r="A168" s="448">
        <v>6</v>
      </c>
      <c r="B168" s="448"/>
      <c r="C168" s="448">
        <f t="shared" si="11"/>
        <v>66</v>
      </c>
      <c r="D168" s="448">
        <f t="shared" si="12"/>
        <v>46</v>
      </c>
      <c r="E168" s="448">
        <f t="shared" si="13"/>
        <v>14</v>
      </c>
      <c r="F168" s="448" t="str">
        <f t="shared" si="14"/>
        <v>pm</v>
      </c>
      <c r="G168" s="448" t="s">
        <v>606</v>
      </c>
      <c r="H168" s="448" t="s">
        <v>338</v>
      </c>
      <c r="I168" s="448" t="s">
        <v>607</v>
      </c>
      <c r="J168" s="449" t="s">
        <v>20</v>
      </c>
      <c r="K168" s="450">
        <f t="shared" si="15"/>
        <v>1624.4440390626207</v>
      </c>
      <c r="L168" s="448"/>
      <c r="M168" s="450">
        <v>1800</v>
      </c>
      <c r="R168" s="450">
        <v>1694.4816920998894</v>
      </c>
      <c r="T168" s="450">
        <v>1737.4411214731022</v>
      </c>
      <c r="V168" s="450">
        <v>1624.4440390626207</v>
      </c>
      <c r="AH168"/>
      <c r="AI168"/>
    </row>
    <row r="169" spans="1:35" s="450" customFormat="1" x14ac:dyDescent="0.25">
      <c r="A169" s="448">
        <v>5</v>
      </c>
      <c r="B169" s="448"/>
      <c r="C169" s="448">
        <f t="shared" si="11"/>
        <v>67</v>
      </c>
      <c r="D169" s="448">
        <f t="shared" si="12"/>
        <v>46</v>
      </c>
      <c r="E169" s="448">
        <f t="shared" si="13"/>
        <v>14</v>
      </c>
      <c r="F169" s="448" t="str">
        <f t="shared" si="14"/>
        <v>pm</v>
      </c>
      <c r="G169" s="448" t="s">
        <v>608</v>
      </c>
      <c r="H169" s="448" t="s">
        <v>391</v>
      </c>
      <c r="I169" s="448" t="s">
        <v>609</v>
      </c>
      <c r="J169" s="449" t="s">
        <v>20</v>
      </c>
      <c r="K169" s="450">
        <f t="shared" si="15"/>
        <v>1948.6460425066778</v>
      </c>
      <c r="L169" s="448"/>
      <c r="M169" s="450">
        <v>1800</v>
      </c>
      <c r="R169" s="450">
        <v>1876.31367263991</v>
      </c>
      <c r="T169" s="450">
        <v>1947.5770451023341</v>
      </c>
      <c r="V169" s="450">
        <v>1948.6460425066778</v>
      </c>
      <c r="AH169"/>
      <c r="AI169"/>
    </row>
    <row r="170" spans="1:35" s="450" customFormat="1" x14ac:dyDescent="0.25">
      <c r="A170" s="448">
        <v>5</v>
      </c>
      <c r="B170" s="448"/>
      <c r="C170" s="448">
        <f t="shared" si="11"/>
        <v>68</v>
      </c>
      <c r="D170" s="448">
        <f t="shared" si="12"/>
        <v>46</v>
      </c>
      <c r="E170" s="448">
        <f t="shared" si="13"/>
        <v>14</v>
      </c>
      <c r="F170" s="448" t="str">
        <f t="shared" si="14"/>
        <v>pm</v>
      </c>
      <c r="G170" s="448" t="s">
        <v>610</v>
      </c>
      <c r="H170" s="448" t="s">
        <v>391</v>
      </c>
      <c r="I170" s="448" t="s">
        <v>611</v>
      </c>
      <c r="J170" s="449" t="s">
        <v>20</v>
      </c>
      <c r="K170" s="450">
        <f t="shared" si="15"/>
        <v>1863.7825780060989</v>
      </c>
      <c r="L170" s="448"/>
      <c r="M170" s="450">
        <v>1800</v>
      </c>
      <c r="O170" s="451"/>
      <c r="P170" s="451"/>
      <c r="Q170" s="451"/>
      <c r="R170" s="451">
        <v>1809.8475028761886</v>
      </c>
      <c r="S170" s="451"/>
      <c r="T170" s="451">
        <v>1842.3261282509975</v>
      </c>
      <c r="U170" s="451"/>
      <c r="V170" s="451">
        <v>1863.7825780060989</v>
      </c>
      <c r="W170" s="451"/>
      <c r="X170" s="451"/>
      <c r="Y170" s="451"/>
      <c r="Z170" s="451"/>
      <c r="AA170" s="451"/>
      <c r="AB170" s="451"/>
      <c r="AC170" s="451"/>
      <c r="AH170"/>
      <c r="AI170"/>
    </row>
    <row r="171" spans="1:35" s="450" customFormat="1" x14ac:dyDescent="0.25">
      <c r="A171" s="448">
        <v>5</v>
      </c>
      <c r="B171" s="448"/>
      <c r="C171" s="448">
        <f t="shared" si="11"/>
        <v>69</v>
      </c>
      <c r="D171" s="448">
        <f t="shared" si="12"/>
        <v>46</v>
      </c>
      <c r="E171" s="448">
        <f t="shared" si="13"/>
        <v>14</v>
      </c>
      <c r="F171" s="448" t="str">
        <f t="shared" si="14"/>
        <v>pm</v>
      </c>
      <c r="G171" s="448" t="s">
        <v>612</v>
      </c>
      <c r="H171" s="448" t="s">
        <v>504</v>
      </c>
      <c r="I171" s="448" t="s">
        <v>613</v>
      </c>
      <c r="J171" s="449" t="s">
        <v>20</v>
      </c>
      <c r="K171" s="450">
        <f t="shared" si="15"/>
        <v>1624.9148650715144</v>
      </c>
      <c r="L171" s="448"/>
      <c r="M171" s="450">
        <v>1800</v>
      </c>
      <c r="R171" s="450">
        <v>1705.4420103544176</v>
      </c>
      <c r="T171" s="450">
        <v>1614.0203729802658</v>
      </c>
      <c r="V171" s="450">
        <v>1624.9148650715144</v>
      </c>
      <c r="AH171"/>
      <c r="AI171"/>
    </row>
    <row r="172" spans="1:35" s="450" customFormat="1" x14ac:dyDescent="0.25">
      <c r="A172" s="448">
        <v>6</v>
      </c>
      <c r="B172" s="448"/>
      <c r="C172" s="448">
        <f t="shared" si="11"/>
        <v>1</v>
      </c>
      <c r="D172" s="448">
        <f t="shared" si="12"/>
        <v>1</v>
      </c>
      <c r="E172" s="448">
        <f t="shared" si="13"/>
        <v>15</v>
      </c>
      <c r="F172" s="448" t="str">
        <f t="shared" si="14"/>
        <v>pm</v>
      </c>
      <c r="G172" s="448" t="s">
        <v>614</v>
      </c>
      <c r="H172" s="448" t="s">
        <v>615</v>
      </c>
      <c r="I172" s="448" t="s">
        <v>616</v>
      </c>
      <c r="J172" s="449" t="s">
        <v>21</v>
      </c>
      <c r="K172" s="450">
        <f t="shared" si="15"/>
        <v>2366.7411744211154</v>
      </c>
      <c r="L172" s="448"/>
      <c r="M172" s="450">
        <v>2400</v>
      </c>
      <c r="O172" s="451"/>
      <c r="P172" s="451">
        <v>2387.4256160710393</v>
      </c>
      <c r="Q172" s="451"/>
      <c r="R172" s="451"/>
      <c r="S172" s="451">
        <v>2352.5527648259167</v>
      </c>
      <c r="T172" s="451"/>
      <c r="U172" s="451">
        <v>2366.7411744211154</v>
      </c>
      <c r="V172" s="451"/>
      <c r="W172" s="451"/>
      <c r="X172" s="451"/>
      <c r="Y172" s="451"/>
      <c r="Z172" s="451"/>
      <c r="AA172" s="451"/>
      <c r="AB172" s="451"/>
      <c r="AC172" s="451"/>
      <c r="AD172" s="451"/>
      <c r="AE172" s="451"/>
      <c r="AF172" s="451"/>
      <c r="AG172" s="451"/>
      <c r="AH172"/>
      <c r="AI172"/>
    </row>
    <row r="173" spans="1:35" s="450" customFormat="1" x14ac:dyDescent="0.25">
      <c r="A173" s="448">
        <v>6</v>
      </c>
      <c r="B173" s="448"/>
      <c r="C173" s="448">
        <f t="shared" si="11"/>
        <v>2</v>
      </c>
      <c r="D173" s="448">
        <f t="shared" si="12"/>
        <v>1</v>
      </c>
      <c r="E173" s="448">
        <f t="shared" si="13"/>
        <v>15</v>
      </c>
      <c r="F173" s="448" t="str">
        <f t="shared" si="14"/>
        <v>pm</v>
      </c>
      <c r="G173" s="448" t="s">
        <v>617</v>
      </c>
      <c r="H173" s="448" t="s">
        <v>615</v>
      </c>
      <c r="I173" s="448" t="s">
        <v>618</v>
      </c>
      <c r="J173" s="449" t="s">
        <v>21</v>
      </c>
      <c r="K173" s="450">
        <f t="shared" si="15"/>
        <v>2357.6838122545587</v>
      </c>
      <c r="L173" s="448"/>
      <c r="M173" s="450">
        <v>2400</v>
      </c>
      <c r="O173" s="451"/>
      <c r="P173" s="451">
        <v>2419.8355804183434</v>
      </c>
      <c r="Q173" s="451"/>
      <c r="R173" s="451"/>
      <c r="S173" s="451">
        <v>2299.6632275953884</v>
      </c>
      <c r="T173" s="451"/>
      <c r="U173" s="451">
        <v>2357.6838122545587</v>
      </c>
      <c r="V173" s="451"/>
      <c r="W173" s="451"/>
      <c r="X173" s="451"/>
      <c r="Y173" s="451"/>
      <c r="Z173" s="451"/>
      <c r="AA173" s="451"/>
      <c r="AB173" s="451"/>
      <c r="AC173" s="451"/>
      <c r="AD173" s="451"/>
      <c r="AE173" s="451"/>
      <c r="AF173" s="451"/>
      <c r="AG173" s="451"/>
      <c r="AH173"/>
      <c r="AI173"/>
    </row>
    <row r="174" spans="1:35" s="450" customFormat="1" x14ac:dyDescent="0.25">
      <c r="A174" s="448">
        <v>2</v>
      </c>
      <c r="B174" s="448"/>
      <c r="C174" s="448">
        <f t="shared" si="11"/>
        <v>3</v>
      </c>
      <c r="D174" s="448">
        <f t="shared" si="12"/>
        <v>1</v>
      </c>
      <c r="E174" s="448">
        <f t="shared" si="13"/>
        <v>15</v>
      </c>
      <c r="F174" s="448" t="str">
        <f t="shared" si="14"/>
        <v>pm</v>
      </c>
      <c r="G174" s="448" t="s">
        <v>619</v>
      </c>
      <c r="H174" s="448" t="s">
        <v>303</v>
      </c>
      <c r="I174" s="448" t="s">
        <v>620</v>
      </c>
      <c r="J174" s="449" t="s">
        <v>21</v>
      </c>
      <c r="K174" s="450">
        <f t="shared" si="15"/>
        <v>2611.7481368551003</v>
      </c>
      <c r="L174" s="448"/>
      <c r="M174" s="450">
        <v>2400</v>
      </c>
      <c r="S174" s="450">
        <v>2517.9197773041974</v>
      </c>
      <c r="U174" s="450">
        <v>2611.7481368551003</v>
      </c>
      <c r="AH174"/>
      <c r="AI174"/>
    </row>
    <row r="175" spans="1:35" s="450" customFormat="1" x14ac:dyDescent="0.25">
      <c r="A175" s="448">
        <v>3</v>
      </c>
      <c r="B175" s="448"/>
      <c r="C175" s="448">
        <f t="shared" si="11"/>
        <v>4</v>
      </c>
      <c r="D175" s="448">
        <f t="shared" si="12"/>
        <v>1</v>
      </c>
      <c r="E175" s="448">
        <f t="shared" si="13"/>
        <v>15</v>
      </c>
      <c r="F175" s="448" t="str">
        <f t="shared" si="14"/>
        <v>pm</v>
      </c>
      <c r="G175" s="448" t="s">
        <v>621</v>
      </c>
      <c r="H175" s="448" t="s">
        <v>303</v>
      </c>
      <c r="I175" s="448" t="s">
        <v>622</v>
      </c>
      <c r="J175" s="449" t="s">
        <v>21</v>
      </c>
      <c r="K175" s="450">
        <f t="shared" si="15"/>
        <v>2346.8553201545369</v>
      </c>
      <c r="L175" s="448"/>
      <c r="M175" s="450">
        <v>2400</v>
      </c>
      <c r="S175" s="450">
        <v>2295.1033399345392</v>
      </c>
      <c r="U175" s="450">
        <v>2346.8553201545369</v>
      </c>
      <c r="AH175"/>
      <c r="AI175"/>
    </row>
    <row r="176" spans="1:35" s="450" customFormat="1" x14ac:dyDescent="0.25">
      <c r="A176" s="448">
        <v>1</v>
      </c>
      <c r="B176" s="448"/>
      <c r="C176" s="448">
        <f t="shared" si="11"/>
        <v>5</v>
      </c>
      <c r="D176" s="448">
        <f t="shared" si="12"/>
        <v>1</v>
      </c>
      <c r="E176" s="448">
        <f t="shared" si="13"/>
        <v>15</v>
      </c>
      <c r="F176" s="448" t="str">
        <f t="shared" si="14"/>
        <v>pmx</v>
      </c>
      <c r="G176" s="448" t="s">
        <v>623</v>
      </c>
      <c r="H176" s="448" t="s">
        <v>437</v>
      </c>
      <c r="I176" s="448" t="s">
        <v>624</v>
      </c>
      <c r="J176" s="449" t="s">
        <v>21</v>
      </c>
      <c r="K176" s="450">
        <f t="shared" si="15"/>
        <v>2580.6479326604422</v>
      </c>
      <c r="L176" s="448"/>
      <c r="M176" s="450">
        <v>2400</v>
      </c>
      <c r="P176" s="450">
        <v>2580.6479326604422</v>
      </c>
      <c r="AH176"/>
      <c r="AI176"/>
    </row>
    <row r="177" spans="1:35" s="450" customFormat="1" x14ac:dyDescent="0.25">
      <c r="A177" s="448">
        <v>3</v>
      </c>
      <c r="B177" s="448"/>
      <c r="C177" s="448">
        <f t="shared" si="11"/>
        <v>6</v>
      </c>
      <c r="D177" s="448">
        <f t="shared" si="12"/>
        <v>1</v>
      </c>
      <c r="E177" s="448">
        <f t="shared" si="13"/>
        <v>15</v>
      </c>
      <c r="F177" s="448" t="str">
        <f t="shared" si="14"/>
        <v>pm</v>
      </c>
      <c r="G177" s="448" t="s">
        <v>625</v>
      </c>
      <c r="H177" s="448" t="s">
        <v>437</v>
      </c>
      <c r="I177" s="448" t="s">
        <v>626</v>
      </c>
      <c r="J177" s="449" t="s">
        <v>21</v>
      </c>
      <c r="K177" s="450">
        <f t="shared" si="15"/>
        <v>2411.3980889405284</v>
      </c>
      <c r="L177" s="448"/>
      <c r="M177" s="450">
        <v>2400</v>
      </c>
      <c r="P177" s="450">
        <v>2411.3980889405284</v>
      </c>
      <c r="AH177"/>
      <c r="AI177"/>
    </row>
    <row r="178" spans="1:35" s="450" customFormat="1" x14ac:dyDescent="0.25">
      <c r="A178" s="448"/>
      <c r="B178" s="448"/>
      <c r="C178" s="448">
        <f t="shared" si="11"/>
        <v>7</v>
      </c>
      <c r="D178" s="448">
        <f t="shared" si="12"/>
        <v>1</v>
      </c>
      <c r="E178" s="448">
        <f t="shared" si="13"/>
        <v>15</v>
      </c>
      <c r="F178" s="448" t="str">
        <f t="shared" si="14"/>
        <v>crx</v>
      </c>
      <c r="G178" s="448" t="s">
        <v>627</v>
      </c>
      <c r="H178" s="448"/>
      <c r="I178" s="448" t="s">
        <v>628</v>
      </c>
      <c r="J178" s="449" t="s">
        <v>21</v>
      </c>
      <c r="K178" s="450">
        <f t="shared" si="15"/>
        <v>2414.995302339873</v>
      </c>
      <c r="L178" s="448"/>
      <c r="M178" s="450">
        <v>2400</v>
      </c>
      <c r="O178" s="451"/>
      <c r="P178" s="451">
        <v>2414.995302339873</v>
      </c>
      <c r="Q178" s="451"/>
      <c r="R178" s="451"/>
      <c r="S178" s="451"/>
      <c r="T178" s="451"/>
      <c r="U178" s="451"/>
      <c r="V178" s="451"/>
      <c r="W178" s="451"/>
      <c r="X178" s="451"/>
      <c r="Y178" s="451"/>
      <c r="Z178" s="451"/>
      <c r="AA178" s="451"/>
      <c r="AB178" s="451"/>
      <c r="AC178" s="451"/>
      <c r="AH178"/>
      <c r="AI178"/>
    </row>
    <row r="179" spans="1:35" s="450" customFormat="1" x14ac:dyDescent="0.25">
      <c r="A179" s="448"/>
      <c r="B179" s="448"/>
      <c r="C179" s="448">
        <f t="shared" si="11"/>
        <v>8</v>
      </c>
      <c r="D179" s="448">
        <f t="shared" si="12"/>
        <v>1</v>
      </c>
      <c r="E179" s="448">
        <f t="shared" si="13"/>
        <v>15</v>
      </c>
      <c r="F179" s="448" t="str">
        <f t="shared" si="14"/>
        <v>crx</v>
      </c>
      <c r="G179" s="448" t="s">
        <v>629</v>
      </c>
      <c r="H179" s="448"/>
      <c r="I179" s="448" t="s">
        <v>630</v>
      </c>
      <c r="J179" s="449" t="s">
        <v>21</v>
      </c>
      <c r="K179" s="450">
        <f t="shared" si="15"/>
        <v>2364.2186562525962</v>
      </c>
      <c r="L179" s="448"/>
      <c r="M179" s="450">
        <v>2400</v>
      </c>
      <c r="O179" s="451"/>
      <c r="P179" s="451">
        <v>2364.2186562525962</v>
      </c>
      <c r="Q179" s="451"/>
      <c r="R179" s="451"/>
      <c r="S179" s="451"/>
      <c r="T179" s="451"/>
      <c r="U179" s="451"/>
      <c r="V179" s="451"/>
      <c r="W179" s="451"/>
      <c r="X179" s="451"/>
      <c r="Y179" s="451"/>
      <c r="Z179" s="451"/>
      <c r="AA179" s="451"/>
      <c r="AB179" s="451"/>
      <c r="AC179" s="451"/>
      <c r="AH179"/>
      <c r="AI179"/>
    </row>
    <row r="180" spans="1:35" s="450" customFormat="1" x14ac:dyDescent="0.25">
      <c r="A180" s="448">
        <v>3</v>
      </c>
      <c r="B180" s="448"/>
      <c r="C180" s="448">
        <f t="shared" si="11"/>
        <v>9</v>
      </c>
      <c r="D180" s="448">
        <f t="shared" si="12"/>
        <v>1</v>
      </c>
      <c r="E180" s="448">
        <f t="shared" si="13"/>
        <v>15</v>
      </c>
      <c r="F180" s="448" t="str">
        <f t="shared" si="14"/>
        <v>pm</v>
      </c>
      <c r="G180" s="448" t="s">
        <v>631</v>
      </c>
      <c r="H180" s="448" t="s">
        <v>296</v>
      </c>
      <c r="I180" s="448" t="s">
        <v>632</v>
      </c>
      <c r="J180" s="449" t="s">
        <v>21</v>
      </c>
      <c r="K180" s="450">
        <f t="shared" si="15"/>
        <v>2602.4800707292979</v>
      </c>
      <c r="L180" s="448"/>
      <c r="M180" s="450">
        <v>2400</v>
      </c>
      <c r="P180" s="450">
        <v>2529.806341942141</v>
      </c>
      <c r="S180" s="450">
        <v>2602.4800707292979</v>
      </c>
      <c r="AH180"/>
      <c r="AI180"/>
    </row>
    <row r="181" spans="1:35" s="450" customFormat="1" x14ac:dyDescent="0.25">
      <c r="A181" s="448">
        <v>4</v>
      </c>
      <c r="B181" s="448"/>
      <c r="C181" s="448">
        <f t="shared" si="11"/>
        <v>10</v>
      </c>
      <c r="D181" s="448">
        <f t="shared" si="12"/>
        <v>1</v>
      </c>
      <c r="E181" s="448">
        <f t="shared" si="13"/>
        <v>15</v>
      </c>
      <c r="F181" s="448" t="str">
        <f t="shared" si="14"/>
        <v>pm</v>
      </c>
      <c r="G181" s="448" t="s">
        <v>633</v>
      </c>
      <c r="H181" s="448" t="s">
        <v>296</v>
      </c>
      <c r="I181" s="448" t="s">
        <v>634</v>
      </c>
      <c r="J181" s="449" t="s">
        <v>21</v>
      </c>
      <c r="K181" s="450">
        <f t="shared" si="15"/>
        <v>2537.8748707914665</v>
      </c>
      <c r="L181" s="448"/>
      <c r="M181" s="450">
        <v>2400</v>
      </c>
      <c r="P181" s="450">
        <v>2495.8609490903345</v>
      </c>
      <c r="U181" s="450">
        <v>2537.8748707914665</v>
      </c>
      <c r="AH181"/>
      <c r="AI181"/>
    </row>
    <row r="182" spans="1:35" s="450" customFormat="1" x14ac:dyDescent="0.25">
      <c r="A182" s="448">
        <v>4</v>
      </c>
      <c r="B182" s="448"/>
      <c r="C182" s="448">
        <f t="shared" si="11"/>
        <v>11</v>
      </c>
      <c r="D182" s="448">
        <f t="shared" si="12"/>
        <v>1</v>
      </c>
      <c r="E182" s="448">
        <f t="shared" si="13"/>
        <v>15</v>
      </c>
      <c r="F182" s="448" t="str">
        <f t="shared" si="14"/>
        <v>pm</v>
      </c>
      <c r="G182" s="448" t="s">
        <v>635</v>
      </c>
      <c r="H182" s="448" t="s">
        <v>296</v>
      </c>
      <c r="I182" s="448" t="s">
        <v>636</v>
      </c>
      <c r="J182" s="449" t="s">
        <v>21</v>
      </c>
      <c r="K182" s="450">
        <f t="shared" si="15"/>
        <v>2340.9367997858221</v>
      </c>
      <c r="L182" s="448"/>
      <c r="M182" s="450">
        <v>2400</v>
      </c>
      <c r="P182" s="450">
        <v>2419.8800474739714</v>
      </c>
      <c r="U182" s="450">
        <v>2340.9367997858221</v>
      </c>
      <c r="AH182"/>
      <c r="AI182"/>
    </row>
    <row r="183" spans="1:35" s="450" customFormat="1" x14ac:dyDescent="0.25">
      <c r="A183" s="448">
        <v>3</v>
      </c>
      <c r="B183" s="448"/>
      <c r="C183" s="448">
        <f t="shared" si="11"/>
        <v>12</v>
      </c>
      <c r="D183" s="448">
        <f t="shared" si="12"/>
        <v>1</v>
      </c>
      <c r="E183" s="448">
        <f t="shared" si="13"/>
        <v>15</v>
      </c>
      <c r="F183" s="448" t="str">
        <f t="shared" si="14"/>
        <v>pm</v>
      </c>
      <c r="G183" s="448" t="s">
        <v>637</v>
      </c>
      <c r="H183" s="448" t="s">
        <v>296</v>
      </c>
      <c r="I183" s="448" t="s">
        <v>638</v>
      </c>
      <c r="J183" s="449" t="s">
        <v>21</v>
      </c>
      <c r="K183" s="450">
        <f t="shared" si="15"/>
        <v>2319.1430928811537</v>
      </c>
      <c r="L183" s="448"/>
      <c r="M183" s="450">
        <v>2400</v>
      </c>
      <c r="U183" s="450">
        <v>2319.1430928811537</v>
      </c>
      <c r="AH183"/>
      <c r="AI183"/>
    </row>
    <row r="184" spans="1:35" s="450" customFormat="1" x14ac:dyDescent="0.25">
      <c r="A184" s="448">
        <v>5</v>
      </c>
      <c r="B184" s="448"/>
      <c r="C184" s="448">
        <f t="shared" si="11"/>
        <v>13</v>
      </c>
      <c r="D184" s="448">
        <f t="shared" si="12"/>
        <v>1</v>
      </c>
      <c r="E184" s="448">
        <f t="shared" si="13"/>
        <v>15</v>
      </c>
      <c r="F184" s="448" t="str">
        <f t="shared" si="14"/>
        <v>pm</v>
      </c>
      <c r="G184" s="448" t="s">
        <v>639</v>
      </c>
      <c r="H184" s="448" t="s">
        <v>353</v>
      </c>
      <c r="I184" s="448" t="s">
        <v>640</v>
      </c>
      <c r="J184" s="449" t="s">
        <v>21</v>
      </c>
      <c r="K184" s="450">
        <f t="shared" si="15"/>
        <v>2521.1020498080788</v>
      </c>
      <c r="L184" s="448"/>
      <c r="M184" s="450">
        <v>2400</v>
      </c>
      <c r="P184" s="450">
        <v>2490.4866358168492</v>
      </c>
      <c r="S184" s="450">
        <v>2537.3268804369459</v>
      </c>
      <c r="U184" s="450">
        <v>2521.1020498080788</v>
      </c>
      <c r="AH184"/>
      <c r="AI184"/>
    </row>
    <row r="185" spans="1:35" s="450" customFormat="1" x14ac:dyDescent="0.25">
      <c r="A185" s="448">
        <v>6</v>
      </c>
      <c r="B185" s="448"/>
      <c r="C185" s="448">
        <f t="shared" si="11"/>
        <v>14</v>
      </c>
      <c r="D185" s="448">
        <f t="shared" si="12"/>
        <v>1</v>
      </c>
      <c r="E185" s="448">
        <f t="shared" si="13"/>
        <v>15</v>
      </c>
      <c r="F185" s="448" t="str">
        <f t="shared" si="14"/>
        <v>pm</v>
      </c>
      <c r="G185" s="448" t="s">
        <v>641</v>
      </c>
      <c r="H185" s="448" t="s">
        <v>358</v>
      </c>
      <c r="I185" s="448" t="s">
        <v>642</v>
      </c>
      <c r="J185" s="449" t="s">
        <v>21</v>
      </c>
      <c r="K185" s="450">
        <f t="shared" si="15"/>
        <v>2345.1430549012343</v>
      </c>
      <c r="L185" s="448"/>
      <c r="M185" s="450">
        <v>2400</v>
      </c>
      <c r="Q185" s="450">
        <v>2298.3524972797049</v>
      </c>
      <c r="S185" s="450">
        <v>2360.1998147700406</v>
      </c>
      <c r="U185" s="450">
        <v>2345.1430549012343</v>
      </c>
      <c r="AH185"/>
      <c r="AI185"/>
    </row>
    <row r="186" spans="1:35" s="450" customFormat="1" x14ac:dyDescent="0.25">
      <c r="A186" s="448">
        <v>2</v>
      </c>
      <c r="B186" s="448"/>
      <c r="C186" s="448">
        <f t="shared" si="11"/>
        <v>15</v>
      </c>
      <c r="D186" s="448">
        <f t="shared" si="12"/>
        <v>1</v>
      </c>
      <c r="E186" s="448">
        <f t="shared" si="13"/>
        <v>15</v>
      </c>
      <c r="F186" s="448" t="str">
        <f t="shared" si="14"/>
        <v>pm</v>
      </c>
      <c r="G186" s="448" t="s">
        <v>643</v>
      </c>
      <c r="H186" s="448" t="s">
        <v>299</v>
      </c>
      <c r="I186" s="448" t="s">
        <v>644</v>
      </c>
      <c r="J186" s="449" t="s">
        <v>21</v>
      </c>
      <c r="K186" s="450">
        <f t="shared" si="15"/>
        <v>2505.020862099786</v>
      </c>
      <c r="L186" s="448"/>
      <c r="M186" s="450">
        <v>2400</v>
      </c>
      <c r="P186" s="450">
        <v>2505.020862099786</v>
      </c>
      <c r="AH186"/>
      <c r="AI186"/>
    </row>
    <row r="187" spans="1:35" s="450" customFormat="1" x14ac:dyDescent="0.25">
      <c r="A187" s="448">
        <v>1</v>
      </c>
      <c r="B187" s="448"/>
      <c r="C187" s="448">
        <f t="shared" si="11"/>
        <v>16</v>
      </c>
      <c r="D187" s="448">
        <f t="shared" si="12"/>
        <v>1</v>
      </c>
      <c r="E187" s="448">
        <f t="shared" si="13"/>
        <v>15</v>
      </c>
      <c r="F187" s="448" t="str">
        <f t="shared" si="14"/>
        <v>pmx</v>
      </c>
      <c r="G187" s="448" t="s">
        <v>645</v>
      </c>
      <c r="H187" s="448" t="s">
        <v>371</v>
      </c>
      <c r="I187" s="448" t="s">
        <v>646</v>
      </c>
      <c r="J187" s="449" t="s">
        <v>21</v>
      </c>
      <c r="K187" s="450">
        <f t="shared" si="15"/>
        <v>2490.9058560635362</v>
      </c>
      <c r="L187" s="448"/>
      <c r="M187" s="450">
        <v>2400</v>
      </c>
      <c r="U187" s="450">
        <v>2490.9058560635362</v>
      </c>
      <c r="AH187"/>
      <c r="AI187"/>
    </row>
    <row r="188" spans="1:35" s="450" customFormat="1" x14ac:dyDescent="0.25">
      <c r="A188" s="448">
        <v>5</v>
      </c>
      <c r="B188" s="448"/>
      <c r="C188" s="448">
        <f t="shared" si="11"/>
        <v>17</v>
      </c>
      <c r="D188" s="448">
        <f t="shared" si="12"/>
        <v>1</v>
      </c>
      <c r="E188" s="448">
        <f t="shared" si="13"/>
        <v>15</v>
      </c>
      <c r="F188" s="448" t="str">
        <f t="shared" si="14"/>
        <v>pm</v>
      </c>
      <c r="G188" s="448" t="s">
        <v>257</v>
      </c>
      <c r="H188" s="448" t="s">
        <v>374</v>
      </c>
      <c r="I188" s="448" t="s">
        <v>256</v>
      </c>
      <c r="J188" s="449" t="s">
        <v>21</v>
      </c>
      <c r="K188" s="450">
        <f t="shared" si="15"/>
        <v>2532.8046893748628</v>
      </c>
      <c r="L188" s="448"/>
      <c r="M188" s="450">
        <v>2400</v>
      </c>
      <c r="P188" s="450">
        <v>2532.8046893748628</v>
      </c>
      <c r="AH188"/>
      <c r="AI188"/>
    </row>
    <row r="189" spans="1:35" s="450" customFormat="1" x14ac:dyDescent="0.25">
      <c r="A189" s="448">
        <v>4</v>
      </c>
      <c r="B189" s="448"/>
      <c r="C189" s="448">
        <f t="shared" si="11"/>
        <v>18</v>
      </c>
      <c r="D189" s="448">
        <f t="shared" si="12"/>
        <v>1</v>
      </c>
      <c r="E189" s="448">
        <f t="shared" si="13"/>
        <v>15</v>
      </c>
      <c r="F189" s="448" t="str">
        <f t="shared" si="14"/>
        <v>pm</v>
      </c>
      <c r="G189" s="448" t="s">
        <v>647</v>
      </c>
      <c r="H189" s="448" t="s">
        <v>374</v>
      </c>
      <c r="I189" s="448" t="s">
        <v>648</v>
      </c>
      <c r="J189" s="449" t="s">
        <v>21</v>
      </c>
      <c r="K189" s="450">
        <f t="shared" si="15"/>
        <v>2413.5003812693762</v>
      </c>
      <c r="L189" s="448"/>
      <c r="M189" s="450">
        <v>2400</v>
      </c>
      <c r="U189" s="450">
        <v>2413.5003812693762</v>
      </c>
      <c r="AH189"/>
      <c r="AI189"/>
    </row>
    <row r="190" spans="1:35" s="450" customFormat="1" x14ac:dyDescent="0.25">
      <c r="A190" s="448">
        <v>4</v>
      </c>
      <c r="B190" s="448"/>
      <c r="C190" s="448">
        <f t="shared" si="11"/>
        <v>19</v>
      </c>
      <c r="D190" s="448">
        <f t="shared" si="12"/>
        <v>1</v>
      </c>
      <c r="E190" s="448">
        <f t="shared" si="13"/>
        <v>15</v>
      </c>
      <c r="F190" s="448" t="str">
        <f t="shared" si="14"/>
        <v>pm</v>
      </c>
      <c r="G190" s="448" t="s">
        <v>649</v>
      </c>
      <c r="H190" s="448" t="s">
        <v>374</v>
      </c>
      <c r="I190" s="448" t="s">
        <v>650</v>
      </c>
      <c r="J190" s="449" t="s">
        <v>21</v>
      </c>
      <c r="K190" s="450">
        <f t="shared" si="15"/>
        <v>2316.272580612786</v>
      </c>
      <c r="L190" s="448"/>
      <c r="M190" s="450">
        <v>2400</v>
      </c>
      <c r="U190" s="450">
        <v>2316.272580612786</v>
      </c>
      <c r="AH190"/>
      <c r="AI190"/>
    </row>
    <row r="191" spans="1:35" s="450" customFormat="1" x14ac:dyDescent="0.25">
      <c r="A191" s="448">
        <v>4</v>
      </c>
      <c r="B191" s="448"/>
      <c r="C191" s="448">
        <f t="shared" si="11"/>
        <v>20</v>
      </c>
      <c r="D191" s="448">
        <f t="shared" si="12"/>
        <v>1</v>
      </c>
      <c r="E191" s="448">
        <f t="shared" si="13"/>
        <v>15</v>
      </c>
      <c r="F191" s="448" t="str">
        <f t="shared" si="14"/>
        <v>pm</v>
      </c>
      <c r="G191" s="448" t="s">
        <v>651</v>
      </c>
      <c r="H191" s="448" t="s">
        <v>306</v>
      </c>
      <c r="I191" s="448" t="s">
        <v>652</v>
      </c>
      <c r="J191" s="449" t="s">
        <v>21</v>
      </c>
      <c r="K191" s="450">
        <f t="shared" si="15"/>
        <v>2375.053097155987</v>
      </c>
      <c r="L191" s="448"/>
      <c r="M191" s="450">
        <v>2400</v>
      </c>
      <c r="U191" s="450">
        <v>2375.053097155987</v>
      </c>
      <c r="AH191"/>
      <c r="AI191"/>
    </row>
    <row r="192" spans="1:35" s="450" customFormat="1" x14ac:dyDescent="0.25">
      <c r="A192" s="448">
        <v>7</v>
      </c>
      <c r="B192" s="448"/>
      <c r="C192" s="448">
        <f t="shared" si="11"/>
        <v>21</v>
      </c>
      <c r="D192" s="448">
        <f t="shared" si="12"/>
        <v>1</v>
      </c>
      <c r="E192" s="448">
        <f t="shared" si="13"/>
        <v>15</v>
      </c>
      <c r="F192" s="448" t="str">
        <f t="shared" si="14"/>
        <v>pm</v>
      </c>
      <c r="G192" s="448" t="s">
        <v>653</v>
      </c>
      <c r="H192" s="448" t="s">
        <v>309</v>
      </c>
      <c r="I192" s="448" t="s">
        <v>654</v>
      </c>
      <c r="J192" s="449" t="s">
        <v>21</v>
      </c>
      <c r="K192" s="450">
        <f t="shared" si="15"/>
        <v>2413.7157394938272</v>
      </c>
      <c r="L192" s="448"/>
      <c r="M192" s="450">
        <v>2400</v>
      </c>
      <c r="P192" s="450">
        <v>2433.8983579853784</v>
      </c>
      <c r="Q192" s="450">
        <v>2431.8105354897539</v>
      </c>
      <c r="S192" s="450">
        <v>2390.4386500342198</v>
      </c>
      <c r="U192" s="450">
        <v>2413.7157394938272</v>
      </c>
      <c r="AH192"/>
      <c r="AI192"/>
    </row>
    <row r="193" spans="1:35" s="450" customFormat="1" x14ac:dyDescent="0.25">
      <c r="A193" s="448">
        <v>2</v>
      </c>
      <c r="B193" s="448"/>
      <c r="C193" s="448">
        <f t="shared" si="11"/>
        <v>22</v>
      </c>
      <c r="D193" s="448">
        <f t="shared" si="12"/>
        <v>1</v>
      </c>
      <c r="E193" s="448">
        <f t="shared" si="13"/>
        <v>15</v>
      </c>
      <c r="F193" s="448" t="str">
        <f t="shared" si="14"/>
        <v>pm</v>
      </c>
      <c r="G193" s="448" t="s">
        <v>655</v>
      </c>
      <c r="H193" s="448" t="s">
        <v>330</v>
      </c>
      <c r="I193" s="448" t="s">
        <v>656</v>
      </c>
      <c r="J193" s="449" t="s">
        <v>21</v>
      </c>
      <c r="K193" s="450">
        <f t="shared" si="15"/>
        <v>2510.3988721585351</v>
      </c>
      <c r="L193" s="448"/>
      <c r="M193" s="450">
        <v>2400</v>
      </c>
      <c r="S193" s="450">
        <v>2510.3988721585351</v>
      </c>
      <c r="AH193"/>
      <c r="AI193"/>
    </row>
    <row r="194" spans="1:35" s="450" customFormat="1" x14ac:dyDescent="0.25">
      <c r="A194" s="448">
        <v>2</v>
      </c>
      <c r="B194" s="448"/>
      <c r="C194" s="448">
        <f t="shared" ref="C194:C257" si="16">IF(E194=E193,C193+1,1)</f>
        <v>23</v>
      </c>
      <c r="D194" s="448">
        <f t="shared" ref="D194:D257" si="17">IF(M194=M193,D193,C194)</f>
        <v>1</v>
      </c>
      <c r="E194" s="448">
        <f t="shared" ref="E194:E257" si="18">10+VALUE(RIGHT(LEFT(G194,3),1))</f>
        <v>15</v>
      </c>
      <c r="F194" s="448" t="str">
        <f t="shared" ref="F194:F257" si="19">RIGHT(G194,2) &amp; IF(A194&lt;2,"x","")</f>
        <v>pm</v>
      </c>
      <c r="G194" s="448" t="s">
        <v>657</v>
      </c>
      <c r="H194" s="448" t="s">
        <v>330</v>
      </c>
      <c r="I194" s="448" t="s">
        <v>658</v>
      </c>
      <c r="J194" s="449" t="s">
        <v>21</v>
      </c>
      <c r="K194" s="450">
        <f t="shared" ref="K194:K257" si="20">LOOKUP(1E+100,M194:AC194)</f>
        <v>2373.4548553972368</v>
      </c>
      <c r="L194" s="448"/>
      <c r="M194" s="450">
        <v>2400</v>
      </c>
      <c r="S194" s="450">
        <v>2373.4548553972368</v>
      </c>
      <c r="AH194"/>
      <c r="AI194"/>
    </row>
    <row r="195" spans="1:35" s="450" customFormat="1" x14ac:dyDescent="0.25">
      <c r="A195" s="448">
        <v>2</v>
      </c>
      <c r="B195" s="448"/>
      <c r="C195" s="448">
        <f t="shared" si="16"/>
        <v>24</v>
      </c>
      <c r="D195" s="448">
        <f t="shared" si="17"/>
        <v>1</v>
      </c>
      <c r="E195" s="448">
        <f t="shared" si="18"/>
        <v>15</v>
      </c>
      <c r="F195" s="448" t="str">
        <f t="shared" si="19"/>
        <v>pm</v>
      </c>
      <c r="G195" s="448" t="s">
        <v>659</v>
      </c>
      <c r="H195" s="448" t="s">
        <v>431</v>
      </c>
      <c r="I195" s="448" t="s">
        <v>660</v>
      </c>
      <c r="J195" s="449" t="s">
        <v>21</v>
      </c>
      <c r="K195" s="450">
        <f t="shared" si="20"/>
        <v>2358.6895672074957</v>
      </c>
      <c r="L195" s="448"/>
      <c r="M195" s="450">
        <v>2400</v>
      </c>
      <c r="P195" s="450">
        <v>2358.6895672074957</v>
      </c>
      <c r="AH195"/>
      <c r="AI195"/>
    </row>
    <row r="196" spans="1:35" s="450" customFormat="1" x14ac:dyDescent="0.25">
      <c r="A196" s="448">
        <v>4</v>
      </c>
      <c r="B196" s="448"/>
      <c r="C196" s="448">
        <f t="shared" si="16"/>
        <v>25</v>
      </c>
      <c r="D196" s="448">
        <f t="shared" si="17"/>
        <v>1</v>
      </c>
      <c r="E196" s="448">
        <f t="shared" si="18"/>
        <v>15</v>
      </c>
      <c r="F196" s="448" t="str">
        <f t="shared" si="19"/>
        <v>pm</v>
      </c>
      <c r="G196" s="448" t="s">
        <v>661</v>
      </c>
      <c r="H196" s="448" t="s">
        <v>319</v>
      </c>
      <c r="I196" s="448" t="s">
        <v>662</v>
      </c>
      <c r="J196" s="449" t="s">
        <v>21</v>
      </c>
      <c r="K196" s="450">
        <f t="shared" si="20"/>
        <v>2522.4227199343727</v>
      </c>
      <c r="L196" s="448"/>
      <c r="M196" s="450">
        <v>2400</v>
      </c>
      <c r="P196" s="450">
        <v>2433.9655474743449</v>
      </c>
      <c r="S196" s="450">
        <v>2478.3685552215939</v>
      </c>
      <c r="U196" s="450">
        <v>2522.4227199343727</v>
      </c>
      <c r="AH196"/>
      <c r="AI196"/>
    </row>
    <row r="197" spans="1:35" s="450" customFormat="1" x14ac:dyDescent="0.25">
      <c r="A197" s="448">
        <v>5</v>
      </c>
      <c r="B197" s="448"/>
      <c r="C197" s="448">
        <f t="shared" si="16"/>
        <v>26</v>
      </c>
      <c r="D197" s="448">
        <f t="shared" si="17"/>
        <v>1</v>
      </c>
      <c r="E197" s="448">
        <f t="shared" si="18"/>
        <v>15</v>
      </c>
      <c r="F197" s="448" t="str">
        <f t="shared" si="19"/>
        <v>pm</v>
      </c>
      <c r="G197" s="448" t="s">
        <v>255</v>
      </c>
      <c r="H197" s="448" t="s">
        <v>338</v>
      </c>
      <c r="I197" s="448" t="s">
        <v>254</v>
      </c>
      <c r="J197" s="449" t="s">
        <v>21</v>
      </c>
      <c r="K197" s="450">
        <f t="shared" si="20"/>
        <v>2535.7339513621905</v>
      </c>
      <c r="L197" s="448"/>
      <c r="M197" s="450">
        <v>2400</v>
      </c>
      <c r="S197" s="450">
        <v>2498.4629299605249</v>
      </c>
      <c r="U197" s="450">
        <v>2535.7339513621905</v>
      </c>
      <c r="AH197"/>
      <c r="AI197"/>
    </row>
    <row r="198" spans="1:35" s="450" customFormat="1" x14ac:dyDescent="0.25">
      <c r="A198" s="448">
        <v>5</v>
      </c>
      <c r="B198" s="448"/>
      <c r="C198" s="448">
        <f t="shared" si="16"/>
        <v>27</v>
      </c>
      <c r="D198" s="448">
        <f t="shared" si="17"/>
        <v>1</v>
      </c>
      <c r="E198" s="448">
        <f t="shared" si="18"/>
        <v>15</v>
      </c>
      <c r="F198" s="448" t="str">
        <f t="shared" si="19"/>
        <v>pm</v>
      </c>
      <c r="G198" s="448" t="s">
        <v>663</v>
      </c>
      <c r="H198" s="448" t="s">
        <v>338</v>
      </c>
      <c r="I198" s="448" t="s">
        <v>664</v>
      </c>
      <c r="J198" s="449" t="s">
        <v>21</v>
      </c>
      <c r="K198" s="450">
        <f t="shared" si="20"/>
        <v>2215.5305281096694</v>
      </c>
      <c r="L198" s="448"/>
      <c r="M198" s="450">
        <v>2400</v>
      </c>
      <c r="S198" s="450">
        <v>2304.2233246789406</v>
      </c>
      <c r="U198" s="450">
        <v>2215.5305281096694</v>
      </c>
      <c r="AH198"/>
      <c r="AI198"/>
    </row>
    <row r="199" spans="1:35" s="450" customFormat="1" x14ac:dyDescent="0.25">
      <c r="A199" s="448"/>
      <c r="B199" s="448"/>
      <c r="C199" s="448">
        <f t="shared" si="16"/>
        <v>28</v>
      </c>
      <c r="D199" s="448">
        <f t="shared" si="17"/>
        <v>1</v>
      </c>
      <c r="E199" s="448">
        <f t="shared" si="18"/>
        <v>15</v>
      </c>
      <c r="F199" s="448" t="str">
        <f t="shared" si="19"/>
        <v>crx</v>
      </c>
      <c r="G199" s="448" t="s">
        <v>665</v>
      </c>
      <c r="H199" s="448"/>
      <c r="I199" s="448" t="s">
        <v>666</v>
      </c>
      <c r="J199" s="449" t="s">
        <v>21</v>
      </c>
      <c r="K199" s="450">
        <f t="shared" si="20"/>
        <v>2425.9832095434467</v>
      </c>
      <c r="L199" s="448"/>
      <c r="M199" s="450">
        <v>2400</v>
      </c>
      <c r="O199" s="451"/>
      <c r="P199" s="451">
        <v>2425.9832095434467</v>
      </c>
      <c r="Q199" s="451"/>
      <c r="R199" s="451"/>
      <c r="S199" s="451"/>
      <c r="T199" s="451"/>
      <c r="U199" s="451"/>
      <c r="V199" s="451"/>
      <c r="W199" s="451"/>
      <c r="X199" s="451"/>
      <c r="Y199" s="451"/>
      <c r="Z199" s="451"/>
      <c r="AA199" s="451"/>
      <c r="AB199" s="451"/>
      <c r="AC199" s="451"/>
      <c r="AH199"/>
      <c r="AI199"/>
    </row>
    <row r="200" spans="1:35" s="450" customFormat="1" x14ac:dyDescent="0.25">
      <c r="A200" s="448">
        <v>3</v>
      </c>
      <c r="B200" s="448"/>
      <c r="C200" s="448">
        <f t="shared" si="16"/>
        <v>29</v>
      </c>
      <c r="D200" s="448">
        <f t="shared" si="17"/>
        <v>1</v>
      </c>
      <c r="E200" s="448">
        <f t="shared" si="18"/>
        <v>15</v>
      </c>
      <c r="F200" s="448" t="str">
        <f t="shared" si="19"/>
        <v>pm</v>
      </c>
      <c r="G200" s="448" t="s">
        <v>667</v>
      </c>
      <c r="H200" s="448" t="s">
        <v>668</v>
      </c>
      <c r="I200" s="448" t="s">
        <v>669</v>
      </c>
      <c r="J200" s="449" t="s">
        <v>21</v>
      </c>
      <c r="K200" s="450">
        <f t="shared" si="20"/>
        <v>2306.3856604839848</v>
      </c>
      <c r="L200" s="448"/>
      <c r="M200" s="450">
        <v>2400</v>
      </c>
      <c r="P200" s="450">
        <v>2333.7938394280536</v>
      </c>
      <c r="U200" s="450">
        <v>2306.3856604839848</v>
      </c>
      <c r="AH200"/>
      <c r="AI200"/>
    </row>
    <row r="201" spans="1:35" s="450" customFormat="1" x14ac:dyDescent="0.25">
      <c r="A201" s="448">
        <v>6</v>
      </c>
      <c r="B201" s="448"/>
      <c r="C201" s="448">
        <f t="shared" si="16"/>
        <v>30</v>
      </c>
      <c r="D201" s="448">
        <f t="shared" si="17"/>
        <v>30</v>
      </c>
      <c r="E201" s="448">
        <f t="shared" si="18"/>
        <v>15</v>
      </c>
      <c r="F201" s="448" t="str">
        <f t="shared" si="19"/>
        <v>pm</v>
      </c>
      <c r="G201" s="448" t="s">
        <v>670</v>
      </c>
      <c r="H201" s="448" t="s">
        <v>353</v>
      </c>
      <c r="I201" s="448" t="s">
        <v>671</v>
      </c>
      <c r="J201" s="449" t="s">
        <v>21</v>
      </c>
      <c r="K201" s="450">
        <f t="shared" si="20"/>
        <v>2194.8825329107262</v>
      </c>
      <c r="L201" s="448"/>
      <c r="M201" s="450">
        <v>2333.3333333333335</v>
      </c>
      <c r="P201" s="450">
        <v>2254.874844323052</v>
      </c>
      <c r="R201" s="450">
        <v>2271.1608850477701</v>
      </c>
      <c r="S201" s="450">
        <v>2266.0282548789673</v>
      </c>
      <c r="U201" s="450">
        <v>2194.8825329107262</v>
      </c>
      <c r="AH201"/>
      <c r="AI201"/>
    </row>
    <row r="202" spans="1:35" s="450" customFormat="1" x14ac:dyDescent="0.25">
      <c r="A202" s="448">
        <v>2</v>
      </c>
      <c r="B202" s="448"/>
      <c r="C202" s="448">
        <f t="shared" si="16"/>
        <v>31</v>
      </c>
      <c r="D202" s="448">
        <f t="shared" si="17"/>
        <v>31</v>
      </c>
      <c r="E202" s="448">
        <f t="shared" si="18"/>
        <v>15</v>
      </c>
      <c r="F202" s="448" t="str">
        <f t="shared" si="19"/>
        <v>pm</v>
      </c>
      <c r="G202" s="448" t="s">
        <v>672</v>
      </c>
      <c r="H202" s="448" t="s">
        <v>316</v>
      </c>
      <c r="I202" s="448" t="s">
        <v>673</v>
      </c>
      <c r="J202" s="449" t="s">
        <v>21</v>
      </c>
      <c r="K202" s="450">
        <f t="shared" si="20"/>
        <v>2402.1626892749932</v>
      </c>
      <c r="L202" s="448"/>
      <c r="M202" s="450">
        <v>2200</v>
      </c>
      <c r="T202" s="450">
        <v>2402.1626892749932</v>
      </c>
      <c r="AH202"/>
      <c r="AI202"/>
    </row>
    <row r="203" spans="1:35" s="450" customFormat="1" x14ac:dyDescent="0.25">
      <c r="A203" s="448">
        <v>2</v>
      </c>
      <c r="B203" s="448"/>
      <c r="C203" s="448">
        <f t="shared" si="16"/>
        <v>32</v>
      </c>
      <c r="D203" s="448">
        <f t="shared" si="17"/>
        <v>31</v>
      </c>
      <c r="E203" s="448">
        <f t="shared" si="18"/>
        <v>15</v>
      </c>
      <c r="F203" s="448" t="str">
        <f t="shared" si="19"/>
        <v>pm</v>
      </c>
      <c r="G203" s="448" t="s">
        <v>674</v>
      </c>
      <c r="H203" s="448" t="s">
        <v>316</v>
      </c>
      <c r="I203" s="448" t="s">
        <v>675</v>
      </c>
      <c r="J203" s="449" t="s">
        <v>21</v>
      </c>
      <c r="K203" s="450">
        <f t="shared" si="20"/>
        <v>2375.211979799888</v>
      </c>
      <c r="L203" s="448"/>
      <c r="M203" s="450">
        <v>2200</v>
      </c>
      <c r="T203" s="450">
        <v>2375.211979799888</v>
      </c>
      <c r="AH203"/>
      <c r="AI203"/>
    </row>
    <row r="204" spans="1:35" s="450" customFormat="1" x14ac:dyDescent="0.25">
      <c r="A204" s="448">
        <v>2</v>
      </c>
      <c r="B204" s="448"/>
      <c r="C204" s="448">
        <f t="shared" si="16"/>
        <v>33</v>
      </c>
      <c r="D204" s="448">
        <f t="shared" si="17"/>
        <v>31</v>
      </c>
      <c r="E204" s="448">
        <f t="shared" si="18"/>
        <v>15</v>
      </c>
      <c r="F204" s="448" t="str">
        <f t="shared" si="19"/>
        <v>pm</v>
      </c>
      <c r="G204" s="448" t="s">
        <v>676</v>
      </c>
      <c r="H204" s="448" t="s">
        <v>316</v>
      </c>
      <c r="I204" s="448" t="s">
        <v>677</v>
      </c>
      <c r="J204" s="449" t="s">
        <v>21</v>
      </c>
      <c r="K204" s="450">
        <f t="shared" si="20"/>
        <v>2189.6243126686718</v>
      </c>
      <c r="L204" s="448"/>
      <c r="M204" s="450">
        <v>2200</v>
      </c>
      <c r="T204" s="450">
        <v>2189.6243126686718</v>
      </c>
      <c r="AH204"/>
      <c r="AI204"/>
    </row>
    <row r="205" spans="1:35" s="450" customFormat="1" x14ac:dyDescent="0.25">
      <c r="A205" s="448">
        <v>2</v>
      </c>
      <c r="B205" s="448"/>
      <c r="C205" s="448">
        <f t="shared" si="16"/>
        <v>34</v>
      </c>
      <c r="D205" s="448">
        <f t="shared" si="17"/>
        <v>31</v>
      </c>
      <c r="E205" s="448">
        <f t="shared" si="18"/>
        <v>15</v>
      </c>
      <c r="F205" s="448" t="str">
        <f t="shared" si="19"/>
        <v>pm</v>
      </c>
      <c r="G205" s="448" t="s">
        <v>678</v>
      </c>
      <c r="H205" s="448" t="s">
        <v>316</v>
      </c>
      <c r="I205" s="448" t="s">
        <v>679</v>
      </c>
      <c r="J205" s="449" t="s">
        <v>21</v>
      </c>
      <c r="K205" s="450">
        <f t="shared" si="20"/>
        <v>2242.6136983678898</v>
      </c>
      <c r="L205" s="448"/>
      <c r="M205" s="450">
        <v>2200</v>
      </c>
      <c r="T205" s="450">
        <v>2242.6136983678898</v>
      </c>
      <c r="AH205"/>
      <c r="AI205"/>
    </row>
    <row r="206" spans="1:35" s="450" customFormat="1" x14ac:dyDescent="0.25">
      <c r="A206" s="448">
        <v>3</v>
      </c>
      <c r="B206" s="448"/>
      <c r="C206" s="448">
        <f t="shared" si="16"/>
        <v>35</v>
      </c>
      <c r="D206" s="448">
        <f t="shared" si="17"/>
        <v>35</v>
      </c>
      <c r="E206" s="448">
        <f t="shared" si="18"/>
        <v>15</v>
      </c>
      <c r="F206" s="448" t="str">
        <f t="shared" si="19"/>
        <v>pm</v>
      </c>
      <c r="G206" s="448" t="s">
        <v>680</v>
      </c>
      <c r="H206" s="448" t="s">
        <v>554</v>
      </c>
      <c r="I206" s="448" t="s">
        <v>681</v>
      </c>
      <c r="J206" s="449" t="s">
        <v>20</v>
      </c>
      <c r="K206" s="450">
        <f t="shared" si="20"/>
        <v>2254.6696085386193</v>
      </c>
      <c r="L206" s="448"/>
      <c r="M206" s="450">
        <v>2133.3333333333335</v>
      </c>
      <c r="O206" s="451"/>
      <c r="P206" s="451">
        <v>2171.2364438273903</v>
      </c>
      <c r="Q206" s="451"/>
      <c r="R206" s="451"/>
      <c r="S206" s="451">
        <v>2218.9901714404259</v>
      </c>
      <c r="T206" s="451"/>
      <c r="U206" s="451"/>
      <c r="V206" s="451">
        <v>2254.6696085386193</v>
      </c>
      <c r="W206" s="451"/>
      <c r="X206" s="451"/>
      <c r="Y206" s="451"/>
      <c r="Z206" s="451"/>
      <c r="AA206" s="451"/>
      <c r="AB206" s="451"/>
      <c r="AC206" s="451"/>
      <c r="AD206" s="451"/>
      <c r="AE206" s="451"/>
      <c r="AF206" s="451"/>
      <c r="AG206" s="451"/>
      <c r="AH206"/>
      <c r="AI206"/>
    </row>
    <row r="207" spans="1:35" s="450" customFormat="1" x14ac:dyDescent="0.25">
      <c r="A207" s="448">
        <v>7</v>
      </c>
      <c r="B207" s="448"/>
      <c r="C207" s="448">
        <f t="shared" si="16"/>
        <v>36</v>
      </c>
      <c r="D207" s="448">
        <f t="shared" si="17"/>
        <v>36</v>
      </c>
      <c r="E207" s="448">
        <f t="shared" si="18"/>
        <v>15</v>
      </c>
      <c r="F207" s="448" t="str">
        <f t="shared" si="19"/>
        <v>pm</v>
      </c>
      <c r="G207" s="448" t="s">
        <v>682</v>
      </c>
      <c r="H207" s="448" t="s">
        <v>490</v>
      </c>
      <c r="I207" s="448" t="s">
        <v>683</v>
      </c>
      <c r="J207" s="449" t="s">
        <v>20</v>
      </c>
      <c r="K207" s="450">
        <f t="shared" si="20"/>
        <v>2285.1397758173989</v>
      </c>
      <c r="L207" s="448"/>
      <c r="M207" s="450">
        <v>2114.2857142857142</v>
      </c>
      <c r="P207" s="450">
        <v>2102.3245224321704</v>
      </c>
      <c r="Q207" s="450">
        <v>2203.6952157273317</v>
      </c>
      <c r="T207" s="450">
        <v>2182.5823517948334</v>
      </c>
      <c r="U207" s="450">
        <v>2285.1397758173989</v>
      </c>
      <c r="AH207"/>
      <c r="AI207"/>
    </row>
    <row r="208" spans="1:35" s="450" customFormat="1" x14ac:dyDescent="0.25">
      <c r="A208" s="448">
        <v>4</v>
      </c>
      <c r="B208" s="448"/>
      <c r="C208" s="448">
        <f t="shared" si="16"/>
        <v>37</v>
      </c>
      <c r="D208" s="448">
        <f t="shared" si="17"/>
        <v>37</v>
      </c>
      <c r="E208" s="448">
        <f t="shared" si="18"/>
        <v>15</v>
      </c>
      <c r="F208" s="448" t="str">
        <f t="shared" si="19"/>
        <v>pm</v>
      </c>
      <c r="G208" s="448" t="s">
        <v>684</v>
      </c>
      <c r="H208" s="448" t="s">
        <v>685</v>
      </c>
      <c r="I208" s="448" t="s">
        <v>686</v>
      </c>
      <c r="J208" s="449" t="s">
        <v>20</v>
      </c>
      <c r="K208" s="450">
        <f t="shared" si="20"/>
        <v>2246.9713787647379</v>
      </c>
      <c r="L208" s="448"/>
      <c r="M208" s="450">
        <v>2000</v>
      </c>
      <c r="P208" s="450">
        <v>2074.6603823800419</v>
      </c>
      <c r="R208" s="450">
        <v>2138.2377521954518</v>
      </c>
      <c r="T208" s="450">
        <v>2200.7724588064239</v>
      </c>
      <c r="V208" s="450">
        <v>2246.9713787647379</v>
      </c>
      <c r="AH208"/>
      <c r="AI208"/>
    </row>
    <row r="209" spans="1:35" s="450" customFormat="1" x14ac:dyDescent="0.25">
      <c r="A209" s="448">
        <v>6</v>
      </c>
      <c r="B209" s="448"/>
      <c r="C209" s="448">
        <f t="shared" si="16"/>
        <v>38</v>
      </c>
      <c r="D209" s="448">
        <f t="shared" si="17"/>
        <v>37</v>
      </c>
      <c r="E209" s="448">
        <f t="shared" si="18"/>
        <v>15</v>
      </c>
      <c r="F209" s="448" t="str">
        <f t="shared" si="19"/>
        <v>pm</v>
      </c>
      <c r="G209" s="448" t="s">
        <v>687</v>
      </c>
      <c r="H209" s="448" t="s">
        <v>688</v>
      </c>
      <c r="I209" s="448" t="s">
        <v>689</v>
      </c>
      <c r="J209" s="449" t="s">
        <v>20</v>
      </c>
      <c r="K209" s="450">
        <f t="shared" si="20"/>
        <v>1907.6867929069385</v>
      </c>
      <c r="L209" s="448"/>
      <c r="M209" s="450">
        <v>2000</v>
      </c>
      <c r="O209" s="451"/>
      <c r="P209" s="451">
        <v>1934.8260348820634</v>
      </c>
      <c r="Q209" s="451"/>
      <c r="R209" s="451">
        <v>1957.3259502278074</v>
      </c>
      <c r="S209" s="451"/>
      <c r="T209" s="451">
        <v>1968.7059582012987</v>
      </c>
      <c r="U209" s="451"/>
      <c r="V209" s="451">
        <v>1907.6867929069385</v>
      </c>
      <c r="W209" s="451"/>
      <c r="X209" s="451"/>
      <c r="Y209" s="451"/>
      <c r="Z209" s="451"/>
      <c r="AA209" s="451"/>
      <c r="AB209" s="451"/>
      <c r="AC209" s="451"/>
      <c r="AD209" s="451"/>
      <c r="AE209" s="451"/>
      <c r="AF209" s="451"/>
      <c r="AG209" s="451"/>
      <c r="AH209"/>
      <c r="AI209"/>
    </row>
    <row r="210" spans="1:35" s="450" customFormat="1" x14ac:dyDescent="0.25">
      <c r="A210" s="448">
        <v>3</v>
      </c>
      <c r="B210" s="448"/>
      <c r="C210" s="448">
        <f t="shared" si="16"/>
        <v>39</v>
      </c>
      <c r="D210" s="448">
        <f t="shared" si="17"/>
        <v>37</v>
      </c>
      <c r="E210" s="448">
        <f t="shared" si="18"/>
        <v>15</v>
      </c>
      <c r="F210" s="448" t="str">
        <f t="shared" si="19"/>
        <v>pm</v>
      </c>
      <c r="G210" s="448" t="s">
        <v>690</v>
      </c>
      <c r="H210" s="448" t="s">
        <v>296</v>
      </c>
      <c r="I210" s="448" t="s">
        <v>691</v>
      </c>
      <c r="J210" s="449" t="s">
        <v>20</v>
      </c>
      <c r="K210" s="450">
        <f t="shared" si="20"/>
        <v>1999.324379837778</v>
      </c>
      <c r="L210" s="448"/>
      <c r="M210" s="450">
        <v>2000</v>
      </c>
      <c r="P210" s="450">
        <v>1999.324379837778</v>
      </c>
      <c r="AH210"/>
      <c r="AI210"/>
    </row>
    <row r="211" spans="1:35" s="450" customFormat="1" x14ac:dyDescent="0.25">
      <c r="A211" s="448">
        <v>6</v>
      </c>
      <c r="B211" s="448"/>
      <c r="C211" s="448">
        <f t="shared" si="16"/>
        <v>40</v>
      </c>
      <c r="D211" s="448">
        <f t="shared" si="17"/>
        <v>37</v>
      </c>
      <c r="E211" s="448">
        <f t="shared" si="18"/>
        <v>15</v>
      </c>
      <c r="F211" s="448" t="str">
        <f t="shared" si="19"/>
        <v>pm</v>
      </c>
      <c r="G211" s="448" t="s">
        <v>692</v>
      </c>
      <c r="H211" s="448" t="s">
        <v>358</v>
      </c>
      <c r="I211" s="448" t="s">
        <v>693</v>
      </c>
      <c r="J211" s="449" t="s">
        <v>20</v>
      </c>
      <c r="K211" s="450">
        <f t="shared" si="20"/>
        <v>1912.685625058396</v>
      </c>
      <c r="L211" s="448"/>
      <c r="M211" s="450">
        <v>2000</v>
      </c>
      <c r="R211" s="450">
        <v>1923.1880111835867</v>
      </c>
      <c r="T211" s="450">
        <v>1943.949964380706</v>
      </c>
      <c r="V211" s="450">
        <v>1912.685625058396</v>
      </c>
      <c r="AH211"/>
      <c r="AI211"/>
    </row>
    <row r="212" spans="1:35" s="450" customFormat="1" x14ac:dyDescent="0.25">
      <c r="A212" s="448">
        <v>3</v>
      </c>
      <c r="B212" s="448"/>
      <c r="C212" s="448">
        <f t="shared" si="16"/>
        <v>41</v>
      </c>
      <c r="D212" s="448">
        <f t="shared" si="17"/>
        <v>37</v>
      </c>
      <c r="E212" s="448">
        <f t="shared" si="18"/>
        <v>15</v>
      </c>
      <c r="F212" s="448" t="str">
        <f t="shared" si="19"/>
        <v>pm</v>
      </c>
      <c r="G212" s="448" t="s">
        <v>694</v>
      </c>
      <c r="H212" s="448" t="s">
        <v>365</v>
      </c>
      <c r="I212" s="448" t="s">
        <v>695</v>
      </c>
      <c r="J212" s="449" t="s">
        <v>20</v>
      </c>
      <c r="K212" s="450">
        <f t="shared" si="20"/>
        <v>2085.6500846779581</v>
      </c>
      <c r="L212" s="448"/>
      <c r="M212" s="450">
        <v>2000</v>
      </c>
      <c r="P212" s="450">
        <v>2091.2559564984886</v>
      </c>
      <c r="V212" s="450">
        <v>2085.6500846779581</v>
      </c>
      <c r="AH212"/>
      <c r="AI212"/>
    </row>
    <row r="213" spans="1:35" s="450" customFormat="1" x14ac:dyDescent="0.25">
      <c r="A213" s="448">
        <v>7</v>
      </c>
      <c r="B213" s="448"/>
      <c r="C213" s="448">
        <f t="shared" si="16"/>
        <v>42</v>
      </c>
      <c r="D213" s="448">
        <f t="shared" si="17"/>
        <v>37</v>
      </c>
      <c r="E213" s="448">
        <f t="shared" si="18"/>
        <v>15</v>
      </c>
      <c r="F213" s="448" t="str">
        <f t="shared" si="19"/>
        <v>pm</v>
      </c>
      <c r="G213" s="448" t="s">
        <v>696</v>
      </c>
      <c r="H213" s="448" t="s">
        <v>697</v>
      </c>
      <c r="I213" s="448" t="s">
        <v>698</v>
      </c>
      <c r="J213" s="449" t="s">
        <v>20</v>
      </c>
      <c r="K213" s="450">
        <f t="shared" si="20"/>
        <v>1756.71457334665</v>
      </c>
      <c r="L213" s="448"/>
      <c r="M213" s="450">
        <v>2000</v>
      </c>
      <c r="P213" s="450">
        <v>1902.9009970891748</v>
      </c>
      <c r="R213" s="450">
        <v>1825.171036313171</v>
      </c>
      <c r="T213" s="450">
        <v>1772.824914836184</v>
      </c>
      <c r="V213" s="450">
        <v>1756.71457334665</v>
      </c>
      <c r="AH213"/>
      <c r="AI213"/>
    </row>
    <row r="214" spans="1:35" s="450" customFormat="1" x14ac:dyDescent="0.25">
      <c r="A214" s="448">
        <v>4</v>
      </c>
      <c r="B214" s="448"/>
      <c r="C214" s="448">
        <f t="shared" si="16"/>
        <v>43</v>
      </c>
      <c r="D214" s="448">
        <f t="shared" si="17"/>
        <v>37</v>
      </c>
      <c r="E214" s="448">
        <f t="shared" si="18"/>
        <v>15</v>
      </c>
      <c r="F214" s="448" t="str">
        <f t="shared" si="19"/>
        <v>pm</v>
      </c>
      <c r="G214" s="448" t="s">
        <v>699</v>
      </c>
      <c r="H214" s="448" t="s">
        <v>700</v>
      </c>
      <c r="I214" s="448" t="s">
        <v>701</v>
      </c>
      <c r="J214" s="449" t="s">
        <v>20</v>
      </c>
      <c r="K214" s="450">
        <f t="shared" si="20"/>
        <v>2102.5489256142664</v>
      </c>
      <c r="L214" s="448"/>
      <c r="M214" s="450">
        <v>2000</v>
      </c>
      <c r="R214" s="450">
        <v>2000.3203057553364</v>
      </c>
      <c r="T214" s="450">
        <v>2102.5489256142664</v>
      </c>
      <c r="AH214"/>
      <c r="AI214"/>
    </row>
    <row r="215" spans="1:35" s="450" customFormat="1" x14ac:dyDescent="0.25">
      <c r="A215" s="448">
        <v>6</v>
      </c>
      <c r="B215" s="448"/>
      <c r="C215" s="448">
        <f t="shared" si="16"/>
        <v>44</v>
      </c>
      <c r="D215" s="448">
        <f t="shared" si="17"/>
        <v>37</v>
      </c>
      <c r="E215" s="448">
        <f t="shared" si="18"/>
        <v>15</v>
      </c>
      <c r="F215" s="448" t="str">
        <f t="shared" si="19"/>
        <v>pm</v>
      </c>
      <c r="G215" s="448" t="s">
        <v>702</v>
      </c>
      <c r="H215" s="448" t="s">
        <v>309</v>
      </c>
      <c r="I215" s="448" t="s">
        <v>703</v>
      </c>
      <c r="J215" s="449" t="s">
        <v>20</v>
      </c>
      <c r="K215" s="450">
        <f t="shared" si="20"/>
        <v>2010.7641444062388</v>
      </c>
      <c r="L215" s="448"/>
      <c r="M215" s="450">
        <v>2000</v>
      </c>
      <c r="P215" s="450">
        <v>1958.3689992097629</v>
      </c>
      <c r="R215" s="450">
        <v>1965.4518951526236</v>
      </c>
      <c r="T215" s="450">
        <v>1924.5920646598336</v>
      </c>
      <c r="V215" s="450">
        <v>2010.7641444062388</v>
      </c>
      <c r="AH215"/>
      <c r="AI215"/>
    </row>
    <row r="216" spans="1:35" s="450" customFormat="1" x14ac:dyDescent="0.25">
      <c r="A216" s="448">
        <v>2</v>
      </c>
      <c r="B216" s="448"/>
      <c r="C216" s="448">
        <f t="shared" si="16"/>
        <v>45</v>
      </c>
      <c r="D216" s="448">
        <f t="shared" si="17"/>
        <v>37</v>
      </c>
      <c r="E216" s="448">
        <f t="shared" si="18"/>
        <v>15</v>
      </c>
      <c r="F216" s="448" t="str">
        <f t="shared" si="19"/>
        <v>pm</v>
      </c>
      <c r="G216" s="448" t="s">
        <v>704</v>
      </c>
      <c r="H216" s="448" t="s">
        <v>330</v>
      </c>
      <c r="I216" s="448" t="s">
        <v>705</v>
      </c>
      <c r="J216" s="449" t="s">
        <v>20</v>
      </c>
      <c r="K216" s="450">
        <f t="shared" si="20"/>
        <v>2156.7248903018326</v>
      </c>
      <c r="L216" s="448"/>
      <c r="M216" s="450">
        <v>2000</v>
      </c>
      <c r="R216" s="450">
        <v>2102.6797261517463</v>
      </c>
      <c r="S216" s="450">
        <v>2156.7248903018326</v>
      </c>
      <c r="AH216"/>
      <c r="AI216"/>
    </row>
    <row r="217" spans="1:35" s="450" customFormat="1" x14ac:dyDescent="0.25">
      <c r="A217" s="448">
        <v>3</v>
      </c>
      <c r="B217" s="448"/>
      <c r="C217" s="448">
        <f t="shared" si="16"/>
        <v>46</v>
      </c>
      <c r="D217" s="448">
        <f t="shared" si="17"/>
        <v>37</v>
      </c>
      <c r="E217" s="448">
        <f t="shared" si="18"/>
        <v>15</v>
      </c>
      <c r="F217" s="448" t="str">
        <f t="shared" si="19"/>
        <v>pm</v>
      </c>
      <c r="G217" s="448" t="s">
        <v>706</v>
      </c>
      <c r="H217" s="448" t="s">
        <v>330</v>
      </c>
      <c r="I217" s="448" t="s">
        <v>707</v>
      </c>
      <c r="J217" s="449" t="s">
        <v>20</v>
      </c>
      <c r="K217" s="450">
        <f t="shared" si="20"/>
        <v>2179.6252843404914</v>
      </c>
      <c r="L217" s="448"/>
      <c r="M217" s="450">
        <v>2000</v>
      </c>
      <c r="R217" s="450">
        <v>2029.398054141124</v>
      </c>
      <c r="S217" s="450">
        <v>2100.8963883194469</v>
      </c>
      <c r="V217" s="450">
        <v>2179.6252843404914</v>
      </c>
      <c r="AH217"/>
      <c r="AI217"/>
    </row>
    <row r="218" spans="1:35" s="450" customFormat="1" x14ac:dyDescent="0.25">
      <c r="A218" s="448">
        <v>3</v>
      </c>
      <c r="B218" s="448"/>
      <c r="C218" s="448">
        <f t="shared" si="16"/>
        <v>47</v>
      </c>
      <c r="D218" s="448">
        <f t="shared" si="17"/>
        <v>37</v>
      </c>
      <c r="E218" s="448">
        <f t="shared" si="18"/>
        <v>15</v>
      </c>
      <c r="F218" s="448" t="str">
        <f t="shared" si="19"/>
        <v>pm</v>
      </c>
      <c r="G218" s="448" t="s">
        <v>708</v>
      </c>
      <c r="H218" s="448" t="s">
        <v>319</v>
      </c>
      <c r="I218" s="448" t="s">
        <v>709</v>
      </c>
      <c r="J218" s="449" t="s">
        <v>20</v>
      </c>
      <c r="K218" s="450">
        <f t="shared" si="20"/>
        <v>2159.2866173179591</v>
      </c>
      <c r="L218" s="448"/>
      <c r="M218" s="450">
        <v>2000</v>
      </c>
      <c r="P218" s="450">
        <v>2084.4158112051268</v>
      </c>
      <c r="R218" s="450">
        <v>2159.2866173179591</v>
      </c>
      <c r="AH218"/>
      <c r="AI218"/>
    </row>
    <row r="219" spans="1:35" s="450" customFormat="1" x14ac:dyDescent="0.25">
      <c r="A219" s="448">
        <v>5</v>
      </c>
      <c r="B219" s="448"/>
      <c r="C219" s="448">
        <f t="shared" si="16"/>
        <v>48</v>
      </c>
      <c r="D219" s="448">
        <f t="shared" si="17"/>
        <v>37</v>
      </c>
      <c r="E219" s="448">
        <f t="shared" si="18"/>
        <v>15</v>
      </c>
      <c r="F219" s="448" t="str">
        <f t="shared" si="19"/>
        <v>pm</v>
      </c>
      <c r="G219" s="448" t="s">
        <v>710</v>
      </c>
      <c r="H219" s="448" t="s">
        <v>711</v>
      </c>
      <c r="I219" s="448" t="s">
        <v>712</v>
      </c>
      <c r="J219" s="449" t="s">
        <v>20</v>
      </c>
      <c r="K219" s="450">
        <f t="shared" si="20"/>
        <v>1992.322558141371</v>
      </c>
      <c r="L219" s="448"/>
      <c r="M219" s="450">
        <v>2000</v>
      </c>
      <c r="P219" s="450">
        <v>1949.6387452744243</v>
      </c>
      <c r="R219" s="450">
        <v>2028.7969395901496</v>
      </c>
      <c r="V219" s="450">
        <v>1992.322558141371</v>
      </c>
      <c r="AH219"/>
      <c r="AI219"/>
    </row>
    <row r="220" spans="1:35" s="450" customFormat="1" x14ac:dyDescent="0.25">
      <c r="A220" s="448">
        <v>6</v>
      </c>
      <c r="B220" s="448"/>
      <c r="C220" s="448">
        <f t="shared" si="16"/>
        <v>49</v>
      </c>
      <c r="D220" s="448">
        <f t="shared" si="17"/>
        <v>37</v>
      </c>
      <c r="E220" s="448">
        <f t="shared" si="18"/>
        <v>15</v>
      </c>
      <c r="F220" s="448" t="str">
        <f t="shared" si="19"/>
        <v>pm</v>
      </c>
      <c r="G220" s="448" t="s">
        <v>713</v>
      </c>
      <c r="H220" s="448" t="s">
        <v>338</v>
      </c>
      <c r="I220" s="448" t="s">
        <v>714</v>
      </c>
      <c r="J220" s="449" t="s">
        <v>20</v>
      </c>
      <c r="K220" s="450">
        <f t="shared" si="20"/>
        <v>1861.0288344086302</v>
      </c>
      <c r="L220" s="448"/>
      <c r="M220" s="450">
        <v>2000</v>
      </c>
      <c r="R220" s="450">
        <v>1918.5906334054932</v>
      </c>
      <c r="T220" s="450">
        <v>1876.833717072167</v>
      </c>
      <c r="V220" s="450">
        <v>1861.0288344086302</v>
      </c>
      <c r="AH220"/>
      <c r="AI220"/>
    </row>
    <row r="221" spans="1:35" s="450" customFormat="1" x14ac:dyDescent="0.25">
      <c r="A221" s="448">
        <v>6</v>
      </c>
      <c r="B221" s="448"/>
      <c r="C221" s="448">
        <f t="shared" si="16"/>
        <v>50</v>
      </c>
      <c r="D221" s="448">
        <f t="shared" si="17"/>
        <v>37</v>
      </c>
      <c r="E221" s="448">
        <f t="shared" si="18"/>
        <v>15</v>
      </c>
      <c r="F221" s="448" t="str">
        <f t="shared" si="19"/>
        <v>pm</v>
      </c>
      <c r="G221" s="448" t="s">
        <v>715</v>
      </c>
      <c r="H221" s="448" t="s">
        <v>338</v>
      </c>
      <c r="I221" s="448" t="s">
        <v>716</v>
      </c>
      <c r="J221" s="449" t="s">
        <v>20</v>
      </c>
      <c r="K221" s="450">
        <f t="shared" si="20"/>
        <v>1832.2961388061581</v>
      </c>
      <c r="L221" s="448"/>
      <c r="M221" s="450">
        <v>2000</v>
      </c>
      <c r="R221" s="450">
        <v>1909.4303022328752</v>
      </c>
      <c r="T221" s="450">
        <v>1849.9734355569628</v>
      </c>
      <c r="V221" s="450">
        <v>1832.2961388061581</v>
      </c>
      <c r="AH221"/>
      <c r="AI221"/>
    </row>
    <row r="222" spans="1:35" s="450" customFormat="1" x14ac:dyDescent="0.25">
      <c r="A222" s="448">
        <v>5</v>
      </c>
      <c r="B222" s="448"/>
      <c r="C222" s="448">
        <f t="shared" si="16"/>
        <v>51</v>
      </c>
      <c r="D222" s="448">
        <f t="shared" si="17"/>
        <v>37</v>
      </c>
      <c r="E222" s="448">
        <f t="shared" si="18"/>
        <v>15</v>
      </c>
      <c r="F222" s="448" t="str">
        <f t="shared" si="19"/>
        <v>pm</v>
      </c>
      <c r="G222" s="448" t="s">
        <v>717</v>
      </c>
      <c r="H222" s="448" t="s">
        <v>504</v>
      </c>
      <c r="I222" s="448" t="s">
        <v>718</v>
      </c>
      <c r="J222" s="449" t="s">
        <v>20</v>
      </c>
      <c r="K222" s="450">
        <f t="shared" si="20"/>
        <v>1958.5320992058159</v>
      </c>
      <c r="L222" s="448"/>
      <c r="M222" s="450">
        <v>2000</v>
      </c>
      <c r="R222" s="450">
        <v>1930.6477056485521</v>
      </c>
      <c r="T222" s="450">
        <v>2019.7195191341993</v>
      </c>
      <c r="V222" s="450">
        <v>1958.5320992058159</v>
      </c>
      <c r="AH222"/>
      <c r="AI222"/>
    </row>
    <row r="223" spans="1:35" s="450" customFormat="1" x14ac:dyDescent="0.25">
      <c r="A223" s="448">
        <v>3</v>
      </c>
      <c r="B223" s="448"/>
      <c r="C223" s="448">
        <f t="shared" si="16"/>
        <v>52</v>
      </c>
      <c r="D223" s="448">
        <f t="shared" si="17"/>
        <v>37</v>
      </c>
      <c r="E223" s="448">
        <f t="shared" si="18"/>
        <v>15</v>
      </c>
      <c r="F223" s="448" t="str">
        <f t="shared" si="19"/>
        <v>pm</v>
      </c>
      <c r="G223" s="448" t="s">
        <v>719</v>
      </c>
      <c r="H223" s="448" t="s">
        <v>668</v>
      </c>
      <c r="I223" s="448" t="s">
        <v>720</v>
      </c>
      <c r="J223" s="449" t="s">
        <v>20</v>
      </c>
      <c r="K223" s="450">
        <f t="shared" si="20"/>
        <v>1996.7557391443099</v>
      </c>
      <c r="L223" s="448"/>
      <c r="M223" s="450">
        <v>2000</v>
      </c>
      <c r="P223" s="450">
        <v>2014.4481187300305</v>
      </c>
      <c r="T223" s="450">
        <v>1996.7557391443099</v>
      </c>
      <c r="AH223"/>
      <c r="AI223"/>
    </row>
    <row r="224" spans="1:35" s="450" customFormat="1" x14ac:dyDescent="0.25">
      <c r="A224" s="448">
        <v>3</v>
      </c>
      <c r="B224" s="448"/>
      <c r="C224" s="448">
        <f t="shared" si="16"/>
        <v>53</v>
      </c>
      <c r="D224" s="448">
        <f t="shared" si="17"/>
        <v>37</v>
      </c>
      <c r="E224" s="448">
        <f t="shared" si="18"/>
        <v>15</v>
      </c>
      <c r="F224" s="448" t="str">
        <f t="shared" si="19"/>
        <v>pm</v>
      </c>
      <c r="G224" s="448" t="s">
        <v>721</v>
      </c>
      <c r="H224" s="448" t="s">
        <v>335</v>
      </c>
      <c r="I224" s="448" t="s">
        <v>722</v>
      </c>
      <c r="J224" s="449" t="s">
        <v>20</v>
      </c>
      <c r="K224" s="450">
        <f t="shared" si="20"/>
        <v>2035.8705974944417</v>
      </c>
      <c r="L224" s="448"/>
      <c r="M224" s="450">
        <v>2000</v>
      </c>
      <c r="V224" s="450">
        <v>2035.8705974944417</v>
      </c>
      <c r="AH224"/>
      <c r="AI224"/>
    </row>
    <row r="225" spans="1:35" s="450" customFormat="1" x14ac:dyDescent="0.25">
      <c r="A225" s="448">
        <v>2</v>
      </c>
      <c r="B225" s="448"/>
      <c r="C225" s="448">
        <f t="shared" si="16"/>
        <v>1</v>
      </c>
      <c r="D225" s="448">
        <f t="shared" si="17"/>
        <v>1</v>
      </c>
      <c r="E225" s="448">
        <f t="shared" si="18"/>
        <v>16</v>
      </c>
      <c r="F225" s="448" t="str">
        <f t="shared" si="19"/>
        <v>pm</v>
      </c>
      <c r="G225" s="448" t="s">
        <v>723</v>
      </c>
      <c r="H225" s="448" t="s">
        <v>437</v>
      </c>
      <c r="I225" s="448" t="s">
        <v>724</v>
      </c>
      <c r="J225" s="449" t="s">
        <v>21</v>
      </c>
      <c r="K225" s="450">
        <f t="shared" si="20"/>
        <v>2631.6664736634525</v>
      </c>
      <c r="L225" s="448"/>
      <c r="M225" s="450">
        <v>2600</v>
      </c>
      <c r="P225" s="450">
        <v>2588.4978348912359</v>
      </c>
      <c r="S225" s="450">
        <v>2631.6664736634525</v>
      </c>
      <c r="AH225"/>
      <c r="AI225"/>
    </row>
    <row r="226" spans="1:35" s="450" customFormat="1" x14ac:dyDescent="0.25">
      <c r="A226" s="448"/>
      <c r="B226" s="448"/>
      <c r="C226" s="448">
        <f t="shared" si="16"/>
        <v>2</v>
      </c>
      <c r="D226" s="448">
        <f t="shared" si="17"/>
        <v>1</v>
      </c>
      <c r="E226" s="448">
        <f t="shared" si="18"/>
        <v>16</v>
      </c>
      <c r="F226" s="448" t="str">
        <f t="shared" si="19"/>
        <v>crx</v>
      </c>
      <c r="G226" s="448" t="s">
        <v>725</v>
      </c>
      <c r="H226" s="448"/>
      <c r="I226" s="448" t="s">
        <v>726</v>
      </c>
      <c r="J226" s="449" t="s">
        <v>21</v>
      </c>
      <c r="K226" s="450">
        <f t="shared" si="20"/>
        <v>2590.6949709264486</v>
      </c>
      <c r="L226" s="448"/>
      <c r="M226" s="450">
        <v>2600</v>
      </c>
      <c r="O226" s="451"/>
      <c r="P226" s="451">
        <v>2590.6949709264486</v>
      </c>
      <c r="Q226" s="451"/>
      <c r="R226" s="451"/>
      <c r="S226" s="451"/>
      <c r="T226" s="451"/>
      <c r="U226" s="451"/>
      <c r="V226" s="451"/>
      <c r="W226" s="451"/>
      <c r="X226" s="451"/>
      <c r="Y226" s="451"/>
      <c r="Z226" s="451"/>
      <c r="AA226" s="451"/>
      <c r="AB226" s="451"/>
      <c r="AC226" s="451"/>
      <c r="AH226"/>
      <c r="AI226"/>
    </row>
    <row r="227" spans="1:35" s="450" customFormat="1" x14ac:dyDescent="0.25">
      <c r="A227" s="448"/>
      <c r="B227" s="448"/>
      <c r="C227" s="448">
        <f t="shared" si="16"/>
        <v>3</v>
      </c>
      <c r="D227" s="448">
        <f t="shared" si="17"/>
        <v>1</v>
      </c>
      <c r="E227" s="448">
        <f t="shared" si="18"/>
        <v>16</v>
      </c>
      <c r="F227" s="448" t="str">
        <f t="shared" si="19"/>
        <v>crx</v>
      </c>
      <c r="G227" s="448" t="s">
        <v>727</v>
      </c>
      <c r="H227" s="448"/>
      <c r="I227" s="448" t="s">
        <v>728</v>
      </c>
      <c r="J227" s="449" t="s">
        <v>21</v>
      </c>
      <c r="K227" s="450">
        <f t="shared" si="20"/>
        <v>2481.8073132539971</v>
      </c>
      <c r="L227" s="448"/>
      <c r="M227" s="450">
        <v>2600</v>
      </c>
      <c r="O227" s="451"/>
      <c r="P227" s="451">
        <v>2494.0367535342011</v>
      </c>
      <c r="Q227" s="451"/>
      <c r="R227" s="451"/>
      <c r="S227" s="451"/>
      <c r="T227" s="451"/>
      <c r="U227" s="451"/>
      <c r="V227" s="451">
        <v>2481.8073132539971</v>
      </c>
      <c r="W227" s="451"/>
      <c r="X227" s="451"/>
      <c r="Y227" s="451"/>
      <c r="Z227" s="451"/>
      <c r="AA227" s="451"/>
      <c r="AB227" s="451"/>
      <c r="AC227" s="451"/>
      <c r="AH227"/>
      <c r="AI227"/>
    </row>
    <row r="228" spans="1:35" s="450" customFormat="1" x14ac:dyDescent="0.25">
      <c r="A228" s="448">
        <v>3</v>
      </c>
      <c r="B228" s="448"/>
      <c r="C228" s="448">
        <f t="shared" si="16"/>
        <v>4</v>
      </c>
      <c r="D228" s="448">
        <f t="shared" si="17"/>
        <v>1</v>
      </c>
      <c r="E228" s="448">
        <f t="shared" si="18"/>
        <v>16</v>
      </c>
      <c r="F228" s="448" t="str">
        <f t="shared" si="19"/>
        <v>pm</v>
      </c>
      <c r="G228" s="448" t="s">
        <v>729</v>
      </c>
      <c r="H228" s="448" t="s">
        <v>296</v>
      </c>
      <c r="I228" s="448" t="s">
        <v>730</v>
      </c>
      <c r="J228" s="449" t="s">
        <v>21</v>
      </c>
      <c r="K228" s="450">
        <f t="shared" si="20"/>
        <v>2737.8174694588593</v>
      </c>
      <c r="L228" s="448"/>
      <c r="M228" s="450">
        <v>2600</v>
      </c>
      <c r="P228" s="450">
        <v>2742.7064901130243</v>
      </c>
      <c r="S228" s="450">
        <v>2737.8174694588593</v>
      </c>
      <c r="AH228"/>
      <c r="AI228"/>
    </row>
    <row r="229" spans="1:35" s="450" customFormat="1" x14ac:dyDescent="0.25">
      <c r="A229" s="448">
        <v>3</v>
      </c>
      <c r="B229" s="448"/>
      <c r="C229" s="448">
        <f t="shared" si="16"/>
        <v>5</v>
      </c>
      <c r="D229" s="448">
        <f t="shared" si="17"/>
        <v>1</v>
      </c>
      <c r="E229" s="448">
        <f t="shared" si="18"/>
        <v>16</v>
      </c>
      <c r="F229" s="448" t="str">
        <f t="shared" si="19"/>
        <v>pm</v>
      </c>
      <c r="G229" s="448" t="s">
        <v>731</v>
      </c>
      <c r="H229" s="448" t="s">
        <v>296</v>
      </c>
      <c r="I229" s="448" t="s">
        <v>732</v>
      </c>
      <c r="J229" s="449" t="s">
        <v>21</v>
      </c>
      <c r="K229" s="450">
        <f t="shared" si="20"/>
        <v>2731.5589041023313</v>
      </c>
      <c r="L229" s="448"/>
      <c r="M229" s="450">
        <v>2600</v>
      </c>
      <c r="P229" s="450">
        <v>2667.1608520539512</v>
      </c>
      <c r="U229" s="450">
        <v>2731.5589041023313</v>
      </c>
      <c r="AH229"/>
      <c r="AI229"/>
    </row>
    <row r="230" spans="1:35" s="450" customFormat="1" x14ac:dyDescent="0.25">
      <c r="A230" s="448">
        <v>5</v>
      </c>
      <c r="B230" s="448"/>
      <c r="C230" s="448">
        <f t="shared" si="16"/>
        <v>6</v>
      </c>
      <c r="D230" s="448">
        <f t="shared" si="17"/>
        <v>1</v>
      </c>
      <c r="E230" s="448">
        <f t="shared" si="18"/>
        <v>16</v>
      </c>
      <c r="F230" s="448" t="str">
        <f t="shared" si="19"/>
        <v>pm</v>
      </c>
      <c r="G230" s="448" t="s">
        <v>273</v>
      </c>
      <c r="H230" s="448" t="s">
        <v>350</v>
      </c>
      <c r="I230" s="448" t="s">
        <v>272</v>
      </c>
      <c r="J230" s="449" t="s">
        <v>21</v>
      </c>
      <c r="K230" s="450">
        <f t="shared" si="20"/>
        <v>2438.9560736569474</v>
      </c>
      <c r="L230" s="448"/>
      <c r="M230" s="450">
        <v>2600</v>
      </c>
      <c r="P230" s="450">
        <v>2498.4008847697546</v>
      </c>
      <c r="U230" s="450">
        <v>2438.9560736569474</v>
      </c>
      <c r="AH230"/>
      <c r="AI230"/>
    </row>
    <row r="231" spans="1:35" s="450" customFormat="1" x14ac:dyDescent="0.25">
      <c r="A231" s="448">
        <v>5</v>
      </c>
      <c r="B231" s="448"/>
      <c r="C231" s="448">
        <f t="shared" si="16"/>
        <v>7</v>
      </c>
      <c r="D231" s="448">
        <f t="shared" si="17"/>
        <v>1</v>
      </c>
      <c r="E231" s="448">
        <f t="shared" si="18"/>
        <v>16</v>
      </c>
      <c r="F231" s="448" t="str">
        <f t="shared" si="19"/>
        <v>pm</v>
      </c>
      <c r="G231" s="448" t="s">
        <v>253</v>
      </c>
      <c r="H231" s="448" t="s">
        <v>353</v>
      </c>
      <c r="I231" s="448" t="s">
        <v>252</v>
      </c>
      <c r="J231" s="449" t="s">
        <v>21</v>
      </c>
      <c r="K231" s="450">
        <f t="shared" si="20"/>
        <v>2551.571394209886</v>
      </c>
      <c r="L231" s="448"/>
      <c r="M231" s="450">
        <v>2600</v>
      </c>
      <c r="P231" s="450">
        <v>2536.3497914010086</v>
      </c>
      <c r="S231" s="450">
        <v>2522.8013817469564</v>
      </c>
      <c r="U231" s="450">
        <v>2551.571394209886</v>
      </c>
      <c r="AH231"/>
      <c r="AI231"/>
    </row>
    <row r="232" spans="1:35" s="450" customFormat="1" x14ac:dyDescent="0.25">
      <c r="A232" s="448">
        <v>1</v>
      </c>
      <c r="B232" s="448"/>
      <c r="C232" s="448">
        <f t="shared" si="16"/>
        <v>8</v>
      </c>
      <c r="D232" s="448">
        <f t="shared" si="17"/>
        <v>1</v>
      </c>
      <c r="E232" s="448">
        <f t="shared" si="18"/>
        <v>16</v>
      </c>
      <c r="F232" s="448" t="str">
        <f t="shared" si="19"/>
        <v>pmx</v>
      </c>
      <c r="G232" s="448" t="s">
        <v>733</v>
      </c>
      <c r="H232" s="448" t="s">
        <v>371</v>
      </c>
      <c r="I232" s="448" t="s">
        <v>734</v>
      </c>
      <c r="J232" s="449" t="s">
        <v>21</v>
      </c>
      <c r="K232" s="450">
        <f t="shared" si="20"/>
        <v>2691.5433576484666</v>
      </c>
      <c r="L232" s="448"/>
      <c r="M232" s="450">
        <v>2600</v>
      </c>
      <c r="U232" s="450">
        <v>2691.5433576484666</v>
      </c>
      <c r="AH232"/>
      <c r="AI232"/>
    </row>
    <row r="233" spans="1:35" s="450" customFormat="1" x14ac:dyDescent="0.25">
      <c r="A233" s="448">
        <v>2</v>
      </c>
      <c r="B233" s="448"/>
      <c r="C233" s="448">
        <f t="shared" si="16"/>
        <v>9</v>
      </c>
      <c r="D233" s="448">
        <f t="shared" si="17"/>
        <v>1</v>
      </c>
      <c r="E233" s="448">
        <f t="shared" si="18"/>
        <v>16</v>
      </c>
      <c r="F233" s="448" t="str">
        <f t="shared" si="19"/>
        <v>pm</v>
      </c>
      <c r="G233" s="448" t="s">
        <v>735</v>
      </c>
      <c r="H233" s="448" t="s">
        <v>371</v>
      </c>
      <c r="I233" s="448" t="s">
        <v>736</v>
      </c>
      <c r="J233" s="449" t="s">
        <v>21</v>
      </c>
      <c r="K233" s="450">
        <f t="shared" si="20"/>
        <v>2578.3043337541226</v>
      </c>
      <c r="L233" s="448"/>
      <c r="M233" s="450">
        <v>2600</v>
      </c>
      <c r="P233" s="450">
        <v>2529.9395928312915</v>
      </c>
      <c r="U233" s="450">
        <v>2578.3043337541226</v>
      </c>
      <c r="AH233"/>
      <c r="AI233"/>
    </row>
    <row r="234" spans="1:35" s="450" customFormat="1" x14ac:dyDescent="0.25">
      <c r="A234" s="448">
        <v>2</v>
      </c>
      <c r="B234" s="448"/>
      <c r="C234" s="448">
        <f t="shared" si="16"/>
        <v>10</v>
      </c>
      <c r="D234" s="448">
        <f t="shared" si="17"/>
        <v>1</v>
      </c>
      <c r="E234" s="448">
        <f t="shared" si="18"/>
        <v>16</v>
      </c>
      <c r="F234" s="448" t="str">
        <f t="shared" si="19"/>
        <v>pm</v>
      </c>
      <c r="G234" s="448" t="s">
        <v>737</v>
      </c>
      <c r="H234" s="448" t="s">
        <v>371</v>
      </c>
      <c r="I234" s="448" t="s">
        <v>738</v>
      </c>
      <c r="J234" s="449" t="s">
        <v>21</v>
      </c>
      <c r="K234" s="450">
        <f t="shared" si="20"/>
        <v>2428.3880185535127</v>
      </c>
      <c r="L234" s="448"/>
      <c r="M234" s="450">
        <v>2600</v>
      </c>
      <c r="P234" s="450">
        <v>2482.7077944451225</v>
      </c>
      <c r="U234" s="450">
        <v>2428.3880185535127</v>
      </c>
      <c r="AH234"/>
      <c r="AI234"/>
    </row>
    <row r="235" spans="1:35" s="450" customFormat="1" x14ac:dyDescent="0.25">
      <c r="A235" s="448">
        <v>7</v>
      </c>
      <c r="B235" s="448"/>
      <c r="C235" s="448">
        <f t="shared" si="16"/>
        <v>11</v>
      </c>
      <c r="D235" s="448">
        <f t="shared" si="17"/>
        <v>1</v>
      </c>
      <c r="E235" s="448">
        <f t="shared" si="18"/>
        <v>16</v>
      </c>
      <c r="F235" s="448" t="str">
        <f t="shared" si="19"/>
        <v>pm</v>
      </c>
      <c r="G235" s="448" t="s">
        <v>265</v>
      </c>
      <c r="H235" s="448" t="s">
        <v>697</v>
      </c>
      <c r="I235" s="448" t="s">
        <v>264</v>
      </c>
      <c r="J235" s="449" t="s">
        <v>21</v>
      </c>
      <c r="K235" s="450">
        <f t="shared" si="20"/>
        <v>2520.0583393752127</v>
      </c>
      <c r="L235" s="448"/>
      <c r="M235" s="450">
        <v>2600</v>
      </c>
      <c r="P235" s="450">
        <v>2535.1589990784814</v>
      </c>
      <c r="Q235" s="450">
        <v>2535.2536812939006</v>
      </c>
      <c r="S235" s="450">
        <v>2544.7969756063999</v>
      </c>
      <c r="U235" s="450">
        <v>2520.0583393752127</v>
      </c>
      <c r="AH235"/>
      <c r="AI235"/>
    </row>
    <row r="236" spans="1:35" s="450" customFormat="1" x14ac:dyDescent="0.25">
      <c r="A236" s="448">
        <v>5</v>
      </c>
      <c r="B236" s="448"/>
      <c r="C236" s="448">
        <f t="shared" si="16"/>
        <v>12</v>
      </c>
      <c r="D236" s="448">
        <f t="shared" si="17"/>
        <v>1</v>
      </c>
      <c r="E236" s="448">
        <f t="shared" si="18"/>
        <v>16</v>
      </c>
      <c r="F236" s="448" t="str">
        <f t="shared" si="19"/>
        <v>pm</v>
      </c>
      <c r="G236" s="448" t="s">
        <v>739</v>
      </c>
      <c r="H236" s="448" t="s">
        <v>374</v>
      </c>
      <c r="I236" s="448" t="s">
        <v>740</v>
      </c>
      <c r="J236" s="449" t="s">
        <v>21</v>
      </c>
      <c r="K236" s="450">
        <f t="shared" si="20"/>
        <v>2628.2574952617479</v>
      </c>
      <c r="L236" s="448"/>
      <c r="M236" s="450">
        <v>2600</v>
      </c>
      <c r="P236" s="450">
        <v>2628.2574952617479</v>
      </c>
      <c r="AH236"/>
      <c r="AI236"/>
    </row>
    <row r="237" spans="1:35" s="450" customFormat="1" x14ac:dyDescent="0.25">
      <c r="A237" s="448">
        <v>6</v>
      </c>
      <c r="B237" s="448"/>
      <c r="C237" s="448">
        <f t="shared" si="16"/>
        <v>13</v>
      </c>
      <c r="D237" s="448">
        <f t="shared" si="17"/>
        <v>1</v>
      </c>
      <c r="E237" s="448">
        <f t="shared" si="18"/>
        <v>16</v>
      </c>
      <c r="F237" s="448" t="str">
        <f t="shared" si="19"/>
        <v>pm</v>
      </c>
      <c r="G237" s="448" t="s">
        <v>275</v>
      </c>
      <c r="H237" s="448" t="s">
        <v>374</v>
      </c>
      <c r="I237" s="448" t="s">
        <v>274</v>
      </c>
      <c r="J237" s="449" t="s">
        <v>21</v>
      </c>
      <c r="K237" s="450">
        <f t="shared" si="20"/>
        <v>2421.5536280299398</v>
      </c>
      <c r="L237" s="448"/>
      <c r="M237" s="450">
        <v>2600</v>
      </c>
      <c r="Q237" s="450">
        <v>2453.989388007974</v>
      </c>
      <c r="S237" s="450">
        <v>2488.2982676302595</v>
      </c>
      <c r="U237" s="450">
        <v>2421.5536280299398</v>
      </c>
      <c r="AH237"/>
      <c r="AI237"/>
    </row>
    <row r="238" spans="1:35" s="450" customFormat="1" x14ac:dyDescent="0.25">
      <c r="A238" s="448">
        <v>4</v>
      </c>
      <c r="B238" s="448"/>
      <c r="C238" s="448">
        <f t="shared" si="16"/>
        <v>14</v>
      </c>
      <c r="D238" s="448">
        <f t="shared" si="17"/>
        <v>1</v>
      </c>
      <c r="E238" s="448">
        <f t="shared" si="18"/>
        <v>16</v>
      </c>
      <c r="F238" s="448" t="str">
        <f t="shared" si="19"/>
        <v>pm</v>
      </c>
      <c r="G238" s="448" t="s">
        <v>247</v>
      </c>
      <c r="H238" s="448" t="s">
        <v>374</v>
      </c>
      <c r="I238" s="448" t="s">
        <v>246</v>
      </c>
      <c r="J238" s="449" t="s">
        <v>21</v>
      </c>
      <c r="K238" s="450">
        <f t="shared" si="20"/>
        <v>2566.2013148883184</v>
      </c>
      <c r="L238" s="448"/>
      <c r="M238" s="450">
        <v>2600</v>
      </c>
      <c r="U238" s="450">
        <v>2566.2013148883184</v>
      </c>
      <c r="AH238"/>
      <c r="AI238"/>
    </row>
    <row r="239" spans="1:35" s="450" customFormat="1" x14ac:dyDescent="0.25">
      <c r="A239" s="448">
        <v>4</v>
      </c>
      <c r="B239" s="448"/>
      <c r="C239" s="448">
        <f t="shared" si="16"/>
        <v>15</v>
      </c>
      <c r="D239" s="448">
        <f t="shared" si="17"/>
        <v>1</v>
      </c>
      <c r="E239" s="448">
        <f t="shared" si="18"/>
        <v>16</v>
      </c>
      <c r="F239" s="448" t="str">
        <f t="shared" si="19"/>
        <v>pm</v>
      </c>
      <c r="G239" s="448" t="s">
        <v>241</v>
      </c>
      <c r="H239" s="448" t="s">
        <v>374</v>
      </c>
      <c r="I239" s="448" t="s">
        <v>240</v>
      </c>
      <c r="J239" s="449" t="s">
        <v>21</v>
      </c>
      <c r="K239" s="450">
        <f t="shared" si="20"/>
        <v>2624.0258612014063</v>
      </c>
      <c r="L239" s="448"/>
      <c r="M239" s="450">
        <v>2600</v>
      </c>
      <c r="U239" s="450">
        <v>2624.0258612014063</v>
      </c>
      <c r="AH239"/>
      <c r="AI239"/>
    </row>
    <row r="240" spans="1:35" s="450" customFormat="1" x14ac:dyDescent="0.25">
      <c r="A240" s="448">
        <v>1</v>
      </c>
      <c r="B240" s="448"/>
      <c r="C240" s="448">
        <f t="shared" si="16"/>
        <v>16</v>
      </c>
      <c r="D240" s="448">
        <f t="shared" si="17"/>
        <v>1</v>
      </c>
      <c r="E240" s="448">
        <f t="shared" si="18"/>
        <v>16</v>
      </c>
      <c r="F240" s="448" t="str">
        <f t="shared" si="19"/>
        <v>pmx</v>
      </c>
      <c r="G240" s="448" t="s">
        <v>741</v>
      </c>
      <c r="H240" s="448" t="s">
        <v>742</v>
      </c>
      <c r="I240" s="448" t="s">
        <v>743</v>
      </c>
      <c r="J240" s="449" t="s">
        <v>21</v>
      </c>
      <c r="K240" s="450">
        <f t="shared" si="20"/>
        <v>2600</v>
      </c>
      <c r="L240" s="448"/>
      <c r="M240" s="450">
        <v>2600</v>
      </c>
      <c r="O240" s="451"/>
      <c r="P240" s="451"/>
      <c r="Q240" s="451"/>
      <c r="R240" s="451"/>
      <c r="S240" s="451"/>
      <c r="T240" s="451"/>
      <c r="U240" s="451"/>
      <c r="V240" s="451"/>
      <c r="W240" s="451"/>
      <c r="X240" s="451"/>
      <c r="Y240" s="451"/>
      <c r="Z240" s="451"/>
      <c r="AA240" s="451"/>
      <c r="AB240" s="451"/>
      <c r="AC240" s="451"/>
      <c r="AH240"/>
      <c r="AI240"/>
    </row>
    <row r="241" spans="1:35" s="450" customFormat="1" x14ac:dyDescent="0.25">
      <c r="A241" s="448">
        <v>4</v>
      </c>
      <c r="B241" s="448"/>
      <c r="C241" s="448">
        <f t="shared" si="16"/>
        <v>17</v>
      </c>
      <c r="D241" s="448">
        <f t="shared" si="17"/>
        <v>1</v>
      </c>
      <c r="E241" s="448">
        <f t="shared" si="18"/>
        <v>16</v>
      </c>
      <c r="F241" s="448" t="str">
        <f t="shared" si="19"/>
        <v>pm</v>
      </c>
      <c r="G241" s="448" t="s">
        <v>249</v>
      </c>
      <c r="H241" s="448" t="s">
        <v>306</v>
      </c>
      <c r="I241" s="448" t="s">
        <v>248</v>
      </c>
      <c r="J241" s="449" t="s">
        <v>21</v>
      </c>
      <c r="K241" s="450">
        <f t="shared" si="20"/>
        <v>2557.9878915283052</v>
      </c>
      <c r="L241" s="448"/>
      <c r="M241" s="450">
        <v>2600</v>
      </c>
      <c r="U241" s="450">
        <v>2557.9878915283052</v>
      </c>
      <c r="AH241"/>
      <c r="AI241"/>
    </row>
    <row r="242" spans="1:35" s="450" customFormat="1" x14ac:dyDescent="0.25">
      <c r="A242" s="448">
        <v>7</v>
      </c>
      <c r="B242" s="448"/>
      <c r="C242" s="448">
        <f t="shared" si="16"/>
        <v>18</v>
      </c>
      <c r="D242" s="448">
        <f t="shared" si="17"/>
        <v>1</v>
      </c>
      <c r="E242" s="448">
        <f t="shared" si="18"/>
        <v>16</v>
      </c>
      <c r="F242" s="448" t="str">
        <f t="shared" si="19"/>
        <v>pm</v>
      </c>
      <c r="G242" s="448" t="s">
        <v>243</v>
      </c>
      <c r="H242" s="448" t="s">
        <v>309</v>
      </c>
      <c r="I242" s="448" t="s">
        <v>242</v>
      </c>
      <c r="J242" s="449" t="s">
        <v>21</v>
      </c>
      <c r="K242" s="450">
        <f t="shared" si="20"/>
        <v>2622.3839182783236</v>
      </c>
      <c r="L242" s="448"/>
      <c r="M242" s="450">
        <v>2600</v>
      </c>
      <c r="P242" s="450">
        <v>2586.1087425520964</v>
      </c>
      <c r="Q242" s="450">
        <v>2642.1061403984222</v>
      </c>
      <c r="S242" s="450">
        <v>2574.6020405067334</v>
      </c>
      <c r="U242" s="450">
        <v>2622.3839182783236</v>
      </c>
      <c r="AH242"/>
      <c r="AI242"/>
    </row>
    <row r="243" spans="1:35" s="450" customFormat="1" x14ac:dyDescent="0.25">
      <c r="A243" s="448">
        <v>5</v>
      </c>
      <c r="B243" s="448"/>
      <c r="C243" s="448">
        <f t="shared" si="16"/>
        <v>19</v>
      </c>
      <c r="D243" s="448">
        <f t="shared" si="17"/>
        <v>1</v>
      </c>
      <c r="E243" s="448">
        <f t="shared" si="18"/>
        <v>16</v>
      </c>
      <c r="F243" s="448" t="str">
        <f t="shared" si="19"/>
        <v>pm</v>
      </c>
      <c r="G243" s="448" t="s">
        <v>271</v>
      </c>
      <c r="H243" s="448" t="s">
        <v>523</v>
      </c>
      <c r="I243" s="448" t="s">
        <v>270</v>
      </c>
      <c r="J243" s="449" t="s">
        <v>21</v>
      </c>
      <c r="K243" s="450">
        <f t="shared" si="20"/>
        <v>2450.9074358683274</v>
      </c>
      <c r="L243" s="448"/>
      <c r="M243" s="450">
        <v>2600</v>
      </c>
      <c r="P243" s="450">
        <v>2521.6112649182251</v>
      </c>
      <c r="U243" s="450">
        <v>2450.9074358683274</v>
      </c>
      <c r="AH243"/>
      <c r="AI243"/>
    </row>
    <row r="244" spans="1:35" s="450" customFormat="1" x14ac:dyDescent="0.25">
      <c r="A244" s="448">
        <v>2</v>
      </c>
      <c r="B244" s="448"/>
      <c r="C244" s="448">
        <f t="shared" si="16"/>
        <v>20</v>
      </c>
      <c r="D244" s="448">
        <f t="shared" si="17"/>
        <v>1</v>
      </c>
      <c r="E244" s="448">
        <f t="shared" si="18"/>
        <v>16</v>
      </c>
      <c r="F244" s="448" t="str">
        <f t="shared" si="19"/>
        <v>pm</v>
      </c>
      <c r="G244" s="448" t="s">
        <v>744</v>
      </c>
      <c r="H244" s="448" t="s">
        <v>330</v>
      </c>
      <c r="I244" s="448" t="s">
        <v>745</v>
      </c>
      <c r="J244" s="449" t="s">
        <v>21</v>
      </c>
      <c r="K244" s="450">
        <f t="shared" si="20"/>
        <v>2642.4197784613143</v>
      </c>
      <c r="L244" s="448"/>
      <c r="M244" s="450">
        <v>2600</v>
      </c>
      <c r="S244" s="450">
        <v>2642.4197784613143</v>
      </c>
      <c r="AH244"/>
      <c r="AI244"/>
    </row>
    <row r="245" spans="1:35" s="450" customFormat="1" x14ac:dyDescent="0.25">
      <c r="A245" s="448">
        <v>3</v>
      </c>
      <c r="B245" s="448"/>
      <c r="C245" s="448">
        <f t="shared" si="16"/>
        <v>21</v>
      </c>
      <c r="D245" s="448">
        <f t="shared" si="17"/>
        <v>1</v>
      </c>
      <c r="E245" s="448">
        <f t="shared" si="18"/>
        <v>16</v>
      </c>
      <c r="F245" s="448" t="str">
        <f t="shared" si="19"/>
        <v>pm</v>
      </c>
      <c r="G245" s="448" t="s">
        <v>239</v>
      </c>
      <c r="H245" s="448" t="s">
        <v>330</v>
      </c>
      <c r="I245" s="448" t="s">
        <v>238</v>
      </c>
      <c r="J245" s="449" t="s">
        <v>21</v>
      </c>
      <c r="K245" s="450">
        <f t="shared" si="20"/>
        <v>2646.8788938853718</v>
      </c>
      <c r="L245" s="448"/>
      <c r="M245" s="450">
        <v>2600</v>
      </c>
      <c r="S245" s="450">
        <v>2624.1968354614924</v>
      </c>
      <c r="V245" s="450">
        <v>2646.8788938853718</v>
      </c>
      <c r="AH245"/>
      <c r="AI245"/>
    </row>
    <row r="246" spans="1:35" s="450" customFormat="1" x14ac:dyDescent="0.25">
      <c r="A246" s="448">
        <v>5</v>
      </c>
      <c r="B246" s="448"/>
      <c r="C246" s="448">
        <f t="shared" si="16"/>
        <v>22</v>
      </c>
      <c r="D246" s="448">
        <f t="shared" si="17"/>
        <v>1</v>
      </c>
      <c r="E246" s="448">
        <f t="shared" si="18"/>
        <v>16</v>
      </c>
      <c r="F246" s="448" t="str">
        <f t="shared" si="19"/>
        <v>pm</v>
      </c>
      <c r="G246" s="448" t="s">
        <v>267</v>
      </c>
      <c r="H246" s="448" t="s">
        <v>327</v>
      </c>
      <c r="I246" s="448" t="s">
        <v>266</v>
      </c>
      <c r="J246" s="449" t="s">
        <v>21</v>
      </c>
      <c r="K246" s="450">
        <f t="shared" si="20"/>
        <v>2501.7317909930653</v>
      </c>
      <c r="L246" s="448"/>
      <c r="M246" s="450">
        <v>2600</v>
      </c>
      <c r="P246" s="450">
        <v>2534.3306077253792</v>
      </c>
      <c r="S246" s="450">
        <v>2501.7317909930653</v>
      </c>
      <c r="AH246"/>
      <c r="AI246"/>
    </row>
    <row r="247" spans="1:35" s="450" customFormat="1" x14ac:dyDescent="0.25">
      <c r="A247" s="448">
        <v>5</v>
      </c>
      <c r="B247" s="448"/>
      <c r="C247" s="448">
        <f t="shared" si="16"/>
        <v>23</v>
      </c>
      <c r="D247" s="448">
        <f t="shared" si="17"/>
        <v>1</v>
      </c>
      <c r="E247" s="448">
        <f t="shared" si="18"/>
        <v>16</v>
      </c>
      <c r="F247" s="448" t="str">
        <f t="shared" si="19"/>
        <v>pm</v>
      </c>
      <c r="G247" s="448" t="s">
        <v>279</v>
      </c>
      <c r="H247" s="448" t="s">
        <v>327</v>
      </c>
      <c r="I247" s="448" t="s">
        <v>278</v>
      </c>
      <c r="J247" s="449" t="s">
        <v>21</v>
      </c>
      <c r="K247" s="450">
        <f t="shared" si="20"/>
        <v>2334.1471641922385</v>
      </c>
      <c r="L247" s="448"/>
      <c r="M247" s="450">
        <v>2600</v>
      </c>
      <c r="P247" s="450">
        <v>2430.3121523701575</v>
      </c>
      <c r="S247" s="450">
        <v>2334.1471641922385</v>
      </c>
      <c r="AH247"/>
      <c r="AI247"/>
    </row>
    <row r="248" spans="1:35" s="450" customFormat="1" x14ac:dyDescent="0.25">
      <c r="A248" s="448">
        <v>5</v>
      </c>
      <c r="B248" s="448"/>
      <c r="C248" s="448">
        <f t="shared" si="16"/>
        <v>24</v>
      </c>
      <c r="D248" s="448">
        <f t="shared" si="17"/>
        <v>1</v>
      </c>
      <c r="E248" s="448">
        <f t="shared" si="18"/>
        <v>16</v>
      </c>
      <c r="F248" s="448" t="str">
        <f t="shared" si="19"/>
        <v>pm</v>
      </c>
      <c r="G248" s="448" t="s">
        <v>251</v>
      </c>
      <c r="H248" s="448" t="s">
        <v>338</v>
      </c>
      <c r="I248" s="448" t="s">
        <v>250</v>
      </c>
      <c r="J248" s="449" t="s">
        <v>21</v>
      </c>
      <c r="K248" s="450">
        <f t="shared" si="20"/>
        <v>2554.3553976514154</v>
      </c>
      <c r="L248" s="448"/>
      <c r="M248" s="450">
        <v>2600</v>
      </c>
      <c r="S248" s="450">
        <v>2525.6392172060614</v>
      </c>
      <c r="U248" s="450">
        <v>2554.3553976514154</v>
      </c>
      <c r="AH248"/>
      <c r="AI248"/>
    </row>
    <row r="249" spans="1:35" s="450" customFormat="1" x14ac:dyDescent="0.25">
      <c r="A249" s="448">
        <v>5</v>
      </c>
      <c r="B249" s="448"/>
      <c r="C249" s="448">
        <f t="shared" si="16"/>
        <v>25</v>
      </c>
      <c r="D249" s="448">
        <f t="shared" si="17"/>
        <v>1</v>
      </c>
      <c r="E249" s="448">
        <f t="shared" si="18"/>
        <v>16</v>
      </c>
      <c r="F249" s="448" t="str">
        <f t="shared" si="19"/>
        <v>pm</v>
      </c>
      <c r="G249" s="448" t="s">
        <v>269</v>
      </c>
      <c r="H249" s="448" t="s">
        <v>338</v>
      </c>
      <c r="I249" s="448" t="s">
        <v>268</v>
      </c>
      <c r="J249" s="449" t="s">
        <v>21</v>
      </c>
      <c r="K249" s="450">
        <f t="shared" si="20"/>
        <v>2464.3992066653695</v>
      </c>
      <c r="L249" s="448"/>
      <c r="M249" s="450">
        <v>2600</v>
      </c>
      <c r="S249" s="450">
        <v>2522.040418704566</v>
      </c>
      <c r="U249" s="450">
        <v>2464.3992066653695</v>
      </c>
      <c r="AH249"/>
      <c r="AI249"/>
    </row>
    <row r="250" spans="1:35" s="450" customFormat="1" x14ac:dyDescent="0.25">
      <c r="A250" s="448"/>
      <c r="B250" s="448"/>
      <c r="C250" s="448">
        <f t="shared" si="16"/>
        <v>26</v>
      </c>
      <c r="D250" s="448">
        <f t="shared" si="17"/>
        <v>1</v>
      </c>
      <c r="E250" s="448">
        <f t="shared" si="18"/>
        <v>16</v>
      </c>
      <c r="F250" s="448" t="str">
        <f t="shared" si="19"/>
        <v>crx</v>
      </c>
      <c r="G250" s="448" t="s">
        <v>746</v>
      </c>
      <c r="H250" s="448"/>
      <c r="I250" s="448" t="s">
        <v>747</v>
      </c>
      <c r="J250" s="449" t="s">
        <v>21</v>
      </c>
      <c r="K250" s="450">
        <f t="shared" si="20"/>
        <v>2614.0741138246112</v>
      </c>
      <c r="L250" s="448"/>
      <c r="M250" s="450">
        <v>2600</v>
      </c>
      <c r="O250" s="451"/>
      <c r="P250" s="451">
        <v>2614.0741138246112</v>
      </c>
      <c r="Q250" s="451"/>
      <c r="R250" s="451"/>
      <c r="S250" s="451"/>
      <c r="T250" s="451"/>
      <c r="U250" s="451"/>
      <c r="V250" s="451"/>
      <c r="W250" s="451"/>
      <c r="X250" s="451"/>
      <c r="Y250" s="451"/>
      <c r="Z250" s="451"/>
      <c r="AA250" s="451"/>
      <c r="AB250" s="451"/>
      <c r="AC250" s="451"/>
      <c r="AH250"/>
      <c r="AI250"/>
    </row>
    <row r="251" spans="1:35" s="450" customFormat="1" x14ac:dyDescent="0.25">
      <c r="A251" s="448">
        <v>1</v>
      </c>
      <c r="B251" s="448"/>
      <c r="C251" s="448">
        <f t="shared" si="16"/>
        <v>27</v>
      </c>
      <c r="D251" s="448">
        <f t="shared" si="17"/>
        <v>1</v>
      </c>
      <c r="E251" s="448">
        <f t="shared" si="18"/>
        <v>16</v>
      </c>
      <c r="F251" s="448" t="str">
        <f t="shared" si="19"/>
        <v>pmx</v>
      </c>
      <c r="G251" s="448" t="s">
        <v>748</v>
      </c>
      <c r="H251" s="448" t="s">
        <v>316</v>
      </c>
      <c r="I251" s="448" t="s">
        <v>749</v>
      </c>
      <c r="J251" s="449" t="s">
        <v>21</v>
      </c>
      <c r="K251" s="450">
        <f t="shared" si="20"/>
        <v>2840.6890102224856</v>
      </c>
      <c r="L251" s="448"/>
      <c r="M251" s="450">
        <v>2600</v>
      </c>
      <c r="O251" s="450">
        <v>2840.6890102224856</v>
      </c>
      <c r="AH251"/>
      <c r="AI251"/>
    </row>
    <row r="252" spans="1:35" s="450" customFormat="1" x14ac:dyDescent="0.25">
      <c r="A252" s="448">
        <v>2</v>
      </c>
      <c r="B252" s="448"/>
      <c r="C252" s="448">
        <f t="shared" si="16"/>
        <v>28</v>
      </c>
      <c r="D252" s="448">
        <f t="shared" si="17"/>
        <v>1</v>
      </c>
      <c r="E252" s="448">
        <f t="shared" si="18"/>
        <v>16</v>
      </c>
      <c r="F252" s="448" t="str">
        <f t="shared" si="19"/>
        <v>pm</v>
      </c>
      <c r="G252" s="448" t="s">
        <v>750</v>
      </c>
      <c r="H252" s="448" t="s">
        <v>316</v>
      </c>
      <c r="I252" s="448" t="s">
        <v>751</v>
      </c>
      <c r="J252" s="449" t="s">
        <v>21</v>
      </c>
      <c r="K252" s="450">
        <f t="shared" si="20"/>
        <v>2668.4093745251066</v>
      </c>
      <c r="L252" s="448"/>
      <c r="M252" s="450">
        <v>2600</v>
      </c>
      <c r="S252" s="450">
        <v>2668.4093745251066</v>
      </c>
      <c r="AH252"/>
      <c r="AI252"/>
    </row>
    <row r="253" spans="1:35" s="450" customFormat="1" x14ac:dyDescent="0.25">
      <c r="A253" s="448">
        <v>5</v>
      </c>
      <c r="B253" s="448"/>
      <c r="C253" s="448">
        <f t="shared" si="16"/>
        <v>29</v>
      </c>
      <c r="D253" s="448">
        <f t="shared" si="17"/>
        <v>1</v>
      </c>
      <c r="E253" s="448">
        <f t="shared" si="18"/>
        <v>16</v>
      </c>
      <c r="F253" s="448" t="str">
        <f t="shared" si="19"/>
        <v>pm</v>
      </c>
      <c r="G253" s="448" t="s">
        <v>263</v>
      </c>
      <c r="H253" s="448" t="s">
        <v>335</v>
      </c>
      <c r="I253" s="448" t="s">
        <v>262</v>
      </c>
      <c r="J253" s="449" t="s">
        <v>21</v>
      </c>
      <c r="K253" s="450">
        <f t="shared" si="20"/>
        <v>2531.9153909770039</v>
      </c>
      <c r="L253" s="448"/>
      <c r="M253" s="450">
        <v>2600</v>
      </c>
      <c r="P253" s="450">
        <v>2550.7095999075605</v>
      </c>
      <c r="S253" s="450">
        <v>2531.9153909770039</v>
      </c>
      <c r="AH253"/>
      <c r="AI253"/>
    </row>
    <row r="254" spans="1:35" s="450" customFormat="1" x14ac:dyDescent="0.25">
      <c r="A254" s="448">
        <v>4</v>
      </c>
      <c r="B254" s="448"/>
      <c r="C254" s="448">
        <f t="shared" si="16"/>
        <v>30</v>
      </c>
      <c r="D254" s="448">
        <f t="shared" si="17"/>
        <v>30</v>
      </c>
      <c r="E254" s="448">
        <f t="shared" si="18"/>
        <v>16</v>
      </c>
      <c r="F254" s="448" t="str">
        <f t="shared" si="19"/>
        <v>pm</v>
      </c>
      <c r="G254" s="448" t="s">
        <v>752</v>
      </c>
      <c r="H254" s="448" t="s">
        <v>319</v>
      </c>
      <c r="I254" s="448" t="s">
        <v>753</v>
      </c>
      <c r="J254" s="449" t="s">
        <v>21</v>
      </c>
      <c r="K254" s="450">
        <f t="shared" si="20"/>
        <v>2812.5778657724013</v>
      </c>
      <c r="L254" s="448"/>
      <c r="M254" s="450">
        <v>2550</v>
      </c>
      <c r="O254" s="450">
        <v>2651.1345929277209</v>
      </c>
      <c r="S254" s="450">
        <v>2783.6188433078114</v>
      </c>
      <c r="U254" s="450">
        <v>2812.5778657724013</v>
      </c>
      <c r="AH254"/>
      <c r="AI254"/>
    </row>
    <row r="255" spans="1:35" s="450" customFormat="1" x14ac:dyDescent="0.25">
      <c r="A255" s="448">
        <v>6</v>
      </c>
      <c r="B255" s="448"/>
      <c r="C255" s="448">
        <f t="shared" si="16"/>
        <v>31</v>
      </c>
      <c r="D255" s="448">
        <f t="shared" si="17"/>
        <v>31</v>
      </c>
      <c r="E255" s="448">
        <f t="shared" si="18"/>
        <v>16</v>
      </c>
      <c r="F255" s="448" t="str">
        <f t="shared" si="19"/>
        <v>pm</v>
      </c>
      <c r="G255" s="448" t="s">
        <v>245</v>
      </c>
      <c r="H255" s="448" t="s">
        <v>615</v>
      </c>
      <c r="I255" s="448" t="s">
        <v>244</v>
      </c>
      <c r="J255" s="449" t="s">
        <v>21</v>
      </c>
      <c r="K255" s="450">
        <f t="shared" si="20"/>
        <v>2602.0670906930518</v>
      </c>
      <c r="L255" s="448"/>
      <c r="M255" s="450">
        <v>2533.3333333333335</v>
      </c>
      <c r="O255" s="451"/>
      <c r="P255" s="451">
        <v>2604.4583365042622</v>
      </c>
      <c r="Q255" s="451"/>
      <c r="R255" s="451"/>
      <c r="S255" s="451">
        <v>2550.4882821127521</v>
      </c>
      <c r="T255" s="451">
        <v>2602.0670906930518</v>
      </c>
      <c r="U255" s="451"/>
      <c r="V255" s="451"/>
      <c r="W255" s="451"/>
      <c r="X255" s="451"/>
      <c r="Y255" s="451"/>
      <c r="Z255" s="451"/>
      <c r="AA255" s="451"/>
      <c r="AB255" s="451"/>
      <c r="AC255" s="451"/>
      <c r="AD255" s="451"/>
      <c r="AE255" s="451"/>
      <c r="AF255" s="451"/>
      <c r="AG255" s="451"/>
      <c r="AH255"/>
      <c r="AI255"/>
    </row>
    <row r="256" spans="1:35" s="450" customFormat="1" x14ac:dyDescent="0.25">
      <c r="A256" s="448">
        <v>6</v>
      </c>
      <c r="B256" s="448"/>
      <c r="C256" s="448">
        <f t="shared" si="16"/>
        <v>32</v>
      </c>
      <c r="D256" s="448">
        <f t="shared" si="17"/>
        <v>31</v>
      </c>
      <c r="E256" s="448">
        <f t="shared" si="18"/>
        <v>16</v>
      </c>
      <c r="F256" s="448" t="str">
        <f t="shared" si="19"/>
        <v>pm</v>
      </c>
      <c r="G256" s="448" t="s">
        <v>277</v>
      </c>
      <c r="H256" s="448" t="s">
        <v>353</v>
      </c>
      <c r="I256" s="448" t="s">
        <v>276</v>
      </c>
      <c r="J256" s="449" t="s">
        <v>21</v>
      </c>
      <c r="K256" s="450">
        <f t="shared" si="20"/>
        <v>2376.4825129198039</v>
      </c>
      <c r="L256" s="448"/>
      <c r="M256" s="450">
        <v>2533.3333333333335</v>
      </c>
      <c r="P256" s="450">
        <v>2435.1163107014972</v>
      </c>
      <c r="R256" s="450">
        <v>2430.7561370754192</v>
      </c>
      <c r="S256" s="450">
        <v>2350.7701139447186</v>
      </c>
      <c r="U256" s="450">
        <v>2376.4825129198039</v>
      </c>
      <c r="AH256"/>
      <c r="AI256"/>
    </row>
    <row r="257" spans="1:35" s="450" customFormat="1" x14ac:dyDescent="0.25">
      <c r="A257" s="448">
        <v>5</v>
      </c>
      <c r="B257" s="448"/>
      <c r="C257" s="448">
        <f t="shared" si="16"/>
        <v>33</v>
      </c>
      <c r="D257" s="448">
        <f t="shared" si="17"/>
        <v>33</v>
      </c>
      <c r="E257" s="448">
        <f t="shared" si="18"/>
        <v>16</v>
      </c>
      <c r="F257" s="448" t="str">
        <f t="shared" si="19"/>
        <v>pm</v>
      </c>
      <c r="G257" s="448" t="s">
        <v>281</v>
      </c>
      <c r="H257" s="448" t="s">
        <v>754</v>
      </c>
      <c r="I257" s="448" t="s">
        <v>280</v>
      </c>
      <c r="J257" s="449" t="s">
        <v>21</v>
      </c>
      <c r="K257" s="450">
        <f t="shared" si="20"/>
        <v>2332.1838374588774</v>
      </c>
      <c r="L257" s="448"/>
      <c r="M257" s="450">
        <v>2520</v>
      </c>
      <c r="P257" s="450">
        <v>2367.8687365373366</v>
      </c>
      <c r="S257" s="450">
        <v>2402.6393736189211</v>
      </c>
      <c r="U257" s="450">
        <v>2332.1838374588774</v>
      </c>
      <c r="AH257"/>
      <c r="AI257"/>
    </row>
    <row r="258" spans="1:35" s="450" customFormat="1" x14ac:dyDescent="0.25">
      <c r="A258" s="448">
        <v>2</v>
      </c>
      <c r="B258" s="448"/>
      <c r="C258" s="448">
        <f t="shared" ref="C258:C321" si="21">IF(E258=E257,C257+1,1)</f>
        <v>34</v>
      </c>
      <c r="D258" s="448">
        <f t="shared" ref="D258:D321" si="22">IF(M258=M257,D257,C258)</f>
        <v>34</v>
      </c>
      <c r="E258" s="448">
        <f t="shared" ref="E258:E321" si="23">10+VALUE(RIGHT(LEFT(G258,3),1))</f>
        <v>16</v>
      </c>
      <c r="F258" s="448" t="str">
        <f t="shared" ref="F258:F321" si="24">RIGHT(G258,2) &amp; IF(A258&lt;2,"x","")</f>
        <v>pm</v>
      </c>
      <c r="G258" s="448" t="s">
        <v>755</v>
      </c>
      <c r="H258" s="448" t="s">
        <v>554</v>
      </c>
      <c r="I258" s="448" t="s">
        <v>756</v>
      </c>
      <c r="J258" s="449" t="s">
        <v>21</v>
      </c>
      <c r="K258" s="450">
        <f t="shared" ref="K258:K321" si="25">LOOKUP(1E+100,M258:AC258)</f>
        <v>2353.8622370276739</v>
      </c>
      <c r="L258" s="448"/>
      <c r="M258" s="450">
        <v>2400</v>
      </c>
      <c r="O258" s="451"/>
      <c r="P258" s="451"/>
      <c r="Q258" s="451"/>
      <c r="R258" s="451"/>
      <c r="S258" s="451">
        <v>2353.7316539645976</v>
      </c>
      <c r="T258" s="451"/>
      <c r="U258" s="451"/>
      <c r="V258" s="451">
        <v>2353.8622370276739</v>
      </c>
      <c r="W258" s="451"/>
      <c r="X258" s="451"/>
      <c r="Y258" s="451"/>
      <c r="Z258" s="451"/>
      <c r="AA258" s="451"/>
      <c r="AB258" s="451"/>
      <c r="AC258" s="451"/>
      <c r="AD258" s="451"/>
      <c r="AE258" s="451"/>
      <c r="AF258" s="451"/>
      <c r="AG258" s="451"/>
      <c r="AH258"/>
      <c r="AI258"/>
    </row>
    <row r="259" spans="1:35" s="450" customFormat="1" x14ac:dyDescent="0.25">
      <c r="A259" s="448">
        <v>2</v>
      </c>
      <c r="B259" s="448"/>
      <c r="C259" s="448">
        <f t="shared" si="21"/>
        <v>35</v>
      </c>
      <c r="D259" s="448">
        <f t="shared" si="22"/>
        <v>34</v>
      </c>
      <c r="E259" s="448">
        <f t="shared" si="23"/>
        <v>16</v>
      </c>
      <c r="F259" s="448" t="str">
        <f t="shared" si="24"/>
        <v>pm</v>
      </c>
      <c r="G259" s="448" t="s">
        <v>757</v>
      </c>
      <c r="H259" s="448" t="s">
        <v>299</v>
      </c>
      <c r="I259" s="448" t="s">
        <v>758</v>
      </c>
      <c r="J259" s="449" t="s">
        <v>21</v>
      </c>
      <c r="K259" s="450">
        <f t="shared" si="25"/>
        <v>2402.8944222193199</v>
      </c>
      <c r="L259" s="448"/>
      <c r="M259" s="450">
        <v>2400</v>
      </c>
      <c r="P259" s="450">
        <v>2402.8944222193199</v>
      </c>
      <c r="AH259"/>
      <c r="AI259"/>
    </row>
    <row r="260" spans="1:35" s="450" customFormat="1" x14ac:dyDescent="0.25">
      <c r="A260" s="448">
        <v>4</v>
      </c>
      <c r="B260" s="448"/>
      <c r="C260" s="448">
        <f t="shared" si="21"/>
        <v>36</v>
      </c>
      <c r="D260" s="448">
        <f t="shared" si="22"/>
        <v>34</v>
      </c>
      <c r="E260" s="448">
        <f t="shared" si="23"/>
        <v>16</v>
      </c>
      <c r="F260" s="448" t="str">
        <f t="shared" si="24"/>
        <v>pm</v>
      </c>
      <c r="G260" s="448" t="s">
        <v>759</v>
      </c>
      <c r="H260" s="448" t="s">
        <v>426</v>
      </c>
      <c r="I260" s="448" t="s">
        <v>760</v>
      </c>
      <c r="J260" s="449" t="s">
        <v>21</v>
      </c>
      <c r="K260" s="450">
        <f t="shared" si="25"/>
        <v>2485.2280075007443</v>
      </c>
      <c r="L260" s="448"/>
      <c r="M260" s="450">
        <v>2400</v>
      </c>
      <c r="Q260" s="450">
        <v>2451.1169432151924</v>
      </c>
      <c r="S260" s="450">
        <v>2504.8525408531418</v>
      </c>
      <c r="T260" s="450">
        <v>2485.2280075007443</v>
      </c>
      <c r="AH260"/>
      <c r="AI260"/>
    </row>
    <row r="261" spans="1:35" s="450" customFormat="1" x14ac:dyDescent="0.25">
      <c r="A261" s="448">
        <v>4</v>
      </c>
      <c r="B261" s="448"/>
      <c r="C261" s="448">
        <f t="shared" si="21"/>
        <v>37</v>
      </c>
      <c r="D261" s="448">
        <f t="shared" si="22"/>
        <v>34</v>
      </c>
      <c r="E261" s="448">
        <f t="shared" si="23"/>
        <v>16</v>
      </c>
      <c r="F261" s="448" t="str">
        <f t="shared" si="24"/>
        <v>pm</v>
      </c>
      <c r="G261" s="448" t="s">
        <v>761</v>
      </c>
      <c r="H261" s="448" t="s">
        <v>319</v>
      </c>
      <c r="I261" s="448" t="s">
        <v>762</v>
      </c>
      <c r="J261" s="449" t="s">
        <v>21</v>
      </c>
      <c r="K261" s="450">
        <f t="shared" si="25"/>
        <v>2557.1804930217963</v>
      </c>
      <c r="L261" s="448"/>
      <c r="M261" s="450">
        <v>2400</v>
      </c>
      <c r="P261" s="450">
        <v>2480.5272461425175</v>
      </c>
      <c r="R261" s="450">
        <v>2511.732454820823</v>
      </c>
      <c r="U261" s="450">
        <v>2557.1804930217963</v>
      </c>
      <c r="AH261"/>
      <c r="AI261"/>
    </row>
    <row r="262" spans="1:35" s="450" customFormat="1" x14ac:dyDescent="0.25">
      <c r="A262" s="448">
        <v>2</v>
      </c>
      <c r="B262" s="448"/>
      <c r="C262" s="448">
        <f t="shared" si="21"/>
        <v>38</v>
      </c>
      <c r="D262" s="448">
        <f t="shared" si="22"/>
        <v>34</v>
      </c>
      <c r="E262" s="448">
        <f t="shared" si="23"/>
        <v>16</v>
      </c>
      <c r="F262" s="448" t="str">
        <f t="shared" si="24"/>
        <v>pm</v>
      </c>
      <c r="G262" s="448" t="s">
        <v>763</v>
      </c>
      <c r="H262" s="448" t="s">
        <v>316</v>
      </c>
      <c r="I262" s="448" t="s">
        <v>764</v>
      </c>
      <c r="J262" s="449" t="s">
        <v>21</v>
      </c>
      <c r="K262" s="450">
        <f t="shared" si="25"/>
        <v>2547.8697393622169</v>
      </c>
      <c r="L262" s="448"/>
      <c r="M262" s="450">
        <v>2400</v>
      </c>
      <c r="T262" s="450">
        <v>2547.8697393622169</v>
      </c>
      <c r="AH262"/>
      <c r="AI262"/>
    </row>
    <row r="263" spans="1:35" s="450" customFormat="1" x14ac:dyDescent="0.25">
      <c r="A263" s="448">
        <v>2</v>
      </c>
      <c r="B263" s="448"/>
      <c r="C263" s="448">
        <f t="shared" si="21"/>
        <v>39</v>
      </c>
      <c r="D263" s="448">
        <f t="shared" si="22"/>
        <v>34</v>
      </c>
      <c r="E263" s="448">
        <f t="shared" si="23"/>
        <v>16</v>
      </c>
      <c r="F263" s="448" t="str">
        <f t="shared" si="24"/>
        <v>pm</v>
      </c>
      <c r="G263" s="448" t="s">
        <v>765</v>
      </c>
      <c r="H263" s="448" t="s">
        <v>316</v>
      </c>
      <c r="I263" s="448" t="s">
        <v>766</v>
      </c>
      <c r="J263" s="449" t="s">
        <v>21</v>
      </c>
      <c r="K263" s="450">
        <f t="shared" si="25"/>
        <v>2440.2815498712666</v>
      </c>
      <c r="L263" s="448"/>
      <c r="M263" s="450">
        <v>2400</v>
      </c>
      <c r="T263" s="450">
        <v>2440.2815498712666</v>
      </c>
      <c r="AH263"/>
      <c r="AI263"/>
    </row>
    <row r="264" spans="1:35" s="450" customFormat="1" x14ac:dyDescent="0.25">
      <c r="A264" s="448">
        <v>2</v>
      </c>
      <c r="B264" s="448"/>
      <c r="C264" s="448">
        <f t="shared" si="21"/>
        <v>40</v>
      </c>
      <c r="D264" s="448">
        <f t="shared" si="22"/>
        <v>34</v>
      </c>
      <c r="E264" s="448">
        <f t="shared" si="23"/>
        <v>16</v>
      </c>
      <c r="F264" s="448" t="str">
        <f t="shared" si="24"/>
        <v>pm</v>
      </c>
      <c r="G264" s="448" t="s">
        <v>767</v>
      </c>
      <c r="H264" s="448" t="s">
        <v>316</v>
      </c>
      <c r="I264" s="448" t="s">
        <v>768</v>
      </c>
      <c r="J264" s="449" t="s">
        <v>21</v>
      </c>
      <c r="K264" s="450">
        <f t="shared" si="25"/>
        <v>2428.574139943863</v>
      </c>
      <c r="L264" s="448"/>
      <c r="M264" s="450">
        <v>2400</v>
      </c>
      <c r="T264" s="450">
        <v>2428.574139943863</v>
      </c>
      <c r="AH264"/>
      <c r="AI264"/>
    </row>
    <row r="265" spans="1:35" s="450" customFormat="1" x14ac:dyDescent="0.25">
      <c r="A265" s="448">
        <v>7</v>
      </c>
      <c r="B265" s="448"/>
      <c r="C265" s="448">
        <f t="shared" si="21"/>
        <v>41</v>
      </c>
      <c r="D265" s="448">
        <f t="shared" si="22"/>
        <v>41</v>
      </c>
      <c r="E265" s="448">
        <f t="shared" si="23"/>
        <v>16</v>
      </c>
      <c r="F265" s="448" t="str">
        <f t="shared" si="24"/>
        <v>pm</v>
      </c>
      <c r="G265" s="448" t="s">
        <v>769</v>
      </c>
      <c r="H265" s="448" t="s">
        <v>490</v>
      </c>
      <c r="I265" s="448" t="s">
        <v>770</v>
      </c>
      <c r="J265" s="449" t="s">
        <v>20</v>
      </c>
      <c r="K265" s="450">
        <f t="shared" si="25"/>
        <v>2285.9576734165903</v>
      </c>
      <c r="L265" s="448"/>
      <c r="M265" s="450">
        <v>2314.2857142857142</v>
      </c>
      <c r="P265" s="450">
        <v>2273.6545201751719</v>
      </c>
      <c r="Q265" s="450">
        <v>2314.8207408110184</v>
      </c>
      <c r="T265" s="450">
        <v>2227.3143583110036</v>
      </c>
      <c r="U265" s="450">
        <v>2285.9576734165903</v>
      </c>
      <c r="AH265"/>
      <c r="AI265"/>
    </row>
    <row r="266" spans="1:35" s="450" customFormat="1" x14ac:dyDescent="0.25">
      <c r="A266" s="448">
        <v>3</v>
      </c>
      <c r="B266" s="448"/>
      <c r="C266" s="448">
        <f t="shared" si="21"/>
        <v>42</v>
      </c>
      <c r="D266" s="448">
        <f t="shared" si="22"/>
        <v>42</v>
      </c>
      <c r="E266" s="448">
        <f t="shared" si="23"/>
        <v>16</v>
      </c>
      <c r="F266" s="448" t="str">
        <f t="shared" si="24"/>
        <v>pm</v>
      </c>
      <c r="G266" s="448" t="s">
        <v>771</v>
      </c>
      <c r="H266" s="448" t="s">
        <v>554</v>
      </c>
      <c r="I266" s="448" t="s">
        <v>772</v>
      </c>
      <c r="J266" s="449" t="s">
        <v>20</v>
      </c>
      <c r="K266" s="450">
        <f t="shared" si="25"/>
        <v>2424.9307017600863</v>
      </c>
      <c r="L266" s="448"/>
      <c r="M266" s="450">
        <v>2266.6666666666665</v>
      </c>
      <c r="O266" s="451"/>
      <c r="P266" s="451">
        <v>2345.6284465465415</v>
      </c>
      <c r="Q266" s="451"/>
      <c r="R266" s="451">
        <v>2423.8121809417348</v>
      </c>
      <c r="S266" s="451"/>
      <c r="T266" s="451"/>
      <c r="U266" s="451"/>
      <c r="V266" s="451">
        <v>2424.9307017600863</v>
      </c>
      <c r="W266" s="451"/>
      <c r="X266" s="451"/>
      <c r="Y266" s="451"/>
      <c r="Z266" s="451"/>
      <c r="AA266" s="451"/>
      <c r="AB266" s="451"/>
      <c r="AC266" s="451"/>
      <c r="AD266" s="451"/>
      <c r="AE266" s="451"/>
      <c r="AF266" s="451"/>
      <c r="AG266" s="451"/>
      <c r="AH266"/>
      <c r="AI266"/>
    </row>
    <row r="267" spans="1:35" s="450" customFormat="1" x14ac:dyDescent="0.25">
      <c r="A267" s="448">
        <v>7</v>
      </c>
      <c r="B267" s="448"/>
      <c r="C267" s="448">
        <f t="shared" si="21"/>
        <v>43</v>
      </c>
      <c r="D267" s="448">
        <f t="shared" si="22"/>
        <v>43</v>
      </c>
      <c r="E267" s="448">
        <f t="shared" si="23"/>
        <v>16</v>
      </c>
      <c r="F267" s="448" t="str">
        <f t="shared" si="24"/>
        <v>pm</v>
      </c>
      <c r="G267" s="448" t="s">
        <v>773</v>
      </c>
      <c r="H267" s="448" t="s">
        <v>396</v>
      </c>
      <c r="I267" s="448" t="s">
        <v>774</v>
      </c>
      <c r="J267" s="449" t="s">
        <v>20</v>
      </c>
      <c r="K267" s="450">
        <f t="shared" si="25"/>
        <v>2242.5622370560654</v>
      </c>
      <c r="L267" s="448"/>
      <c r="M267" s="450">
        <v>2257.1428571428573</v>
      </c>
      <c r="P267" s="450">
        <v>2275.0843041720645</v>
      </c>
      <c r="Q267" s="450">
        <v>2330.3909835910367</v>
      </c>
      <c r="T267" s="450">
        <v>2228.3592034324347</v>
      </c>
      <c r="V267" s="450">
        <v>2242.5622370560654</v>
      </c>
      <c r="AH267"/>
      <c r="AI267"/>
    </row>
    <row r="268" spans="1:35" s="450" customFormat="1" x14ac:dyDescent="0.25">
      <c r="A268" s="448">
        <v>5</v>
      </c>
      <c r="B268" s="448"/>
      <c r="C268" s="448">
        <f t="shared" si="21"/>
        <v>44</v>
      </c>
      <c r="D268" s="448">
        <f t="shared" si="22"/>
        <v>44</v>
      </c>
      <c r="E268" s="448">
        <f t="shared" si="23"/>
        <v>16</v>
      </c>
      <c r="F268" s="448" t="str">
        <f t="shared" si="24"/>
        <v>pm</v>
      </c>
      <c r="G268" s="448" t="s">
        <v>775</v>
      </c>
      <c r="H268" s="448" t="s">
        <v>485</v>
      </c>
      <c r="I268" s="448" t="s">
        <v>776</v>
      </c>
      <c r="J268" s="449" t="s">
        <v>20</v>
      </c>
      <c r="K268" s="450">
        <f t="shared" si="25"/>
        <v>2237.5061726671483</v>
      </c>
      <c r="L268" s="448"/>
      <c r="M268" s="450">
        <v>2240</v>
      </c>
      <c r="R268" s="450">
        <v>2246.3189419369232</v>
      </c>
      <c r="U268" s="450">
        <v>2242.1731453359262</v>
      </c>
      <c r="V268" s="450">
        <v>2237.5061726671483</v>
      </c>
      <c r="AH268"/>
      <c r="AI268"/>
    </row>
    <row r="269" spans="1:35" s="450" customFormat="1" x14ac:dyDescent="0.25">
      <c r="A269" s="448">
        <v>6</v>
      </c>
      <c r="B269" s="448"/>
      <c r="C269" s="448">
        <f t="shared" si="21"/>
        <v>45</v>
      </c>
      <c r="D269" s="448">
        <f t="shared" si="22"/>
        <v>45</v>
      </c>
      <c r="E269" s="448">
        <f t="shared" si="23"/>
        <v>16</v>
      </c>
      <c r="F269" s="448" t="str">
        <f t="shared" si="24"/>
        <v>pm</v>
      </c>
      <c r="G269" s="448" t="s">
        <v>777</v>
      </c>
      <c r="H269" s="448" t="s">
        <v>778</v>
      </c>
      <c r="I269" s="448" t="s">
        <v>779</v>
      </c>
      <c r="J269" s="449" t="s">
        <v>20</v>
      </c>
      <c r="K269" s="450">
        <f t="shared" si="25"/>
        <v>2287.882559560951</v>
      </c>
      <c r="L269" s="448"/>
      <c r="M269" s="450">
        <v>2200</v>
      </c>
      <c r="O269" s="451"/>
      <c r="P269" s="451">
        <v>2229.6713187665032</v>
      </c>
      <c r="Q269" s="451"/>
      <c r="R269" s="451">
        <v>2258.8911105410434</v>
      </c>
      <c r="S269" s="451"/>
      <c r="T269" s="451">
        <v>2316.2116999108894</v>
      </c>
      <c r="U269" s="451"/>
      <c r="V269" s="451">
        <v>2287.882559560951</v>
      </c>
      <c r="W269" s="451"/>
      <c r="X269" s="451"/>
      <c r="Y269" s="451"/>
      <c r="Z269" s="451"/>
      <c r="AA269" s="451"/>
      <c r="AB269" s="451"/>
      <c r="AC269" s="451"/>
      <c r="AD269" s="451"/>
      <c r="AE269" s="451"/>
      <c r="AF269" s="451"/>
      <c r="AG269" s="451"/>
      <c r="AH269"/>
      <c r="AI269"/>
    </row>
    <row r="270" spans="1:35" s="450" customFormat="1" x14ac:dyDescent="0.25">
      <c r="A270" s="448">
        <v>6</v>
      </c>
      <c r="B270" s="448"/>
      <c r="C270" s="448">
        <f t="shared" si="21"/>
        <v>46</v>
      </c>
      <c r="D270" s="448">
        <f t="shared" si="22"/>
        <v>45</v>
      </c>
      <c r="E270" s="448">
        <f t="shared" si="23"/>
        <v>16</v>
      </c>
      <c r="F270" s="448" t="str">
        <f t="shared" si="24"/>
        <v>pm</v>
      </c>
      <c r="G270" s="448" t="s">
        <v>780</v>
      </c>
      <c r="H270" s="448" t="s">
        <v>778</v>
      </c>
      <c r="I270" s="448" t="s">
        <v>781</v>
      </c>
      <c r="J270" s="449" t="s">
        <v>20</v>
      </c>
      <c r="K270" s="450">
        <f t="shared" si="25"/>
        <v>2131.4728829875548</v>
      </c>
      <c r="L270" s="448"/>
      <c r="M270" s="450">
        <v>2200</v>
      </c>
      <c r="O270" s="451"/>
      <c r="P270" s="451">
        <v>2122.3031989403148</v>
      </c>
      <c r="Q270" s="451"/>
      <c r="R270" s="451">
        <v>2123.540387847499</v>
      </c>
      <c r="S270" s="451"/>
      <c r="T270" s="451">
        <v>2111.6382579341143</v>
      </c>
      <c r="U270" s="451"/>
      <c r="V270" s="451">
        <v>2131.4728829875548</v>
      </c>
      <c r="W270" s="451"/>
      <c r="X270" s="451"/>
      <c r="Y270" s="451"/>
      <c r="Z270" s="451"/>
      <c r="AA270" s="451"/>
      <c r="AB270" s="451"/>
      <c r="AC270" s="451"/>
      <c r="AD270" s="451"/>
      <c r="AE270" s="451"/>
      <c r="AF270" s="451"/>
      <c r="AG270" s="451"/>
      <c r="AH270"/>
      <c r="AI270"/>
    </row>
    <row r="271" spans="1:35" s="450" customFormat="1" x14ac:dyDescent="0.25">
      <c r="A271" s="448">
        <v>6</v>
      </c>
      <c r="B271" s="448"/>
      <c r="C271" s="448">
        <f t="shared" si="21"/>
        <v>47</v>
      </c>
      <c r="D271" s="448">
        <f t="shared" si="22"/>
        <v>45</v>
      </c>
      <c r="E271" s="448">
        <f t="shared" si="23"/>
        <v>16</v>
      </c>
      <c r="F271" s="448" t="str">
        <f t="shared" si="24"/>
        <v>pm</v>
      </c>
      <c r="G271" s="448" t="s">
        <v>782</v>
      </c>
      <c r="H271" s="448" t="s">
        <v>568</v>
      </c>
      <c r="I271" s="448" t="s">
        <v>783</v>
      </c>
      <c r="J271" s="449" t="s">
        <v>20</v>
      </c>
      <c r="K271" s="450">
        <f t="shared" si="25"/>
        <v>2230.3336953920484</v>
      </c>
      <c r="L271" s="448"/>
      <c r="M271" s="450">
        <v>2200</v>
      </c>
      <c r="P271" s="450">
        <v>2170.5044212207163</v>
      </c>
      <c r="R271" s="450">
        <v>2166.7229327282698</v>
      </c>
      <c r="T271" s="450">
        <v>2177.7802114634451</v>
      </c>
      <c r="V271" s="450">
        <v>2230.3336953920484</v>
      </c>
      <c r="AH271"/>
      <c r="AI271"/>
    </row>
    <row r="272" spans="1:35" s="450" customFormat="1" x14ac:dyDescent="0.25">
      <c r="A272" s="448">
        <v>3</v>
      </c>
      <c r="B272" s="448"/>
      <c r="C272" s="448">
        <f t="shared" si="21"/>
        <v>48</v>
      </c>
      <c r="D272" s="448">
        <f t="shared" si="22"/>
        <v>45</v>
      </c>
      <c r="E272" s="448">
        <f t="shared" si="23"/>
        <v>16</v>
      </c>
      <c r="F272" s="448" t="str">
        <f t="shared" si="24"/>
        <v>pm</v>
      </c>
      <c r="G272" s="448" t="s">
        <v>784</v>
      </c>
      <c r="H272" s="448" t="s">
        <v>296</v>
      </c>
      <c r="I272" s="448" t="s">
        <v>785</v>
      </c>
      <c r="J272" s="449" t="s">
        <v>20</v>
      </c>
      <c r="K272" s="450">
        <f t="shared" si="25"/>
        <v>2158.0851509034469</v>
      </c>
      <c r="L272" s="448"/>
      <c r="M272" s="450">
        <v>2200</v>
      </c>
      <c r="P272" s="450">
        <v>2158.0851509034469</v>
      </c>
      <c r="AH272"/>
      <c r="AI272"/>
    </row>
    <row r="273" spans="1:35" s="450" customFormat="1" x14ac:dyDescent="0.25">
      <c r="A273" s="448">
        <v>3</v>
      </c>
      <c r="B273" s="448"/>
      <c r="C273" s="448">
        <f t="shared" si="21"/>
        <v>49</v>
      </c>
      <c r="D273" s="448">
        <f t="shared" si="22"/>
        <v>45</v>
      </c>
      <c r="E273" s="448">
        <f t="shared" si="23"/>
        <v>16</v>
      </c>
      <c r="F273" s="448" t="str">
        <f t="shared" si="24"/>
        <v>pm</v>
      </c>
      <c r="G273" s="448" t="s">
        <v>786</v>
      </c>
      <c r="H273" s="448" t="s">
        <v>543</v>
      </c>
      <c r="I273" s="448" t="s">
        <v>787</v>
      </c>
      <c r="J273" s="449" t="s">
        <v>20</v>
      </c>
      <c r="K273" s="450">
        <f t="shared" si="25"/>
        <v>2259.2297058558725</v>
      </c>
      <c r="L273" s="448"/>
      <c r="M273" s="450">
        <v>2200</v>
      </c>
      <c r="P273" s="450">
        <v>2259.2297058558725</v>
      </c>
      <c r="AH273"/>
      <c r="AI273"/>
    </row>
    <row r="274" spans="1:35" s="450" customFormat="1" x14ac:dyDescent="0.25">
      <c r="A274" s="448">
        <v>6</v>
      </c>
      <c r="B274" s="448"/>
      <c r="C274" s="448">
        <f t="shared" si="21"/>
        <v>50</v>
      </c>
      <c r="D274" s="448">
        <f t="shared" si="22"/>
        <v>45</v>
      </c>
      <c r="E274" s="448">
        <f t="shared" si="23"/>
        <v>16</v>
      </c>
      <c r="F274" s="448" t="str">
        <f t="shared" si="24"/>
        <v>pm</v>
      </c>
      <c r="G274" s="448" t="s">
        <v>788</v>
      </c>
      <c r="H274" s="448" t="s">
        <v>374</v>
      </c>
      <c r="I274" s="448" t="s">
        <v>789</v>
      </c>
      <c r="J274" s="449" t="s">
        <v>20</v>
      </c>
      <c r="K274" s="450">
        <f t="shared" si="25"/>
        <v>2135.3713432897694</v>
      </c>
      <c r="L274" s="448"/>
      <c r="M274" s="450">
        <v>2200</v>
      </c>
      <c r="R274" s="450">
        <v>2102.1310809793767</v>
      </c>
      <c r="T274" s="450">
        <v>2119.7342603300549</v>
      </c>
      <c r="V274" s="450">
        <v>2135.3713432897694</v>
      </c>
      <c r="AH274"/>
      <c r="AI274"/>
    </row>
    <row r="275" spans="1:35" s="450" customFormat="1" x14ac:dyDescent="0.25">
      <c r="A275" s="448">
        <v>6</v>
      </c>
      <c r="B275" s="448"/>
      <c r="C275" s="448">
        <f t="shared" si="21"/>
        <v>51</v>
      </c>
      <c r="D275" s="448">
        <f t="shared" si="22"/>
        <v>45</v>
      </c>
      <c r="E275" s="448">
        <f t="shared" si="23"/>
        <v>16</v>
      </c>
      <c r="F275" s="448" t="str">
        <f t="shared" si="24"/>
        <v>pm</v>
      </c>
      <c r="G275" s="448" t="s">
        <v>790</v>
      </c>
      <c r="H275" s="448" t="s">
        <v>374</v>
      </c>
      <c r="I275" s="448" t="s">
        <v>791</v>
      </c>
      <c r="J275" s="449" t="s">
        <v>20</v>
      </c>
      <c r="K275" s="450">
        <f t="shared" si="25"/>
        <v>1947.4485002397239</v>
      </c>
      <c r="L275" s="448"/>
      <c r="M275" s="450">
        <v>2200</v>
      </c>
      <c r="R275" s="450">
        <v>2115.980955417655</v>
      </c>
      <c r="T275" s="450">
        <v>2016.2436789687517</v>
      </c>
      <c r="V275" s="450">
        <v>1947.4485002397239</v>
      </c>
      <c r="AH275"/>
      <c r="AI275"/>
    </row>
    <row r="276" spans="1:35" s="450" customFormat="1" x14ac:dyDescent="0.25">
      <c r="A276" s="448">
        <v>4</v>
      </c>
      <c r="B276" s="448"/>
      <c r="C276" s="448">
        <f t="shared" si="21"/>
        <v>52</v>
      </c>
      <c r="D276" s="448">
        <f t="shared" si="22"/>
        <v>45</v>
      </c>
      <c r="E276" s="448">
        <f t="shared" si="23"/>
        <v>16</v>
      </c>
      <c r="F276" s="448" t="str">
        <f t="shared" si="24"/>
        <v>pm</v>
      </c>
      <c r="G276" s="448" t="s">
        <v>792</v>
      </c>
      <c r="H276" s="448" t="s">
        <v>306</v>
      </c>
      <c r="I276" s="448" t="s">
        <v>793</v>
      </c>
      <c r="J276" s="449" t="s">
        <v>20</v>
      </c>
      <c r="K276" s="450">
        <f t="shared" si="25"/>
        <v>2091.1587890358014</v>
      </c>
      <c r="L276" s="448"/>
      <c r="M276" s="450">
        <v>2200</v>
      </c>
      <c r="T276" s="450">
        <v>2114.1208503761477</v>
      </c>
      <c r="V276" s="450">
        <v>2091.1587890358014</v>
      </c>
      <c r="AH276"/>
      <c r="AI276"/>
    </row>
    <row r="277" spans="1:35" s="450" customFormat="1" x14ac:dyDescent="0.25">
      <c r="A277" s="448">
        <v>6</v>
      </c>
      <c r="B277" s="448"/>
      <c r="C277" s="448">
        <f t="shared" si="21"/>
        <v>53</v>
      </c>
      <c r="D277" s="448">
        <f t="shared" si="22"/>
        <v>45</v>
      </c>
      <c r="E277" s="448">
        <f t="shared" si="23"/>
        <v>16</v>
      </c>
      <c r="F277" s="448" t="str">
        <f t="shared" si="24"/>
        <v>pm</v>
      </c>
      <c r="G277" s="448" t="s">
        <v>794</v>
      </c>
      <c r="H277" s="448" t="s">
        <v>309</v>
      </c>
      <c r="I277" s="448" t="s">
        <v>795</v>
      </c>
      <c r="J277" s="449" t="s">
        <v>20</v>
      </c>
      <c r="K277" s="450">
        <f t="shared" si="25"/>
        <v>2347.2398903049234</v>
      </c>
      <c r="L277" s="448"/>
      <c r="M277" s="450">
        <v>2200</v>
      </c>
      <c r="P277" s="450">
        <v>2272.6437666154325</v>
      </c>
      <c r="R277" s="450">
        <v>2366.6059849945268</v>
      </c>
      <c r="T277" s="450">
        <v>2337.9679777779384</v>
      </c>
      <c r="V277" s="450">
        <v>2347.2398903049234</v>
      </c>
      <c r="AH277"/>
      <c r="AI277"/>
    </row>
    <row r="278" spans="1:35" s="450" customFormat="1" x14ac:dyDescent="0.25">
      <c r="A278" s="448">
        <v>6</v>
      </c>
      <c r="B278" s="448"/>
      <c r="C278" s="448">
        <f t="shared" si="21"/>
        <v>54</v>
      </c>
      <c r="D278" s="448">
        <f t="shared" si="22"/>
        <v>45</v>
      </c>
      <c r="E278" s="448">
        <f t="shared" si="23"/>
        <v>16</v>
      </c>
      <c r="F278" s="448" t="str">
        <f t="shared" si="24"/>
        <v>pm</v>
      </c>
      <c r="G278" s="448" t="s">
        <v>796</v>
      </c>
      <c r="H278" s="448" t="s">
        <v>338</v>
      </c>
      <c r="I278" s="448" t="s">
        <v>797</v>
      </c>
      <c r="J278" s="449" t="s">
        <v>20</v>
      </c>
      <c r="K278" s="450">
        <f t="shared" si="25"/>
        <v>2115.0988210079436</v>
      </c>
      <c r="L278" s="448"/>
      <c r="M278" s="450">
        <v>2200</v>
      </c>
      <c r="R278" s="450">
        <v>2201.5596850765965</v>
      </c>
      <c r="T278" s="450">
        <v>2157.9394663859975</v>
      </c>
      <c r="V278" s="450">
        <v>2115.0988210079436</v>
      </c>
      <c r="AH278"/>
      <c r="AI278"/>
    </row>
    <row r="279" spans="1:35" s="450" customFormat="1" x14ac:dyDescent="0.25">
      <c r="A279" s="448">
        <v>5</v>
      </c>
      <c r="B279" s="448"/>
      <c r="C279" s="448">
        <f t="shared" si="21"/>
        <v>55</v>
      </c>
      <c r="D279" s="448">
        <f t="shared" si="22"/>
        <v>45</v>
      </c>
      <c r="E279" s="448">
        <f t="shared" si="23"/>
        <v>16</v>
      </c>
      <c r="F279" s="448" t="str">
        <f t="shared" si="24"/>
        <v>pm</v>
      </c>
      <c r="G279" s="448" t="s">
        <v>798</v>
      </c>
      <c r="H279" s="448" t="s">
        <v>391</v>
      </c>
      <c r="I279" s="448" t="s">
        <v>799</v>
      </c>
      <c r="J279" s="449" t="s">
        <v>20</v>
      </c>
      <c r="K279" s="450">
        <f t="shared" si="25"/>
        <v>2289.250554726545</v>
      </c>
      <c r="L279" s="448"/>
      <c r="M279" s="450">
        <v>2200</v>
      </c>
      <c r="O279" s="451"/>
      <c r="P279" s="451"/>
      <c r="Q279" s="451"/>
      <c r="R279" s="451">
        <v>2266.9866046582174</v>
      </c>
      <c r="S279" s="451"/>
      <c r="T279" s="451">
        <v>2252.7610483811018</v>
      </c>
      <c r="U279" s="451"/>
      <c r="V279" s="451">
        <v>2289.250554726545</v>
      </c>
      <c r="W279" s="451"/>
      <c r="X279" s="451"/>
      <c r="Y279" s="451"/>
      <c r="Z279" s="451"/>
      <c r="AA279" s="451"/>
      <c r="AB279" s="451"/>
      <c r="AC279" s="451"/>
      <c r="AH279"/>
      <c r="AI279"/>
    </row>
    <row r="280" spans="1:35" s="450" customFormat="1" x14ac:dyDescent="0.25">
      <c r="A280" s="448">
        <v>4</v>
      </c>
      <c r="B280" s="448"/>
      <c r="C280" s="448">
        <f t="shared" si="21"/>
        <v>56</v>
      </c>
      <c r="D280" s="448">
        <f t="shared" si="22"/>
        <v>45</v>
      </c>
      <c r="E280" s="448">
        <f t="shared" si="23"/>
        <v>16</v>
      </c>
      <c r="F280" s="448" t="str">
        <f t="shared" si="24"/>
        <v>pm</v>
      </c>
      <c r="G280" s="448" t="s">
        <v>800</v>
      </c>
      <c r="H280" s="448" t="s">
        <v>341</v>
      </c>
      <c r="I280" s="448" t="s">
        <v>801</v>
      </c>
      <c r="J280" s="449" t="s">
        <v>20</v>
      </c>
      <c r="K280" s="450">
        <f t="shared" si="25"/>
        <v>2183.1190308860696</v>
      </c>
      <c r="L280" s="448"/>
      <c r="M280" s="450">
        <v>2200</v>
      </c>
      <c r="O280" s="451"/>
      <c r="P280" s="451"/>
      <c r="Q280" s="451"/>
      <c r="R280" s="451">
        <v>2159.5399863106313</v>
      </c>
      <c r="S280" s="451"/>
      <c r="T280" s="451">
        <v>2189.9296425980651</v>
      </c>
      <c r="U280" s="451"/>
      <c r="V280" s="451">
        <v>2183.1190308860696</v>
      </c>
      <c r="W280" s="451"/>
      <c r="X280" s="451"/>
      <c r="Y280" s="451"/>
      <c r="Z280" s="451"/>
      <c r="AA280" s="451"/>
      <c r="AB280" s="451"/>
      <c r="AC280" s="451"/>
      <c r="AH280"/>
      <c r="AI280"/>
    </row>
    <row r="281" spans="1:35" s="450" customFormat="1" x14ac:dyDescent="0.25">
      <c r="A281" s="448">
        <v>2</v>
      </c>
      <c r="B281" s="448"/>
      <c r="C281" s="448">
        <f t="shared" si="21"/>
        <v>1</v>
      </c>
      <c r="D281" s="448">
        <f t="shared" si="22"/>
        <v>1</v>
      </c>
      <c r="E281" s="448">
        <f t="shared" si="23"/>
        <v>17</v>
      </c>
      <c r="F281" s="448" t="str">
        <f t="shared" si="24"/>
        <v>pm</v>
      </c>
      <c r="G281" s="448" t="s">
        <v>802</v>
      </c>
      <c r="H281" s="448" t="s">
        <v>803</v>
      </c>
      <c r="I281" s="448" t="s">
        <v>804</v>
      </c>
      <c r="J281" s="449" t="s">
        <v>21</v>
      </c>
      <c r="K281" s="450">
        <f t="shared" si="25"/>
        <v>2779.2387967590221</v>
      </c>
      <c r="L281" s="448"/>
      <c r="M281" s="450">
        <v>2800</v>
      </c>
      <c r="S281" s="450">
        <v>2779.2387967590221</v>
      </c>
      <c r="AH281"/>
      <c r="AI281"/>
    </row>
    <row r="282" spans="1:35" s="450" customFormat="1" x14ac:dyDescent="0.25">
      <c r="A282" s="448">
        <v>2</v>
      </c>
      <c r="B282" s="448"/>
      <c r="C282" s="448">
        <f t="shared" si="21"/>
        <v>2</v>
      </c>
      <c r="D282" s="448">
        <f t="shared" si="22"/>
        <v>1</v>
      </c>
      <c r="E282" s="448">
        <f t="shared" si="23"/>
        <v>17</v>
      </c>
      <c r="F282" s="448" t="str">
        <f t="shared" si="24"/>
        <v>pm</v>
      </c>
      <c r="G282" s="448" t="s">
        <v>805</v>
      </c>
      <c r="H282" s="448" t="s">
        <v>303</v>
      </c>
      <c r="I282" s="448" t="s">
        <v>806</v>
      </c>
      <c r="J282" s="449" t="s">
        <v>21</v>
      </c>
      <c r="K282" s="450">
        <f t="shared" si="25"/>
        <v>2718.8434819238246</v>
      </c>
      <c r="L282" s="448"/>
      <c r="M282" s="450">
        <v>2800</v>
      </c>
      <c r="U282" s="450">
        <v>2718.8434819238246</v>
      </c>
      <c r="AH282"/>
      <c r="AI282"/>
    </row>
    <row r="283" spans="1:35" s="450" customFormat="1" x14ac:dyDescent="0.25">
      <c r="A283" s="448">
        <v>3</v>
      </c>
      <c r="B283" s="448"/>
      <c r="C283" s="448">
        <f t="shared" si="21"/>
        <v>3</v>
      </c>
      <c r="D283" s="448">
        <f t="shared" si="22"/>
        <v>1</v>
      </c>
      <c r="E283" s="448">
        <f t="shared" si="23"/>
        <v>17</v>
      </c>
      <c r="F283" s="448" t="str">
        <f t="shared" si="24"/>
        <v>pm</v>
      </c>
      <c r="G283" s="448" t="s">
        <v>807</v>
      </c>
      <c r="H283" s="448" t="s">
        <v>437</v>
      </c>
      <c r="I283" s="448" t="s">
        <v>808</v>
      </c>
      <c r="J283" s="449" t="s">
        <v>21</v>
      </c>
      <c r="K283" s="450">
        <f t="shared" si="25"/>
        <v>3102.4893975941986</v>
      </c>
      <c r="L283" s="448"/>
      <c r="M283" s="450">
        <v>2800</v>
      </c>
      <c r="O283" s="450">
        <v>2973.4736131947657</v>
      </c>
      <c r="S283" s="450">
        <v>3102.4893975941986</v>
      </c>
      <c r="AH283"/>
      <c r="AI283"/>
    </row>
    <row r="284" spans="1:35" s="450" customFormat="1" x14ac:dyDescent="0.25">
      <c r="A284" s="448"/>
      <c r="B284" s="448"/>
      <c r="C284" s="448">
        <f t="shared" si="21"/>
        <v>4</v>
      </c>
      <c r="D284" s="448">
        <f t="shared" si="22"/>
        <v>1</v>
      </c>
      <c r="E284" s="448">
        <f t="shared" si="23"/>
        <v>17</v>
      </c>
      <c r="F284" s="448" t="str">
        <f t="shared" si="24"/>
        <v>crx</v>
      </c>
      <c r="G284" s="448" t="s">
        <v>809</v>
      </c>
      <c r="H284" s="448"/>
      <c r="I284" s="448" t="s">
        <v>810</v>
      </c>
      <c r="J284" s="449" t="s">
        <v>21</v>
      </c>
      <c r="K284" s="450">
        <f t="shared" si="25"/>
        <v>2766.2528151956494</v>
      </c>
      <c r="L284" s="448"/>
      <c r="M284" s="450">
        <v>2800</v>
      </c>
      <c r="O284" s="451">
        <v>2766.2528151956494</v>
      </c>
      <c r="P284" s="451"/>
      <c r="Q284" s="451"/>
      <c r="R284" s="451"/>
      <c r="S284" s="451"/>
      <c r="T284" s="451"/>
      <c r="U284" s="451"/>
      <c r="V284" s="451"/>
      <c r="W284" s="451"/>
      <c r="X284" s="451"/>
      <c r="Y284" s="451"/>
      <c r="Z284" s="451"/>
      <c r="AA284" s="451"/>
      <c r="AB284" s="451"/>
      <c r="AC284" s="451"/>
      <c r="AH284"/>
      <c r="AI284"/>
    </row>
    <row r="285" spans="1:35" s="450" customFormat="1" x14ac:dyDescent="0.25">
      <c r="A285" s="448"/>
      <c r="B285" s="448"/>
      <c r="C285" s="448">
        <f t="shared" si="21"/>
        <v>5</v>
      </c>
      <c r="D285" s="448">
        <f t="shared" si="22"/>
        <v>1</v>
      </c>
      <c r="E285" s="448">
        <f t="shared" si="23"/>
        <v>17</v>
      </c>
      <c r="F285" s="448" t="str">
        <f t="shared" si="24"/>
        <v>crx</v>
      </c>
      <c r="G285" s="448" t="s">
        <v>811</v>
      </c>
      <c r="H285" s="448"/>
      <c r="I285" s="448" t="s">
        <v>812</v>
      </c>
      <c r="J285" s="449" t="s">
        <v>21</v>
      </c>
      <c r="K285" s="450">
        <f t="shared" si="25"/>
        <v>2650.8932257061338</v>
      </c>
      <c r="L285" s="448"/>
      <c r="M285" s="450">
        <v>2800</v>
      </c>
      <c r="O285" s="451">
        <v>2723.786117369797</v>
      </c>
      <c r="P285" s="451"/>
      <c r="Q285" s="451"/>
      <c r="R285" s="451"/>
      <c r="S285" s="451"/>
      <c r="T285" s="451"/>
      <c r="U285" s="451"/>
      <c r="V285" s="451">
        <v>2650.8932257061338</v>
      </c>
      <c r="W285" s="451"/>
      <c r="X285" s="451"/>
      <c r="Y285" s="451"/>
      <c r="Z285" s="451"/>
      <c r="AA285" s="451"/>
      <c r="AB285" s="451"/>
      <c r="AC285" s="451"/>
      <c r="AH285"/>
      <c r="AI285"/>
    </row>
    <row r="286" spans="1:35" s="450" customFormat="1" x14ac:dyDescent="0.25">
      <c r="A286" s="448">
        <v>5</v>
      </c>
      <c r="B286" s="448"/>
      <c r="C286" s="448">
        <f t="shared" si="21"/>
        <v>6</v>
      </c>
      <c r="D286" s="448">
        <f t="shared" si="22"/>
        <v>1</v>
      </c>
      <c r="E286" s="448">
        <f t="shared" si="23"/>
        <v>17</v>
      </c>
      <c r="F286" s="448" t="str">
        <f t="shared" si="24"/>
        <v>pm</v>
      </c>
      <c r="G286" s="448" t="s">
        <v>813</v>
      </c>
      <c r="H286" s="448" t="s">
        <v>350</v>
      </c>
      <c r="I286" s="448" t="s">
        <v>814</v>
      </c>
      <c r="J286" s="449" t="s">
        <v>21</v>
      </c>
      <c r="K286" s="450">
        <f t="shared" si="25"/>
        <v>2697.9075045714135</v>
      </c>
      <c r="L286" s="448"/>
      <c r="M286" s="450">
        <v>2800</v>
      </c>
      <c r="O286" s="450">
        <v>2754.6049256265082</v>
      </c>
      <c r="U286" s="450">
        <v>2697.9075045714135</v>
      </c>
      <c r="AH286"/>
      <c r="AI286"/>
    </row>
    <row r="287" spans="1:35" s="450" customFormat="1" x14ac:dyDescent="0.25">
      <c r="A287" s="448">
        <v>5</v>
      </c>
      <c r="B287" s="448"/>
      <c r="C287" s="448">
        <f t="shared" si="21"/>
        <v>7</v>
      </c>
      <c r="D287" s="448">
        <f t="shared" si="22"/>
        <v>1</v>
      </c>
      <c r="E287" s="448">
        <f t="shared" si="23"/>
        <v>17</v>
      </c>
      <c r="F287" s="448" t="str">
        <f t="shared" si="24"/>
        <v>pm</v>
      </c>
      <c r="G287" s="448" t="s">
        <v>815</v>
      </c>
      <c r="H287" s="448" t="s">
        <v>353</v>
      </c>
      <c r="I287" s="448" t="s">
        <v>816</v>
      </c>
      <c r="J287" s="449" t="s">
        <v>21</v>
      </c>
      <c r="K287" s="450">
        <f t="shared" si="25"/>
        <v>2802.8310835691345</v>
      </c>
      <c r="L287" s="448"/>
      <c r="M287" s="450">
        <v>2800</v>
      </c>
      <c r="O287" s="450">
        <v>2861.234669416272</v>
      </c>
      <c r="S287" s="450">
        <v>2829.2198638381028</v>
      </c>
      <c r="U287" s="450">
        <v>2802.8310835691345</v>
      </c>
      <c r="AH287"/>
      <c r="AI287"/>
    </row>
    <row r="288" spans="1:35" s="450" customFormat="1" x14ac:dyDescent="0.25">
      <c r="A288" s="448">
        <v>6</v>
      </c>
      <c r="B288" s="448"/>
      <c r="C288" s="448">
        <f t="shared" si="21"/>
        <v>8</v>
      </c>
      <c r="D288" s="448">
        <f t="shared" si="22"/>
        <v>1</v>
      </c>
      <c r="E288" s="448">
        <f t="shared" si="23"/>
        <v>17</v>
      </c>
      <c r="F288" s="448" t="str">
        <f t="shared" si="24"/>
        <v>pm</v>
      </c>
      <c r="G288" s="448" t="s">
        <v>817</v>
      </c>
      <c r="H288" s="448" t="s">
        <v>358</v>
      </c>
      <c r="I288" s="448" t="s">
        <v>818</v>
      </c>
      <c r="J288" s="449" t="s">
        <v>21</v>
      </c>
      <c r="K288" s="450">
        <f t="shared" si="25"/>
        <v>2578.3608914325077</v>
      </c>
      <c r="L288" s="448"/>
      <c r="M288" s="450">
        <v>2800</v>
      </c>
      <c r="Q288" s="450">
        <v>2706.2787039991958</v>
      </c>
      <c r="S288" s="450">
        <v>2622.3374001433344</v>
      </c>
      <c r="U288" s="450">
        <v>2578.3608914325077</v>
      </c>
      <c r="AH288"/>
      <c r="AI288"/>
    </row>
    <row r="289" spans="1:35" s="450" customFormat="1" x14ac:dyDescent="0.25">
      <c r="A289" s="448"/>
      <c r="B289" s="448"/>
      <c r="C289" s="448">
        <f t="shared" si="21"/>
        <v>9</v>
      </c>
      <c r="D289" s="448">
        <f t="shared" si="22"/>
        <v>1</v>
      </c>
      <c r="E289" s="448">
        <f t="shared" si="23"/>
        <v>17</v>
      </c>
      <c r="F289" s="448" t="str">
        <f t="shared" si="24"/>
        <v>crx</v>
      </c>
      <c r="G289" s="448" t="s">
        <v>819</v>
      </c>
      <c r="H289" s="448"/>
      <c r="I289" s="448" t="s">
        <v>820</v>
      </c>
      <c r="J289" s="449" t="s">
        <v>21</v>
      </c>
      <c r="K289" s="450">
        <f t="shared" si="25"/>
        <v>2765.9984255776917</v>
      </c>
      <c r="L289" s="448"/>
      <c r="M289" s="450">
        <v>2800</v>
      </c>
      <c r="O289" s="451">
        <v>2765.9984255776917</v>
      </c>
      <c r="P289" s="451"/>
      <c r="Q289" s="451"/>
      <c r="R289" s="451"/>
      <c r="S289" s="451"/>
      <c r="T289" s="451"/>
      <c r="U289" s="451"/>
      <c r="V289" s="451"/>
      <c r="W289" s="451"/>
      <c r="X289" s="451"/>
      <c r="Y289" s="451"/>
      <c r="Z289" s="451"/>
      <c r="AA289" s="451"/>
      <c r="AB289" s="451"/>
      <c r="AC289" s="451"/>
      <c r="AH289"/>
      <c r="AI289"/>
    </row>
    <row r="290" spans="1:35" s="450" customFormat="1" x14ac:dyDescent="0.25">
      <c r="A290" s="448">
        <v>1</v>
      </c>
      <c r="B290" s="448"/>
      <c r="C290" s="448">
        <f t="shared" si="21"/>
        <v>10</v>
      </c>
      <c r="D290" s="448">
        <f t="shared" si="22"/>
        <v>1</v>
      </c>
      <c r="E290" s="448">
        <f t="shared" si="23"/>
        <v>17</v>
      </c>
      <c r="F290" s="448" t="str">
        <f t="shared" si="24"/>
        <v>pmx</v>
      </c>
      <c r="G290" s="448" t="s">
        <v>821</v>
      </c>
      <c r="H290" s="448" t="s">
        <v>371</v>
      </c>
      <c r="I290" s="448" t="s">
        <v>822</v>
      </c>
      <c r="J290" s="449" t="s">
        <v>21</v>
      </c>
      <c r="K290" s="450">
        <f t="shared" si="25"/>
        <v>2922.810582198274</v>
      </c>
      <c r="L290" s="448"/>
      <c r="M290" s="450">
        <v>2800</v>
      </c>
      <c r="U290" s="450">
        <v>2922.810582198274</v>
      </c>
      <c r="AH290"/>
      <c r="AI290"/>
    </row>
    <row r="291" spans="1:35" s="450" customFormat="1" x14ac:dyDescent="0.25">
      <c r="A291" s="448">
        <v>4</v>
      </c>
      <c r="B291" s="448"/>
      <c r="C291" s="448">
        <f t="shared" si="21"/>
        <v>11</v>
      </c>
      <c r="D291" s="448">
        <f t="shared" si="22"/>
        <v>1</v>
      </c>
      <c r="E291" s="448">
        <f t="shared" si="23"/>
        <v>17</v>
      </c>
      <c r="F291" s="448" t="str">
        <f t="shared" si="24"/>
        <v>pm</v>
      </c>
      <c r="G291" s="448" t="s">
        <v>823</v>
      </c>
      <c r="H291" s="448" t="s">
        <v>754</v>
      </c>
      <c r="I291" s="448" t="s">
        <v>824</v>
      </c>
      <c r="J291" s="449" t="s">
        <v>21</v>
      </c>
      <c r="K291" s="450">
        <f t="shared" si="25"/>
        <v>2922.0931394091949</v>
      </c>
      <c r="L291" s="448"/>
      <c r="M291" s="450">
        <v>2800</v>
      </c>
      <c r="O291" s="450">
        <v>2863.4119766884087</v>
      </c>
      <c r="U291" s="450">
        <v>2922.0931394091949</v>
      </c>
      <c r="AH291"/>
      <c r="AI291"/>
    </row>
    <row r="292" spans="1:35" s="450" customFormat="1" x14ac:dyDescent="0.25">
      <c r="A292" s="448">
        <v>5</v>
      </c>
      <c r="B292" s="448"/>
      <c r="C292" s="448">
        <f t="shared" si="21"/>
        <v>12</v>
      </c>
      <c r="D292" s="448">
        <f t="shared" si="22"/>
        <v>1</v>
      </c>
      <c r="E292" s="448">
        <f t="shared" si="23"/>
        <v>17</v>
      </c>
      <c r="F292" s="448" t="str">
        <f t="shared" si="24"/>
        <v>pm</v>
      </c>
      <c r="G292" s="448" t="s">
        <v>825</v>
      </c>
      <c r="H292" s="448" t="s">
        <v>754</v>
      </c>
      <c r="I292" s="448" t="s">
        <v>826</v>
      </c>
      <c r="J292" s="449" t="s">
        <v>21</v>
      </c>
      <c r="K292" s="450">
        <f t="shared" si="25"/>
        <v>2836.8425057223294</v>
      </c>
      <c r="L292" s="448"/>
      <c r="M292" s="450">
        <v>2800</v>
      </c>
      <c r="O292" s="450">
        <v>2821.4378785123886</v>
      </c>
      <c r="U292" s="450">
        <v>2836.8425057223294</v>
      </c>
      <c r="AH292"/>
      <c r="AI292"/>
    </row>
    <row r="293" spans="1:35" s="450" customFormat="1" x14ac:dyDescent="0.25">
      <c r="A293" s="448">
        <v>6</v>
      </c>
      <c r="B293" s="448"/>
      <c r="C293" s="448">
        <f t="shared" si="21"/>
        <v>13</v>
      </c>
      <c r="D293" s="448">
        <f t="shared" si="22"/>
        <v>1</v>
      </c>
      <c r="E293" s="448">
        <f t="shared" si="23"/>
        <v>17</v>
      </c>
      <c r="F293" s="448" t="str">
        <f t="shared" si="24"/>
        <v>pm</v>
      </c>
      <c r="G293" s="448" t="s">
        <v>827</v>
      </c>
      <c r="H293" s="448" t="s">
        <v>374</v>
      </c>
      <c r="I293" s="448" t="s">
        <v>828</v>
      </c>
      <c r="J293" s="449" t="s">
        <v>21</v>
      </c>
      <c r="K293" s="450">
        <f t="shared" si="25"/>
        <v>2544.0407981926219</v>
      </c>
      <c r="L293" s="448"/>
      <c r="M293" s="450">
        <v>2800</v>
      </c>
      <c r="Q293" s="450">
        <v>2662.8923313239829</v>
      </c>
      <c r="S293" s="450">
        <v>2583.0048160921388</v>
      </c>
      <c r="U293" s="450">
        <v>2544.0407981926219</v>
      </c>
      <c r="AH293"/>
      <c r="AI293"/>
    </row>
    <row r="294" spans="1:35" s="450" customFormat="1" x14ac:dyDescent="0.25">
      <c r="A294" s="448">
        <v>7</v>
      </c>
      <c r="B294" s="448"/>
      <c r="C294" s="448">
        <f t="shared" si="21"/>
        <v>14</v>
      </c>
      <c r="D294" s="448">
        <f t="shared" si="22"/>
        <v>1</v>
      </c>
      <c r="E294" s="448">
        <f t="shared" si="23"/>
        <v>17</v>
      </c>
      <c r="F294" s="448" t="str">
        <f t="shared" si="24"/>
        <v>pm</v>
      </c>
      <c r="G294" s="448" t="s">
        <v>829</v>
      </c>
      <c r="H294" s="448" t="s">
        <v>309</v>
      </c>
      <c r="I294" s="448" t="s">
        <v>830</v>
      </c>
      <c r="J294" s="449" t="s">
        <v>21</v>
      </c>
      <c r="K294" s="450">
        <f t="shared" si="25"/>
        <v>2719.4303773869187</v>
      </c>
      <c r="L294" s="448"/>
      <c r="M294" s="450">
        <v>2800</v>
      </c>
      <c r="O294" s="450">
        <v>2784.6569942953811</v>
      </c>
      <c r="Q294" s="450">
        <v>2775.1107645117636</v>
      </c>
      <c r="S294" s="450">
        <v>2693.8652056318556</v>
      </c>
      <c r="U294" s="450">
        <v>2719.4303773869187</v>
      </c>
      <c r="AH294"/>
      <c r="AI294"/>
    </row>
    <row r="295" spans="1:35" s="450" customFormat="1" x14ac:dyDescent="0.25">
      <c r="A295" s="448">
        <v>2</v>
      </c>
      <c r="B295" s="448"/>
      <c r="C295" s="448">
        <f t="shared" si="21"/>
        <v>15</v>
      </c>
      <c r="D295" s="448">
        <f t="shared" si="22"/>
        <v>1</v>
      </c>
      <c r="E295" s="448">
        <f t="shared" si="23"/>
        <v>17</v>
      </c>
      <c r="F295" s="448" t="str">
        <f t="shared" si="24"/>
        <v>pm</v>
      </c>
      <c r="G295" s="448" t="s">
        <v>831</v>
      </c>
      <c r="H295" s="448" t="s">
        <v>330</v>
      </c>
      <c r="I295" s="448" t="s">
        <v>832</v>
      </c>
      <c r="J295" s="449" t="s">
        <v>21</v>
      </c>
      <c r="K295" s="450">
        <f t="shared" si="25"/>
        <v>2866.5369510159803</v>
      </c>
      <c r="L295" s="448"/>
      <c r="M295" s="450">
        <v>2800</v>
      </c>
      <c r="S295" s="450">
        <v>2866.5369510159803</v>
      </c>
      <c r="AH295"/>
      <c r="AI295"/>
    </row>
    <row r="296" spans="1:35" s="450" customFormat="1" x14ac:dyDescent="0.25">
      <c r="A296" s="448">
        <v>2</v>
      </c>
      <c r="B296" s="448"/>
      <c r="C296" s="448">
        <f t="shared" si="21"/>
        <v>16</v>
      </c>
      <c r="D296" s="448">
        <f t="shared" si="22"/>
        <v>1</v>
      </c>
      <c r="E296" s="448">
        <f t="shared" si="23"/>
        <v>17</v>
      </c>
      <c r="F296" s="448" t="str">
        <f t="shared" si="24"/>
        <v>pm</v>
      </c>
      <c r="G296" s="448" t="s">
        <v>833</v>
      </c>
      <c r="H296" s="448" t="s">
        <v>330</v>
      </c>
      <c r="I296" s="448" t="s">
        <v>834</v>
      </c>
      <c r="J296" s="449" t="s">
        <v>21</v>
      </c>
      <c r="K296" s="450">
        <f t="shared" si="25"/>
        <v>2815.3029305288383</v>
      </c>
      <c r="L296" s="448"/>
      <c r="M296" s="450">
        <v>2800</v>
      </c>
      <c r="S296" s="450">
        <v>2815.3029305288383</v>
      </c>
      <c r="AH296"/>
      <c r="AI296"/>
    </row>
    <row r="297" spans="1:35" s="450" customFormat="1" x14ac:dyDescent="0.25">
      <c r="A297" s="448">
        <v>5</v>
      </c>
      <c r="B297" s="448"/>
      <c r="C297" s="448">
        <f t="shared" si="21"/>
        <v>17</v>
      </c>
      <c r="D297" s="448">
        <f t="shared" si="22"/>
        <v>1</v>
      </c>
      <c r="E297" s="448">
        <f t="shared" si="23"/>
        <v>17</v>
      </c>
      <c r="F297" s="448" t="str">
        <f t="shared" si="24"/>
        <v>pm</v>
      </c>
      <c r="G297" s="448" t="s">
        <v>835</v>
      </c>
      <c r="H297" s="448" t="s">
        <v>327</v>
      </c>
      <c r="I297" s="448" t="s">
        <v>836</v>
      </c>
      <c r="J297" s="449" t="s">
        <v>21</v>
      </c>
      <c r="K297" s="450">
        <f t="shared" si="25"/>
        <v>2737.7307164150166</v>
      </c>
      <c r="L297" s="448"/>
      <c r="M297" s="450">
        <v>2800</v>
      </c>
      <c r="O297" s="450">
        <v>2696.2480007280747</v>
      </c>
      <c r="S297" s="450">
        <v>2737.7307164150166</v>
      </c>
      <c r="AH297"/>
      <c r="AI297"/>
    </row>
    <row r="298" spans="1:35" s="450" customFormat="1" x14ac:dyDescent="0.25">
      <c r="A298" s="448">
        <v>4</v>
      </c>
      <c r="B298" s="448"/>
      <c r="C298" s="448">
        <f t="shared" si="21"/>
        <v>18</v>
      </c>
      <c r="D298" s="448">
        <f t="shared" si="22"/>
        <v>1</v>
      </c>
      <c r="E298" s="448">
        <f t="shared" si="23"/>
        <v>17</v>
      </c>
      <c r="F298" s="448" t="str">
        <f t="shared" si="24"/>
        <v>pm</v>
      </c>
      <c r="G298" s="448" t="s">
        <v>837</v>
      </c>
      <c r="H298" s="448" t="s">
        <v>319</v>
      </c>
      <c r="I298" s="448" t="s">
        <v>838</v>
      </c>
      <c r="J298" s="449" t="s">
        <v>21</v>
      </c>
      <c r="K298" s="450">
        <f t="shared" si="25"/>
        <v>2965.2574364143725</v>
      </c>
      <c r="L298" s="448"/>
      <c r="M298" s="450">
        <v>2800</v>
      </c>
      <c r="O298" s="450">
        <v>2844.5024511436382</v>
      </c>
      <c r="S298" s="450">
        <v>2944.1884179431017</v>
      </c>
      <c r="U298" s="450">
        <v>2965.2574364143725</v>
      </c>
      <c r="AH298"/>
      <c r="AI298"/>
    </row>
    <row r="299" spans="1:35" s="450" customFormat="1" x14ac:dyDescent="0.25">
      <c r="A299" s="448">
        <v>5</v>
      </c>
      <c r="B299" s="448"/>
      <c r="C299" s="448">
        <f t="shared" si="21"/>
        <v>19</v>
      </c>
      <c r="D299" s="448">
        <f t="shared" si="22"/>
        <v>1</v>
      </c>
      <c r="E299" s="448">
        <f t="shared" si="23"/>
        <v>17</v>
      </c>
      <c r="F299" s="448" t="str">
        <f t="shared" si="24"/>
        <v>pm</v>
      </c>
      <c r="G299" s="448" t="s">
        <v>839</v>
      </c>
      <c r="H299" s="448" t="s">
        <v>338</v>
      </c>
      <c r="I299" s="448" t="s">
        <v>840</v>
      </c>
      <c r="J299" s="449" t="s">
        <v>21</v>
      </c>
      <c r="K299" s="450">
        <f t="shared" si="25"/>
        <v>3023.8142201815831</v>
      </c>
      <c r="L299" s="448"/>
      <c r="M299" s="450">
        <v>2800</v>
      </c>
      <c r="S299" s="450">
        <v>2897.9672276536103</v>
      </c>
      <c r="U299" s="450">
        <v>3023.8142201815831</v>
      </c>
      <c r="AH299"/>
      <c r="AI299"/>
    </row>
    <row r="300" spans="1:35" s="450" customFormat="1" x14ac:dyDescent="0.25">
      <c r="A300" s="448">
        <v>5</v>
      </c>
      <c r="B300" s="448"/>
      <c r="C300" s="448">
        <f t="shared" si="21"/>
        <v>20</v>
      </c>
      <c r="D300" s="448">
        <f t="shared" si="22"/>
        <v>1</v>
      </c>
      <c r="E300" s="448">
        <f t="shared" si="23"/>
        <v>17</v>
      </c>
      <c r="F300" s="448" t="str">
        <f t="shared" si="24"/>
        <v>pm</v>
      </c>
      <c r="G300" s="448" t="s">
        <v>841</v>
      </c>
      <c r="H300" s="448" t="s">
        <v>338</v>
      </c>
      <c r="I300" s="448" t="s">
        <v>842</v>
      </c>
      <c r="J300" s="449" t="s">
        <v>21</v>
      </c>
      <c r="K300" s="450">
        <f t="shared" si="25"/>
        <v>2819.6604021954827</v>
      </c>
      <c r="L300" s="448"/>
      <c r="M300" s="450">
        <v>2800</v>
      </c>
      <c r="S300" s="450">
        <v>2808.2840462244581</v>
      </c>
      <c r="U300" s="450">
        <v>2819.6604021954827</v>
      </c>
      <c r="AH300"/>
      <c r="AI300"/>
    </row>
    <row r="301" spans="1:35" s="450" customFormat="1" x14ac:dyDescent="0.25">
      <c r="A301" s="448">
        <v>6</v>
      </c>
      <c r="B301" s="448"/>
      <c r="C301" s="448">
        <f t="shared" si="21"/>
        <v>21</v>
      </c>
      <c r="D301" s="448">
        <f t="shared" si="22"/>
        <v>1</v>
      </c>
      <c r="E301" s="448">
        <f t="shared" si="23"/>
        <v>17</v>
      </c>
      <c r="F301" s="448" t="str">
        <f t="shared" si="24"/>
        <v>pm</v>
      </c>
      <c r="G301" s="448" t="s">
        <v>843</v>
      </c>
      <c r="H301" s="448" t="s">
        <v>504</v>
      </c>
      <c r="I301" s="448" t="s">
        <v>844</v>
      </c>
      <c r="J301" s="449" t="s">
        <v>21</v>
      </c>
      <c r="K301" s="450">
        <f t="shared" si="25"/>
        <v>2797.3454256156274</v>
      </c>
      <c r="L301" s="448"/>
      <c r="M301" s="450">
        <v>2800</v>
      </c>
      <c r="O301" s="450">
        <v>2802.3886420389995</v>
      </c>
      <c r="S301" s="450">
        <v>2776.5669321360288</v>
      </c>
      <c r="U301" s="450">
        <v>2797.3454256156274</v>
      </c>
      <c r="AH301"/>
      <c r="AI301"/>
    </row>
    <row r="302" spans="1:35" s="450" customFormat="1" x14ac:dyDescent="0.25">
      <c r="A302" s="448">
        <v>3</v>
      </c>
      <c r="B302" s="448"/>
      <c r="C302" s="448">
        <f t="shared" si="21"/>
        <v>22</v>
      </c>
      <c r="D302" s="448">
        <f t="shared" si="22"/>
        <v>1</v>
      </c>
      <c r="E302" s="448">
        <f t="shared" si="23"/>
        <v>17</v>
      </c>
      <c r="F302" s="448" t="str">
        <f t="shared" si="24"/>
        <v>pm</v>
      </c>
      <c r="G302" s="448" t="s">
        <v>845</v>
      </c>
      <c r="H302" s="448" t="s">
        <v>668</v>
      </c>
      <c r="I302" s="448" t="s">
        <v>846</v>
      </c>
      <c r="J302" s="449" t="s">
        <v>21</v>
      </c>
      <c r="K302" s="450">
        <f t="shared" si="25"/>
        <v>2833.2954688575801</v>
      </c>
      <c r="L302" s="448"/>
      <c r="M302" s="450">
        <v>2800</v>
      </c>
      <c r="O302" s="450">
        <v>2845.1085264971489</v>
      </c>
      <c r="U302" s="450">
        <v>2833.2954688575801</v>
      </c>
      <c r="AH302"/>
      <c r="AI302"/>
    </row>
    <row r="303" spans="1:35" s="450" customFormat="1" x14ac:dyDescent="0.25">
      <c r="A303" s="448">
        <v>2</v>
      </c>
      <c r="B303" s="448"/>
      <c r="C303" s="448">
        <f t="shared" si="21"/>
        <v>23</v>
      </c>
      <c r="D303" s="448">
        <f t="shared" si="22"/>
        <v>1</v>
      </c>
      <c r="E303" s="448">
        <f t="shared" si="23"/>
        <v>17</v>
      </c>
      <c r="F303" s="448" t="str">
        <f t="shared" si="24"/>
        <v>pm</v>
      </c>
      <c r="G303" s="448" t="s">
        <v>847</v>
      </c>
      <c r="H303" s="448" t="s">
        <v>316</v>
      </c>
      <c r="I303" s="448" t="s">
        <v>848</v>
      </c>
      <c r="J303" s="449" t="s">
        <v>21</v>
      </c>
      <c r="K303" s="450">
        <f t="shared" si="25"/>
        <v>2885.9737041923854</v>
      </c>
      <c r="L303" s="448"/>
      <c r="M303" s="450">
        <v>2800</v>
      </c>
      <c r="O303" s="450">
        <v>2885.9737041923854</v>
      </c>
      <c r="AH303"/>
      <c r="AI303"/>
    </row>
    <row r="304" spans="1:35" s="450" customFormat="1" x14ac:dyDescent="0.25">
      <c r="A304" s="448">
        <v>6</v>
      </c>
      <c r="B304" s="448"/>
      <c r="C304" s="448">
        <f t="shared" si="21"/>
        <v>24</v>
      </c>
      <c r="D304" s="448">
        <f t="shared" si="22"/>
        <v>24</v>
      </c>
      <c r="E304" s="448">
        <f t="shared" si="23"/>
        <v>17</v>
      </c>
      <c r="F304" s="448" t="str">
        <f t="shared" si="24"/>
        <v>pm</v>
      </c>
      <c r="G304" s="448" t="s">
        <v>849</v>
      </c>
      <c r="H304" s="448" t="s">
        <v>396</v>
      </c>
      <c r="I304" s="448" t="s">
        <v>850</v>
      </c>
      <c r="J304" s="449" t="s">
        <v>21</v>
      </c>
      <c r="K304" s="450">
        <f t="shared" si="25"/>
        <v>2646.4053617802574</v>
      </c>
      <c r="L304" s="448"/>
      <c r="M304" s="450">
        <v>2733.3333333333335</v>
      </c>
      <c r="O304" s="450">
        <v>2732.753895579172</v>
      </c>
      <c r="Q304" s="450">
        <v>2797.9208619773253</v>
      </c>
      <c r="S304" s="450">
        <v>2759.5348371771374</v>
      </c>
      <c r="U304" s="450">
        <v>2678.4586435577248</v>
      </c>
      <c r="V304" s="450">
        <v>2646.4053617802574</v>
      </c>
      <c r="AH304"/>
      <c r="AI304"/>
    </row>
    <row r="305" spans="1:35" s="450" customFormat="1" x14ac:dyDescent="0.25">
      <c r="A305" s="448">
        <v>5</v>
      </c>
      <c r="B305" s="448"/>
      <c r="C305" s="448">
        <f t="shared" si="21"/>
        <v>25</v>
      </c>
      <c r="D305" s="448">
        <f t="shared" si="22"/>
        <v>25</v>
      </c>
      <c r="E305" s="448">
        <f t="shared" si="23"/>
        <v>17</v>
      </c>
      <c r="F305" s="448" t="str">
        <f t="shared" si="24"/>
        <v>pm</v>
      </c>
      <c r="G305" s="448" t="s">
        <v>851</v>
      </c>
      <c r="H305" s="448" t="s">
        <v>495</v>
      </c>
      <c r="I305" s="448" t="s">
        <v>852</v>
      </c>
      <c r="J305" s="449" t="s">
        <v>21</v>
      </c>
      <c r="K305" s="450">
        <f t="shared" si="25"/>
        <v>2816.3858469383913</v>
      </c>
      <c r="L305" s="448"/>
      <c r="M305" s="450">
        <v>2720</v>
      </c>
      <c r="O305" s="450">
        <v>2752.8864457613686</v>
      </c>
      <c r="R305" s="450">
        <v>2797.0632037070941</v>
      </c>
      <c r="U305" s="450">
        <v>2816.3858469383913</v>
      </c>
      <c r="AH305"/>
      <c r="AI305"/>
    </row>
    <row r="306" spans="1:35" s="450" customFormat="1" x14ac:dyDescent="0.25">
      <c r="A306" s="448">
        <v>2</v>
      </c>
      <c r="B306" s="448"/>
      <c r="C306" s="448">
        <f t="shared" si="21"/>
        <v>26</v>
      </c>
      <c r="D306" s="448">
        <f t="shared" si="22"/>
        <v>26</v>
      </c>
      <c r="E306" s="448">
        <f t="shared" si="23"/>
        <v>17</v>
      </c>
      <c r="F306" s="448" t="str">
        <f t="shared" si="24"/>
        <v>pm</v>
      </c>
      <c r="G306" s="448" t="s">
        <v>853</v>
      </c>
      <c r="H306" s="448" t="s">
        <v>316</v>
      </c>
      <c r="I306" s="448" t="s">
        <v>854</v>
      </c>
      <c r="J306" s="449" t="s">
        <v>21</v>
      </c>
      <c r="K306" s="450">
        <f t="shared" si="25"/>
        <v>2770.5404194699536</v>
      </c>
      <c r="L306" s="448"/>
      <c r="M306" s="450">
        <v>2700</v>
      </c>
      <c r="T306" s="450">
        <v>2770.5404194699536</v>
      </c>
      <c r="AH306"/>
      <c r="AI306"/>
    </row>
    <row r="307" spans="1:35" s="450" customFormat="1" x14ac:dyDescent="0.25">
      <c r="A307" s="448">
        <v>3</v>
      </c>
      <c r="B307" s="448"/>
      <c r="C307" s="448">
        <f t="shared" si="21"/>
        <v>27</v>
      </c>
      <c r="D307" s="448">
        <f t="shared" si="22"/>
        <v>27</v>
      </c>
      <c r="E307" s="448">
        <f t="shared" si="23"/>
        <v>17</v>
      </c>
      <c r="F307" s="448" t="str">
        <f t="shared" si="24"/>
        <v>pm</v>
      </c>
      <c r="G307" s="448" t="s">
        <v>855</v>
      </c>
      <c r="H307" s="448" t="s">
        <v>554</v>
      </c>
      <c r="I307" s="448" t="s">
        <v>856</v>
      </c>
      <c r="J307" s="449" t="s">
        <v>20</v>
      </c>
      <c r="K307" s="450">
        <f t="shared" si="25"/>
        <v>2530.5685181171116</v>
      </c>
      <c r="L307" s="448"/>
      <c r="M307" s="450">
        <v>2400</v>
      </c>
      <c r="O307" s="451"/>
      <c r="P307" s="451">
        <v>2541.3291547953268</v>
      </c>
      <c r="Q307" s="451"/>
      <c r="R307" s="451">
        <v>2447.0319715664677</v>
      </c>
      <c r="S307" s="451"/>
      <c r="T307" s="451"/>
      <c r="U307" s="451"/>
      <c r="V307" s="451">
        <v>2530.5685181171116</v>
      </c>
      <c r="W307" s="451"/>
      <c r="X307" s="451"/>
      <c r="Y307" s="451"/>
      <c r="Z307" s="451"/>
      <c r="AA307" s="451"/>
      <c r="AB307" s="451"/>
      <c r="AC307" s="451"/>
      <c r="AD307" s="451"/>
      <c r="AE307" s="451"/>
      <c r="AF307" s="451"/>
      <c r="AG307" s="451"/>
      <c r="AH307"/>
      <c r="AI307"/>
    </row>
    <row r="308" spans="1:35" s="450" customFormat="1" x14ac:dyDescent="0.25">
      <c r="A308" s="448">
        <v>5</v>
      </c>
      <c r="B308" s="448"/>
      <c r="C308" s="448">
        <f t="shared" si="21"/>
        <v>28</v>
      </c>
      <c r="D308" s="448">
        <f t="shared" si="22"/>
        <v>27</v>
      </c>
      <c r="E308" s="448">
        <f t="shared" si="23"/>
        <v>17</v>
      </c>
      <c r="F308" s="448" t="str">
        <f t="shared" si="24"/>
        <v>pm</v>
      </c>
      <c r="G308" s="448" t="s">
        <v>857</v>
      </c>
      <c r="H308" s="448" t="s">
        <v>615</v>
      </c>
      <c r="I308" s="448" t="s">
        <v>858</v>
      </c>
      <c r="J308" s="449" t="s">
        <v>20</v>
      </c>
      <c r="K308" s="450">
        <f t="shared" si="25"/>
        <v>2394.9607741800619</v>
      </c>
      <c r="L308" s="448"/>
      <c r="M308" s="450">
        <v>2400</v>
      </c>
      <c r="O308" s="451"/>
      <c r="P308" s="451">
        <v>2525.1096133091269</v>
      </c>
      <c r="Q308" s="451"/>
      <c r="R308" s="451"/>
      <c r="S308" s="451"/>
      <c r="T308" s="451">
        <v>2385.4518972414598</v>
      </c>
      <c r="U308" s="451"/>
      <c r="V308" s="451">
        <v>2394.9607741800619</v>
      </c>
      <c r="W308" s="451"/>
      <c r="X308" s="451"/>
      <c r="Y308" s="451"/>
      <c r="Z308" s="451"/>
      <c r="AA308" s="451"/>
      <c r="AB308" s="451"/>
      <c r="AC308" s="451"/>
      <c r="AD308" s="451"/>
      <c r="AE308" s="451"/>
      <c r="AF308" s="451"/>
      <c r="AG308" s="451"/>
      <c r="AH308"/>
      <c r="AI308"/>
    </row>
    <row r="309" spans="1:35" s="450" customFormat="1" x14ac:dyDescent="0.25">
      <c r="A309" s="448">
        <v>7</v>
      </c>
      <c r="B309" s="448"/>
      <c r="C309" s="448">
        <f t="shared" si="21"/>
        <v>29</v>
      </c>
      <c r="D309" s="448">
        <f t="shared" si="22"/>
        <v>27</v>
      </c>
      <c r="E309" s="448">
        <f t="shared" si="23"/>
        <v>17</v>
      </c>
      <c r="F309" s="448" t="str">
        <f t="shared" si="24"/>
        <v>pm</v>
      </c>
      <c r="G309" s="448" t="s">
        <v>859</v>
      </c>
      <c r="H309" s="448" t="s">
        <v>353</v>
      </c>
      <c r="I309" s="448" t="s">
        <v>860</v>
      </c>
      <c r="J309" s="449" t="s">
        <v>20</v>
      </c>
      <c r="K309" s="450">
        <f t="shared" si="25"/>
        <v>2240.861977404596</v>
      </c>
      <c r="L309" s="448"/>
      <c r="M309" s="450">
        <v>2400</v>
      </c>
      <c r="P309" s="450">
        <v>2416.330453389638</v>
      </c>
      <c r="R309" s="450">
        <v>2338.5089997355412</v>
      </c>
      <c r="T309" s="450">
        <v>2303.7318480220224</v>
      </c>
      <c r="V309" s="450">
        <v>2240.861977404596</v>
      </c>
      <c r="AH309"/>
      <c r="AI309"/>
    </row>
    <row r="310" spans="1:35" s="450" customFormat="1" x14ac:dyDescent="0.25">
      <c r="A310" s="448">
        <v>3</v>
      </c>
      <c r="B310" s="448"/>
      <c r="C310" s="448">
        <f t="shared" si="21"/>
        <v>30</v>
      </c>
      <c r="D310" s="448">
        <f t="shared" si="22"/>
        <v>27</v>
      </c>
      <c r="E310" s="448">
        <f t="shared" si="23"/>
        <v>17</v>
      </c>
      <c r="F310" s="448" t="str">
        <f t="shared" si="24"/>
        <v>pm</v>
      </c>
      <c r="G310" s="448" t="s">
        <v>861</v>
      </c>
      <c r="H310" s="448" t="s">
        <v>365</v>
      </c>
      <c r="I310" s="448" t="s">
        <v>862</v>
      </c>
      <c r="J310" s="449" t="s">
        <v>20</v>
      </c>
      <c r="K310" s="450">
        <f t="shared" si="25"/>
        <v>2409.4855096244519</v>
      </c>
      <c r="L310" s="448"/>
      <c r="M310" s="450">
        <v>2400</v>
      </c>
      <c r="P310" s="450">
        <v>2438.5335285909896</v>
      </c>
      <c r="V310" s="450">
        <v>2409.4855096244519</v>
      </c>
      <c r="AH310"/>
      <c r="AI310"/>
    </row>
    <row r="311" spans="1:35" s="450" customFormat="1" x14ac:dyDescent="0.25">
      <c r="A311" s="448">
        <v>6</v>
      </c>
      <c r="B311" s="448"/>
      <c r="C311" s="448">
        <f t="shared" si="21"/>
        <v>31</v>
      </c>
      <c r="D311" s="448">
        <f t="shared" si="22"/>
        <v>27</v>
      </c>
      <c r="E311" s="448">
        <f t="shared" si="23"/>
        <v>17</v>
      </c>
      <c r="F311" s="448" t="str">
        <f t="shared" si="24"/>
        <v>pm</v>
      </c>
      <c r="G311" s="448" t="s">
        <v>863</v>
      </c>
      <c r="H311" s="448" t="s">
        <v>338</v>
      </c>
      <c r="I311" s="448" t="s">
        <v>864</v>
      </c>
      <c r="J311" s="449" t="s">
        <v>20</v>
      </c>
      <c r="K311" s="450">
        <f t="shared" si="25"/>
        <v>2433.4572810909845</v>
      </c>
      <c r="L311" s="448"/>
      <c r="M311" s="450">
        <v>2400</v>
      </c>
      <c r="R311" s="450">
        <v>2397.9058130222679</v>
      </c>
      <c r="T311" s="450">
        <v>2383.1397139572923</v>
      </c>
      <c r="V311" s="450">
        <v>2433.4572810909845</v>
      </c>
      <c r="AH311"/>
      <c r="AI311"/>
    </row>
    <row r="312" spans="1:35" s="450" customFormat="1" x14ac:dyDescent="0.25">
      <c r="A312" s="448">
        <v>5</v>
      </c>
      <c r="B312" s="448"/>
      <c r="C312" s="448">
        <f t="shared" si="21"/>
        <v>32</v>
      </c>
      <c r="D312" s="448">
        <f t="shared" si="22"/>
        <v>27</v>
      </c>
      <c r="E312" s="448">
        <f t="shared" si="23"/>
        <v>17</v>
      </c>
      <c r="F312" s="448" t="str">
        <f t="shared" si="24"/>
        <v>pm</v>
      </c>
      <c r="G312" s="448" t="s">
        <v>865</v>
      </c>
      <c r="H312" s="448" t="s">
        <v>504</v>
      </c>
      <c r="I312" s="448" t="s">
        <v>866</v>
      </c>
      <c r="J312" s="449" t="s">
        <v>20</v>
      </c>
      <c r="K312" s="450">
        <f t="shared" si="25"/>
        <v>2195.6994788470638</v>
      </c>
      <c r="L312" s="448"/>
      <c r="M312" s="450">
        <v>2400</v>
      </c>
      <c r="R312" s="450">
        <v>2337.7028474617719</v>
      </c>
      <c r="T312" s="450">
        <v>2249.8790654342693</v>
      </c>
      <c r="V312" s="450">
        <v>2195.6994788470638</v>
      </c>
      <c r="AH312"/>
      <c r="AI312"/>
    </row>
    <row r="313" spans="1:35" s="450" customFormat="1" x14ac:dyDescent="0.25">
      <c r="A313" s="448">
        <v>4</v>
      </c>
      <c r="B313" s="448"/>
      <c r="C313" s="448">
        <f t="shared" si="21"/>
        <v>33</v>
      </c>
      <c r="D313" s="448">
        <f t="shared" si="22"/>
        <v>27</v>
      </c>
      <c r="E313" s="448">
        <f t="shared" si="23"/>
        <v>17</v>
      </c>
      <c r="F313" s="448" t="str">
        <f t="shared" si="24"/>
        <v>pm</v>
      </c>
      <c r="G313" s="448" t="s">
        <v>867</v>
      </c>
      <c r="H313" s="448" t="s">
        <v>341</v>
      </c>
      <c r="I313" s="448" t="s">
        <v>868</v>
      </c>
      <c r="J313" s="449" t="s">
        <v>20</v>
      </c>
      <c r="K313" s="450">
        <f t="shared" si="25"/>
        <v>2314.6354818318368</v>
      </c>
      <c r="L313" s="448"/>
      <c r="M313" s="450">
        <v>2400</v>
      </c>
      <c r="O313" s="451"/>
      <c r="P313" s="451"/>
      <c r="Q313" s="451"/>
      <c r="R313" s="451">
        <v>2344.6275487157213</v>
      </c>
      <c r="S313" s="451"/>
      <c r="T313" s="451">
        <v>2331.6658262868896</v>
      </c>
      <c r="U313" s="451"/>
      <c r="V313" s="451">
        <v>2314.6354818318368</v>
      </c>
      <c r="W313" s="451"/>
      <c r="X313" s="451"/>
      <c r="Y313" s="451"/>
      <c r="Z313" s="451"/>
      <c r="AA313" s="451"/>
      <c r="AB313" s="451"/>
      <c r="AC313" s="451"/>
      <c r="AH313"/>
      <c r="AI313"/>
    </row>
    <row r="314" spans="1:35" s="450" customFormat="1" x14ac:dyDescent="0.25">
      <c r="A314" s="448">
        <v>1</v>
      </c>
      <c r="B314" s="448"/>
      <c r="C314" s="448">
        <f t="shared" si="21"/>
        <v>1</v>
      </c>
      <c r="D314" s="448">
        <f t="shared" si="22"/>
        <v>1</v>
      </c>
      <c r="E314" s="448">
        <f t="shared" si="23"/>
        <v>18</v>
      </c>
      <c r="F314" s="448" t="str">
        <f t="shared" si="24"/>
        <v>pmx</v>
      </c>
      <c r="G314" s="448" t="s">
        <v>869</v>
      </c>
      <c r="H314" s="448" t="s">
        <v>688</v>
      </c>
      <c r="I314" s="448" t="s">
        <v>870</v>
      </c>
      <c r="J314" s="449" t="s">
        <v>21</v>
      </c>
      <c r="K314" s="450">
        <f t="shared" si="25"/>
        <v>2910.1931858597623</v>
      </c>
      <c r="L314" s="448"/>
      <c r="M314" s="450">
        <v>3000</v>
      </c>
      <c r="O314" s="451"/>
      <c r="P314" s="451"/>
      <c r="Q314" s="451"/>
      <c r="R314" s="451"/>
      <c r="S314" s="451">
        <v>2910.1931858597623</v>
      </c>
      <c r="T314" s="451"/>
      <c r="U314" s="451"/>
      <c r="V314" s="451"/>
      <c r="W314" s="451"/>
      <c r="X314" s="451"/>
      <c r="Y314" s="451"/>
      <c r="Z314" s="451"/>
      <c r="AA314" s="451"/>
      <c r="AB314" s="451"/>
      <c r="AC314" s="451"/>
      <c r="AD314" s="451"/>
      <c r="AE314" s="451"/>
      <c r="AF314" s="451"/>
      <c r="AG314" s="451"/>
      <c r="AH314"/>
      <c r="AI314"/>
    </row>
    <row r="315" spans="1:35" s="450" customFormat="1" x14ac:dyDescent="0.25">
      <c r="A315" s="448">
        <v>1</v>
      </c>
      <c r="B315" s="448"/>
      <c r="C315" s="448">
        <f t="shared" si="21"/>
        <v>2</v>
      </c>
      <c r="D315" s="448">
        <f t="shared" si="22"/>
        <v>1</v>
      </c>
      <c r="E315" s="448">
        <f t="shared" si="23"/>
        <v>18</v>
      </c>
      <c r="F315" s="448" t="str">
        <f t="shared" si="24"/>
        <v>pmx</v>
      </c>
      <c r="G315" s="448" t="s">
        <v>871</v>
      </c>
      <c r="H315" s="448" t="s">
        <v>303</v>
      </c>
      <c r="I315" s="448" t="s">
        <v>872</v>
      </c>
      <c r="J315" s="449" t="s">
        <v>21</v>
      </c>
      <c r="K315" s="450">
        <f t="shared" si="25"/>
        <v>2993.4279166956799</v>
      </c>
      <c r="L315" s="448"/>
      <c r="M315" s="450">
        <v>3000</v>
      </c>
      <c r="U315" s="450">
        <v>2993.4279166956799</v>
      </c>
      <c r="AH315"/>
      <c r="AI315"/>
    </row>
    <row r="316" spans="1:35" s="450" customFormat="1" x14ac:dyDescent="0.25">
      <c r="A316" s="448">
        <v>2</v>
      </c>
      <c r="B316" s="448"/>
      <c r="C316" s="448">
        <f t="shared" si="21"/>
        <v>3</v>
      </c>
      <c r="D316" s="448">
        <f t="shared" si="22"/>
        <v>1</v>
      </c>
      <c r="E316" s="448">
        <f t="shared" si="23"/>
        <v>18</v>
      </c>
      <c r="F316" s="448" t="str">
        <f t="shared" si="24"/>
        <v>pm</v>
      </c>
      <c r="G316" s="448" t="s">
        <v>873</v>
      </c>
      <c r="H316" s="448" t="s">
        <v>437</v>
      </c>
      <c r="I316" s="448" t="s">
        <v>874</v>
      </c>
      <c r="J316" s="449" t="s">
        <v>21</v>
      </c>
      <c r="K316" s="450">
        <f t="shared" si="25"/>
        <v>2939.5864200932042</v>
      </c>
      <c r="L316" s="448"/>
      <c r="M316" s="450">
        <v>3000</v>
      </c>
      <c r="O316" s="450">
        <v>2931.3411210443674</v>
      </c>
      <c r="U316" s="450">
        <v>2939.5864200932042</v>
      </c>
      <c r="AH316"/>
      <c r="AI316"/>
    </row>
    <row r="317" spans="1:35" s="450" customFormat="1" x14ac:dyDescent="0.25">
      <c r="A317" s="448"/>
      <c r="B317" s="448"/>
      <c r="C317" s="448">
        <f t="shared" si="21"/>
        <v>4</v>
      </c>
      <c r="D317" s="448">
        <f t="shared" si="22"/>
        <v>1</v>
      </c>
      <c r="E317" s="448">
        <f t="shared" si="23"/>
        <v>18</v>
      </c>
      <c r="F317" s="448" t="str">
        <f t="shared" si="24"/>
        <v>crx</v>
      </c>
      <c r="G317" s="448" t="s">
        <v>875</v>
      </c>
      <c r="H317" s="448"/>
      <c r="I317" s="448" t="s">
        <v>876</v>
      </c>
      <c r="J317" s="449" t="s">
        <v>21</v>
      </c>
      <c r="K317" s="450">
        <f t="shared" si="25"/>
        <v>2909.0380904093968</v>
      </c>
      <c r="L317" s="448"/>
      <c r="M317" s="450">
        <v>3000</v>
      </c>
      <c r="O317" s="451">
        <v>2905.1897231891221</v>
      </c>
      <c r="P317" s="451"/>
      <c r="Q317" s="451"/>
      <c r="R317" s="451"/>
      <c r="S317" s="451"/>
      <c r="T317" s="451"/>
      <c r="U317" s="451"/>
      <c r="V317" s="451">
        <v>2909.0380904093968</v>
      </c>
      <c r="W317" s="451"/>
      <c r="X317" s="451"/>
      <c r="Y317" s="451"/>
      <c r="Z317" s="451"/>
      <c r="AA317" s="451"/>
      <c r="AB317" s="451"/>
      <c r="AC317" s="451"/>
      <c r="AH317"/>
      <c r="AI317"/>
    </row>
    <row r="318" spans="1:35" s="450" customFormat="1" x14ac:dyDescent="0.25">
      <c r="A318" s="448">
        <v>2</v>
      </c>
      <c r="B318" s="448"/>
      <c r="C318" s="448">
        <f t="shared" si="21"/>
        <v>5</v>
      </c>
      <c r="D318" s="448">
        <f t="shared" si="22"/>
        <v>1</v>
      </c>
      <c r="E318" s="448">
        <f t="shared" si="23"/>
        <v>18</v>
      </c>
      <c r="F318" s="448" t="str">
        <f t="shared" si="24"/>
        <v>pm</v>
      </c>
      <c r="G318" s="448" t="s">
        <v>877</v>
      </c>
      <c r="H318" s="448" t="s">
        <v>296</v>
      </c>
      <c r="I318" s="448" t="s">
        <v>878</v>
      </c>
      <c r="J318" s="449" t="s">
        <v>21</v>
      </c>
      <c r="K318" s="450">
        <f t="shared" si="25"/>
        <v>2948.6084253075928</v>
      </c>
      <c r="L318" s="448"/>
      <c r="M318" s="450">
        <v>3000</v>
      </c>
      <c r="O318" s="450">
        <v>2948.6084253075928</v>
      </c>
      <c r="AH318"/>
      <c r="AI318"/>
    </row>
    <row r="319" spans="1:35" s="450" customFormat="1" x14ac:dyDescent="0.25">
      <c r="A319" s="448">
        <v>1</v>
      </c>
      <c r="B319" s="448"/>
      <c r="C319" s="448">
        <f t="shared" si="21"/>
        <v>6</v>
      </c>
      <c r="D319" s="448">
        <f t="shared" si="22"/>
        <v>1</v>
      </c>
      <c r="E319" s="448">
        <f t="shared" si="23"/>
        <v>18</v>
      </c>
      <c r="F319" s="448" t="str">
        <f t="shared" si="24"/>
        <v>pmx</v>
      </c>
      <c r="G319" s="448" t="s">
        <v>879</v>
      </c>
      <c r="H319" s="448" t="s">
        <v>371</v>
      </c>
      <c r="I319" s="448" t="s">
        <v>880</v>
      </c>
      <c r="J319" s="449" t="s">
        <v>21</v>
      </c>
      <c r="K319" s="450">
        <f t="shared" si="25"/>
        <v>2989.9920773332146</v>
      </c>
      <c r="L319" s="448"/>
      <c r="M319" s="450">
        <v>3000</v>
      </c>
      <c r="U319" s="450">
        <v>2989.9920773332146</v>
      </c>
      <c r="AH319"/>
      <c r="AI319"/>
    </row>
    <row r="320" spans="1:35" s="450" customFormat="1" x14ac:dyDescent="0.25">
      <c r="A320" s="448">
        <v>5</v>
      </c>
      <c r="B320" s="448"/>
      <c r="C320" s="448">
        <f t="shared" si="21"/>
        <v>7</v>
      </c>
      <c r="D320" s="448">
        <f t="shared" si="22"/>
        <v>1</v>
      </c>
      <c r="E320" s="448">
        <f t="shared" si="23"/>
        <v>18</v>
      </c>
      <c r="F320" s="448" t="str">
        <f t="shared" si="24"/>
        <v>pm</v>
      </c>
      <c r="G320" s="448" t="s">
        <v>881</v>
      </c>
      <c r="H320" s="448" t="s">
        <v>754</v>
      </c>
      <c r="I320" s="448" t="s">
        <v>882</v>
      </c>
      <c r="J320" s="449" t="s">
        <v>21</v>
      </c>
      <c r="K320" s="450">
        <f t="shared" si="25"/>
        <v>2859.795266485386</v>
      </c>
      <c r="L320" s="448"/>
      <c r="M320" s="450">
        <v>3000</v>
      </c>
      <c r="O320" s="450">
        <v>2926.6317320617309</v>
      </c>
      <c r="U320" s="450">
        <v>2859.795266485386</v>
      </c>
      <c r="AH320"/>
      <c r="AI320"/>
    </row>
    <row r="321" spans="1:35" s="450" customFormat="1" x14ac:dyDescent="0.25">
      <c r="A321" s="448">
        <v>4</v>
      </c>
      <c r="B321" s="448"/>
      <c r="C321" s="448">
        <f t="shared" si="21"/>
        <v>8</v>
      </c>
      <c r="D321" s="448">
        <f t="shared" si="22"/>
        <v>1</v>
      </c>
      <c r="E321" s="448">
        <f t="shared" si="23"/>
        <v>18</v>
      </c>
      <c r="F321" s="448" t="str">
        <f t="shared" si="24"/>
        <v>pm</v>
      </c>
      <c r="G321" s="448" t="s">
        <v>883</v>
      </c>
      <c r="H321" s="448" t="s">
        <v>884</v>
      </c>
      <c r="I321" s="448" t="s">
        <v>885</v>
      </c>
      <c r="J321" s="449" t="s">
        <v>21</v>
      </c>
      <c r="K321" s="450">
        <f t="shared" si="25"/>
        <v>3079.1531819120014</v>
      </c>
      <c r="L321" s="448"/>
      <c r="M321" s="450">
        <v>3000</v>
      </c>
      <c r="O321" s="450">
        <v>3032.3841640874152</v>
      </c>
      <c r="U321" s="450">
        <v>3079.1531819120014</v>
      </c>
      <c r="AH321"/>
      <c r="AI321"/>
    </row>
    <row r="322" spans="1:35" s="450" customFormat="1" x14ac:dyDescent="0.25">
      <c r="A322" s="448">
        <v>7</v>
      </c>
      <c r="B322" s="448"/>
      <c r="C322" s="448">
        <f t="shared" ref="C322:C340" si="26">IF(E322=E321,C321+1,1)</f>
        <v>9</v>
      </c>
      <c r="D322" s="448">
        <f t="shared" ref="D322:D340" si="27">IF(M322=M321,D321,C322)</f>
        <v>1</v>
      </c>
      <c r="E322" s="448">
        <f t="shared" ref="E322:E340" si="28">10+VALUE(RIGHT(LEFT(G322,3),1))</f>
        <v>18</v>
      </c>
      <c r="F322" s="448" t="str">
        <f t="shared" ref="F322:F340" si="29">RIGHT(G322,2) &amp; IF(A322&lt;2,"x","")</f>
        <v>pm</v>
      </c>
      <c r="G322" s="448" t="s">
        <v>886</v>
      </c>
      <c r="H322" s="448" t="s">
        <v>309</v>
      </c>
      <c r="I322" s="448" t="s">
        <v>887</v>
      </c>
      <c r="J322" s="449" t="s">
        <v>21</v>
      </c>
      <c r="K322" s="450">
        <f t="shared" ref="K322:K340" si="30">LOOKUP(1E+100,M322:AC322)</f>
        <v>2927.0999448587754</v>
      </c>
      <c r="L322" s="448"/>
      <c r="M322" s="450">
        <v>3000</v>
      </c>
      <c r="O322" s="450">
        <v>2961.5530975568113</v>
      </c>
      <c r="Q322" s="450">
        <v>3046.1529835455331</v>
      </c>
      <c r="S322" s="450">
        <v>2955.2831566080927</v>
      </c>
      <c r="U322" s="450">
        <v>2927.0999448587754</v>
      </c>
      <c r="AH322"/>
      <c r="AI322"/>
    </row>
    <row r="323" spans="1:35" s="450" customFormat="1" x14ac:dyDescent="0.25">
      <c r="A323" s="448">
        <v>2</v>
      </c>
      <c r="B323" s="448"/>
      <c r="C323" s="448">
        <f t="shared" si="26"/>
        <v>10</v>
      </c>
      <c r="D323" s="448">
        <f t="shared" si="27"/>
        <v>1</v>
      </c>
      <c r="E323" s="448">
        <f t="shared" si="28"/>
        <v>18</v>
      </c>
      <c r="F323" s="448" t="str">
        <f t="shared" si="29"/>
        <v>pm</v>
      </c>
      <c r="G323" s="448" t="s">
        <v>888</v>
      </c>
      <c r="H323" s="448" t="s">
        <v>523</v>
      </c>
      <c r="I323" s="448" t="s">
        <v>889</v>
      </c>
      <c r="J323" s="449" t="s">
        <v>21</v>
      </c>
      <c r="K323" s="450">
        <f t="shared" si="30"/>
        <v>2935.1707127088944</v>
      </c>
      <c r="L323" s="448"/>
      <c r="M323" s="450">
        <v>3000</v>
      </c>
      <c r="O323" s="450">
        <v>2935.1707127088944</v>
      </c>
      <c r="AH323"/>
      <c r="AI323"/>
    </row>
    <row r="324" spans="1:35" s="450" customFormat="1" x14ac:dyDescent="0.25">
      <c r="A324" s="448">
        <v>2</v>
      </c>
      <c r="B324" s="448"/>
      <c r="C324" s="448">
        <f t="shared" si="26"/>
        <v>11</v>
      </c>
      <c r="D324" s="448">
        <f t="shared" si="27"/>
        <v>1</v>
      </c>
      <c r="E324" s="448">
        <f t="shared" si="28"/>
        <v>18</v>
      </c>
      <c r="F324" s="448" t="str">
        <f t="shared" si="29"/>
        <v>pm</v>
      </c>
      <c r="G324" s="448" t="s">
        <v>890</v>
      </c>
      <c r="H324" s="448" t="s">
        <v>330</v>
      </c>
      <c r="I324" s="448" t="s">
        <v>891</v>
      </c>
      <c r="J324" s="449" t="s">
        <v>21</v>
      </c>
      <c r="K324" s="450">
        <f t="shared" si="30"/>
        <v>3000</v>
      </c>
      <c r="L324" s="448"/>
      <c r="M324" s="450">
        <v>3000</v>
      </c>
      <c r="AH324"/>
      <c r="AI324"/>
    </row>
    <row r="325" spans="1:35" s="450" customFormat="1" x14ac:dyDescent="0.25">
      <c r="A325" s="448">
        <v>3</v>
      </c>
      <c r="B325" s="448"/>
      <c r="C325" s="448">
        <f t="shared" si="26"/>
        <v>12</v>
      </c>
      <c r="D325" s="448">
        <f t="shared" si="27"/>
        <v>1</v>
      </c>
      <c r="E325" s="448">
        <f t="shared" si="28"/>
        <v>18</v>
      </c>
      <c r="F325" s="448" t="str">
        <f t="shared" si="29"/>
        <v>pm</v>
      </c>
      <c r="G325" s="448" t="s">
        <v>892</v>
      </c>
      <c r="H325" s="448" t="s">
        <v>330</v>
      </c>
      <c r="I325" s="448" t="s">
        <v>893</v>
      </c>
      <c r="J325" s="449" t="s">
        <v>21</v>
      </c>
      <c r="K325" s="450">
        <f t="shared" si="30"/>
        <v>2951.9748898787816</v>
      </c>
      <c r="L325" s="448"/>
      <c r="M325" s="450">
        <v>3000</v>
      </c>
      <c r="S325" s="450">
        <v>2951.9748898787816</v>
      </c>
      <c r="AH325"/>
      <c r="AI325"/>
    </row>
    <row r="326" spans="1:35" x14ac:dyDescent="0.25">
      <c r="A326" s="448">
        <v>2</v>
      </c>
      <c r="B326" s="448"/>
      <c r="C326" s="448">
        <f t="shared" si="26"/>
        <v>13</v>
      </c>
      <c r="D326" s="448">
        <f t="shared" si="27"/>
        <v>1</v>
      </c>
      <c r="E326" s="448">
        <f t="shared" si="28"/>
        <v>18</v>
      </c>
      <c r="F326" s="448" t="str">
        <f t="shared" si="29"/>
        <v>pm</v>
      </c>
      <c r="G326" s="448" t="s">
        <v>894</v>
      </c>
      <c r="H326" s="448" t="s">
        <v>431</v>
      </c>
      <c r="I326" s="448" t="s">
        <v>895</v>
      </c>
      <c r="J326" s="449" t="s">
        <v>21</v>
      </c>
      <c r="K326" s="450">
        <f t="shared" si="30"/>
        <v>2883.1952269491931</v>
      </c>
      <c r="L326" s="448"/>
      <c r="M326" s="450">
        <v>3000</v>
      </c>
      <c r="O326" s="450">
        <v>2883.1952269491931</v>
      </c>
      <c r="P326" s="450"/>
      <c r="Q326" s="450"/>
      <c r="R326" s="450"/>
      <c r="S326" s="450"/>
      <c r="T326" s="450"/>
      <c r="U326" s="450"/>
      <c r="V326" s="450"/>
      <c r="W326" s="450"/>
      <c r="X326" s="450"/>
      <c r="Y326" s="450"/>
      <c r="Z326" s="450"/>
      <c r="AA326" s="450"/>
      <c r="AB326" s="450"/>
      <c r="AC326" s="450"/>
      <c r="AD326" s="450"/>
      <c r="AE326" s="450"/>
      <c r="AF326" s="450"/>
      <c r="AG326" s="450"/>
    </row>
    <row r="327" spans="1:35" s="450" customFormat="1" x14ac:dyDescent="0.25">
      <c r="A327" s="448">
        <v>1</v>
      </c>
      <c r="B327" s="448"/>
      <c r="C327" s="448">
        <f t="shared" si="26"/>
        <v>14</v>
      </c>
      <c r="D327" s="448">
        <f t="shared" si="27"/>
        <v>1</v>
      </c>
      <c r="E327" s="448">
        <f t="shared" si="28"/>
        <v>18</v>
      </c>
      <c r="F327" s="448" t="str">
        <f t="shared" si="29"/>
        <v>pmx</v>
      </c>
      <c r="G327" s="448" t="s">
        <v>896</v>
      </c>
      <c r="H327" s="448" t="s">
        <v>293</v>
      </c>
      <c r="I327" s="448" t="s">
        <v>897</v>
      </c>
      <c r="J327" s="449" t="s">
        <v>21</v>
      </c>
      <c r="K327" s="450">
        <f t="shared" si="30"/>
        <v>3000</v>
      </c>
      <c r="L327" s="448"/>
      <c r="M327" s="450">
        <v>3000</v>
      </c>
      <c r="AH327"/>
      <c r="AI327"/>
    </row>
    <row r="328" spans="1:35" s="450" customFormat="1" x14ac:dyDescent="0.25">
      <c r="A328" s="448"/>
      <c r="B328" s="448"/>
      <c r="C328" s="448">
        <f t="shared" si="26"/>
        <v>15</v>
      </c>
      <c r="D328" s="448">
        <f t="shared" si="27"/>
        <v>1</v>
      </c>
      <c r="E328" s="448">
        <f t="shared" si="28"/>
        <v>18</v>
      </c>
      <c r="F328" s="448" t="str">
        <f t="shared" si="29"/>
        <v>crx</v>
      </c>
      <c r="G328" s="448" t="s">
        <v>898</v>
      </c>
      <c r="H328" s="448"/>
      <c r="I328" s="448" t="s">
        <v>899</v>
      </c>
      <c r="J328" s="449" t="s">
        <v>21</v>
      </c>
      <c r="K328" s="450">
        <f t="shared" si="30"/>
        <v>3011.2870081310043</v>
      </c>
      <c r="L328" s="448"/>
      <c r="M328" s="450">
        <v>3000</v>
      </c>
      <c r="O328" s="451">
        <v>3011.2870081310043</v>
      </c>
      <c r="P328" s="451"/>
      <c r="Q328" s="451"/>
      <c r="R328" s="451"/>
      <c r="S328" s="451"/>
      <c r="T328" s="451"/>
      <c r="U328" s="451"/>
      <c r="V328" s="451"/>
      <c r="W328" s="451"/>
      <c r="X328" s="451"/>
      <c r="Y328" s="451"/>
      <c r="Z328" s="451"/>
      <c r="AA328" s="451"/>
      <c r="AB328" s="451"/>
      <c r="AC328" s="451"/>
      <c r="AH328"/>
      <c r="AI328"/>
    </row>
    <row r="329" spans="1:35" s="450" customFormat="1" x14ac:dyDescent="0.25">
      <c r="A329" s="448">
        <v>3</v>
      </c>
      <c r="B329" s="448"/>
      <c r="C329" s="448">
        <f t="shared" si="26"/>
        <v>16</v>
      </c>
      <c r="D329" s="448">
        <f t="shared" si="27"/>
        <v>1</v>
      </c>
      <c r="E329" s="448">
        <f t="shared" si="28"/>
        <v>18</v>
      </c>
      <c r="F329" s="448" t="str">
        <f t="shared" si="29"/>
        <v>pm</v>
      </c>
      <c r="G329" s="448" t="s">
        <v>900</v>
      </c>
      <c r="H329" s="448" t="s">
        <v>668</v>
      </c>
      <c r="I329" s="448" t="s">
        <v>901</v>
      </c>
      <c r="J329" s="449" t="s">
        <v>21</v>
      </c>
      <c r="K329" s="450">
        <f t="shared" si="30"/>
        <v>3112.299077478679</v>
      </c>
      <c r="L329" s="448"/>
      <c r="M329" s="450">
        <v>3000</v>
      </c>
      <c r="O329" s="450">
        <v>3073.5430014703875</v>
      </c>
      <c r="U329" s="450">
        <v>3112.299077478679</v>
      </c>
      <c r="AH329"/>
      <c r="AI329"/>
    </row>
    <row r="330" spans="1:35" s="450" customFormat="1" x14ac:dyDescent="0.25">
      <c r="A330" s="448">
        <v>3</v>
      </c>
      <c r="B330" s="448"/>
      <c r="C330" s="448">
        <f t="shared" si="26"/>
        <v>17</v>
      </c>
      <c r="D330" s="448">
        <f t="shared" si="27"/>
        <v>1</v>
      </c>
      <c r="E330" s="448">
        <f t="shared" si="28"/>
        <v>18</v>
      </c>
      <c r="F330" s="448" t="str">
        <f t="shared" si="29"/>
        <v>pm</v>
      </c>
      <c r="G330" s="448" t="s">
        <v>902</v>
      </c>
      <c r="H330" s="448" t="s">
        <v>668</v>
      </c>
      <c r="I330" s="448" t="s">
        <v>903</v>
      </c>
      <c r="J330" s="449" t="s">
        <v>21</v>
      </c>
      <c r="K330" s="450">
        <f t="shared" si="30"/>
        <v>2759.7102299850212</v>
      </c>
      <c r="L330" s="448"/>
      <c r="M330" s="450">
        <v>3000</v>
      </c>
      <c r="O330" s="450">
        <v>2827.8864358589581</v>
      </c>
      <c r="U330" s="450">
        <v>2759.7102299850212</v>
      </c>
      <c r="AH330"/>
      <c r="AI330"/>
    </row>
    <row r="331" spans="1:35" s="450" customFormat="1" x14ac:dyDescent="0.25">
      <c r="A331" s="448">
        <v>5</v>
      </c>
      <c r="B331" s="448"/>
      <c r="C331" s="448">
        <f t="shared" si="26"/>
        <v>18</v>
      </c>
      <c r="D331" s="448">
        <f t="shared" si="27"/>
        <v>18</v>
      </c>
      <c r="E331" s="448">
        <f t="shared" si="28"/>
        <v>18</v>
      </c>
      <c r="F331" s="448" t="str">
        <f t="shared" si="29"/>
        <v>pm</v>
      </c>
      <c r="G331" s="448" t="s">
        <v>904</v>
      </c>
      <c r="H331" s="448" t="s">
        <v>338</v>
      </c>
      <c r="I331" s="448" t="s">
        <v>905</v>
      </c>
      <c r="J331" s="449" t="s">
        <v>21</v>
      </c>
      <c r="K331" s="450">
        <f t="shared" si="30"/>
        <v>2838.5876453388701</v>
      </c>
      <c r="L331" s="448"/>
      <c r="M331" s="450">
        <v>2920</v>
      </c>
      <c r="T331" s="450">
        <v>2856.7353094689088</v>
      </c>
      <c r="U331" s="450">
        <v>2838.5876453388701</v>
      </c>
      <c r="AH331"/>
      <c r="AI331"/>
    </row>
    <row r="332" spans="1:35" s="450" customFormat="1" x14ac:dyDescent="0.25">
      <c r="A332" s="448">
        <v>3</v>
      </c>
      <c r="B332" s="448"/>
      <c r="C332" s="448">
        <f t="shared" si="26"/>
        <v>19</v>
      </c>
      <c r="D332" s="448">
        <f t="shared" si="27"/>
        <v>19</v>
      </c>
      <c r="E332" s="448">
        <f t="shared" si="28"/>
        <v>18</v>
      </c>
      <c r="F332" s="448" t="str">
        <f t="shared" si="29"/>
        <v>pm</v>
      </c>
      <c r="G332" s="448" t="s">
        <v>906</v>
      </c>
      <c r="H332" s="448" t="s">
        <v>485</v>
      </c>
      <c r="I332" s="448" t="s">
        <v>907</v>
      </c>
      <c r="J332" s="449" t="s">
        <v>21</v>
      </c>
      <c r="K332" s="450">
        <f t="shared" si="30"/>
        <v>2909.4290210334657</v>
      </c>
      <c r="L332" s="448"/>
      <c r="M332" s="450">
        <v>2866.6666666666665</v>
      </c>
      <c r="Q332" s="450">
        <v>2901.9683293212579</v>
      </c>
      <c r="R332" s="450">
        <v>2909.4290210334657</v>
      </c>
      <c r="AH332"/>
      <c r="AI332"/>
    </row>
    <row r="333" spans="1:35" s="450" customFormat="1" x14ac:dyDescent="0.25">
      <c r="A333" s="448">
        <v>2</v>
      </c>
      <c r="B333" s="448"/>
      <c r="C333" s="448">
        <f t="shared" si="26"/>
        <v>20</v>
      </c>
      <c r="D333" s="448">
        <f t="shared" si="27"/>
        <v>20</v>
      </c>
      <c r="E333" s="448">
        <f t="shared" si="28"/>
        <v>18</v>
      </c>
      <c r="F333" s="448" t="str">
        <f t="shared" si="29"/>
        <v>pm</v>
      </c>
      <c r="G333" s="448" t="s">
        <v>908</v>
      </c>
      <c r="H333" s="448" t="s">
        <v>558</v>
      </c>
      <c r="I333" s="448" t="s">
        <v>909</v>
      </c>
      <c r="J333" s="449" t="s">
        <v>21</v>
      </c>
      <c r="K333" s="450">
        <f t="shared" si="30"/>
        <v>2649.1130153756208</v>
      </c>
      <c r="L333" s="448"/>
      <c r="M333" s="450">
        <v>2800</v>
      </c>
      <c r="V333" s="450">
        <v>2649.1130153756208</v>
      </c>
      <c r="AH333"/>
      <c r="AI333"/>
    </row>
    <row r="334" spans="1:35" s="450" customFormat="1" x14ac:dyDescent="0.25">
      <c r="A334" s="448"/>
      <c r="B334" s="448"/>
      <c r="C334" s="448">
        <f t="shared" si="26"/>
        <v>21</v>
      </c>
      <c r="D334" s="448">
        <f t="shared" si="27"/>
        <v>21</v>
      </c>
      <c r="E334" s="448">
        <f t="shared" si="28"/>
        <v>18</v>
      </c>
      <c r="F334" s="448" t="str">
        <f t="shared" si="29"/>
        <v>odx</v>
      </c>
      <c r="G334" s="448" t="s">
        <v>910</v>
      </c>
      <c r="H334" s="448"/>
      <c r="I334" s="448" t="s">
        <v>911</v>
      </c>
      <c r="J334" s="449" t="s">
        <v>20</v>
      </c>
      <c r="K334" s="450">
        <f t="shared" si="30"/>
        <v>2602.9185670807669</v>
      </c>
      <c r="L334" s="448"/>
      <c r="M334" s="450">
        <v>2600</v>
      </c>
      <c r="O334" s="451"/>
      <c r="P334" s="451">
        <v>2602.9185670807669</v>
      </c>
      <c r="Q334" s="451"/>
      <c r="R334" s="451"/>
      <c r="S334" s="451"/>
      <c r="T334" s="451"/>
      <c r="U334" s="451"/>
      <c r="V334" s="451"/>
      <c r="W334" s="451"/>
      <c r="X334" s="451"/>
      <c r="Y334" s="451"/>
      <c r="Z334" s="451"/>
      <c r="AA334" s="451"/>
      <c r="AB334" s="451"/>
      <c r="AC334" s="451"/>
      <c r="AH334"/>
      <c r="AI334"/>
    </row>
    <row r="335" spans="1:35" s="450" customFormat="1" x14ac:dyDescent="0.25">
      <c r="A335" s="448">
        <v>6</v>
      </c>
      <c r="B335" s="448"/>
      <c r="C335" s="448">
        <f t="shared" si="26"/>
        <v>22</v>
      </c>
      <c r="D335" s="448">
        <f t="shared" si="27"/>
        <v>21</v>
      </c>
      <c r="E335" s="448">
        <f t="shared" si="28"/>
        <v>18</v>
      </c>
      <c r="F335" s="448" t="str">
        <f t="shared" si="29"/>
        <v>pm</v>
      </c>
      <c r="G335" s="448" t="s">
        <v>912</v>
      </c>
      <c r="H335" s="448" t="s">
        <v>778</v>
      </c>
      <c r="I335" s="448" t="s">
        <v>913</v>
      </c>
      <c r="J335" s="449" t="s">
        <v>20</v>
      </c>
      <c r="K335" s="450">
        <f t="shared" si="30"/>
        <v>2510.0902423646144</v>
      </c>
      <c r="L335" s="448"/>
      <c r="M335" s="450">
        <v>2600</v>
      </c>
      <c r="O335" s="451"/>
      <c r="P335" s="451">
        <v>2574.5250405208717</v>
      </c>
      <c r="Q335" s="451"/>
      <c r="R335" s="451">
        <v>2596.2496974466353</v>
      </c>
      <c r="S335" s="451"/>
      <c r="T335" s="451">
        <v>2553.4369337621843</v>
      </c>
      <c r="U335" s="451"/>
      <c r="V335" s="451">
        <v>2510.0902423646144</v>
      </c>
      <c r="W335" s="451"/>
      <c r="X335" s="451"/>
      <c r="Y335" s="451"/>
      <c r="Z335" s="451"/>
      <c r="AA335" s="451"/>
      <c r="AB335" s="451"/>
      <c r="AC335" s="451"/>
      <c r="AD335" s="451"/>
      <c r="AE335" s="451"/>
      <c r="AF335" s="451"/>
      <c r="AG335" s="451"/>
      <c r="AH335"/>
      <c r="AI335"/>
    </row>
    <row r="336" spans="1:35" s="450" customFormat="1" x14ac:dyDescent="0.25">
      <c r="A336" s="448">
        <v>5</v>
      </c>
      <c r="B336" s="448"/>
      <c r="C336" s="448">
        <f t="shared" si="26"/>
        <v>23</v>
      </c>
      <c r="D336" s="448">
        <f t="shared" si="27"/>
        <v>21</v>
      </c>
      <c r="E336" s="448">
        <f t="shared" si="28"/>
        <v>18</v>
      </c>
      <c r="F336" s="448" t="str">
        <f t="shared" si="29"/>
        <v>pm</v>
      </c>
      <c r="G336" s="448" t="s">
        <v>914</v>
      </c>
      <c r="H336" s="448" t="s">
        <v>688</v>
      </c>
      <c r="I336" s="448" t="s">
        <v>915</v>
      </c>
      <c r="J336" s="449" t="s">
        <v>20</v>
      </c>
      <c r="K336" s="450">
        <f t="shared" si="30"/>
        <v>2502.6511262464896</v>
      </c>
      <c r="L336" s="448"/>
      <c r="M336" s="450">
        <v>2600</v>
      </c>
      <c r="O336" s="451"/>
      <c r="P336" s="451">
        <v>2557.8851549220831</v>
      </c>
      <c r="Q336" s="451"/>
      <c r="R336" s="451">
        <v>2473.7158443350222</v>
      </c>
      <c r="S336" s="451"/>
      <c r="T336" s="451"/>
      <c r="U336" s="451"/>
      <c r="V336" s="451">
        <v>2502.6511262464896</v>
      </c>
      <c r="W336" s="451"/>
      <c r="X336" s="451"/>
      <c r="Y336" s="451"/>
      <c r="Z336" s="451"/>
      <c r="AA336" s="451"/>
      <c r="AB336" s="451"/>
      <c r="AC336" s="451"/>
      <c r="AD336" s="451"/>
      <c r="AE336" s="451"/>
      <c r="AF336" s="451"/>
      <c r="AG336" s="451"/>
      <c r="AH336"/>
      <c r="AI336"/>
    </row>
    <row r="337" spans="1:35" s="450" customFormat="1" x14ac:dyDescent="0.25">
      <c r="A337" s="448">
        <v>6</v>
      </c>
      <c r="B337" s="448"/>
      <c r="C337" s="448">
        <f t="shared" si="26"/>
        <v>24</v>
      </c>
      <c r="D337" s="448">
        <f t="shared" si="27"/>
        <v>21</v>
      </c>
      <c r="E337" s="448">
        <f t="shared" si="28"/>
        <v>18</v>
      </c>
      <c r="F337" s="448" t="str">
        <f t="shared" si="29"/>
        <v>pm</v>
      </c>
      <c r="G337" s="448" t="s">
        <v>916</v>
      </c>
      <c r="H337" s="448" t="s">
        <v>568</v>
      </c>
      <c r="I337" s="448" t="s">
        <v>917</v>
      </c>
      <c r="J337" s="449" t="s">
        <v>20</v>
      </c>
      <c r="K337" s="450">
        <f t="shared" si="30"/>
        <v>2494.1927566892282</v>
      </c>
      <c r="L337" s="448"/>
      <c r="M337" s="450">
        <v>2600</v>
      </c>
      <c r="P337" s="450">
        <v>2514.7294899987492</v>
      </c>
      <c r="R337" s="450">
        <v>2509.4195548725629</v>
      </c>
      <c r="T337" s="450">
        <v>2433.6821061109645</v>
      </c>
      <c r="V337" s="450">
        <v>2494.1927566892282</v>
      </c>
      <c r="AH337"/>
      <c r="AI337"/>
    </row>
    <row r="338" spans="1:35" s="450" customFormat="1" x14ac:dyDescent="0.25">
      <c r="A338" s="448"/>
      <c r="B338" s="448"/>
      <c r="C338" s="448">
        <f t="shared" si="26"/>
        <v>25</v>
      </c>
      <c r="D338" s="448">
        <f t="shared" si="27"/>
        <v>21</v>
      </c>
      <c r="E338" s="448">
        <f t="shared" si="28"/>
        <v>18</v>
      </c>
      <c r="F338" s="448" t="str">
        <f t="shared" si="29"/>
        <v>crx</v>
      </c>
      <c r="G338" s="448" t="s">
        <v>918</v>
      </c>
      <c r="H338" s="448"/>
      <c r="I338" s="448" t="s">
        <v>919</v>
      </c>
      <c r="J338" s="449" t="s">
        <v>20</v>
      </c>
      <c r="K338" s="450">
        <f t="shared" si="30"/>
        <v>2397.6848222901099</v>
      </c>
      <c r="L338" s="448"/>
      <c r="M338" s="450">
        <v>2600</v>
      </c>
      <c r="O338" s="451"/>
      <c r="P338" s="451">
        <v>2475.4152379667557</v>
      </c>
      <c r="Q338" s="451"/>
      <c r="R338" s="451">
        <v>2472.4288388686223</v>
      </c>
      <c r="S338" s="451">
        <v>2400.0726824600274</v>
      </c>
      <c r="T338" s="451"/>
      <c r="U338" s="451"/>
      <c r="V338" s="451">
        <v>2397.6848222901099</v>
      </c>
      <c r="W338" s="451"/>
      <c r="X338" s="451"/>
      <c r="Y338" s="451"/>
      <c r="Z338" s="451"/>
      <c r="AA338" s="451"/>
      <c r="AB338" s="451"/>
      <c r="AC338" s="451"/>
      <c r="AH338"/>
      <c r="AI338"/>
    </row>
    <row r="339" spans="1:35" s="450" customFormat="1" x14ac:dyDescent="0.25">
      <c r="A339" s="448">
        <v>4</v>
      </c>
      <c r="B339" s="448"/>
      <c r="C339" s="448">
        <f t="shared" si="26"/>
        <v>26</v>
      </c>
      <c r="D339" s="448">
        <f t="shared" si="27"/>
        <v>21</v>
      </c>
      <c r="E339" s="448">
        <f t="shared" si="28"/>
        <v>18</v>
      </c>
      <c r="F339" s="448" t="str">
        <f t="shared" si="29"/>
        <v>pm</v>
      </c>
      <c r="G339" s="448" t="s">
        <v>920</v>
      </c>
      <c r="H339" s="448" t="s">
        <v>711</v>
      </c>
      <c r="I339" s="448" t="s">
        <v>921</v>
      </c>
      <c r="J339" s="449" t="s">
        <v>20</v>
      </c>
      <c r="K339" s="450">
        <f t="shared" si="30"/>
        <v>2515.6645455633688</v>
      </c>
      <c r="L339" s="448"/>
      <c r="M339" s="450">
        <v>2600</v>
      </c>
      <c r="P339" s="450">
        <v>2553.2237594256922</v>
      </c>
      <c r="V339" s="450">
        <v>2515.6645455633688</v>
      </c>
      <c r="AH339"/>
      <c r="AI339"/>
    </row>
    <row r="340" spans="1:35" s="450" customFormat="1" x14ac:dyDescent="0.25">
      <c r="A340" s="448">
        <v>5</v>
      </c>
      <c r="B340" s="448"/>
      <c r="C340" s="448">
        <f t="shared" si="26"/>
        <v>27</v>
      </c>
      <c r="D340" s="448">
        <f t="shared" si="27"/>
        <v>21</v>
      </c>
      <c r="E340" s="448">
        <f t="shared" si="28"/>
        <v>18</v>
      </c>
      <c r="F340" s="448" t="str">
        <f t="shared" si="29"/>
        <v>pm</v>
      </c>
      <c r="G340" s="448" t="s">
        <v>922</v>
      </c>
      <c r="H340" s="448" t="s">
        <v>504</v>
      </c>
      <c r="I340" s="448" t="s">
        <v>923</v>
      </c>
      <c r="J340" s="449" t="s">
        <v>20</v>
      </c>
      <c r="K340" s="450">
        <f t="shared" si="30"/>
        <v>2546.411939483321</v>
      </c>
      <c r="L340" s="448"/>
      <c r="M340" s="450">
        <v>2600</v>
      </c>
      <c r="R340" s="450">
        <v>2578.5617945802783</v>
      </c>
      <c r="T340" s="450">
        <v>2524.5863454487444</v>
      </c>
      <c r="V340" s="450">
        <v>2546.411939483321</v>
      </c>
      <c r="AH340"/>
      <c r="AI340"/>
    </row>
    <row r="342" spans="1:35" s="450" customFormat="1" x14ac:dyDescent="0.25">
      <c r="A342" s="448"/>
      <c r="B342" s="448"/>
      <c r="C342" s="448">
        <f t="shared" ref="C342:C354" si="31">IF(E342=E341,C341+1,1)</f>
        <v>1</v>
      </c>
      <c r="D342" s="448">
        <f t="shared" ref="D342:D354" si="32">IF(M342=M341,D341,C342)</f>
        <v>1</v>
      </c>
      <c r="E342" s="448">
        <f t="shared" ref="E342:E354" si="33">10+VALUE(RIGHT(LEFT(G342,3),1))</f>
        <v>12</v>
      </c>
      <c r="F342" s="448" t="str">
        <f t="shared" ref="F342:F354" si="34">RIGHT(G342,2) &amp; IF(A342&lt;2,"x","")</f>
        <v>crx</v>
      </c>
      <c r="G342" s="448" t="s">
        <v>924</v>
      </c>
      <c r="H342" s="448"/>
      <c r="I342" s="448" t="s">
        <v>925</v>
      </c>
      <c r="J342" s="449" t="s">
        <v>20</v>
      </c>
      <c r="K342" s="450">
        <f t="shared" ref="K342:K354" si="35">LOOKUP(1E+100,M342:AC342)</f>
        <v>1320.4862658830502</v>
      </c>
      <c r="L342" s="448"/>
      <c r="M342" s="450">
        <v>1400</v>
      </c>
      <c r="O342" s="451"/>
      <c r="P342" s="451"/>
      <c r="Q342" s="451"/>
      <c r="R342" s="451">
        <v>1320.4862658830502</v>
      </c>
      <c r="S342" s="451"/>
      <c r="T342" s="451"/>
      <c r="U342" s="451"/>
      <c r="V342" s="451"/>
      <c r="W342" s="451"/>
      <c r="X342" s="451"/>
      <c r="Y342" s="451"/>
      <c r="Z342" s="451"/>
      <c r="AA342" s="451"/>
      <c r="AB342" s="451"/>
      <c r="AC342" s="451"/>
      <c r="AH342"/>
      <c r="AI342"/>
    </row>
    <row r="343" spans="1:35" s="450" customFormat="1" x14ac:dyDescent="0.25">
      <c r="A343" s="448"/>
      <c r="B343" s="448"/>
      <c r="C343" s="448">
        <f t="shared" si="31"/>
        <v>2</v>
      </c>
      <c r="D343" s="448">
        <f t="shared" si="32"/>
        <v>1</v>
      </c>
      <c r="E343" s="448">
        <f t="shared" si="33"/>
        <v>12</v>
      </c>
      <c r="F343" s="448" t="str">
        <f t="shared" si="34"/>
        <v>crx</v>
      </c>
      <c r="G343" s="448" t="s">
        <v>926</v>
      </c>
      <c r="H343" s="448"/>
      <c r="I343" s="448" t="s">
        <v>927</v>
      </c>
      <c r="J343" s="449" t="s">
        <v>20</v>
      </c>
      <c r="K343" s="450">
        <f t="shared" si="35"/>
        <v>1391.8137915140383</v>
      </c>
      <c r="L343" s="448"/>
      <c r="M343" s="450">
        <v>1400</v>
      </c>
      <c r="O343" s="451"/>
      <c r="P343" s="451"/>
      <c r="Q343" s="451"/>
      <c r="R343" s="451">
        <v>1391.8137915140383</v>
      </c>
      <c r="S343" s="451"/>
      <c r="T343" s="451"/>
      <c r="U343" s="451"/>
      <c r="V343" s="451"/>
      <c r="W343" s="451"/>
      <c r="X343" s="451"/>
      <c r="Y343" s="451"/>
      <c r="Z343" s="451"/>
      <c r="AA343" s="451"/>
      <c r="AB343" s="451"/>
      <c r="AC343" s="451"/>
      <c r="AH343"/>
      <c r="AI343"/>
    </row>
    <row r="344" spans="1:35" s="450" customFormat="1" x14ac:dyDescent="0.25">
      <c r="A344" s="448"/>
      <c r="B344" s="448"/>
      <c r="C344" s="448">
        <f t="shared" si="31"/>
        <v>1</v>
      </c>
      <c r="D344" s="448">
        <f t="shared" si="32"/>
        <v>1</v>
      </c>
      <c r="E344" s="448">
        <f t="shared" si="33"/>
        <v>13</v>
      </c>
      <c r="F344" s="448" t="str">
        <f t="shared" si="34"/>
        <v>crx</v>
      </c>
      <c r="G344" s="448" t="s">
        <v>928</v>
      </c>
      <c r="H344" s="448"/>
      <c r="I344" s="448" t="s">
        <v>929</v>
      </c>
      <c r="J344" s="449" t="s">
        <v>20</v>
      </c>
      <c r="K344" s="450">
        <f t="shared" si="35"/>
        <v>1581.7793548939239</v>
      </c>
      <c r="L344" s="448"/>
      <c r="M344" s="450">
        <v>1600</v>
      </c>
      <c r="O344" s="451"/>
      <c r="P344" s="451"/>
      <c r="Q344" s="451"/>
      <c r="R344" s="451">
        <v>1581.7793548939239</v>
      </c>
      <c r="S344" s="451"/>
      <c r="T344" s="451"/>
      <c r="U344" s="451"/>
      <c r="V344" s="451"/>
      <c r="W344" s="451"/>
      <c r="X344" s="451"/>
      <c r="Y344" s="451"/>
      <c r="Z344" s="451"/>
      <c r="AA344" s="451"/>
      <c r="AB344" s="451"/>
      <c r="AC344" s="451"/>
      <c r="AH344"/>
      <c r="AI344"/>
    </row>
    <row r="345" spans="1:35" s="450" customFormat="1" x14ac:dyDescent="0.25">
      <c r="A345" s="448"/>
      <c r="B345" s="448"/>
      <c r="C345" s="448">
        <f t="shared" si="31"/>
        <v>2</v>
      </c>
      <c r="D345" s="448">
        <f t="shared" si="32"/>
        <v>1</v>
      </c>
      <c r="E345" s="448">
        <f t="shared" si="33"/>
        <v>13</v>
      </c>
      <c r="F345" s="448" t="str">
        <f t="shared" si="34"/>
        <v>crx</v>
      </c>
      <c r="G345" s="448" t="s">
        <v>930</v>
      </c>
      <c r="H345" s="448"/>
      <c r="I345" s="448" t="s">
        <v>931</v>
      </c>
      <c r="J345" s="449" t="s">
        <v>20</v>
      </c>
      <c r="K345" s="450">
        <f t="shared" si="35"/>
        <v>1538.2512759206038</v>
      </c>
      <c r="L345" s="448"/>
      <c r="M345" s="450">
        <v>1600</v>
      </c>
      <c r="O345" s="451"/>
      <c r="P345" s="451"/>
      <c r="Q345" s="451"/>
      <c r="R345" s="451">
        <v>1538.2512759206038</v>
      </c>
      <c r="S345" s="451"/>
      <c r="T345" s="451"/>
      <c r="U345" s="451"/>
      <c r="V345" s="451"/>
      <c r="W345" s="451"/>
      <c r="X345" s="451"/>
      <c r="Y345" s="451"/>
      <c r="Z345" s="451"/>
      <c r="AA345" s="451"/>
      <c r="AB345" s="451"/>
      <c r="AC345" s="451"/>
      <c r="AH345"/>
      <c r="AI345"/>
    </row>
    <row r="346" spans="1:35" s="450" customFormat="1" x14ac:dyDescent="0.25">
      <c r="A346" s="448"/>
      <c r="B346" s="448"/>
      <c r="C346" s="448">
        <f t="shared" si="31"/>
        <v>3</v>
      </c>
      <c r="D346" s="448">
        <f t="shared" si="32"/>
        <v>1</v>
      </c>
      <c r="E346" s="448">
        <f t="shared" si="33"/>
        <v>13</v>
      </c>
      <c r="F346" s="448" t="str">
        <f t="shared" si="34"/>
        <v>sox</v>
      </c>
      <c r="G346" s="448" t="s">
        <v>932</v>
      </c>
      <c r="H346" s="448"/>
      <c r="I346" s="448" t="s">
        <v>933</v>
      </c>
      <c r="J346" s="449" t="s">
        <v>20</v>
      </c>
      <c r="K346" s="450">
        <f t="shared" si="35"/>
        <v>1588.274267499768</v>
      </c>
      <c r="L346" s="448"/>
      <c r="M346" s="450">
        <v>1600</v>
      </c>
      <c r="O346" s="451"/>
      <c r="P346" s="451"/>
      <c r="Q346" s="451"/>
      <c r="R346" s="451">
        <v>1588.274267499768</v>
      </c>
      <c r="S346" s="451"/>
      <c r="T346" s="451"/>
      <c r="U346" s="451"/>
      <c r="V346" s="451"/>
      <c r="W346" s="451"/>
      <c r="X346" s="451"/>
      <c r="Y346" s="451"/>
      <c r="Z346" s="451"/>
      <c r="AA346" s="451"/>
      <c r="AB346" s="451"/>
      <c r="AC346" s="451"/>
      <c r="AH346"/>
      <c r="AI346"/>
    </row>
    <row r="347" spans="1:35" s="450" customFormat="1" x14ac:dyDescent="0.25">
      <c r="A347" s="448"/>
      <c r="B347" s="448"/>
      <c r="C347" s="448">
        <f t="shared" si="31"/>
        <v>4</v>
      </c>
      <c r="D347" s="448">
        <f t="shared" si="32"/>
        <v>1</v>
      </c>
      <c r="E347" s="448">
        <f t="shared" si="33"/>
        <v>13</v>
      </c>
      <c r="F347" s="448" t="str">
        <f t="shared" si="34"/>
        <v>crx</v>
      </c>
      <c r="G347" s="448" t="s">
        <v>934</v>
      </c>
      <c r="H347" s="448"/>
      <c r="I347" s="448" t="s">
        <v>935</v>
      </c>
      <c r="J347" s="449" t="s">
        <v>20</v>
      </c>
      <c r="K347" s="450">
        <f t="shared" si="35"/>
        <v>1691.8845030087787</v>
      </c>
      <c r="L347" s="448"/>
      <c r="M347" s="450">
        <v>1600</v>
      </c>
      <c r="O347" s="451"/>
      <c r="P347" s="451"/>
      <c r="Q347" s="451"/>
      <c r="R347" s="451">
        <v>1691.8845030087787</v>
      </c>
      <c r="S347" s="451"/>
      <c r="T347" s="451"/>
      <c r="U347" s="451"/>
      <c r="V347" s="451"/>
      <c r="W347" s="451"/>
      <c r="X347" s="451"/>
      <c r="Y347" s="451"/>
      <c r="Z347" s="451"/>
      <c r="AA347" s="451"/>
      <c r="AB347" s="451"/>
      <c r="AC347" s="451"/>
      <c r="AH347"/>
      <c r="AI347"/>
    </row>
    <row r="348" spans="1:35" s="450" customFormat="1" x14ac:dyDescent="0.25">
      <c r="A348" s="448"/>
      <c r="B348" s="448"/>
      <c r="C348" s="448">
        <f t="shared" si="31"/>
        <v>5</v>
      </c>
      <c r="D348" s="448">
        <f t="shared" si="32"/>
        <v>1</v>
      </c>
      <c r="E348" s="448">
        <f t="shared" si="33"/>
        <v>13</v>
      </c>
      <c r="F348" s="448" t="str">
        <f t="shared" si="34"/>
        <v>crx</v>
      </c>
      <c r="G348" s="448" t="s">
        <v>936</v>
      </c>
      <c r="H348" s="448"/>
      <c r="I348" s="448" t="s">
        <v>937</v>
      </c>
      <c r="J348" s="449" t="s">
        <v>20</v>
      </c>
      <c r="K348" s="450">
        <f t="shared" si="35"/>
        <v>1677.7593858620078</v>
      </c>
      <c r="L348" s="448"/>
      <c r="M348" s="450">
        <v>1600</v>
      </c>
      <c r="O348" s="451"/>
      <c r="P348" s="451"/>
      <c r="Q348" s="451"/>
      <c r="R348" s="451">
        <v>1677.7593858620078</v>
      </c>
      <c r="S348" s="451"/>
      <c r="T348" s="451"/>
      <c r="U348" s="451"/>
      <c r="V348" s="451"/>
      <c r="W348" s="451"/>
      <c r="X348" s="451"/>
      <c r="Y348" s="451"/>
      <c r="Z348" s="451"/>
      <c r="AA348" s="451"/>
      <c r="AB348" s="451"/>
      <c r="AC348" s="451"/>
      <c r="AH348"/>
      <c r="AI348"/>
    </row>
    <row r="349" spans="1:35" s="450" customFormat="1" x14ac:dyDescent="0.25">
      <c r="A349" s="448"/>
      <c r="B349" s="448"/>
      <c r="C349" s="448">
        <f t="shared" si="31"/>
        <v>6</v>
      </c>
      <c r="D349" s="448">
        <f t="shared" si="32"/>
        <v>1</v>
      </c>
      <c r="E349" s="448">
        <f t="shared" si="33"/>
        <v>13</v>
      </c>
      <c r="F349" s="448" t="str">
        <f t="shared" si="34"/>
        <v>crx</v>
      </c>
      <c r="G349" s="448" t="s">
        <v>938</v>
      </c>
      <c r="H349" s="448"/>
      <c r="I349" s="448" t="s">
        <v>939</v>
      </c>
      <c r="J349" s="449" t="s">
        <v>20</v>
      </c>
      <c r="K349" s="450">
        <f t="shared" si="35"/>
        <v>1502.6816418788346</v>
      </c>
      <c r="L349" s="448"/>
      <c r="M349" s="450">
        <v>1600</v>
      </c>
      <c r="O349" s="451"/>
      <c r="P349" s="451"/>
      <c r="Q349" s="451"/>
      <c r="R349" s="451">
        <v>1502.6816418788346</v>
      </c>
      <c r="S349" s="451"/>
      <c r="T349" s="451"/>
      <c r="U349" s="451"/>
      <c r="V349" s="451"/>
      <c r="W349" s="451"/>
      <c r="X349" s="451"/>
      <c r="Y349" s="451"/>
      <c r="Z349" s="451"/>
      <c r="AA349" s="451"/>
      <c r="AB349" s="451"/>
      <c r="AC349" s="451"/>
      <c r="AH349"/>
      <c r="AI349"/>
    </row>
    <row r="350" spans="1:35" s="450" customFormat="1" x14ac:dyDescent="0.25">
      <c r="A350" s="448"/>
      <c r="B350" s="448"/>
      <c r="C350" s="448">
        <f t="shared" si="31"/>
        <v>7</v>
      </c>
      <c r="D350" s="448">
        <f t="shared" si="32"/>
        <v>1</v>
      </c>
      <c r="E350" s="448">
        <f t="shared" si="33"/>
        <v>13</v>
      </c>
      <c r="F350" s="448" t="str">
        <f t="shared" si="34"/>
        <v>crx</v>
      </c>
      <c r="G350" s="448" t="s">
        <v>940</v>
      </c>
      <c r="H350" s="448"/>
      <c r="I350" s="448" t="s">
        <v>941</v>
      </c>
      <c r="J350" s="449" t="s">
        <v>20</v>
      </c>
      <c r="K350" s="450">
        <f t="shared" si="35"/>
        <v>1601.009624497224</v>
      </c>
      <c r="L350" s="448"/>
      <c r="M350" s="450">
        <v>1600</v>
      </c>
      <c r="O350" s="451"/>
      <c r="P350" s="451"/>
      <c r="Q350" s="451"/>
      <c r="R350" s="451">
        <v>1601.009624497224</v>
      </c>
      <c r="S350" s="451"/>
      <c r="T350" s="451"/>
      <c r="U350" s="451"/>
      <c r="V350" s="451"/>
      <c r="W350" s="451"/>
      <c r="X350" s="451"/>
      <c r="Y350" s="451"/>
      <c r="Z350" s="451"/>
      <c r="AA350" s="451"/>
      <c r="AB350" s="451"/>
      <c r="AC350" s="451"/>
      <c r="AH350"/>
      <c r="AI350"/>
    </row>
    <row r="351" spans="1:35" s="450" customFormat="1" x14ac:dyDescent="0.25">
      <c r="A351" s="448"/>
      <c r="B351" s="448"/>
      <c r="C351" s="448">
        <f t="shared" si="31"/>
        <v>8</v>
      </c>
      <c r="D351" s="448">
        <f t="shared" si="32"/>
        <v>1</v>
      </c>
      <c r="E351" s="448">
        <f t="shared" si="33"/>
        <v>13</v>
      </c>
      <c r="F351" s="448" t="str">
        <f t="shared" si="34"/>
        <v>sox</v>
      </c>
      <c r="G351" s="448" t="s">
        <v>942</v>
      </c>
      <c r="H351" s="448"/>
      <c r="I351" s="448" t="s">
        <v>943</v>
      </c>
      <c r="J351" s="449" t="s">
        <v>20</v>
      </c>
      <c r="K351" s="450">
        <f t="shared" si="35"/>
        <v>1600</v>
      </c>
      <c r="L351" s="448"/>
      <c r="M351" s="450">
        <v>1600</v>
      </c>
      <c r="O351" s="451"/>
      <c r="P351" s="451"/>
      <c r="Q351" s="451"/>
      <c r="R351" s="451"/>
      <c r="S351" s="451"/>
      <c r="T351" s="451"/>
      <c r="U351" s="451"/>
      <c r="V351" s="451"/>
      <c r="W351" s="451"/>
      <c r="X351" s="451"/>
      <c r="Y351" s="451"/>
      <c r="Z351" s="451"/>
      <c r="AA351" s="451"/>
      <c r="AB351" s="451"/>
      <c r="AC351" s="451"/>
      <c r="AH351"/>
      <c r="AI351"/>
    </row>
    <row r="352" spans="1:35" s="450" customFormat="1" x14ac:dyDescent="0.25">
      <c r="A352" s="448"/>
      <c r="B352" s="448"/>
      <c r="C352" s="448">
        <f t="shared" si="31"/>
        <v>1</v>
      </c>
      <c r="D352" s="448">
        <f t="shared" si="32"/>
        <v>1</v>
      </c>
      <c r="E352" s="448">
        <f t="shared" si="33"/>
        <v>14</v>
      </c>
      <c r="F352" s="448" t="str">
        <f t="shared" si="34"/>
        <v>crx</v>
      </c>
      <c r="G352" s="448" t="s">
        <v>944</v>
      </c>
      <c r="H352" s="448"/>
      <c r="I352" s="448" t="s">
        <v>945</v>
      </c>
      <c r="J352" s="449" t="s">
        <v>20</v>
      </c>
      <c r="K352" s="450">
        <f t="shared" si="35"/>
        <v>1875.7442994050036</v>
      </c>
      <c r="L352" s="448"/>
      <c r="M352" s="450">
        <v>1800</v>
      </c>
      <c r="O352" s="451"/>
      <c r="P352" s="451"/>
      <c r="Q352" s="451"/>
      <c r="R352" s="451">
        <v>1875.7442994050036</v>
      </c>
      <c r="S352" s="451"/>
      <c r="T352" s="451"/>
      <c r="U352" s="451"/>
      <c r="V352" s="451"/>
      <c r="W352" s="451"/>
      <c r="X352" s="451"/>
      <c r="Y352" s="451"/>
      <c r="Z352" s="451"/>
      <c r="AA352" s="451"/>
      <c r="AB352" s="451"/>
      <c r="AC352" s="451"/>
      <c r="AH352"/>
      <c r="AI352"/>
    </row>
    <row r="353" spans="1:35" s="450" customFormat="1" x14ac:dyDescent="0.25">
      <c r="A353" s="448"/>
      <c r="B353" s="448"/>
      <c r="C353" s="448">
        <f t="shared" si="31"/>
        <v>2</v>
      </c>
      <c r="D353" s="448">
        <f t="shared" si="32"/>
        <v>1</v>
      </c>
      <c r="E353" s="448">
        <f t="shared" si="33"/>
        <v>14</v>
      </c>
      <c r="F353" s="448" t="str">
        <f t="shared" si="34"/>
        <v>sox</v>
      </c>
      <c r="G353" s="448" t="s">
        <v>946</v>
      </c>
      <c r="H353" s="448"/>
      <c r="I353" s="448" t="s">
        <v>947</v>
      </c>
      <c r="J353" s="449" t="s">
        <v>20</v>
      </c>
      <c r="K353" s="450">
        <f t="shared" si="35"/>
        <v>1798.0859561642374</v>
      </c>
      <c r="L353" s="448"/>
      <c r="M353" s="450">
        <v>1800</v>
      </c>
      <c r="O353" s="451"/>
      <c r="P353" s="451"/>
      <c r="Q353" s="451"/>
      <c r="R353" s="451">
        <v>1798.0859561642374</v>
      </c>
      <c r="S353" s="451"/>
      <c r="T353" s="451"/>
      <c r="U353" s="451"/>
      <c r="V353" s="451"/>
      <c r="W353" s="451"/>
      <c r="X353" s="451"/>
      <c r="Y353" s="451"/>
      <c r="Z353" s="451"/>
      <c r="AA353" s="451"/>
      <c r="AB353" s="451"/>
      <c r="AC353" s="451"/>
      <c r="AH353"/>
      <c r="AI353"/>
    </row>
    <row r="354" spans="1:35" s="450" customFormat="1" x14ac:dyDescent="0.25">
      <c r="A354" s="448"/>
      <c r="B354" s="448"/>
      <c r="C354" s="448">
        <f t="shared" si="31"/>
        <v>3</v>
      </c>
      <c r="D354" s="448">
        <f t="shared" si="32"/>
        <v>3</v>
      </c>
      <c r="E354" s="448">
        <f t="shared" si="33"/>
        <v>14</v>
      </c>
      <c r="F354" s="448" t="str">
        <f t="shared" si="34"/>
        <v>crx</v>
      </c>
      <c r="G354" s="448" t="s">
        <v>948</v>
      </c>
      <c r="H354" s="448"/>
      <c r="I354" s="448" t="s">
        <v>949</v>
      </c>
      <c r="J354" s="449" t="s">
        <v>21</v>
      </c>
      <c r="K354" s="450">
        <f t="shared" si="35"/>
        <v>2288.9906609979612</v>
      </c>
      <c r="L354" s="448"/>
      <c r="M354" s="450">
        <v>2200</v>
      </c>
      <c r="O354" s="451"/>
      <c r="P354" s="451"/>
      <c r="Q354" s="451">
        <v>2288.9906609979612</v>
      </c>
      <c r="R354" s="451"/>
      <c r="S354" s="451"/>
      <c r="T354" s="451"/>
      <c r="U354" s="451"/>
      <c r="V354" s="451"/>
      <c r="W354" s="451"/>
      <c r="X354" s="451"/>
      <c r="Y354" s="451"/>
      <c r="Z354" s="451"/>
      <c r="AA354" s="451"/>
      <c r="AB354" s="451"/>
      <c r="AC354" s="451"/>
      <c r="AH354"/>
      <c r="AI354"/>
    </row>
    <row r="356" spans="1:35" s="450" customFormat="1" x14ac:dyDescent="0.25">
      <c r="A356" s="448"/>
      <c r="B356" s="448"/>
      <c r="C356" s="448">
        <f t="shared" ref="C356:C358" si="36">IF(E356=E355,C355+1,1)</f>
        <v>1</v>
      </c>
      <c r="D356" s="448">
        <f t="shared" ref="D356:D358" si="37">IF(M356=M355,D355,C356)</f>
        <v>1</v>
      </c>
      <c r="E356" s="448">
        <f t="shared" ref="E356:E358" si="38">10+VALUE(RIGHT(LEFT(G356,3),1))</f>
        <v>16</v>
      </c>
      <c r="F356" s="448" t="str">
        <f t="shared" ref="F356:F358" si="39">RIGHT(G356,2) &amp; IF(A356&lt;2,"x","")</f>
        <v>crx</v>
      </c>
      <c r="G356" s="448" t="s">
        <v>950</v>
      </c>
      <c r="H356" s="448"/>
      <c r="I356" s="448" t="s">
        <v>951</v>
      </c>
      <c r="J356" s="449" t="s">
        <v>21</v>
      </c>
      <c r="K356" s="450">
        <f t="shared" ref="K356:K358" si="40">LOOKUP(1E+100,M356:AC356)</f>
        <v>2623.9261077264655</v>
      </c>
      <c r="L356" s="448"/>
      <c r="M356" s="450">
        <v>2600</v>
      </c>
      <c r="O356" s="451"/>
      <c r="P356" s="451"/>
      <c r="Q356" s="451"/>
      <c r="R356" s="451">
        <v>2622.8602349278954</v>
      </c>
      <c r="S356" s="451">
        <v>2623.9261077264655</v>
      </c>
      <c r="T356" s="451"/>
      <c r="U356" s="451"/>
      <c r="V356" s="451"/>
      <c r="W356" s="451"/>
      <c r="X356" s="451"/>
      <c r="Y356" s="451"/>
      <c r="Z356" s="451"/>
      <c r="AA356" s="451"/>
      <c r="AB356" s="451"/>
      <c r="AC356" s="451"/>
      <c r="AH356"/>
      <c r="AI356"/>
    </row>
    <row r="357" spans="1:35" s="450" customFormat="1" x14ac:dyDescent="0.25">
      <c r="A357" s="448"/>
      <c r="B357" s="448"/>
      <c r="C357" s="448">
        <f t="shared" si="36"/>
        <v>1</v>
      </c>
      <c r="D357" s="448">
        <f t="shared" si="37"/>
        <v>1</v>
      </c>
      <c r="E357" s="448">
        <f t="shared" si="38"/>
        <v>17</v>
      </c>
      <c r="F357" s="448" t="str">
        <f t="shared" si="39"/>
        <v>sox</v>
      </c>
      <c r="G357" s="448" t="s">
        <v>952</v>
      </c>
      <c r="H357" s="448"/>
      <c r="I357" s="448" t="s">
        <v>953</v>
      </c>
      <c r="J357" s="449" t="s">
        <v>20</v>
      </c>
      <c r="K357" s="450">
        <f t="shared" si="40"/>
        <v>2491.8670047450555</v>
      </c>
      <c r="L357" s="448"/>
      <c r="M357" s="450">
        <v>2400</v>
      </c>
      <c r="O357" s="451"/>
      <c r="P357" s="451"/>
      <c r="Q357" s="451"/>
      <c r="R357" s="451">
        <v>2491.8670047450555</v>
      </c>
      <c r="S357" s="451"/>
      <c r="T357" s="451"/>
      <c r="U357" s="451"/>
      <c r="V357" s="451"/>
      <c r="W357" s="451"/>
      <c r="X357" s="451"/>
      <c r="Y357" s="451"/>
      <c r="Z357" s="451"/>
      <c r="AA357" s="451"/>
      <c r="AB357" s="451"/>
      <c r="AC357" s="451"/>
      <c r="AH357"/>
      <c r="AI357"/>
    </row>
    <row r="358" spans="1:35" s="450" customFormat="1" x14ac:dyDescent="0.25">
      <c r="A358" s="448"/>
      <c r="B358" s="448"/>
      <c r="C358" s="448">
        <f t="shared" si="36"/>
        <v>2</v>
      </c>
      <c r="D358" s="448">
        <f t="shared" si="37"/>
        <v>1</v>
      </c>
      <c r="E358" s="448">
        <f t="shared" si="38"/>
        <v>17</v>
      </c>
      <c r="F358" s="448" t="str">
        <f t="shared" si="39"/>
        <v>crx</v>
      </c>
      <c r="G358" s="448" t="s">
        <v>954</v>
      </c>
      <c r="H358" s="448"/>
      <c r="I358" s="448" t="s">
        <v>955</v>
      </c>
      <c r="J358" s="449" t="s">
        <v>20</v>
      </c>
      <c r="K358" s="450">
        <f t="shared" si="40"/>
        <v>2561.5074576136981</v>
      </c>
      <c r="L358" s="448"/>
      <c r="M358" s="450">
        <v>2400</v>
      </c>
      <c r="O358" s="451"/>
      <c r="P358" s="451"/>
      <c r="Q358" s="451"/>
      <c r="R358" s="451">
        <v>2454.7946956693254</v>
      </c>
      <c r="S358" s="451"/>
      <c r="T358" s="451"/>
      <c r="U358" s="451"/>
      <c r="V358" s="451">
        <v>2561.5074576136981</v>
      </c>
      <c r="W358" s="451"/>
      <c r="X358" s="451"/>
      <c r="Y358" s="451"/>
      <c r="Z358" s="451"/>
      <c r="AA358" s="451"/>
      <c r="AB358" s="451"/>
      <c r="AC358" s="451"/>
      <c r="AH358"/>
      <c r="AI358"/>
    </row>
    <row r="360" spans="1:35" s="450" customFormat="1" x14ac:dyDescent="0.25">
      <c r="A360" s="448"/>
      <c r="B360" s="448"/>
      <c r="C360" s="448">
        <f t="shared" ref="C360:C363" si="41">IF(E360=E359,C359+1,1)</f>
        <v>1</v>
      </c>
      <c r="D360" s="448">
        <f t="shared" ref="D360:D363" si="42">IF(M360=M359,D359,C360)</f>
        <v>1</v>
      </c>
      <c r="E360" s="448">
        <f t="shared" ref="E360:E363" si="43">10+VALUE(RIGHT(LEFT(G360,3),1))</f>
        <v>18</v>
      </c>
      <c r="F360" s="448" t="str">
        <f t="shared" ref="F360:F363" si="44">RIGHT(G360,2) &amp; IF(A360&lt;2,"x","")</f>
        <v>crx</v>
      </c>
      <c r="G360" s="448" t="s">
        <v>956</v>
      </c>
      <c r="H360" s="448"/>
      <c r="I360" s="448" t="s">
        <v>957</v>
      </c>
      <c r="J360" s="449" t="s">
        <v>20</v>
      </c>
      <c r="K360" s="450">
        <f t="shared" ref="K360:K363" si="45">LOOKUP(1E+100,M360:AC360)</f>
        <v>2680.7915657736075</v>
      </c>
      <c r="L360" s="448"/>
      <c r="M360" s="450">
        <v>2600</v>
      </c>
      <c r="O360" s="451"/>
      <c r="P360" s="451"/>
      <c r="Q360" s="451"/>
      <c r="R360" s="451">
        <v>2680.7915657736075</v>
      </c>
      <c r="S360" s="451"/>
      <c r="T360" s="451"/>
      <c r="U360" s="451"/>
      <c r="V360" s="451"/>
      <c r="W360" s="451"/>
      <c r="X360" s="451"/>
      <c r="Y360" s="451"/>
      <c r="Z360" s="451"/>
      <c r="AA360" s="451"/>
      <c r="AB360" s="451"/>
      <c r="AC360" s="451"/>
      <c r="AH360"/>
      <c r="AI360"/>
    </row>
    <row r="361" spans="1:35" s="450" customFormat="1" x14ac:dyDescent="0.25">
      <c r="A361" s="448"/>
      <c r="B361" s="448"/>
      <c r="C361" s="448">
        <f t="shared" si="41"/>
        <v>2</v>
      </c>
      <c r="D361" s="448">
        <f t="shared" si="42"/>
        <v>1</v>
      </c>
      <c r="E361" s="448">
        <f t="shared" si="43"/>
        <v>18</v>
      </c>
      <c r="F361" s="448" t="str">
        <f t="shared" si="44"/>
        <v>crx</v>
      </c>
      <c r="G361" s="448" t="s">
        <v>958</v>
      </c>
      <c r="H361" s="448"/>
      <c r="I361" s="448" t="s">
        <v>959</v>
      </c>
      <c r="J361" s="449" t="s">
        <v>20</v>
      </c>
      <c r="K361" s="450">
        <f t="shared" si="45"/>
        <v>2479.0590832625021</v>
      </c>
      <c r="L361" s="448"/>
      <c r="M361" s="450">
        <v>2600</v>
      </c>
      <c r="O361" s="451"/>
      <c r="P361" s="451"/>
      <c r="Q361" s="451"/>
      <c r="R361" s="451">
        <v>2515.8622226546854</v>
      </c>
      <c r="S361" s="451"/>
      <c r="T361" s="451">
        <v>2479.0590832625021</v>
      </c>
      <c r="U361" s="451"/>
      <c r="V361" s="451"/>
      <c r="W361" s="451"/>
      <c r="X361" s="451"/>
      <c r="Y361" s="451"/>
      <c r="Z361" s="451"/>
      <c r="AA361" s="451"/>
      <c r="AB361" s="451"/>
      <c r="AC361" s="451"/>
      <c r="AH361"/>
      <c r="AI361"/>
    </row>
    <row r="362" spans="1:35" s="450" customFormat="1" x14ac:dyDescent="0.25">
      <c r="A362" s="448"/>
      <c r="B362" s="448"/>
      <c r="C362" s="448">
        <f t="shared" si="41"/>
        <v>1</v>
      </c>
      <c r="D362" s="448">
        <f t="shared" si="42"/>
        <v>1</v>
      </c>
      <c r="E362" s="448">
        <f t="shared" si="43"/>
        <v>17</v>
      </c>
      <c r="F362" s="448" t="str">
        <f t="shared" si="44"/>
        <v>crx</v>
      </c>
      <c r="G362" s="448" t="s">
        <v>960</v>
      </c>
      <c r="H362" s="448"/>
      <c r="I362" s="448" t="s">
        <v>961</v>
      </c>
      <c r="J362" s="449" t="s">
        <v>20</v>
      </c>
      <c r="K362" s="450">
        <f t="shared" si="45"/>
        <v>2799.0192087233559</v>
      </c>
      <c r="L362" s="448"/>
      <c r="M362" s="450">
        <v>2600</v>
      </c>
      <c r="O362" s="451"/>
      <c r="P362" s="451"/>
      <c r="Q362" s="451"/>
      <c r="R362" s="451">
        <v>2687.9979265524926</v>
      </c>
      <c r="S362" s="451"/>
      <c r="T362" s="451"/>
      <c r="U362" s="451"/>
      <c r="V362" s="451">
        <v>2799.0192087233559</v>
      </c>
      <c r="W362" s="451"/>
      <c r="X362" s="451"/>
      <c r="Y362" s="451"/>
      <c r="Z362" s="451"/>
      <c r="AA362" s="451"/>
      <c r="AB362" s="451"/>
      <c r="AC362" s="451"/>
      <c r="AH362"/>
      <c r="AI362"/>
    </row>
    <row r="363" spans="1:35" s="450" customFormat="1" x14ac:dyDescent="0.25">
      <c r="A363" s="448"/>
      <c r="B363" s="448"/>
      <c r="C363" s="448">
        <f t="shared" si="41"/>
        <v>2</v>
      </c>
      <c r="D363" s="448">
        <f t="shared" si="42"/>
        <v>2</v>
      </c>
      <c r="E363" s="448">
        <f t="shared" si="43"/>
        <v>17</v>
      </c>
      <c r="F363" s="448" t="str">
        <f t="shared" si="44"/>
        <v>sox</v>
      </c>
      <c r="G363" s="448" t="s">
        <v>962</v>
      </c>
      <c r="H363" s="448"/>
      <c r="I363" s="448" t="s">
        <v>963</v>
      </c>
      <c r="J363" s="449" t="s">
        <v>20</v>
      </c>
      <c r="K363" s="450">
        <f t="shared" si="45"/>
        <v>2400.0667866123454</v>
      </c>
      <c r="L363" s="448"/>
      <c r="M363" s="450">
        <v>2400</v>
      </c>
      <c r="O363" s="451"/>
      <c r="P363" s="451"/>
      <c r="Q363" s="451"/>
      <c r="R363" s="451">
        <v>2400.0667866123454</v>
      </c>
      <c r="S363" s="451"/>
      <c r="T363" s="451"/>
      <c r="U363" s="451"/>
      <c r="V363" s="451"/>
      <c r="W363" s="451"/>
      <c r="X363" s="451"/>
      <c r="Y363" s="451"/>
      <c r="Z363" s="451"/>
      <c r="AA363" s="451"/>
      <c r="AB363" s="451"/>
      <c r="AC363" s="451"/>
      <c r="AH363"/>
      <c r="AI363"/>
    </row>
    <row r="364" spans="1:35" s="450" customFormat="1" x14ac:dyDescent="0.25">
      <c r="A364" s="448"/>
      <c r="B364" s="448"/>
      <c r="C364" s="448"/>
      <c r="D364" s="448"/>
      <c r="E364" s="448"/>
      <c r="F364" s="448"/>
      <c r="G364" s="448"/>
      <c r="H364" s="448"/>
      <c r="I364" s="448"/>
      <c r="J364" s="449"/>
      <c r="L364" s="448"/>
      <c r="O364" s="451"/>
      <c r="P364" s="451"/>
      <c r="Q364" s="451"/>
      <c r="R364" s="451"/>
      <c r="S364" s="451"/>
      <c r="T364" s="451"/>
      <c r="U364" s="451"/>
      <c r="V364" s="451"/>
      <c r="W364" s="451"/>
      <c r="X364" s="451"/>
      <c r="Y364" s="451"/>
      <c r="Z364" s="451"/>
      <c r="AA364" s="451"/>
      <c r="AB364" s="451"/>
      <c r="AC364" s="451"/>
      <c r="AH364"/>
      <c r="AI364"/>
    </row>
    <row r="365" spans="1:35" s="450" customFormat="1" x14ac:dyDescent="0.25">
      <c r="A365" s="448"/>
      <c r="B365" s="448"/>
      <c r="C365" s="448">
        <f t="shared" ref="C365" si="46">IF(E365=E364,C364+1,1)</f>
        <v>1</v>
      </c>
      <c r="D365" s="448">
        <f t="shared" ref="D365" si="47">IF(M365=M364,D364,C365)</f>
        <v>1</v>
      </c>
      <c r="E365" s="448">
        <f t="shared" ref="E365" si="48">10+VALUE(RIGHT(LEFT(G365,3),1))</f>
        <v>12</v>
      </c>
      <c r="F365" s="448" t="str">
        <f t="shared" ref="F365" si="49">RIGHT(G365,2) &amp; IF(A365&lt;2,"x","")</f>
        <v>crx</v>
      </c>
      <c r="G365" s="448" t="s">
        <v>964</v>
      </c>
      <c r="H365" s="448"/>
      <c r="I365" s="448" t="s">
        <v>965</v>
      </c>
      <c r="J365" s="449" t="s">
        <v>301</v>
      </c>
      <c r="K365" s="450">
        <f t="shared" ref="K365" si="50">LOOKUP(1E+100,M365:AC365)</f>
        <v>1164.7076277056995</v>
      </c>
      <c r="L365" s="448"/>
      <c r="M365" s="450">
        <v>1200</v>
      </c>
      <c r="O365" s="451"/>
      <c r="P365" s="451"/>
      <c r="Q365" s="451"/>
      <c r="R365" s="451">
        <v>1142.0989828300185</v>
      </c>
      <c r="S365" s="451"/>
      <c r="T365" s="451">
        <v>1164.7076277056995</v>
      </c>
      <c r="U365" s="451"/>
      <c r="V365" s="451"/>
      <c r="W365" s="451"/>
      <c r="X365" s="451"/>
      <c r="Y365" s="451"/>
      <c r="Z365" s="451"/>
      <c r="AA365" s="451"/>
      <c r="AB365" s="451"/>
      <c r="AC365" s="451"/>
      <c r="AH365"/>
      <c r="AI365"/>
    </row>
    <row r="366" spans="1:35" s="450" customFormat="1" x14ac:dyDescent="0.25">
      <c r="A366" s="448"/>
      <c r="B366" s="448"/>
      <c r="C366" s="448"/>
      <c r="D366" s="448"/>
      <c r="E366" s="448"/>
      <c r="F366" s="448"/>
      <c r="G366" s="448"/>
      <c r="H366" s="448"/>
      <c r="I366" s="448"/>
      <c r="J366" s="449"/>
      <c r="L366" s="448"/>
      <c r="O366" s="451"/>
      <c r="P366" s="451"/>
      <c r="Q366" s="451"/>
      <c r="R366" s="451"/>
      <c r="S366" s="451"/>
      <c r="T366" s="451"/>
      <c r="U366" s="451"/>
      <c r="V366" s="451"/>
      <c r="W366" s="451"/>
      <c r="X366" s="451"/>
      <c r="Y366" s="451"/>
      <c r="Z366" s="451"/>
      <c r="AA366" s="451"/>
      <c r="AB366" s="451"/>
      <c r="AC366" s="451"/>
      <c r="AH366"/>
      <c r="AI366"/>
    </row>
    <row r="367" spans="1:35" s="450" customFormat="1" x14ac:dyDescent="0.25">
      <c r="A367" s="448"/>
      <c r="B367" s="448"/>
      <c r="C367" s="448">
        <f t="shared" ref="C367" si="51">IF(E367=E366,C366+1,1)</f>
        <v>1</v>
      </c>
      <c r="D367" s="448">
        <f t="shared" ref="D367" si="52">IF(M367=M366,D366,C367)</f>
        <v>1</v>
      </c>
      <c r="E367" s="448">
        <f t="shared" ref="E367" si="53">10+VALUE(RIGHT(LEFT(G367,3),1))</f>
        <v>14</v>
      </c>
      <c r="F367" s="448" t="str">
        <f t="shared" ref="F367" si="54">RIGHT(G367,2) &amp; IF(A367&lt;2,"x","")</f>
        <v>crx</v>
      </c>
      <c r="G367" s="448" t="s">
        <v>966</v>
      </c>
      <c r="H367" s="448"/>
      <c r="I367" s="448" t="s">
        <v>967</v>
      </c>
      <c r="J367" s="449" t="s">
        <v>21</v>
      </c>
      <c r="K367" s="450">
        <f t="shared" ref="K367" si="55">LOOKUP(1E+100,M367:AC367)</f>
        <v>2248.4174188999796</v>
      </c>
      <c r="L367" s="448"/>
      <c r="M367" s="450">
        <v>2200</v>
      </c>
      <c r="O367" s="451"/>
      <c r="P367" s="451"/>
      <c r="Q367" s="451"/>
      <c r="R367" s="451"/>
      <c r="S367" s="451">
        <v>2248.4174188999796</v>
      </c>
      <c r="T367" s="451"/>
      <c r="U367" s="451"/>
      <c r="V367" s="451"/>
      <c r="W367" s="451"/>
      <c r="X367" s="451"/>
      <c r="Y367" s="451"/>
      <c r="Z367" s="451"/>
      <c r="AA367" s="451"/>
      <c r="AB367" s="451"/>
      <c r="AC367" s="451"/>
      <c r="AH367"/>
      <c r="AI367"/>
    </row>
    <row r="368" spans="1:35" s="450" customFormat="1" x14ac:dyDescent="0.25">
      <c r="A368" s="448"/>
      <c r="B368" s="448"/>
      <c r="C368" s="448"/>
      <c r="D368" s="448"/>
      <c r="E368" s="448"/>
      <c r="F368" s="448"/>
      <c r="G368" s="448"/>
      <c r="H368" s="448"/>
      <c r="I368" s="448"/>
      <c r="J368" s="449"/>
      <c r="L368" s="448"/>
      <c r="O368" s="451"/>
      <c r="P368" s="451"/>
      <c r="Q368" s="451"/>
      <c r="R368" s="451"/>
      <c r="S368" s="451"/>
      <c r="T368" s="451"/>
      <c r="U368" s="451"/>
      <c r="V368" s="451"/>
      <c r="W368" s="451"/>
      <c r="X368" s="451"/>
      <c r="Y368" s="451"/>
      <c r="Z368" s="451"/>
      <c r="AA368" s="451"/>
      <c r="AB368" s="451"/>
      <c r="AC368" s="451"/>
      <c r="AH368"/>
      <c r="AI368"/>
    </row>
    <row r="369" spans="1:35" s="450" customFormat="1" x14ac:dyDescent="0.25">
      <c r="A369" s="448"/>
      <c r="B369" s="448"/>
      <c r="C369" s="448"/>
      <c r="D369" s="448"/>
      <c r="E369" s="448"/>
      <c r="F369" s="448"/>
      <c r="G369" s="448"/>
      <c r="H369" s="448"/>
      <c r="I369" s="448"/>
      <c r="J369" s="449"/>
      <c r="L369" s="448"/>
      <c r="O369" s="451"/>
      <c r="P369" s="451"/>
      <c r="Q369" s="451"/>
      <c r="R369" s="451"/>
      <c r="S369" s="451"/>
      <c r="T369" s="451"/>
      <c r="U369" s="451"/>
      <c r="V369" s="451"/>
      <c r="W369" s="451"/>
      <c r="X369" s="451"/>
      <c r="Y369" s="451"/>
      <c r="Z369" s="451"/>
      <c r="AA369" s="451"/>
      <c r="AB369" s="451"/>
      <c r="AC369" s="451"/>
      <c r="AH369"/>
      <c r="AI369"/>
    </row>
    <row r="370" spans="1:35" s="450" customFormat="1" x14ac:dyDescent="0.25">
      <c r="A370" s="448"/>
      <c r="B370" s="448"/>
      <c r="C370" s="448">
        <f t="shared" ref="C370:C375" si="56">IF(E370=E369,C369+1,1)</f>
        <v>1</v>
      </c>
      <c r="D370" s="448">
        <f t="shared" ref="D370:D375" si="57">IF(M370=M369,D369,C370)</f>
        <v>1</v>
      </c>
      <c r="E370" s="448">
        <f t="shared" ref="E370:E375" si="58">10+VALUE(RIGHT(LEFT(G370,3),1))</f>
        <v>12</v>
      </c>
      <c r="F370" s="448" t="str">
        <f t="shared" ref="F370:F375" si="59">RIGHT(G370,2) &amp; IF(A370&lt;2,"x","")</f>
        <v>sox</v>
      </c>
      <c r="G370" s="448" t="s">
        <v>968</v>
      </c>
      <c r="H370" s="448"/>
      <c r="I370" s="448" t="s">
        <v>969</v>
      </c>
      <c r="J370" s="449" t="s">
        <v>20</v>
      </c>
      <c r="K370" s="450">
        <f t="shared" ref="K370:K375" si="60">LOOKUP(1E+100,M370:AC370)</f>
        <v>1417.5351435170446</v>
      </c>
      <c r="L370" s="448"/>
      <c r="M370" s="450">
        <v>1400</v>
      </c>
      <c r="O370" s="451"/>
      <c r="P370" s="451"/>
      <c r="Q370" s="451"/>
      <c r="R370" s="451"/>
      <c r="S370" s="451"/>
      <c r="T370" s="451">
        <v>1417.5351435170446</v>
      </c>
      <c r="U370" s="451"/>
      <c r="V370" s="451"/>
      <c r="W370" s="451"/>
      <c r="X370" s="451"/>
      <c r="Y370" s="451"/>
      <c r="Z370" s="451"/>
      <c r="AA370" s="451"/>
      <c r="AB370" s="451"/>
      <c r="AC370" s="451"/>
      <c r="AH370"/>
      <c r="AI370"/>
    </row>
    <row r="371" spans="1:35" s="450" customFormat="1" x14ac:dyDescent="0.25">
      <c r="A371" s="448"/>
      <c r="B371" s="448"/>
      <c r="C371" s="448">
        <f t="shared" si="56"/>
        <v>2</v>
      </c>
      <c r="D371" s="448">
        <f t="shared" si="57"/>
        <v>1</v>
      </c>
      <c r="E371" s="448">
        <f t="shared" si="58"/>
        <v>12</v>
      </c>
      <c r="F371" s="448" t="str">
        <f t="shared" si="59"/>
        <v>crx</v>
      </c>
      <c r="G371" s="448" t="s">
        <v>970</v>
      </c>
      <c r="H371" s="448"/>
      <c r="I371" s="448" t="s">
        <v>971</v>
      </c>
      <c r="J371" s="449" t="s">
        <v>20</v>
      </c>
      <c r="K371" s="450">
        <f t="shared" si="60"/>
        <v>1480.592748992279</v>
      </c>
      <c r="L371" s="448"/>
      <c r="M371" s="450">
        <v>1400</v>
      </c>
      <c r="O371" s="451"/>
      <c r="P371" s="451"/>
      <c r="Q371" s="451"/>
      <c r="R371" s="451"/>
      <c r="S371" s="451"/>
      <c r="T371" s="451">
        <v>1480.592748992279</v>
      </c>
      <c r="U371" s="451"/>
      <c r="V371" s="451"/>
      <c r="W371" s="451"/>
      <c r="X371" s="451"/>
      <c r="Y371" s="451"/>
      <c r="Z371" s="451"/>
      <c r="AA371" s="451"/>
      <c r="AB371" s="451"/>
      <c r="AC371" s="451"/>
      <c r="AH371"/>
      <c r="AI371"/>
    </row>
    <row r="372" spans="1:35" s="450" customFormat="1" x14ac:dyDescent="0.25">
      <c r="A372" s="448"/>
      <c r="B372" s="448"/>
      <c r="C372" s="448">
        <f t="shared" si="56"/>
        <v>1</v>
      </c>
      <c r="D372" s="448">
        <f t="shared" si="57"/>
        <v>1</v>
      </c>
      <c r="E372" s="448">
        <f t="shared" si="58"/>
        <v>13</v>
      </c>
      <c r="F372" s="448" t="str">
        <f t="shared" si="59"/>
        <v>crx</v>
      </c>
      <c r="G372" s="448" t="s">
        <v>972</v>
      </c>
      <c r="H372" s="448"/>
      <c r="I372" s="448" t="s">
        <v>973</v>
      </c>
      <c r="J372" s="449" t="s">
        <v>20</v>
      </c>
      <c r="K372" s="450">
        <f t="shared" si="60"/>
        <v>1733.815637065888</v>
      </c>
      <c r="L372" s="448"/>
      <c r="M372" s="450">
        <v>1600</v>
      </c>
      <c r="O372" s="451"/>
      <c r="P372" s="451"/>
      <c r="Q372" s="451"/>
      <c r="R372" s="451"/>
      <c r="S372" s="451"/>
      <c r="T372" s="451">
        <v>1733.815637065888</v>
      </c>
      <c r="U372" s="451"/>
      <c r="V372" s="451"/>
      <c r="W372" s="451"/>
      <c r="X372" s="451"/>
      <c r="Y372" s="451"/>
      <c r="Z372" s="451"/>
      <c r="AA372" s="451"/>
      <c r="AB372" s="451"/>
      <c r="AC372" s="451"/>
      <c r="AH372"/>
      <c r="AI372"/>
    </row>
    <row r="373" spans="1:35" s="450" customFormat="1" x14ac:dyDescent="0.25">
      <c r="A373" s="448"/>
      <c r="B373" s="448"/>
      <c r="C373" s="448">
        <f t="shared" si="56"/>
        <v>2</v>
      </c>
      <c r="D373" s="448">
        <f t="shared" si="57"/>
        <v>1</v>
      </c>
      <c r="E373" s="448">
        <f t="shared" si="58"/>
        <v>13</v>
      </c>
      <c r="F373" s="448" t="str">
        <f t="shared" si="59"/>
        <v>crx</v>
      </c>
      <c r="G373" s="448" t="s">
        <v>974</v>
      </c>
      <c r="H373" s="448"/>
      <c r="I373" s="448" t="s">
        <v>975</v>
      </c>
      <c r="J373" s="449" t="s">
        <v>20</v>
      </c>
      <c r="K373" s="450">
        <f t="shared" si="60"/>
        <v>1658.2208637871806</v>
      </c>
      <c r="L373" s="448"/>
      <c r="M373" s="450">
        <v>1600</v>
      </c>
      <c r="O373" s="451"/>
      <c r="P373" s="451"/>
      <c r="Q373" s="451"/>
      <c r="R373" s="451"/>
      <c r="S373" s="451"/>
      <c r="T373" s="451">
        <v>1658.2208637871806</v>
      </c>
      <c r="U373" s="451"/>
      <c r="V373" s="451"/>
      <c r="W373" s="451"/>
      <c r="X373" s="451"/>
      <c r="Y373" s="451"/>
      <c r="Z373" s="451"/>
      <c r="AA373" s="451"/>
      <c r="AB373" s="451"/>
      <c r="AC373" s="451"/>
      <c r="AH373"/>
      <c r="AI373"/>
    </row>
    <row r="374" spans="1:35" s="450" customFormat="1" x14ac:dyDescent="0.25">
      <c r="A374" s="448"/>
      <c r="B374" s="448"/>
      <c r="C374" s="448">
        <f t="shared" si="56"/>
        <v>1</v>
      </c>
      <c r="D374" s="448">
        <f t="shared" si="57"/>
        <v>1</v>
      </c>
      <c r="E374" s="448">
        <f t="shared" si="58"/>
        <v>14</v>
      </c>
      <c r="F374" s="448" t="str">
        <f t="shared" si="59"/>
        <v>sox</v>
      </c>
      <c r="G374" s="448" t="s">
        <v>976</v>
      </c>
      <c r="H374" s="448"/>
      <c r="I374" s="448" t="s">
        <v>977</v>
      </c>
      <c r="J374" s="449" t="s">
        <v>20</v>
      </c>
      <c r="K374" s="450">
        <f t="shared" si="60"/>
        <v>1881.2483836659826</v>
      </c>
      <c r="L374" s="448"/>
      <c r="M374" s="450">
        <v>1800</v>
      </c>
      <c r="O374" s="451"/>
      <c r="P374" s="451"/>
      <c r="Q374" s="451"/>
      <c r="R374" s="451"/>
      <c r="S374" s="451"/>
      <c r="T374" s="451">
        <v>1881.2483836659826</v>
      </c>
      <c r="U374" s="451"/>
      <c r="V374" s="451"/>
      <c r="W374" s="451"/>
      <c r="X374" s="451"/>
      <c r="Y374" s="451"/>
      <c r="Z374" s="451"/>
      <c r="AA374" s="451"/>
      <c r="AB374" s="451"/>
      <c r="AC374" s="451"/>
      <c r="AH374"/>
      <c r="AI374"/>
    </row>
    <row r="375" spans="1:35" s="450" customFormat="1" x14ac:dyDescent="0.25">
      <c r="A375" s="448"/>
      <c r="B375" s="448"/>
      <c r="C375" s="448">
        <f t="shared" si="56"/>
        <v>2</v>
      </c>
      <c r="D375" s="448">
        <f t="shared" si="57"/>
        <v>1</v>
      </c>
      <c r="E375" s="448">
        <f t="shared" si="58"/>
        <v>14</v>
      </c>
      <c r="F375" s="448" t="str">
        <f t="shared" si="59"/>
        <v>sox</v>
      </c>
      <c r="G375" s="448" t="s">
        <v>978</v>
      </c>
      <c r="H375" s="448"/>
      <c r="I375" s="448" t="s">
        <v>979</v>
      </c>
      <c r="J375" s="449" t="s">
        <v>20</v>
      </c>
      <c r="K375" s="450">
        <f t="shared" si="60"/>
        <v>1890.7449469245469</v>
      </c>
      <c r="L375" s="448"/>
      <c r="M375" s="450">
        <v>1800</v>
      </c>
      <c r="O375" s="451"/>
      <c r="P375" s="451"/>
      <c r="Q375" s="451"/>
      <c r="R375" s="451"/>
      <c r="S375" s="451"/>
      <c r="T375" s="451">
        <v>1890.7449469245469</v>
      </c>
      <c r="U375" s="451"/>
      <c r="V375" s="451"/>
      <c r="W375" s="451"/>
      <c r="X375" s="451"/>
      <c r="Y375" s="451"/>
      <c r="Z375" s="451"/>
      <c r="AA375" s="451"/>
      <c r="AB375" s="451"/>
      <c r="AC375" s="451"/>
      <c r="AH375"/>
      <c r="AI375"/>
    </row>
    <row r="376" spans="1:35" s="450" customFormat="1" x14ac:dyDescent="0.25">
      <c r="A376" s="448"/>
      <c r="B376" s="448"/>
      <c r="C376" s="448"/>
      <c r="D376" s="448"/>
      <c r="E376" s="448"/>
      <c r="F376" s="448"/>
      <c r="G376" s="448"/>
      <c r="H376" s="448"/>
      <c r="I376" s="448"/>
      <c r="J376" s="449"/>
      <c r="L376" s="448"/>
      <c r="O376" s="451"/>
      <c r="P376" s="451"/>
      <c r="Q376" s="451"/>
      <c r="R376" s="451"/>
      <c r="S376" s="451"/>
      <c r="T376" s="451"/>
      <c r="U376" s="451"/>
      <c r="V376" s="451"/>
      <c r="W376" s="451"/>
      <c r="X376" s="451"/>
      <c r="Y376" s="451"/>
      <c r="Z376" s="451"/>
      <c r="AA376" s="451"/>
      <c r="AB376" s="451"/>
      <c r="AC376" s="451"/>
      <c r="AH376"/>
      <c r="AI376"/>
    </row>
    <row r="377" spans="1:35" s="450" customFormat="1" x14ac:dyDescent="0.25">
      <c r="A377" s="448"/>
      <c r="B377" s="448"/>
      <c r="C377" s="448"/>
      <c r="D377" s="448"/>
      <c r="E377" s="448"/>
      <c r="F377" s="448"/>
      <c r="G377" s="448"/>
      <c r="H377" s="448"/>
      <c r="I377" s="448"/>
      <c r="J377" s="449"/>
      <c r="L377" s="448"/>
      <c r="O377" s="451"/>
      <c r="P377" s="451"/>
      <c r="Q377" s="451"/>
      <c r="R377" s="451"/>
      <c r="S377" s="451"/>
      <c r="T377" s="451"/>
      <c r="U377" s="451"/>
      <c r="V377" s="451"/>
      <c r="W377" s="451"/>
      <c r="X377" s="451"/>
      <c r="Y377" s="451"/>
      <c r="Z377" s="451"/>
      <c r="AA377" s="451"/>
      <c r="AB377" s="451"/>
      <c r="AC377" s="451"/>
      <c r="AH377"/>
      <c r="AI377"/>
    </row>
    <row r="378" spans="1:35" s="450" customFormat="1" x14ac:dyDescent="0.25">
      <c r="A378" s="448"/>
      <c r="B378" s="448"/>
      <c r="C378" s="448">
        <f t="shared" ref="C378:C382" si="61">IF(E378=E377,C377+1,1)</f>
        <v>1</v>
      </c>
      <c r="D378" s="448">
        <f t="shared" ref="D378:D382" si="62">IF(M378=M377,D377,C378)</f>
        <v>1</v>
      </c>
      <c r="E378" s="448">
        <f t="shared" ref="E378:E382" si="63">10+VALUE(RIGHT(LEFT(G378,3),1))</f>
        <v>16</v>
      </c>
      <c r="F378" s="448" t="str">
        <f t="shared" ref="F378:F382" si="64">RIGHT(G378,2) &amp; IF(A378&lt;2,"x","")</f>
        <v>crx</v>
      </c>
      <c r="G378" s="448" t="s">
        <v>980</v>
      </c>
      <c r="H378" s="448"/>
      <c r="I378" s="448" t="s">
        <v>981</v>
      </c>
      <c r="J378" s="449" t="s">
        <v>20</v>
      </c>
      <c r="K378" s="450">
        <f t="shared" ref="K378:K382" si="65">LOOKUP(1E+100,M378:AC378)</f>
        <v>2311.4565337056633</v>
      </c>
      <c r="L378" s="448"/>
      <c r="M378" s="450">
        <v>2200</v>
      </c>
      <c r="O378" s="451"/>
      <c r="P378" s="451"/>
      <c r="Q378" s="451"/>
      <c r="R378" s="451"/>
      <c r="S378" s="451"/>
      <c r="T378" s="451">
        <v>2311.4565337056633</v>
      </c>
      <c r="U378" s="451"/>
      <c r="V378" s="451"/>
      <c r="W378" s="451"/>
      <c r="X378" s="451"/>
      <c r="Y378" s="451"/>
      <c r="Z378" s="451"/>
      <c r="AA378" s="451"/>
      <c r="AB378" s="451"/>
      <c r="AC378" s="451"/>
      <c r="AH378"/>
      <c r="AI378"/>
    </row>
    <row r="379" spans="1:35" s="450" customFormat="1" x14ac:dyDescent="0.25">
      <c r="A379" s="448"/>
      <c r="B379" s="448"/>
      <c r="C379" s="448">
        <f t="shared" si="61"/>
        <v>2</v>
      </c>
      <c r="D379" s="448">
        <f t="shared" si="62"/>
        <v>1</v>
      </c>
      <c r="E379" s="448">
        <f t="shared" si="63"/>
        <v>16</v>
      </c>
      <c r="F379" s="448" t="str">
        <f t="shared" si="64"/>
        <v>crx</v>
      </c>
      <c r="G379" s="448" t="s">
        <v>982</v>
      </c>
      <c r="H379" s="448"/>
      <c r="I379" s="448" t="s">
        <v>983</v>
      </c>
      <c r="J379" s="449" t="s">
        <v>20</v>
      </c>
      <c r="K379" s="450">
        <f t="shared" si="65"/>
        <v>2175.394029072223</v>
      </c>
      <c r="L379" s="448"/>
      <c r="M379" s="450">
        <v>2200</v>
      </c>
      <c r="O379" s="451"/>
      <c r="P379" s="451"/>
      <c r="Q379" s="451"/>
      <c r="R379" s="451"/>
      <c r="S379" s="451"/>
      <c r="T379" s="451">
        <v>2175.394029072223</v>
      </c>
      <c r="U379" s="451"/>
      <c r="V379" s="451"/>
      <c r="W379" s="451"/>
      <c r="X379" s="451"/>
      <c r="Y379" s="451"/>
      <c r="Z379" s="451"/>
      <c r="AA379" s="451"/>
      <c r="AB379" s="451"/>
      <c r="AC379" s="451"/>
      <c r="AH379"/>
      <c r="AI379"/>
    </row>
    <row r="380" spans="1:35" s="450" customFormat="1" x14ac:dyDescent="0.25">
      <c r="A380" s="448"/>
      <c r="B380" s="448"/>
      <c r="C380" s="448">
        <f t="shared" si="61"/>
        <v>3</v>
      </c>
      <c r="D380" s="448">
        <f t="shared" si="62"/>
        <v>1</v>
      </c>
      <c r="E380" s="448">
        <f t="shared" si="63"/>
        <v>16</v>
      </c>
      <c r="F380" s="448" t="str">
        <f t="shared" si="64"/>
        <v>crx</v>
      </c>
      <c r="G380" s="448" t="s">
        <v>984</v>
      </c>
      <c r="H380" s="448"/>
      <c r="I380" s="448" t="s">
        <v>985</v>
      </c>
      <c r="J380" s="449" t="s">
        <v>20</v>
      </c>
      <c r="K380" s="450">
        <f t="shared" si="65"/>
        <v>2261.9361846103438</v>
      </c>
      <c r="L380" s="448"/>
      <c r="M380" s="450">
        <v>2200</v>
      </c>
      <c r="O380" s="451"/>
      <c r="P380" s="451"/>
      <c r="Q380" s="451"/>
      <c r="R380" s="451"/>
      <c r="S380" s="451"/>
      <c r="T380" s="451">
        <v>2261.9361846103438</v>
      </c>
      <c r="U380" s="451"/>
      <c r="V380" s="451"/>
      <c r="W380" s="451"/>
      <c r="X380" s="451"/>
      <c r="Y380" s="451"/>
      <c r="Z380" s="451"/>
      <c r="AA380" s="451"/>
      <c r="AB380" s="451"/>
      <c r="AC380" s="451"/>
      <c r="AH380"/>
      <c r="AI380"/>
    </row>
    <row r="381" spans="1:35" s="450" customFormat="1" x14ac:dyDescent="0.25">
      <c r="A381" s="448"/>
      <c r="B381" s="448"/>
      <c r="C381" s="448">
        <f t="shared" si="61"/>
        <v>4</v>
      </c>
      <c r="D381" s="448">
        <f t="shared" si="62"/>
        <v>1</v>
      </c>
      <c r="E381" s="448">
        <f t="shared" si="63"/>
        <v>16</v>
      </c>
      <c r="F381" s="448" t="str">
        <f t="shared" si="64"/>
        <v>SOx</v>
      </c>
      <c r="G381" s="448" t="s">
        <v>986</v>
      </c>
      <c r="H381" s="448"/>
      <c r="I381" s="448" t="s">
        <v>987</v>
      </c>
      <c r="J381" s="449" t="s">
        <v>20</v>
      </c>
      <c r="K381" s="450">
        <f t="shared" si="65"/>
        <v>2108.5454805199915</v>
      </c>
      <c r="L381" s="448"/>
      <c r="M381" s="450">
        <v>2200</v>
      </c>
      <c r="O381" s="451"/>
      <c r="P381" s="451"/>
      <c r="Q381" s="451"/>
      <c r="R381" s="451"/>
      <c r="S381" s="451"/>
      <c r="T381" s="451">
        <v>2108.5454805199915</v>
      </c>
      <c r="U381" s="451"/>
      <c r="V381" s="451"/>
      <c r="W381" s="451"/>
      <c r="X381" s="451"/>
      <c r="Y381" s="451"/>
      <c r="Z381" s="451"/>
      <c r="AA381" s="451"/>
      <c r="AB381" s="451"/>
      <c r="AC381" s="451"/>
      <c r="AH381"/>
      <c r="AI381"/>
    </row>
    <row r="382" spans="1:35" s="450" customFormat="1" x14ac:dyDescent="0.25">
      <c r="A382" s="448"/>
      <c r="B382" s="448"/>
      <c r="C382" s="448">
        <f t="shared" si="61"/>
        <v>1</v>
      </c>
      <c r="D382" s="448">
        <f t="shared" si="62"/>
        <v>1</v>
      </c>
      <c r="E382" s="448">
        <f t="shared" si="63"/>
        <v>13</v>
      </c>
      <c r="F382" s="448" t="str">
        <f t="shared" si="64"/>
        <v>crx</v>
      </c>
      <c r="G382" s="448" t="s">
        <v>988</v>
      </c>
      <c r="H382" s="448"/>
      <c r="I382" s="448" t="s">
        <v>989</v>
      </c>
      <c r="J382" s="449" t="s">
        <v>20</v>
      </c>
      <c r="K382" s="450">
        <f t="shared" si="65"/>
        <v>1534.2030414472588</v>
      </c>
      <c r="L382" s="448"/>
      <c r="M382" s="450">
        <v>1600</v>
      </c>
      <c r="O382" s="451"/>
      <c r="P382" s="451"/>
      <c r="Q382" s="451"/>
      <c r="R382" s="451"/>
      <c r="S382" s="451"/>
      <c r="T382" s="451">
        <v>1534.2030414472588</v>
      </c>
      <c r="U382" s="451"/>
      <c r="V382" s="451"/>
      <c r="W382" s="451"/>
      <c r="X382" s="451"/>
      <c r="Y382" s="451"/>
      <c r="Z382" s="451"/>
      <c r="AA382" s="451"/>
      <c r="AB382" s="451"/>
      <c r="AC382" s="451"/>
      <c r="AH382"/>
      <c r="AI382"/>
    </row>
    <row r="383" spans="1:35" s="450" customFormat="1" x14ac:dyDescent="0.25">
      <c r="A383" s="448"/>
      <c r="B383" s="448"/>
      <c r="C383" s="448"/>
      <c r="D383" s="448"/>
      <c r="E383" s="448"/>
      <c r="F383" s="448"/>
      <c r="G383" s="448"/>
      <c r="H383" s="448"/>
      <c r="I383" s="448"/>
      <c r="J383" s="449"/>
      <c r="L383" s="448"/>
      <c r="O383" s="451"/>
      <c r="P383" s="451"/>
      <c r="Q383" s="451"/>
      <c r="R383" s="451"/>
      <c r="S383" s="451"/>
      <c r="T383" s="451"/>
      <c r="U383" s="451"/>
      <c r="V383" s="451"/>
      <c r="W383" s="451"/>
      <c r="X383" s="451"/>
      <c r="Y383" s="451"/>
      <c r="Z383" s="451"/>
      <c r="AA383" s="451"/>
      <c r="AB383" s="451"/>
      <c r="AC383" s="451"/>
      <c r="AH383"/>
      <c r="AI383"/>
    </row>
    <row r="384" spans="1:35" x14ac:dyDescent="0.25">
      <c r="K384" s="451"/>
      <c r="M384" s="451"/>
      <c r="N384" s="451"/>
    </row>
    <row r="385" spans="1:35" s="450" customFormat="1" x14ac:dyDescent="0.25">
      <c r="A385" s="448"/>
      <c r="B385" s="448"/>
      <c r="C385" s="448">
        <f t="shared" ref="C385" si="66">IF(E385=E384,C384+1,1)</f>
        <v>1</v>
      </c>
      <c r="D385" s="448">
        <f t="shared" ref="D385" si="67">IF(M385=M384,D384,C385)</f>
        <v>1</v>
      </c>
      <c r="E385" s="448">
        <f t="shared" ref="E385" si="68">10+VALUE(RIGHT(LEFT(G385,3),1))</f>
        <v>17</v>
      </c>
      <c r="F385" s="448" t="str">
        <f t="shared" ref="F385" si="69">RIGHT(G385,2) &amp; IF(A385&lt;2,"x","")</f>
        <v>crx</v>
      </c>
      <c r="G385" s="448" t="s">
        <v>990</v>
      </c>
      <c r="H385" s="448"/>
      <c r="I385" s="448" t="s">
        <v>991</v>
      </c>
      <c r="J385" s="449" t="s">
        <v>20</v>
      </c>
      <c r="K385" s="450">
        <f t="shared" ref="K385" si="70">LOOKUP(1E+100,M385:AC385)</f>
        <v>2454.1833326686874</v>
      </c>
      <c r="L385" s="448"/>
      <c r="M385" s="450">
        <v>2400</v>
      </c>
      <c r="O385" s="451"/>
      <c r="P385" s="451"/>
      <c r="Q385" s="451"/>
      <c r="R385" s="451"/>
      <c r="S385" s="451"/>
      <c r="T385" s="451">
        <v>2454.1833326686874</v>
      </c>
      <c r="U385" s="451"/>
      <c r="V385" s="451"/>
      <c r="W385" s="451"/>
      <c r="X385" s="451"/>
      <c r="Y385" s="451"/>
      <c r="Z385" s="451"/>
      <c r="AA385" s="451"/>
      <c r="AB385" s="451"/>
      <c r="AC385" s="451"/>
      <c r="AH385"/>
      <c r="AI385"/>
    </row>
    <row r="386" spans="1:35" x14ac:dyDescent="0.25">
      <c r="K386" s="451"/>
      <c r="M386" s="451"/>
      <c r="N386" s="451"/>
    </row>
    <row r="387" spans="1:35" s="450" customFormat="1" x14ac:dyDescent="0.25">
      <c r="A387" s="448"/>
      <c r="B387" s="448"/>
      <c r="C387" s="448">
        <f t="shared" ref="C387" si="71">IF(E387=E386,C386+1,1)</f>
        <v>1</v>
      </c>
      <c r="D387" s="448">
        <f t="shared" ref="D387" si="72">IF(M387=M386,D386,C387)</f>
        <v>1</v>
      </c>
      <c r="E387" s="448">
        <f t="shared" ref="E387" si="73">10+VALUE(RIGHT(LEFT(G387,3),1))</f>
        <v>13</v>
      </c>
      <c r="F387" s="448" t="str">
        <f t="shared" ref="F387" si="74">RIGHT(G387,2) &amp; IF(A387&lt;2,"x","")</f>
        <v>pmx</v>
      </c>
      <c r="G387" s="448" t="s">
        <v>992</v>
      </c>
      <c r="H387" s="448"/>
      <c r="I387" s="448" t="s">
        <v>993</v>
      </c>
      <c r="J387" s="449" t="s">
        <v>20</v>
      </c>
      <c r="K387" s="450">
        <f t="shared" ref="K387" si="75">LOOKUP(1E+100,M387:AC387)</f>
        <v>1139.4725405231391</v>
      </c>
      <c r="L387" s="448"/>
      <c r="M387" s="450">
        <v>1200</v>
      </c>
      <c r="O387" s="451"/>
      <c r="P387" s="451"/>
      <c r="Q387" s="451"/>
      <c r="R387" s="451"/>
      <c r="S387" s="451"/>
      <c r="T387" s="451">
        <v>1139.4725405231391</v>
      </c>
      <c r="U387" s="451"/>
      <c r="V387" s="451"/>
      <c r="W387" s="451"/>
      <c r="X387" s="451"/>
      <c r="Y387" s="451"/>
      <c r="Z387" s="451"/>
      <c r="AA387" s="451"/>
      <c r="AB387" s="451"/>
      <c r="AC387" s="451"/>
      <c r="AH387"/>
      <c r="AI387"/>
    </row>
    <row r="388" spans="1:35" x14ac:dyDescent="0.25">
      <c r="K388" s="451"/>
      <c r="M388" s="451"/>
      <c r="N388" s="451"/>
    </row>
    <row r="389" spans="1:35" s="450" customFormat="1" x14ac:dyDescent="0.25">
      <c r="A389" s="448"/>
      <c r="B389" s="448"/>
      <c r="C389" s="448">
        <f t="shared" ref="C389:C403" si="76">IF(E389=E388,C388+1,1)</f>
        <v>1</v>
      </c>
      <c r="D389" s="448">
        <f t="shared" ref="D389:D403" si="77">IF(M389=M388,D388,C389)</f>
        <v>1</v>
      </c>
      <c r="E389" s="448">
        <f t="shared" ref="E389:E403" si="78">10+VALUE(RIGHT(LEFT(G389,3),1))</f>
        <v>13</v>
      </c>
      <c r="F389" s="448" t="str">
        <f t="shared" ref="F389:F403" si="79">RIGHT(G389,2) &amp; IF(A389&lt;2,"x","")</f>
        <v>crx</v>
      </c>
      <c r="G389" s="448" t="s">
        <v>994</v>
      </c>
      <c r="H389" s="448" t="e">
        <f>VLOOKUP(G389,#REF!,5,FALSE)</f>
        <v>#REF!</v>
      </c>
      <c r="I389" s="448" t="s">
        <v>995</v>
      </c>
      <c r="J389" s="449" t="s">
        <v>21</v>
      </c>
      <c r="K389" s="450">
        <f t="shared" ref="K389:K403" si="80">LOOKUP(1E+100,M389:AC389)</f>
        <v>1805.4977100065166</v>
      </c>
      <c r="L389" s="448"/>
      <c r="M389" s="450">
        <v>1887.0846383991418</v>
      </c>
      <c r="O389" s="451"/>
      <c r="P389" s="451"/>
      <c r="Q389" s="451"/>
      <c r="R389" s="451"/>
      <c r="S389" s="451"/>
      <c r="T389" s="451"/>
      <c r="U389" s="451">
        <v>1805.4977100065166</v>
      </c>
      <c r="V389" s="451"/>
      <c r="W389" s="451"/>
      <c r="X389" s="451"/>
      <c r="Y389" s="451"/>
      <c r="Z389" s="451"/>
      <c r="AA389" s="451"/>
      <c r="AB389" s="451"/>
      <c r="AC389" s="451"/>
      <c r="AH389"/>
      <c r="AI389"/>
    </row>
    <row r="390" spans="1:35" s="450" customFormat="1" x14ac:dyDescent="0.25">
      <c r="A390" s="448"/>
      <c r="B390" s="448"/>
      <c r="C390" s="448">
        <f t="shared" si="76"/>
        <v>1</v>
      </c>
      <c r="D390" s="448">
        <f t="shared" si="77"/>
        <v>1</v>
      </c>
      <c r="E390" s="448">
        <f t="shared" si="78"/>
        <v>14</v>
      </c>
      <c r="F390" s="448" t="str">
        <f t="shared" si="79"/>
        <v>crx</v>
      </c>
      <c r="G390" s="448" t="s">
        <v>996</v>
      </c>
      <c r="H390" s="448" t="e">
        <f>VLOOKUP(G390,#REF!,5,FALSE)</f>
        <v>#REF!</v>
      </c>
      <c r="I390" s="448" t="s">
        <v>997</v>
      </c>
      <c r="J390" s="449" t="s">
        <v>21</v>
      </c>
      <c r="K390" s="450">
        <f t="shared" si="80"/>
        <v>2185.3792211192231</v>
      </c>
      <c r="L390" s="448"/>
      <c r="M390" s="450">
        <v>2191.26403428599</v>
      </c>
      <c r="O390" s="451"/>
      <c r="P390" s="451"/>
      <c r="Q390" s="451"/>
      <c r="R390" s="451"/>
      <c r="S390" s="451"/>
      <c r="T390" s="451"/>
      <c r="U390" s="451">
        <v>2185.3792211192231</v>
      </c>
      <c r="V390" s="451"/>
      <c r="W390" s="451"/>
      <c r="X390" s="451"/>
      <c r="Y390" s="451"/>
      <c r="Z390" s="451"/>
      <c r="AA390" s="451"/>
      <c r="AB390" s="451"/>
      <c r="AC390" s="451"/>
      <c r="AH390"/>
      <c r="AI390"/>
    </row>
    <row r="391" spans="1:35" s="450" customFormat="1" x14ac:dyDescent="0.25">
      <c r="A391" s="448"/>
      <c r="B391" s="448"/>
      <c r="C391" s="448">
        <f t="shared" si="76"/>
        <v>1</v>
      </c>
      <c r="D391" s="448">
        <f t="shared" si="77"/>
        <v>1</v>
      </c>
      <c r="E391" s="448">
        <f t="shared" si="78"/>
        <v>15</v>
      </c>
      <c r="F391" s="448" t="str">
        <f t="shared" si="79"/>
        <v>crx</v>
      </c>
      <c r="G391" s="448" t="s">
        <v>998</v>
      </c>
      <c r="H391" s="448" t="e">
        <f>VLOOKUP(G391,#REF!,5,FALSE)</f>
        <v>#REF!</v>
      </c>
      <c r="I391" s="448" t="s">
        <v>999</v>
      </c>
      <c r="J391" s="449" t="s">
        <v>21</v>
      </c>
      <c r="K391" s="450">
        <f t="shared" si="80"/>
        <v>2374.8202526047689</v>
      </c>
      <c r="L391" s="448"/>
      <c r="M391" s="450">
        <v>2385.1245187118325</v>
      </c>
      <c r="O391" s="451"/>
      <c r="P391" s="451"/>
      <c r="Q391" s="451"/>
      <c r="R391" s="451"/>
      <c r="S391" s="451"/>
      <c r="T391" s="451"/>
      <c r="U391" s="451">
        <v>2374.8202526047689</v>
      </c>
      <c r="V391" s="451"/>
      <c r="W391" s="451"/>
      <c r="X391" s="451"/>
      <c r="Y391" s="451"/>
      <c r="Z391" s="451"/>
      <c r="AA391" s="451"/>
      <c r="AB391" s="451"/>
      <c r="AC391" s="451"/>
      <c r="AH391"/>
      <c r="AI391"/>
    </row>
    <row r="392" spans="1:35" s="450" customFormat="1" x14ac:dyDescent="0.25">
      <c r="A392" s="448"/>
      <c r="B392" s="448"/>
      <c r="C392" s="448">
        <f t="shared" si="76"/>
        <v>2</v>
      </c>
      <c r="D392" s="448">
        <f t="shared" si="77"/>
        <v>2</v>
      </c>
      <c r="E392" s="448">
        <f t="shared" si="78"/>
        <v>15</v>
      </c>
      <c r="F392" s="448" t="str">
        <f t="shared" si="79"/>
        <v>crx</v>
      </c>
      <c r="G392" s="448" t="s">
        <v>1000</v>
      </c>
      <c r="H392" s="448" t="e">
        <f>VLOOKUP(G392,#REF!,5,FALSE)</f>
        <v>#REF!</v>
      </c>
      <c r="I392" s="448" t="s">
        <v>1001</v>
      </c>
      <c r="J392" s="449" t="s">
        <v>21</v>
      </c>
      <c r="K392" s="450">
        <f t="shared" si="80"/>
        <v>2190.5109313985322</v>
      </c>
      <c r="L392" s="448"/>
      <c r="M392" s="450">
        <v>2278.1395434897308</v>
      </c>
      <c r="O392" s="451"/>
      <c r="P392" s="451"/>
      <c r="Q392" s="451"/>
      <c r="R392" s="451"/>
      <c r="S392" s="451"/>
      <c r="T392" s="451"/>
      <c r="U392" s="451">
        <v>2190.5109313985322</v>
      </c>
      <c r="V392" s="451"/>
      <c r="W392" s="451"/>
      <c r="X392" s="451"/>
      <c r="Y392" s="451"/>
      <c r="Z392" s="451"/>
      <c r="AA392" s="451"/>
      <c r="AB392" s="451"/>
      <c r="AC392" s="451"/>
      <c r="AH392"/>
      <c r="AI392"/>
    </row>
    <row r="393" spans="1:35" s="450" customFormat="1" x14ac:dyDescent="0.25">
      <c r="A393" s="448"/>
      <c r="B393" s="448"/>
      <c r="C393" s="448">
        <f t="shared" si="76"/>
        <v>3</v>
      </c>
      <c r="D393" s="448">
        <f t="shared" si="77"/>
        <v>3</v>
      </c>
      <c r="E393" s="448">
        <f t="shared" si="78"/>
        <v>15</v>
      </c>
      <c r="F393" s="448" t="str">
        <f t="shared" si="79"/>
        <v>crx</v>
      </c>
      <c r="G393" s="448" t="s">
        <v>1002</v>
      </c>
      <c r="H393" s="448" t="e">
        <f>VLOOKUP(G393,#REF!,5,FALSE)</f>
        <v>#REF!</v>
      </c>
      <c r="I393" s="448" t="s">
        <v>1003</v>
      </c>
      <c r="J393" s="449" t="s">
        <v>21</v>
      </c>
      <c r="K393" s="450">
        <f t="shared" si="80"/>
        <v>2349.3049870384771</v>
      </c>
      <c r="L393" s="448"/>
      <c r="M393" s="450">
        <v>2369.5972584559104</v>
      </c>
      <c r="O393" s="451"/>
      <c r="P393" s="451"/>
      <c r="Q393" s="451"/>
      <c r="R393" s="451"/>
      <c r="S393" s="451"/>
      <c r="T393" s="451"/>
      <c r="U393" s="451">
        <v>2349.3049870384771</v>
      </c>
      <c r="V393" s="451"/>
      <c r="W393" s="451"/>
      <c r="X393" s="451"/>
      <c r="Y393" s="451"/>
      <c r="Z393" s="451"/>
      <c r="AA393" s="451"/>
      <c r="AB393" s="451"/>
      <c r="AC393" s="451"/>
      <c r="AH393"/>
      <c r="AI393"/>
    </row>
    <row r="394" spans="1:35" s="450" customFormat="1" x14ac:dyDescent="0.25">
      <c r="A394" s="448"/>
      <c r="B394" s="448"/>
      <c r="C394" s="448">
        <f t="shared" si="76"/>
        <v>4</v>
      </c>
      <c r="D394" s="448">
        <f t="shared" si="77"/>
        <v>4</v>
      </c>
      <c r="E394" s="448">
        <f t="shared" si="78"/>
        <v>15</v>
      </c>
      <c r="F394" s="448" t="str">
        <f t="shared" si="79"/>
        <v>prx</v>
      </c>
      <c r="G394" s="448" t="s">
        <v>1004</v>
      </c>
      <c r="H394" s="448" t="e">
        <f>VLOOKUP(G394,#REF!,5,FALSE)</f>
        <v>#REF!</v>
      </c>
      <c r="I394" s="448" t="s">
        <v>1005</v>
      </c>
      <c r="J394" s="449" t="s">
        <v>21</v>
      </c>
      <c r="K394" s="450">
        <f t="shared" si="80"/>
        <v>2389.7229230157013</v>
      </c>
      <c r="L394" s="448"/>
      <c r="M394" s="450">
        <v>2395.475924098077</v>
      </c>
      <c r="O394" s="451"/>
      <c r="P394" s="451"/>
      <c r="Q394" s="451"/>
      <c r="R394" s="451"/>
      <c r="S394" s="451"/>
      <c r="T394" s="451"/>
      <c r="U394" s="451">
        <v>2389.7229230157013</v>
      </c>
      <c r="V394" s="451"/>
      <c r="W394" s="451"/>
      <c r="X394" s="451"/>
      <c r="Y394" s="451"/>
      <c r="Z394" s="451"/>
      <c r="AA394" s="451"/>
      <c r="AB394" s="451"/>
      <c r="AC394" s="451"/>
      <c r="AH394"/>
      <c r="AI394"/>
    </row>
    <row r="395" spans="1:35" s="450" customFormat="1" x14ac:dyDescent="0.25">
      <c r="A395" s="448"/>
      <c r="B395" s="448"/>
      <c r="C395" s="448">
        <f t="shared" si="76"/>
        <v>5</v>
      </c>
      <c r="D395" s="448">
        <f t="shared" si="77"/>
        <v>5</v>
      </c>
      <c r="E395" s="448">
        <f t="shared" si="78"/>
        <v>15</v>
      </c>
      <c r="F395" s="448" t="str">
        <f t="shared" si="79"/>
        <v>crx</v>
      </c>
      <c r="G395" s="448" t="s">
        <v>1006</v>
      </c>
      <c r="H395" s="448" t="e">
        <f>VLOOKUP(G395,#REF!,5,FALSE)</f>
        <v>#REF!</v>
      </c>
      <c r="I395" s="448" t="s">
        <v>1007</v>
      </c>
      <c r="J395" s="449" t="s">
        <v>21</v>
      </c>
      <c r="K395" s="450">
        <f t="shared" si="80"/>
        <v>2366.3509765142076</v>
      </c>
      <c r="L395" s="448"/>
      <c r="M395" s="450">
        <v>2384.3235593278796</v>
      </c>
      <c r="O395" s="451"/>
      <c r="P395" s="451"/>
      <c r="Q395" s="451"/>
      <c r="R395" s="451"/>
      <c r="S395" s="451"/>
      <c r="T395" s="451"/>
      <c r="U395" s="451">
        <v>2366.3509765142076</v>
      </c>
      <c r="V395" s="451"/>
      <c r="W395" s="451"/>
      <c r="X395" s="451"/>
      <c r="Y395" s="451"/>
      <c r="Z395" s="451"/>
      <c r="AA395" s="451"/>
      <c r="AB395" s="451"/>
      <c r="AC395" s="451"/>
      <c r="AH395"/>
      <c r="AI395"/>
    </row>
    <row r="396" spans="1:35" s="450" customFormat="1" x14ac:dyDescent="0.25">
      <c r="A396" s="448"/>
      <c r="B396" s="448"/>
      <c r="C396" s="448">
        <f t="shared" si="76"/>
        <v>6</v>
      </c>
      <c r="D396" s="448">
        <f t="shared" si="77"/>
        <v>6</v>
      </c>
      <c r="E396" s="448">
        <f t="shared" si="78"/>
        <v>15</v>
      </c>
      <c r="F396" s="448" t="str">
        <f t="shared" si="79"/>
        <v>gex</v>
      </c>
      <c r="G396" s="448" t="s">
        <v>1008</v>
      </c>
      <c r="H396" s="448" t="e">
        <f>VLOOKUP(G396,#REF!,5,FALSE)</f>
        <v>#REF!</v>
      </c>
      <c r="I396" s="448" t="s">
        <v>1009</v>
      </c>
      <c r="J396" s="449" t="s">
        <v>21</v>
      </c>
      <c r="K396" s="450">
        <f t="shared" si="80"/>
        <v>2616.6486715267165</v>
      </c>
      <c r="L396" s="448"/>
      <c r="M396" s="450">
        <v>2538.5909699302074</v>
      </c>
      <c r="O396" s="451"/>
      <c r="P396" s="451"/>
      <c r="Q396" s="451"/>
      <c r="R396" s="451"/>
      <c r="S396" s="451"/>
      <c r="T396" s="451"/>
      <c r="U396" s="451">
        <v>2616.6486715267165</v>
      </c>
      <c r="V396" s="451"/>
      <c r="W396" s="451"/>
      <c r="X396" s="451"/>
      <c r="Y396" s="451"/>
      <c r="Z396" s="451"/>
      <c r="AA396" s="451"/>
      <c r="AB396" s="451"/>
      <c r="AC396" s="451"/>
      <c r="AH396"/>
      <c r="AI396"/>
    </row>
    <row r="397" spans="1:35" s="450" customFormat="1" x14ac:dyDescent="0.25">
      <c r="A397" s="448"/>
      <c r="B397" s="448"/>
      <c r="C397" s="448">
        <f t="shared" si="76"/>
        <v>7</v>
      </c>
      <c r="D397" s="448">
        <f t="shared" si="77"/>
        <v>7</v>
      </c>
      <c r="E397" s="448">
        <f t="shared" si="78"/>
        <v>15</v>
      </c>
      <c r="F397" s="448" t="str">
        <f t="shared" si="79"/>
        <v>gex</v>
      </c>
      <c r="G397" s="448" t="s">
        <v>1010</v>
      </c>
      <c r="H397" s="448" t="e">
        <f>VLOOKUP(G397,#REF!,5,FALSE)</f>
        <v>#REF!</v>
      </c>
      <c r="I397" s="448" t="s">
        <v>1011</v>
      </c>
      <c r="J397" s="449" t="s">
        <v>21</v>
      </c>
      <c r="K397" s="450">
        <f t="shared" si="80"/>
        <v>2559.6724029595775</v>
      </c>
      <c r="L397" s="448"/>
      <c r="M397" s="450">
        <v>2497.9423004852915</v>
      </c>
      <c r="O397" s="451"/>
      <c r="P397" s="451"/>
      <c r="Q397" s="451"/>
      <c r="R397" s="451"/>
      <c r="S397" s="451"/>
      <c r="T397" s="451"/>
      <c r="U397" s="451">
        <v>2559.6724029595775</v>
      </c>
      <c r="V397" s="451"/>
      <c r="W397" s="451"/>
      <c r="X397" s="451"/>
      <c r="Y397" s="451"/>
      <c r="Z397" s="451"/>
      <c r="AA397" s="451"/>
      <c r="AB397" s="451"/>
      <c r="AC397" s="451"/>
      <c r="AH397"/>
      <c r="AI397"/>
    </row>
    <row r="398" spans="1:35" s="450" customFormat="1" x14ac:dyDescent="0.25">
      <c r="A398" s="448"/>
      <c r="B398" s="448"/>
      <c r="C398" s="448">
        <f t="shared" si="76"/>
        <v>1</v>
      </c>
      <c r="D398" s="448">
        <f t="shared" si="77"/>
        <v>1</v>
      </c>
      <c r="E398" s="448">
        <f t="shared" si="78"/>
        <v>16</v>
      </c>
      <c r="F398" s="448" t="str">
        <f t="shared" si="79"/>
        <v>crx</v>
      </c>
      <c r="G398" s="448" t="s">
        <v>1012</v>
      </c>
      <c r="H398" s="448" t="e">
        <f>VLOOKUP(G398,#REF!,5,FALSE)</f>
        <v>#REF!</v>
      </c>
      <c r="I398" s="448" t="s">
        <v>1013</v>
      </c>
      <c r="J398" s="449" t="s">
        <v>21</v>
      </c>
      <c r="K398" s="450">
        <f t="shared" si="80"/>
        <v>2376.4400973820484</v>
      </c>
      <c r="L398" s="448"/>
      <c r="M398" s="450">
        <v>2463.4354192203423</v>
      </c>
      <c r="O398" s="451"/>
      <c r="P398" s="451"/>
      <c r="Q398" s="451"/>
      <c r="R398" s="451"/>
      <c r="S398" s="451"/>
      <c r="T398" s="451"/>
      <c r="U398" s="451">
        <v>2376.4400973820484</v>
      </c>
      <c r="V398" s="451"/>
      <c r="W398" s="451"/>
      <c r="X398" s="451"/>
      <c r="Y398" s="451"/>
      <c r="Z398" s="451"/>
      <c r="AA398" s="451"/>
      <c r="AB398" s="451"/>
      <c r="AC398" s="451"/>
      <c r="AH398"/>
      <c r="AI398"/>
    </row>
    <row r="399" spans="1:35" s="450" customFormat="1" x14ac:dyDescent="0.25">
      <c r="A399" s="448"/>
      <c r="B399" s="448"/>
      <c r="C399" s="448">
        <f t="shared" si="76"/>
        <v>2</v>
      </c>
      <c r="D399" s="448">
        <f t="shared" si="77"/>
        <v>2</v>
      </c>
      <c r="E399" s="448">
        <f t="shared" si="78"/>
        <v>16</v>
      </c>
      <c r="F399" s="448" t="str">
        <f t="shared" si="79"/>
        <v>crx</v>
      </c>
      <c r="G399" s="448" t="s">
        <v>1014</v>
      </c>
      <c r="H399" s="448" t="e">
        <f>VLOOKUP(G399,#REF!,5,FALSE)</f>
        <v>#REF!</v>
      </c>
      <c r="I399" s="448" t="s">
        <v>1015</v>
      </c>
      <c r="J399" s="449" t="s">
        <v>21</v>
      </c>
      <c r="K399" s="450">
        <f t="shared" si="80"/>
        <v>2592.8715653215868</v>
      </c>
      <c r="L399" s="448"/>
      <c r="M399" s="450">
        <v>2595.8482863940603</v>
      </c>
      <c r="O399" s="451"/>
      <c r="P399" s="451"/>
      <c r="Q399" s="451"/>
      <c r="R399" s="451"/>
      <c r="S399" s="451"/>
      <c r="T399" s="451"/>
      <c r="U399" s="451">
        <v>2592.8715653215868</v>
      </c>
      <c r="V399" s="451"/>
      <c r="W399" s="451"/>
      <c r="X399" s="451"/>
      <c r="Y399" s="451"/>
      <c r="Z399" s="451"/>
      <c r="AA399" s="451"/>
      <c r="AB399" s="451"/>
      <c r="AC399" s="451"/>
      <c r="AH399"/>
      <c r="AI399"/>
    </row>
    <row r="400" spans="1:35" s="450" customFormat="1" x14ac:dyDescent="0.25">
      <c r="A400" s="448"/>
      <c r="B400" s="448"/>
      <c r="C400" s="448">
        <f t="shared" si="76"/>
        <v>3</v>
      </c>
      <c r="D400" s="448">
        <f t="shared" si="77"/>
        <v>3</v>
      </c>
      <c r="E400" s="448">
        <f t="shared" si="78"/>
        <v>16</v>
      </c>
      <c r="F400" s="448" t="str">
        <f t="shared" si="79"/>
        <v>crx</v>
      </c>
      <c r="G400" s="448" t="s">
        <v>1016</v>
      </c>
      <c r="H400" s="448" t="e">
        <f>VLOOKUP(G400,#REF!,5,FALSE)</f>
        <v>#REF!</v>
      </c>
      <c r="I400" s="448" t="s">
        <v>1017</v>
      </c>
      <c r="J400" s="449" t="s">
        <v>21</v>
      </c>
      <c r="K400" s="450">
        <f t="shared" si="80"/>
        <v>2597.1291083199617</v>
      </c>
      <c r="L400" s="448"/>
      <c r="M400" s="450">
        <v>2597.7183905844577</v>
      </c>
      <c r="O400" s="451"/>
      <c r="P400" s="451"/>
      <c r="Q400" s="451"/>
      <c r="R400" s="451"/>
      <c r="S400" s="451"/>
      <c r="T400" s="451"/>
      <c r="U400" s="451">
        <v>2597.1291083199617</v>
      </c>
      <c r="V400" s="451"/>
      <c r="W400" s="451"/>
      <c r="X400" s="451"/>
      <c r="Y400" s="451"/>
      <c r="Z400" s="451"/>
      <c r="AA400" s="451"/>
      <c r="AB400" s="451"/>
      <c r="AC400" s="451"/>
      <c r="AH400"/>
      <c r="AI400"/>
    </row>
    <row r="401" spans="1:35" s="450" customFormat="1" x14ac:dyDescent="0.25">
      <c r="A401" s="448"/>
      <c r="B401" s="448"/>
      <c r="C401" s="448">
        <f t="shared" si="76"/>
        <v>1</v>
      </c>
      <c r="D401" s="448">
        <f t="shared" si="77"/>
        <v>1</v>
      </c>
      <c r="E401" s="448">
        <f t="shared" si="78"/>
        <v>17</v>
      </c>
      <c r="F401" s="448" t="str">
        <f t="shared" si="79"/>
        <v>crx</v>
      </c>
      <c r="G401" s="448" t="s">
        <v>1018</v>
      </c>
      <c r="H401" s="448" t="e">
        <f>VLOOKUP(G401,#REF!,5,FALSE)</f>
        <v>#REF!</v>
      </c>
      <c r="I401" s="448" t="s">
        <v>1019</v>
      </c>
      <c r="J401" s="449" t="s">
        <v>21</v>
      </c>
      <c r="K401" s="450">
        <f t="shared" si="80"/>
        <v>2908.9499520463164</v>
      </c>
      <c r="L401" s="448"/>
      <c r="M401" s="450">
        <v>2863.8855098140079</v>
      </c>
      <c r="O401" s="451"/>
      <c r="P401" s="451"/>
      <c r="Q401" s="451"/>
      <c r="R401" s="451"/>
      <c r="S401" s="451"/>
      <c r="T401" s="451"/>
      <c r="U401" s="451">
        <v>2908.9499520463164</v>
      </c>
      <c r="V401" s="451"/>
      <c r="W401" s="451"/>
      <c r="X401" s="451"/>
      <c r="Y401" s="451"/>
      <c r="Z401" s="451"/>
      <c r="AA401" s="451"/>
      <c r="AB401" s="451"/>
      <c r="AC401" s="451"/>
      <c r="AH401"/>
      <c r="AI401"/>
    </row>
    <row r="402" spans="1:35" s="450" customFormat="1" x14ac:dyDescent="0.25">
      <c r="A402" s="448"/>
      <c r="B402" s="448"/>
      <c r="C402" s="448">
        <f t="shared" si="76"/>
        <v>1</v>
      </c>
      <c r="D402" s="448">
        <f t="shared" si="77"/>
        <v>1</v>
      </c>
      <c r="E402" s="448">
        <f t="shared" si="78"/>
        <v>18</v>
      </c>
      <c r="F402" s="448" t="str">
        <f t="shared" si="79"/>
        <v>odx</v>
      </c>
      <c r="G402" s="448" t="s">
        <v>1020</v>
      </c>
      <c r="H402" s="448" t="e">
        <f>VLOOKUP(G402,#REF!,5,FALSE)</f>
        <v>#REF!</v>
      </c>
      <c r="I402" s="448" t="s">
        <v>1021</v>
      </c>
      <c r="J402" s="449" t="s">
        <v>21</v>
      </c>
      <c r="K402" s="450">
        <f t="shared" si="80"/>
        <v>2898.8059170619895</v>
      </c>
      <c r="L402" s="448"/>
      <c r="M402" s="450">
        <v>2935.484448261845</v>
      </c>
      <c r="O402" s="451"/>
      <c r="P402" s="451"/>
      <c r="Q402" s="451"/>
      <c r="R402" s="451"/>
      <c r="S402" s="451"/>
      <c r="T402" s="451"/>
      <c r="U402" s="451">
        <v>2898.8059170619895</v>
      </c>
      <c r="V402" s="451"/>
      <c r="W402" s="451"/>
      <c r="X402" s="451"/>
      <c r="Y402" s="451"/>
      <c r="Z402" s="451"/>
      <c r="AA402" s="451"/>
      <c r="AB402" s="451"/>
      <c r="AC402" s="451"/>
      <c r="AH402"/>
      <c r="AI402"/>
    </row>
    <row r="403" spans="1:35" s="450" customFormat="1" x14ac:dyDescent="0.25">
      <c r="A403" s="448"/>
      <c r="B403" s="448"/>
      <c r="C403" s="448">
        <f t="shared" si="76"/>
        <v>2</v>
      </c>
      <c r="D403" s="448">
        <f t="shared" si="77"/>
        <v>2</v>
      </c>
      <c r="E403" s="448">
        <f t="shared" si="78"/>
        <v>18</v>
      </c>
      <c r="F403" s="448" t="str">
        <f t="shared" si="79"/>
        <v>sox</v>
      </c>
      <c r="G403" s="448" t="s">
        <v>1022</v>
      </c>
      <c r="H403" s="448" t="e">
        <f>VLOOKUP(G403,#REF!,5,FALSE)</f>
        <v>#REF!</v>
      </c>
      <c r="I403" s="448" t="s">
        <v>1023</v>
      </c>
      <c r="J403" s="449" t="s">
        <v>21</v>
      </c>
      <c r="K403" s="450">
        <f t="shared" si="80"/>
        <v>3048.4287168216524</v>
      </c>
      <c r="L403" s="448"/>
      <c r="M403" s="450">
        <v>3033.4440177307415</v>
      </c>
      <c r="O403" s="451"/>
      <c r="P403" s="451"/>
      <c r="Q403" s="451"/>
      <c r="R403" s="451"/>
      <c r="S403" s="451"/>
      <c r="T403" s="451"/>
      <c r="U403" s="451">
        <v>3048.4287168216524</v>
      </c>
      <c r="V403" s="451"/>
      <c r="W403" s="451"/>
      <c r="X403" s="451"/>
      <c r="Y403" s="451"/>
      <c r="Z403" s="451"/>
      <c r="AA403" s="451"/>
      <c r="AB403" s="451"/>
      <c r="AC403" s="451"/>
      <c r="AH403"/>
      <c r="AI403"/>
    </row>
    <row r="404" spans="1:35" x14ac:dyDescent="0.25">
      <c r="K404" s="451"/>
      <c r="M404" s="451"/>
      <c r="N404" s="451"/>
    </row>
    <row r="405" spans="1:35" s="450" customFormat="1" x14ac:dyDescent="0.25">
      <c r="A405" s="448"/>
      <c r="B405" s="448"/>
      <c r="C405" s="448">
        <f t="shared" ref="C405" si="81">IF(E405=E404,C404+1,1)</f>
        <v>1</v>
      </c>
      <c r="D405" s="448">
        <f t="shared" ref="D405" si="82">IF(M405=M404,D404,C405)</f>
        <v>1</v>
      </c>
      <c r="E405" s="448">
        <f t="shared" ref="E405" si="83">10+VALUE(RIGHT(LEFT(G405,3),1))</f>
        <v>17</v>
      </c>
      <c r="F405" s="448" t="str">
        <f t="shared" ref="F405" si="84">RIGHT(G405,2) &amp; IF(A405&lt;2,"x","")</f>
        <v>sox</v>
      </c>
      <c r="G405" s="448" t="s">
        <v>1024</v>
      </c>
      <c r="H405" s="448"/>
      <c r="I405" s="448" t="s">
        <v>1025</v>
      </c>
      <c r="J405" s="449" t="s">
        <v>20</v>
      </c>
      <c r="K405" s="450">
        <f t="shared" ref="K405" si="85">LOOKUP(1E+100,M405:AC405)</f>
        <v>2400.9678970449895</v>
      </c>
      <c r="L405" s="448"/>
      <c r="M405" s="450">
        <v>2400</v>
      </c>
      <c r="O405" s="451"/>
      <c r="P405" s="451"/>
      <c r="Q405" s="451"/>
      <c r="R405" s="451"/>
      <c r="S405" s="451"/>
      <c r="T405" s="451"/>
      <c r="U405" s="451"/>
      <c r="V405" s="451">
        <v>2400.9678970449895</v>
      </c>
      <c r="W405" s="451"/>
      <c r="X405" s="451"/>
      <c r="Y405" s="451"/>
      <c r="Z405" s="451"/>
      <c r="AA405" s="451"/>
      <c r="AB405" s="451"/>
      <c r="AC405" s="451"/>
      <c r="AH405"/>
      <c r="AI405"/>
    </row>
    <row r="406" spans="1:35" x14ac:dyDescent="0.25">
      <c r="K406" s="451"/>
      <c r="M406" s="451"/>
      <c r="N406" s="451"/>
    </row>
    <row r="407" spans="1:35" s="450" customFormat="1" x14ac:dyDescent="0.25">
      <c r="A407" s="448"/>
      <c r="B407" s="448"/>
      <c r="C407" s="448">
        <f t="shared" ref="C407" si="86">IF(E407=E406,C406+1,1)</f>
        <v>1</v>
      </c>
      <c r="D407" s="448">
        <f t="shared" ref="D407" si="87">IF(M407=M406,D406,C407)</f>
        <v>1</v>
      </c>
      <c r="E407" s="448">
        <f t="shared" ref="E407" si="88">10+VALUE(RIGHT(LEFT(G407,3),1))</f>
        <v>14</v>
      </c>
      <c r="F407" s="448" t="str">
        <f t="shared" ref="F407" si="89">RIGHT(G407,2) &amp; IF(A407&lt;2,"x","")</f>
        <v>pmx</v>
      </c>
      <c r="G407" s="452" t="s">
        <v>1026</v>
      </c>
      <c r="H407" s="448"/>
      <c r="I407" s="448" t="s">
        <v>1027</v>
      </c>
      <c r="J407" s="449" t="s">
        <v>20</v>
      </c>
      <c r="K407" s="450">
        <f t="shared" ref="K407" si="90">LOOKUP(1E+100,M407:AC407)</f>
        <v>1995.3439805858934</v>
      </c>
      <c r="L407" s="448"/>
      <c r="M407" s="450">
        <v>2000</v>
      </c>
      <c r="O407" s="451"/>
      <c r="P407" s="451"/>
      <c r="Q407" s="451"/>
      <c r="R407" s="451"/>
      <c r="S407" s="451"/>
      <c r="T407" s="451"/>
      <c r="U407" s="451"/>
      <c r="V407" s="451">
        <v>1995.3439805858934</v>
      </c>
      <c r="W407" s="451"/>
      <c r="X407" s="451"/>
      <c r="Y407" s="451"/>
      <c r="Z407" s="451"/>
      <c r="AA407" s="451"/>
      <c r="AB407" s="451"/>
      <c r="AC407" s="451"/>
      <c r="AH407"/>
      <c r="AI407"/>
    </row>
    <row r="408" spans="1:35" x14ac:dyDescent="0.25">
      <c r="K408" s="451"/>
      <c r="M408" s="451"/>
      <c r="N408" s="451"/>
    </row>
    <row r="409" spans="1:35" s="450" customFormat="1" x14ac:dyDescent="0.25">
      <c r="A409" s="448"/>
      <c r="B409" s="448"/>
      <c r="C409" s="448">
        <f t="shared" ref="C409:C411" si="91">IF(E409=E408,C408+1,1)</f>
        <v>1</v>
      </c>
      <c r="D409" s="448">
        <f t="shared" ref="D409:D411" si="92">IF(M409=M408,D408,C409)</f>
        <v>1</v>
      </c>
      <c r="E409" s="448">
        <f t="shared" ref="E409:E411" si="93">10+VALUE(RIGHT(LEFT(G409,3),1))</f>
        <v>17</v>
      </c>
      <c r="F409" s="448" t="str">
        <f t="shared" ref="F409:F411" si="94">RIGHT(G409,2) &amp; IF(A409&lt;2,"x","")</f>
        <v>sox</v>
      </c>
      <c r="G409" s="448" t="s">
        <v>1042</v>
      </c>
      <c r="H409" s="448"/>
      <c r="I409" s="448" t="s">
        <v>1041</v>
      </c>
      <c r="J409" s="449"/>
      <c r="K409" s="450">
        <f t="shared" ref="K409:K411" si="95">LOOKUP(1E+100,M409:AC409)</f>
        <v>2800</v>
      </c>
      <c r="L409" s="448"/>
      <c r="M409" s="450">
        <v>2800</v>
      </c>
      <c r="O409" s="451"/>
      <c r="P409" s="451"/>
      <c r="Q409" s="451"/>
      <c r="R409" s="451"/>
      <c r="S409" s="451"/>
      <c r="T409" s="451"/>
      <c r="U409" s="451"/>
      <c r="V409" s="451"/>
      <c r="W409" s="451"/>
      <c r="X409" s="451"/>
      <c r="Y409" s="451"/>
      <c r="Z409" s="451"/>
      <c r="AA409" s="451"/>
      <c r="AB409" s="451"/>
      <c r="AC409" s="451"/>
      <c r="AH409"/>
      <c r="AI409"/>
    </row>
    <row r="410" spans="1:35" s="450" customFormat="1" x14ac:dyDescent="0.25">
      <c r="A410" s="448"/>
      <c r="B410" s="448"/>
      <c r="C410" s="448">
        <f t="shared" si="91"/>
        <v>2</v>
      </c>
      <c r="D410" s="448">
        <f t="shared" si="92"/>
        <v>1</v>
      </c>
      <c r="E410" s="448">
        <f t="shared" si="93"/>
        <v>17</v>
      </c>
      <c r="F410" s="448" t="str">
        <f t="shared" si="94"/>
        <v>sox</v>
      </c>
      <c r="G410" s="448" t="s">
        <v>1044</v>
      </c>
      <c r="H410" s="448"/>
      <c r="I410" s="448" t="s">
        <v>1043</v>
      </c>
      <c r="J410" s="449"/>
      <c r="K410" s="450">
        <f t="shared" si="95"/>
        <v>2800</v>
      </c>
      <c r="L410" s="448"/>
      <c r="M410" s="450">
        <v>2800</v>
      </c>
      <c r="O410" s="451"/>
      <c r="P410" s="451"/>
      <c r="Q410" s="451"/>
      <c r="R410" s="451"/>
      <c r="S410" s="451"/>
      <c r="T410" s="451"/>
      <c r="U410" s="451"/>
      <c r="V410" s="451"/>
      <c r="W410" s="451"/>
      <c r="X410" s="451"/>
      <c r="Y410" s="451"/>
      <c r="Z410" s="451"/>
      <c r="AA410" s="451"/>
      <c r="AB410" s="451"/>
      <c r="AC410" s="451"/>
      <c r="AH410"/>
      <c r="AI410"/>
    </row>
    <row r="411" spans="1:35" s="450" customFormat="1" x14ac:dyDescent="0.25">
      <c r="A411" s="448"/>
      <c r="B411" s="448"/>
      <c r="C411" s="448">
        <f t="shared" si="91"/>
        <v>1</v>
      </c>
      <c r="D411" s="448">
        <f t="shared" si="92"/>
        <v>1</v>
      </c>
      <c r="E411" s="448">
        <f t="shared" si="93"/>
        <v>16</v>
      </c>
      <c r="F411" s="448" t="str">
        <f t="shared" si="94"/>
        <v>sox</v>
      </c>
      <c r="G411" s="448" t="s">
        <v>1046</v>
      </c>
      <c r="H411" s="448"/>
      <c r="I411" s="448" t="s">
        <v>1045</v>
      </c>
      <c r="J411" s="449"/>
      <c r="K411" s="450">
        <f t="shared" si="95"/>
        <v>2600</v>
      </c>
      <c r="L411" s="448"/>
      <c r="M411" s="450">
        <v>2600</v>
      </c>
      <c r="O411" s="451"/>
      <c r="P411" s="451"/>
      <c r="Q411" s="451"/>
      <c r="R411" s="451"/>
      <c r="S411" s="451"/>
      <c r="T411" s="451"/>
      <c r="U411" s="451"/>
      <c r="V411" s="451"/>
      <c r="W411" s="451"/>
      <c r="X411" s="451"/>
      <c r="Y411" s="451"/>
      <c r="Z411" s="451"/>
      <c r="AA411" s="451"/>
      <c r="AB411" s="451"/>
      <c r="AC411" s="451"/>
      <c r="AH411"/>
      <c r="AI411"/>
    </row>
    <row r="412" spans="1:35" x14ac:dyDescent="0.25">
      <c r="K412" s="451"/>
      <c r="M412" s="451"/>
      <c r="N412" s="451"/>
    </row>
    <row r="413" spans="1:35" x14ac:dyDescent="0.25">
      <c r="K413" s="451"/>
      <c r="M413" s="451"/>
      <c r="N413" s="451"/>
    </row>
    <row r="414" spans="1:35" x14ac:dyDescent="0.25">
      <c r="K414" s="451"/>
      <c r="M414" s="451"/>
      <c r="N414" s="451"/>
    </row>
    <row r="415" spans="1:35" x14ac:dyDescent="0.25">
      <c r="K415" s="451"/>
      <c r="M415" s="451"/>
      <c r="N415" s="451"/>
    </row>
    <row r="416" spans="1:35" x14ac:dyDescent="0.25">
      <c r="K416" s="451"/>
      <c r="M416" s="451"/>
      <c r="N416" s="451"/>
    </row>
    <row r="417" spans="11:14" x14ac:dyDescent="0.25">
      <c r="K417" s="451"/>
      <c r="M417" s="451"/>
      <c r="N417" s="451"/>
    </row>
    <row r="418" spans="11:14" x14ac:dyDescent="0.25">
      <c r="K418" s="451"/>
      <c r="M418" s="451"/>
      <c r="N418" s="451"/>
    </row>
    <row r="419" spans="11:14" x14ac:dyDescent="0.25">
      <c r="K419" s="451"/>
      <c r="M419" s="451"/>
      <c r="N419" s="451"/>
    </row>
    <row r="420" spans="11:14" x14ac:dyDescent="0.25">
      <c r="K420" s="451"/>
      <c r="M420" s="451"/>
      <c r="N420" s="451"/>
    </row>
    <row r="421" spans="11:14" x14ac:dyDescent="0.25">
      <c r="K421" s="451"/>
      <c r="M421" s="451"/>
      <c r="N421" s="451"/>
    </row>
    <row r="422" spans="11:14" x14ac:dyDescent="0.25">
      <c r="K422" s="451"/>
      <c r="M422" s="451"/>
      <c r="N422" s="451"/>
    </row>
    <row r="423" spans="11:14" x14ac:dyDescent="0.25">
      <c r="K423" s="451"/>
      <c r="M423" s="451"/>
      <c r="N423" s="451"/>
    </row>
    <row r="424" spans="11:14" x14ac:dyDescent="0.25">
      <c r="K424" s="451"/>
      <c r="M424" s="451"/>
      <c r="N424" s="451"/>
    </row>
    <row r="425" spans="11:14" x14ac:dyDescent="0.25">
      <c r="K425" s="451"/>
      <c r="M425" s="451"/>
      <c r="N425" s="451"/>
    </row>
    <row r="426" spans="11:14" x14ac:dyDescent="0.25">
      <c r="K426" s="451"/>
      <c r="M426" s="451"/>
      <c r="N426" s="451"/>
    </row>
    <row r="427" spans="11:14" x14ac:dyDescent="0.25">
      <c r="K427" s="451"/>
      <c r="M427" s="451"/>
      <c r="N427" s="451"/>
    </row>
    <row r="428" spans="11:14" x14ac:dyDescent="0.25">
      <c r="K428" s="451"/>
      <c r="M428" s="451"/>
      <c r="N428" s="451"/>
    </row>
    <row r="429" spans="11:14" x14ac:dyDescent="0.25">
      <c r="K429" s="451"/>
      <c r="M429" s="451"/>
      <c r="N429" s="451"/>
    </row>
    <row r="430" spans="11:14" x14ac:dyDescent="0.25">
      <c r="K430" s="451"/>
      <c r="M430" s="451"/>
      <c r="N430" s="451"/>
    </row>
    <row r="431" spans="11:14" x14ac:dyDescent="0.25">
      <c r="K431" s="451"/>
      <c r="M431" s="451"/>
      <c r="N431" s="451"/>
    </row>
    <row r="432" spans="11:14" x14ac:dyDescent="0.25">
      <c r="K432" s="451"/>
      <c r="M432" s="451"/>
      <c r="N432" s="451"/>
    </row>
    <row r="433" spans="11:14" x14ac:dyDescent="0.25">
      <c r="K433" s="451"/>
      <c r="M433" s="451"/>
      <c r="N433" s="451"/>
    </row>
    <row r="434" spans="11:14" x14ac:dyDescent="0.25">
      <c r="K434" s="451"/>
      <c r="M434" s="451"/>
      <c r="N434" s="451"/>
    </row>
    <row r="435" spans="11:14" x14ac:dyDescent="0.25">
      <c r="K435" s="451"/>
      <c r="M435" s="451"/>
      <c r="N435" s="451"/>
    </row>
    <row r="436" spans="11:14" x14ac:dyDescent="0.25">
      <c r="K436" s="451"/>
      <c r="M436" s="451"/>
      <c r="N436" s="451"/>
    </row>
    <row r="437" spans="11:14" x14ac:dyDescent="0.25">
      <c r="K437" s="451"/>
      <c r="M437" s="451"/>
      <c r="N437" s="451"/>
    </row>
    <row r="438" spans="11:14" x14ac:dyDescent="0.25">
      <c r="K438" s="451"/>
      <c r="M438" s="451"/>
      <c r="N438" s="451"/>
    </row>
    <row r="439" spans="11:14" x14ac:dyDescent="0.25">
      <c r="K439" s="451"/>
      <c r="M439" s="451"/>
      <c r="N439" s="451"/>
    </row>
    <row r="440" spans="11:14" x14ac:dyDescent="0.25">
      <c r="K440" s="451"/>
      <c r="M440" s="451"/>
      <c r="N440" s="451"/>
    </row>
    <row r="441" spans="11:14" x14ac:dyDescent="0.25">
      <c r="K441" s="451"/>
      <c r="M441" s="451"/>
      <c r="N441" s="451"/>
    </row>
    <row r="442" spans="11:14" x14ac:dyDescent="0.25">
      <c r="K442" s="451"/>
      <c r="M442" s="451"/>
      <c r="N442" s="451"/>
    </row>
    <row r="443" spans="11:14" x14ac:dyDescent="0.25">
      <c r="K443" s="451"/>
      <c r="M443" s="451"/>
      <c r="N443" s="451"/>
    </row>
    <row r="444" spans="11:14" x14ac:dyDescent="0.25">
      <c r="K444" s="451"/>
      <c r="M444" s="451"/>
      <c r="N444" s="451"/>
    </row>
    <row r="445" spans="11:14" x14ac:dyDescent="0.25">
      <c r="K445" s="451"/>
      <c r="M445" s="451"/>
      <c r="N445" s="451"/>
    </row>
    <row r="446" spans="11:14" x14ac:dyDescent="0.25">
      <c r="K446" s="451"/>
      <c r="M446" s="451"/>
      <c r="N446" s="451"/>
    </row>
    <row r="447" spans="11:14" x14ac:dyDescent="0.25">
      <c r="K447" s="451"/>
      <c r="M447" s="451"/>
      <c r="N447" s="451"/>
    </row>
    <row r="448" spans="11:14" x14ac:dyDescent="0.25">
      <c r="K448" s="451"/>
      <c r="M448" s="451"/>
      <c r="N448" s="451"/>
    </row>
    <row r="449" spans="11:14" x14ac:dyDescent="0.25">
      <c r="K449" s="451"/>
      <c r="M449" s="451"/>
      <c r="N449" s="451"/>
    </row>
    <row r="450" spans="11:14" x14ac:dyDescent="0.25">
      <c r="K450" s="451"/>
      <c r="M450" s="451"/>
      <c r="N450" s="451"/>
    </row>
    <row r="451" spans="11:14" x14ac:dyDescent="0.25">
      <c r="K451" s="451"/>
      <c r="M451" s="451"/>
      <c r="N451" s="451"/>
    </row>
    <row r="452" spans="11:14" x14ac:dyDescent="0.25">
      <c r="K452" s="451"/>
      <c r="M452" s="451"/>
      <c r="N452" s="451"/>
    </row>
    <row r="453" spans="11:14" x14ac:dyDescent="0.25">
      <c r="K453" s="451"/>
      <c r="M453" s="451"/>
      <c r="N453" s="451"/>
    </row>
    <row r="454" spans="11:14" x14ac:dyDescent="0.25">
      <c r="K454" s="451"/>
      <c r="M454" s="451"/>
      <c r="N454" s="451"/>
    </row>
    <row r="455" spans="11:14" x14ac:dyDescent="0.25">
      <c r="K455" s="451"/>
      <c r="M455" s="451"/>
      <c r="N455" s="451"/>
    </row>
    <row r="456" spans="11:14" x14ac:dyDescent="0.25">
      <c r="K456" s="451"/>
      <c r="M456" s="451"/>
      <c r="N456" s="451"/>
    </row>
    <row r="457" spans="11:14" x14ac:dyDescent="0.25">
      <c r="K457" s="451"/>
      <c r="M457" s="451"/>
      <c r="N457" s="451"/>
    </row>
    <row r="458" spans="11:14" x14ac:dyDescent="0.25">
      <c r="K458" s="451"/>
      <c r="M458" s="451"/>
      <c r="N458" s="451"/>
    </row>
    <row r="459" spans="11:14" x14ac:dyDescent="0.25">
      <c r="K459" s="451"/>
      <c r="M459" s="451"/>
      <c r="N459" s="451"/>
    </row>
    <row r="460" spans="11:14" x14ac:dyDescent="0.25">
      <c r="K460" s="451"/>
      <c r="M460" s="451"/>
      <c r="N460" s="451"/>
    </row>
    <row r="461" spans="11:14" x14ac:dyDescent="0.25">
      <c r="K461" s="451"/>
      <c r="M461" s="451"/>
      <c r="N461" s="451"/>
    </row>
    <row r="462" spans="11:14" x14ac:dyDescent="0.25">
      <c r="K462" s="451"/>
      <c r="M462" s="451"/>
      <c r="N462" s="451"/>
    </row>
    <row r="463" spans="11:14" x14ac:dyDescent="0.25">
      <c r="K463" s="451"/>
      <c r="M463" s="451"/>
      <c r="N463" s="451"/>
    </row>
    <row r="464" spans="11:14" x14ac:dyDescent="0.25">
      <c r="K464" s="451"/>
      <c r="M464" s="451"/>
      <c r="N464" s="451"/>
    </row>
    <row r="465" spans="11:14" x14ac:dyDescent="0.25">
      <c r="K465" s="451"/>
      <c r="M465" s="451"/>
      <c r="N465" s="451"/>
    </row>
    <row r="466" spans="11:14" x14ac:dyDescent="0.25">
      <c r="K466" s="451"/>
      <c r="M466" s="451"/>
      <c r="N466" s="451"/>
    </row>
    <row r="467" spans="11:14" x14ac:dyDescent="0.25">
      <c r="K467" s="451"/>
      <c r="M467" s="451"/>
      <c r="N467" s="451"/>
    </row>
    <row r="468" spans="11:14" x14ac:dyDescent="0.25">
      <c r="K468" s="451"/>
      <c r="M468" s="451"/>
      <c r="N468" s="451"/>
    </row>
    <row r="469" spans="11:14" x14ac:dyDescent="0.25">
      <c r="K469" s="451"/>
      <c r="M469" s="451"/>
      <c r="N469" s="451"/>
    </row>
    <row r="470" spans="11:14" x14ac:dyDescent="0.25">
      <c r="K470" s="451"/>
      <c r="M470" s="451"/>
      <c r="N470" s="451"/>
    </row>
    <row r="471" spans="11:14" x14ac:dyDescent="0.25">
      <c r="K471" s="451"/>
      <c r="M471" s="451"/>
      <c r="N471" s="451"/>
    </row>
    <row r="472" spans="11:14" x14ac:dyDescent="0.25">
      <c r="K472" s="451"/>
      <c r="M472" s="451"/>
      <c r="N472" s="451"/>
    </row>
    <row r="473" spans="11:14" x14ac:dyDescent="0.25">
      <c r="K473" s="451"/>
      <c r="M473" s="451"/>
      <c r="N473" s="451"/>
    </row>
    <row r="474" spans="11:14" x14ac:dyDescent="0.25">
      <c r="K474" s="451"/>
      <c r="M474" s="451"/>
      <c r="N474" s="451"/>
    </row>
    <row r="475" spans="11:14" x14ac:dyDescent="0.25">
      <c r="K475" s="451"/>
      <c r="M475" s="451"/>
      <c r="N475" s="451"/>
    </row>
    <row r="476" spans="11:14" x14ac:dyDescent="0.25">
      <c r="K476" s="451"/>
      <c r="M476" s="451"/>
      <c r="N476" s="451"/>
    </row>
    <row r="477" spans="11:14" x14ac:dyDescent="0.25">
      <c r="K477" s="451"/>
      <c r="M477" s="451"/>
      <c r="N477" s="451"/>
    </row>
    <row r="478" spans="11:14" x14ac:dyDescent="0.25">
      <c r="K478" s="451"/>
      <c r="M478" s="451"/>
      <c r="N478" s="451"/>
    </row>
    <row r="479" spans="11:14" x14ac:dyDescent="0.25">
      <c r="K479" s="451"/>
      <c r="M479" s="451"/>
      <c r="N479" s="451"/>
    </row>
    <row r="480" spans="11:14" x14ac:dyDescent="0.25">
      <c r="K480" s="451"/>
      <c r="M480" s="451"/>
      <c r="N480" s="451"/>
    </row>
    <row r="481" spans="11:14" x14ac:dyDescent="0.25">
      <c r="K481" s="451"/>
      <c r="M481" s="451"/>
      <c r="N481" s="451"/>
    </row>
    <row r="482" spans="11:14" x14ac:dyDescent="0.25">
      <c r="K482" s="451"/>
      <c r="M482" s="451"/>
      <c r="N482" s="451"/>
    </row>
    <row r="483" spans="11:14" x14ac:dyDescent="0.25">
      <c r="K483" s="451"/>
      <c r="M483" s="451"/>
      <c r="N483" s="451"/>
    </row>
    <row r="484" spans="11:14" x14ac:dyDescent="0.25">
      <c r="K484" s="451"/>
      <c r="M484" s="451"/>
      <c r="N484" s="451"/>
    </row>
    <row r="485" spans="11:14" x14ac:dyDescent="0.25">
      <c r="K485" s="451"/>
      <c r="M485" s="451"/>
      <c r="N485" s="451"/>
    </row>
    <row r="486" spans="11:14" x14ac:dyDescent="0.25">
      <c r="K486" s="451"/>
      <c r="M486" s="451"/>
      <c r="N486" s="451"/>
    </row>
    <row r="487" spans="11:14" x14ac:dyDescent="0.25">
      <c r="K487" s="451"/>
      <c r="M487" s="451"/>
      <c r="N487" s="451"/>
    </row>
    <row r="488" spans="11:14" x14ac:dyDescent="0.25">
      <c r="K488" s="451"/>
      <c r="M488" s="451"/>
      <c r="N488" s="451"/>
    </row>
    <row r="489" spans="11:14" x14ac:dyDescent="0.25">
      <c r="K489" s="451"/>
      <c r="M489" s="451"/>
      <c r="N489" s="451"/>
    </row>
    <row r="490" spans="11:14" x14ac:dyDescent="0.25">
      <c r="K490" s="451"/>
      <c r="M490" s="451"/>
      <c r="N490" s="451"/>
    </row>
    <row r="491" spans="11:14" x14ac:dyDescent="0.25">
      <c r="K491" s="451"/>
      <c r="M491" s="451"/>
      <c r="N491" s="451"/>
    </row>
    <row r="492" spans="11:14" x14ac:dyDescent="0.25">
      <c r="K492" s="451"/>
      <c r="M492" s="451"/>
      <c r="N492" s="451"/>
    </row>
    <row r="493" spans="11:14" x14ac:dyDescent="0.25">
      <c r="K493" s="451"/>
      <c r="M493" s="451"/>
      <c r="N493" s="451"/>
    </row>
    <row r="494" spans="11:14" x14ac:dyDescent="0.25">
      <c r="K494" s="451"/>
      <c r="M494" s="451"/>
      <c r="N494" s="451"/>
    </row>
    <row r="495" spans="11:14" x14ac:dyDescent="0.25">
      <c r="K495" s="451"/>
      <c r="M495" s="451"/>
      <c r="N495" s="451"/>
    </row>
    <row r="496" spans="11:14" x14ac:dyDescent="0.25">
      <c r="K496" s="451"/>
      <c r="M496" s="451"/>
      <c r="N496" s="451"/>
    </row>
    <row r="497" spans="11:14" x14ac:dyDescent="0.25">
      <c r="K497" s="451"/>
      <c r="M497" s="451"/>
      <c r="N497" s="451"/>
    </row>
    <row r="498" spans="11:14" x14ac:dyDescent="0.25">
      <c r="K498" s="451"/>
      <c r="M498" s="451"/>
      <c r="N498" s="451"/>
    </row>
    <row r="499" spans="11:14" x14ac:dyDescent="0.25">
      <c r="K499" s="451"/>
      <c r="M499" s="451"/>
      <c r="N499" s="451"/>
    </row>
    <row r="500" spans="11:14" x14ac:dyDescent="0.25">
      <c r="K500" s="451"/>
      <c r="M500" s="451"/>
      <c r="N500" s="451"/>
    </row>
    <row r="501" spans="11:14" x14ac:dyDescent="0.25">
      <c r="K501" s="451"/>
      <c r="M501" s="451"/>
      <c r="N501" s="451"/>
    </row>
    <row r="502" spans="11:14" x14ac:dyDescent="0.25">
      <c r="K502" s="451"/>
      <c r="M502" s="451"/>
      <c r="N502" s="451"/>
    </row>
    <row r="503" spans="11:14" x14ac:dyDescent="0.25">
      <c r="K503" s="451"/>
      <c r="M503" s="451"/>
      <c r="N503" s="451"/>
    </row>
    <row r="504" spans="11:14" x14ac:dyDescent="0.25">
      <c r="K504" s="451"/>
      <c r="M504" s="451"/>
      <c r="N504" s="451"/>
    </row>
    <row r="505" spans="11:14" x14ac:dyDescent="0.25">
      <c r="K505" s="451"/>
      <c r="M505" s="451"/>
      <c r="N505" s="451"/>
    </row>
    <row r="506" spans="11:14" x14ac:dyDescent="0.25">
      <c r="K506" s="451"/>
      <c r="M506" s="451"/>
      <c r="N506" s="451"/>
    </row>
    <row r="507" spans="11:14" x14ac:dyDescent="0.25">
      <c r="K507" s="451"/>
      <c r="M507" s="451"/>
      <c r="N507" s="451"/>
    </row>
    <row r="508" spans="11:14" x14ac:dyDescent="0.25">
      <c r="K508" s="451"/>
      <c r="M508" s="451"/>
      <c r="N508" s="451"/>
    </row>
    <row r="509" spans="11:14" x14ac:dyDescent="0.25">
      <c r="K509" s="451"/>
      <c r="M509" s="451"/>
      <c r="N509" s="451"/>
    </row>
    <row r="510" spans="11:14" x14ac:dyDescent="0.25">
      <c r="K510" s="451"/>
      <c r="M510" s="451"/>
      <c r="N510" s="451"/>
    </row>
    <row r="511" spans="11:14" x14ac:dyDescent="0.25">
      <c r="K511" s="451"/>
      <c r="M511" s="451"/>
      <c r="N511" s="451"/>
    </row>
    <row r="512" spans="11:14" x14ac:dyDescent="0.25">
      <c r="K512" s="451"/>
      <c r="M512" s="451"/>
      <c r="N512" s="451"/>
    </row>
    <row r="513" spans="11:14" x14ac:dyDescent="0.25">
      <c r="K513" s="451"/>
      <c r="M513" s="451"/>
      <c r="N513" s="451"/>
    </row>
    <row r="514" spans="11:14" x14ac:dyDescent="0.25">
      <c r="K514" s="451"/>
      <c r="M514" s="451"/>
      <c r="N514" s="451"/>
    </row>
    <row r="515" spans="11:14" x14ac:dyDescent="0.25">
      <c r="K515" s="451"/>
      <c r="M515" s="451"/>
      <c r="N515" s="451"/>
    </row>
    <row r="516" spans="11:14" x14ac:dyDescent="0.25">
      <c r="K516" s="451"/>
      <c r="M516" s="451"/>
      <c r="N516" s="451"/>
    </row>
    <row r="517" spans="11:14" x14ac:dyDescent="0.25">
      <c r="K517" s="451"/>
      <c r="M517" s="451"/>
      <c r="N517" s="451"/>
    </row>
    <row r="518" spans="11:14" x14ac:dyDescent="0.25">
      <c r="K518" s="451"/>
      <c r="M518" s="451"/>
      <c r="N518" s="451"/>
    </row>
    <row r="519" spans="11:14" x14ac:dyDescent="0.25">
      <c r="K519" s="451"/>
      <c r="M519" s="451"/>
      <c r="N519" s="451"/>
    </row>
    <row r="520" spans="11:14" x14ac:dyDescent="0.25">
      <c r="K520" s="451"/>
      <c r="M520" s="451"/>
      <c r="N520" s="451"/>
    </row>
    <row r="521" spans="11:14" x14ac:dyDescent="0.25">
      <c r="K521" s="451"/>
      <c r="M521" s="451"/>
      <c r="N521" s="451"/>
    </row>
    <row r="522" spans="11:14" x14ac:dyDescent="0.25">
      <c r="K522" s="451"/>
      <c r="M522" s="451"/>
      <c r="N522" s="451"/>
    </row>
    <row r="523" spans="11:14" x14ac:dyDescent="0.25">
      <c r="K523" s="451"/>
      <c r="M523" s="451"/>
      <c r="N523" s="451"/>
    </row>
    <row r="524" spans="11:14" x14ac:dyDescent="0.25">
      <c r="K524" s="451"/>
      <c r="M524" s="451"/>
      <c r="N524" s="451"/>
    </row>
    <row r="525" spans="11:14" x14ac:dyDescent="0.25">
      <c r="K525" s="451"/>
      <c r="M525" s="451"/>
      <c r="N525" s="451"/>
    </row>
    <row r="526" spans="11:14" x14ac:dyDescent="0.25">
      <c r="K526" s="451"/>
      <c r="M526" s="451"/>
      <c r="N526" s="451"/>
    </row>
    <row r="527" spans="11:14" x14ac:dyDescent="0.25">
      <c r="K527" s="451"/>
      <c r="M527" s="451"/>
      <c r="N527" s="451"/>
    </row>
    <row r="528" spans="11:14" x14ac:dyDescent="0.25">
      <c r="K528" s="451"/>
      <c r="M528" s="451"/>
      <c r="N528" s="451"/>
    </row>
    <row r="529" spans="11:14" x14ac:dyDescent="0.25">
      <c r="K529" s="451"/>
      <c r="M529" s="451"/>
      <c r="N529" s="451"/>
    </row>
    <row r="530" spans="11:14" x14ac:dyDescent="0.25">
      <c r="K530" s="451"/>
      <c r="M530" s="451"/>
      <c r="N530" s="451"/>
    </row>
    <row r="531" spans="11:14" x14ac:dyDescent="0.25">
      <c r="K531" s="451"/>
      <c r="M531" s="451"/>
      <c r="N531" s="451"/>
    </row>
    <row r="532" spans="11:14" x14ac:dyDescent="0.25">
      <c r="K532" s="451"/>
      <c r="M532" s="451"/>
      <c r="N532" s="451"/>
    </row>
    <row r="533" spans="11:14" x14ac:dyDescent="0.25">
      <c r="K533" s="451"/>
      <c r="M533" s="451"/>
      <c r="N533" s="451"/>
    </row>
    <row r="534" spans="11:14" x14ac:dyDescent="0.25">
      <c r="K534" s="451"/>
      <c r="M534" s="451"/>
      <c r="N534" s="451"/>
    </row>
    <row r="535" spans="11:14" x14ac:dyDescent="0.25">
      <c r="K535" s="451"/>
      <c r="M535" s="451"/>
      <c r="N535" s="451"/>
    </row>
    <row r="536" spans="11:14" x14ac:dyDescent="0.25">
      <c r="K536" s="451"/>
      <c r="M536" s="451"/>
      <c r="N536" s="451"/>
    </row>
    <row r="537" spans="11:14" x14ac:dyDescent="0.25">
      <c r="K537" s="451"/>
      <c r="M537" s="451"/>
      <c r="N537" s="451"/>
    </row>
    <row r="538" spans="11:14" x14ac:dyDescent="0.25">
      <c r="K538" s="451"/>
      <c r="M538" s="451"/>
      <c r="N538" s="451"/>
    </row>
    <row r="539" spans="11:14" x14ac:dyDescent="0.25">
      <c r="K539" s="451"/>
      <c r="M539" s="451"/>
      <c r="N539" s="451"/>
    </row>
    <row r="540" spans="11:14" x14ac:dyDescent="0.25">
      <c r="K540" s="451"/>
      <c r="M540" s="451"/>
      <c r="N540" s="451"/>
    </row>
    <row r="541" spans="11:14" x14ac:dyDescent="0.25">
      <c r="K541" s="451"/>
      <c r="M541" s="451"/>
      <c r="N541" s="451"/>
    </row>
    <row r="542" spans="11:14" x14ac:dyDescent="0.25">
      <c r="K542" s="451"/>
      <c r="M542" s="451"/>
      <c r="N542" s="451"/>
    </row>
    <row r="543" spans="11:14" x14ac:dyDescent="0.25">
      <c r="K543" s="451"/>
      <c r="M543" s="451"/>
      <c r="N543" s="451"/>
    </row>
    <row r="544" spans="11:14" x14ac:dyDescent="0.25">
      <c r="K544" s="451"/>
      <c r="M544" s="451"/>
      <c r="N544" s="451"/>
    </row>
    <row r="545" spans="11:14" x14ac:dyDescent="0.25">
      <c r="K545" s="451"/>
      <c r="M545" s="451"/>
      <c r="N545" s="451"/>
    </row>
    <row r="546" spans="11:14" x14ac:dyDescent="0.25">
      <c r="K546" s="451"/>
      <c r="M546" s="451"/>
      <c r="N546" s="451"/>
    </row>
    <row r="547" spans="11:14" x14ac:dyDescent="0.25">
      <c r="K547" s="451"/>
      <c r="M547" s="451"/>
      <c r="N547" s="451"/>
    </row>
    <row r="548" spans="11:14" x14ac:dyDescent="0.25">
      <c r="K548" s="451"/>
      <c r="M548" s="451"/>
      <c r="N548" s="451"/>
    </row>
    <row r="549" spans="11:14" x14ac:dyDescent="0.25">
      <c r="K549" s="451"/>
      <c r="M549" s="451"/>
      <c r="N549" s="451"/>
    </row>
    <row r="550" spans="11:14" x14ac:dyDescent="0.25">
      <c r="K550" s="451"/>
      <c r="M550" s="451"/>
      <c r="N550" s="451"/>
    </row>
    <row r="551" spans="11:14" x14ac:dyDescent="0.25">
      <c r="K551" s="451"/>
      <c r="M551" s="451"/>
      <c r="N551" s="451"/>
    </row>
    <row r="552" spans="11:14" x14ac:dyDescent="0.25">
      <c r="K552" s="451"/>
      <c r="M552" s="451"/>
      <c r="N552" s="451"/>
    </row>
    <row r="553" spans="11:14" x14ac:dyDescent="0.25">
      <c r="K553" s="451"/>
      <c r="M553" s="451"/>
      <c r="N553" s="451"/>
    </row>
    <row r="554" spans="11:14" x14ac:dyDescent="0.25">
      <c r="K554" s="451"/>
      <c r="M554" s="451"/>
      <c r="N554" s="451"/>
    </row>
    <row r="555" spans="11:14" x14ac:dyDescent="0.25">
      <c r="K555" s="451"/>
      <c r="M555" s="451"/>
      <c r="N555" s="451"/>
    </row>
    <row r="556" spans="11:14" x14ac:dyDescent="0.25">
      <c r="K556" s="451"/>
      <c r="M556" s="451"/>
      <c r="N556" s="451"/>
    </row>
    <row r="557" spans="11:14" x14ac:dyDescent="0.25">
      <c r="K557" s="451"/>
      <c r="M557" s="451"/>
      <c r="N557" s="451"/>
    </row>
    <row r="558" spans="11:14" x14ac:dyDescent="0.25">
      <c r="K558" s="451"/>
      <c r="M558" s="451"/>
      <c r="N558" s="451"/>
    </row>
    <row r="559" spans="11:14" x14ac:dyDescent="0.25">
      <c r="K559" s="451"/>
      <c r="M559" s="451"/>
      <c r="N559" s="451"/>
    </row>
    <row r="560" spans="11:14" x14ac:dyDescent="0.25">
      <c r="K560" s="451"/>
      <c r="M560" s="451"/>
      <c r="N560" s="451"/>
    </row>
    <row r="561" spans="11:14" x14ac:dyDescent="0.25">
      <c r="K561" s="451"/>
      <c r="M561" s="451"/>
      <c r="N561" s="451"/>
    </row>
    <row r="562" spans="11:14" x14ac:dyDescent="0.25">
      <c r="K562" s="451"/>
      <c r="M562" s="451"/>
      <c r="N562" s="451"/>
    </row>
    <row r="563" spans="11:14" x14ac:dyDescent="0.25">
      <c r="K563" s="451"/>
      <c r="M563" s="451"/>
      <c r="N563" s="451"/>
    </row>
    <row r="564" spans="11:14" x14ac:dyDescent="0.25">
      <c r="K564" s="451"/>
      <c r="M564" s="451"/>
      <c r="N564" s="451"/>
    </row>
    <row r="565" spans="11:14" x14ac:dyDescent="0.25">
      <c r="K565" s="451"/>
      <c r="M565" s="451"/>
      <c r="N565" s="451"/>
    </row>
    <row r="566" spans="11:14" x14ac:dyDescent="0.25">
      <c r="K566" s="451"/>
      <c r="M566" s="451"/>
      <c r="N566" s="451"/>
    </row>
    <row r="567" spans="11:14" x14ac:dyDescent="0.25">
      <c r="K567" s="451"/>
      <c r="M567" s="451"/>
      <c r="N567" s="451"/>
    </row>
    <row r="568" spans="11:14" x14ac:dyDescent="0.25">
      <c r="K568" s="451"/>
      <c r="M568" s="451"/>
      <c r="N568" s="451"/>
    </row>
    <row r="569" spans="11:14" x14ac:dyDescent="0.25">
      <c r="K569" s="451"/>
      <c r="M569" s="451"/>
      <c r="N569" s="451"/>
    </row>
    <row r="570" spans="11:14" x14ac:dyDescent="0.25">
      <c r="K570" s="451"/>
      <c r="M570" s="451"/>
      <c r="N570" s="451"/>
    </row>
    <row r="571" spans="11:14" x14ac:dyDescent="0.25">
      <c r="K571" s="451"/>
      <c r="M571" s="451"/>
      <c r="N571" s="451"/>
    </row>
    <row r="572" spans="11:14" x14ac:dyDescent="0.25">
      <c r="K572" s="451"/>
      <c r="M572" s="451"/>
      <c r="N572" s="451"/>
    </row>
    <row r="573" spans="11:14" x14ac:dyDescent="0.25">
      <c r="K573" s="451"/>
      <c r="M573" s="451"/>
      <c r="N573" s="451"/>
    </row>
    <row r="574" spans="11:14" x14ac:dyDescent="0.25">
      <c r="K574" s="451"/>
      <c r="M574" s="451"/>
      <c r="N574" s="451"/>
    </row>
    <row r="575" spans="11:14" x14ac:dyDescent="0.25">
      <c r="K575" s="451"/>
      <c r="M575" s="451"/>
      <c r="N575" s="451"/>
    </row>
    <row r="576" spans="11:14" x14ac:dyDescent="0.25">
      <c r="K576" s="451"/>
      <c r="M576" s="451"/>
      <c r="N576" s="451"/>
    </row>
    <row r="577" spans="11:14" x14ac:dyDescent="0.25">
      <c r="K577" s="451"/>
      <c r="M577" s="451"/>
      <c r="N577" s="451"/>
    </row>
    <row r="578" spans="11:14" x14ac:dyDescent="0.25">
      <c r="K578" s="451"/>
      <c r="M578" s="451"/>
      <c r="N578" s="451"/>
    </row>
    <row r="579" spans="11:14" x14ac:dyDescent="0.25">
      <c r="K579" s="451"/>
      <c r="M579" s="451"/>
      <c r="N579" s="451"/>
    </row>
    <row r="580" spans="11:14" x14ac:dyDescent="0.25">
      <c r="K580" s="451"/>
      <c r="M580" s="451"/>
      <c r="N580" s="451"/>
    </row>
    <row r="581" spans="11:14" x14ac:dyDescent="0.25">
      <c r="K581" s="451"/>
      <c r="M581" s="451"/>
      <c r="N581" s="451"/>
    </row>
    <row r="582" spans="11:14" x14ac:dyDescent="0.25">
      <c r="K582" s="451"/>
      <c r="M582" s="451"/>
      <c r="N582" s="451"/>
    </row>
    <row r="583" spans="11:14" x14ac:dyDescent="0.25">
      <c r="K583" s="451"/>
      <c r="M583" s="451"/>
      <c r="N583" s="451"/>
    </row>
    <row r="584" spans="11:14" x14ac:dyDescent="0.25">
      <c r="K584" s="451"/>
      <c r="M584" s="451"/>
      <c r="N584" s="451"/>
    </row>
    <row r="585" spans="11:14" x14ac:dyDescent="0.25">
      <c r="K585" s="451"/>
      <c r="M585" s="451"/>
      <c r="N585" s="451"/>
    </row>
    <row r="586" spans="11:14" x14ac:dyDescent="0.25">
      <c r="K586" s="451"/>
      <c r="M586" s="451"/>
      <c r="N586" s="451"/>
    </row>
    <row r="587" spans="11:14" x14ac:dyDescent="0.25">
      <c r="K587" s="451"/>
      <c r="M587" s="451"/>
      <c r="N587" s="451"/>
    </row>
    <row r="588" spans="11:14" x14ac:dyDescent="0.25">
      <c r="K588" s="451"/>
      <c r="M588" s="451"/>
      <c r="N588" s="451"/>
    </row>
    <row r="589" spans="11:14" x14ac:dyDescent="0.25">
      <c r="K589" s="451"/>
      <c r="M589" s="451"/>
      <c r="N589" s="451"/>
    </row>
    <row r="590" spans="11:14" x14ac:dyDescent="0.25">
      <c r="K590" s="451"/>
      <c r="M590" s="451"/>
      <c r="N590" s="451"/>
    </row>
    <row r="591" spans="11:14" x14ac:dyDescent="0.25">
      <c r="K591" s="451"/>
      <c r="M591" s="451"/>
      <c r="N591" s="451"/>
    </row>
    <row r="592" spans="11:14" x14ac:dyDescent="0.25">
      <c r="K592" s="451"/>
      <c r="M592" s="451"/>
      <c r="N592" s="451"/>
    </row>
    <row r="593" spans="11:14" x14ac:dyDescent="0.25">
      <c r="K593" s="451"/>
      <c r="M593" s="451"/>
      <c r="N593" s="451"/>
    </row>
    <row r="594" spans="11:14" x14ac:dyDescent="0.25">
      <c r="K594" s="451"/>
      <c r="M594" s="451"/>
      <c r="N594" s="451"/>
    </row>
    <row r="595" spans="11:14" x14ac:dyDescent="0.25">
      <c r="K595" s="451"/>
      <c r="M595" s="451"/>
      <c r="N595" s="451"/>
    </row>
    <row r="596" spans="11:14" x14ac:dyDescent="0.25">
      <c r="K596" s="451"/>
      <c r="M596" s="451"/>
      <c r="N596" s="451"/>
    </row>
    <row r="597" spans="11:14" x14ac:dyDescent="0.25">
      <c r="K597" s="451"/>
      <c r="M597" s="451"/>
      <c r="N597" s="451"/>
    </row>
    <row r="598" spans="11:14" x14ac:dyDescent="0.25">
      <c r="K598" s="451"/>
      <c r="M598" s="451"/>
      <c r="N598" s="451"/>
    </row>
    <row r="599" spans="11:14" x14ac:dyDescent="0.25">
      <c r="K599" s="451"/>
      <c r="M599" s="451"/>
      <c r="N599" s="451"/>
    </row>
    <row r="600" spans="11:14" x14ac:dyDescent="0.25">
      <c r="K600" s="451"/>
      <c r="M600" s="451"/>
      <c r="N600" s="451"/>
    </row>
    <row r="601" spans="11:14" x14ac:dyDescent="0.25">
      <c r="K601" s="451"/>
      <c r="M601" s="451"/>
      <c r="N601" s="451"/>
    </row>
    <row r="602" spans="11:14" x14ac:dyDescent="0.25">
      <c r="K602" s="451"/>
      <c r="M602" s="451"/>
      <c r="N602" s="451"/>
    </row>
    <row r="603" spans="11:14" x14ac:dyDescent="0.25">
      <c r="K603" s="451"/>
      <c r="M603" s="451"/>
      <c r="N603" s="451"/>
    </row>
    <row r="604" spans="11:14" x14ac:dyDescent="0.25">
      <c r="K604" s="451"/>
      <c r="M604" s="451"/>
      <c r="N604" s="451"/>
    </row>
    <row r="605" spans="11:14" x14ac:dyDescent="0.25">
      <c r="K605" s="451"/>
      <c r="M605" s="451"/>
      <c r="N605" s="451"/>
    </row>
    <row r="606" spans="11:14" x14ac:dyDescent="0.25">
      <c r="K606" s="451"/>
      <c r="M606" s="451"/>
      <c r="N606" s="451"/>
    </row>
    <row r="607" spans="11:14" x14ac:dyDescent="0.25">
      <c r="K607" s="451"/>
      <c r="M607" s="451"/>
      <c r="N607" s="451"/>
    </row>
    <row r="608" spans="11:14" x14ac:dyDescent="0.25">
      <c r="K608" s="451"/>
      <c r="M608" s="451"/>
      <c r="N608" s="451"/>
    </row>
    <row r="609" spans="11:14" x14ac:dyDescent="0.25">
      <c r="K609" s="451"/>
      <c r="M609" s="451"/>
      <c r="N609" s="451"/>
    </row>
    <row r="610" spans="11:14" x14ac:dyDescent="0.25">
      <c r="K610" s="451"/>
      <c r="M610" s="451"/>
      <c r="N610" s="451"/>
    </row>
    <row r="611" spans="11:14" x14ac:dyDescent="0.25">
      <c r="K611" s="451"/>
      <c r="M611" s="451"/>
      <c r="N611" s="451"/>
    </row>
    <row r="612" spans="11:14" x14ac:dyDescent="0.25">
      <c r="K612" s="451"/>
      <c r="M612" s="451"/>
      <c r="N612" s="451"/>
    </row>
    <row r="613" spans="11:14" x14ac:dyDescent="0.25">
      <c r="K613" s="451"/>
      <c r="M613" s="451"/>
      <c r="N613" s="451"/>
    </row>
    <row r="614" spans="11:14" x14ac:dyDescent="0.25">
      <c r="K614" s="451"/>
      <c r="M614" s="451"/>
      <c r="N614" s="451"/>
    </row>
    <row r="615" spans="11:14" x14ac:dyDescent="0.25">
      <c r="K615" s="451"/>
      <c r="M615" s="451"/>
      <c r="N615" s="451"/>
    </row>
    <row r="616" spans="11:14" x14ac:dyDescent="0.25">
      <c r="K616" s="451"/>
      <c r="M616" s="451"/>
      <c r="N616" s="451"/>
    </row>
    <row r="617" spans="11:14" x14ac:dyDescent="0.25">
      <c r="K617" s="451"/>
      <c r="M617" s="451"/>
      <c r="N617" s="451"/>
    </row>
    <row r="618" spans="11:14" x14ac:dyDescent="0.25">
      <c r="K618" s="451"/>
      <c r="M618" s="451"/>
      <c r="N618" s="451"/>
    </row>
    <row r="619" spans="11:14" x14ac:dyDescent="0.25">
      <c r="K619" s="451"/>
      <c r="M619" s="451"/>
      <c r="N619" s="451"/>
    </row>
    <row r="620" spans="11:14" x14ac:dyDescent="0.25">
      <c r="K620" s="451"/>
      <c r="M620" s="451"/>
      <c r="N620" s="451"/>
    </row>
    <row r="621" spans="11:14" x14ac:dyDescent="0.25">
      <c r="K621" s="451"/>
      <c r="M621" s="451"/>
      <c r="N621" s="451"/>
    </row>
    <row r="622" spans="11:14" x14ac:dyDescent="0.25">
      <c r="K622" s="451"/>
      <c r="M622" s="451"/>
      <c r="N622" s="451"/>
    </row>
    <row r="623" spans="11:14" x14ac:dyDescent="0.25">
      <c r="K623" s="451"/>
      <c r="M623" s="451"/>
      <c r="N623" s="451"/>
    </row>
    <row r="624" spans="11:14" x14ac:dyDescent="0.25">
      <c r="K624" s="451"/>
      <c r="M624" s="451"/>
      <c r="N624" s="451"/>
    </row>
    <row r="625" spans="11:14" x14ac:dyDescent="0.25">
      <c r="K625" s="451"/>
      <c r="M625" s="451"/>
      <c r="N625" s="451"/>
    </row>
    <row r="626" spans="11:14" x14ac:dyDescent="0.25">
      <c r="K626" s="451"/>
      <c r="M626" s="451"/>
      <c r="N626" s="451"/>
    </row>
    <row r="627" spans="11:14" x14ac:dyDescent="0.25">
      <c r="K627" s="451"/>
      <c r="M627" s="451"/>
      <c r="N627" s="451"/>
    </row>
    <row r="628" spans="11:14" x14ac:dyDescent="0.25">
      <c r="K628" s="451"/>
      <c r="M628" s="451"/>
      <c r="N628" s="451"/>
    </row>
    <row r="629" spans="11:14" x14ac:dyDescent="0.25">
      <c r="K629" s="451"/>
      <c r="M629" s="451"/>
      <c r="N629" s="451"/>
    </row>
    <row r="630" spans="11:14" x14ac:dyDescent="0.25">
      <c r="K630" s="451"/>
      <c r="M630" s="451"/>
      <c r="N630" s="451"/>
    </row>
    <row r="631" spans="11:14" x14ac:dyDescent="0.25">
      <c r="K631" s="451"/>
      <c r="M631" s="451"/>
      <c r="N631" s="451"/>
    </row>
    <row r="632" spans="11:14" x14ac:dyDescent="0.25">
      <c r="K632" s="451"/>
      <c r="M632" s="451"/>
      <c r="N632" s="451"/>
    </row>
    <row r="633" spans="11:14" x14ac:dyDescent="0.25">
      <c r="K633" s="451"/>
      <c r="M633" s="451"/>
      <c r="N633" s="451"/>
    </row>
    <row r="634" spans="11:14" x14ac:dyDescent="0.25">
      <c r="K634" s="451"/>
      <c r="M634" s="451"/>
      <c r="N634" s="451"/>
    </row>
    <row r="635" spans="11:14" x14ac:dyDescent="0.25">
      <c r="K635" s="451"/>
      <c r="M635" s="451"/>
      <c r="N635" s="451"/>
    </row>
    <row r="636" spans="11:14" x14ac:dyDescent="0.25">
      <c r="K636" s="451"/>
      <c r="M636" s="451"/>
      <c r="N636" s="451"/>
    </row>
    <row r="637" spans="11:14" x14ac:dyDescent="0.25">
      <c r="K637" s="451"/>
      <c r="M637" s="451"/>
      <c r="N637" s="451"/>
    </row>
    <row r="638" spans="11:14" x14ac:dyDescent="0.25">
      <c r="K638" s="451"/>
      <c r="M638" s="451"/>
      <c r="N638" s="451"/>
    </row>
    <row r="639" spans="11:14" x14ac:dyDescent="0.25">
      <c r="K639" s="451"/>
      <c r="M639" s="451"/>
      <c r="N639" s="451"/>
    </row>
    <row r="640" spans="11:14" x14ac:dyDescent="0.25">
      <c r="K640" s="451"/>
      <c r="M640" s="451"/>
      <c r="N640" s="451"/>
    </row>
    <row r="641" spans="11:14" x14ac:dyDescent="0.25">
      <c r="K641" s="451"/>
      <c r="M641" s="451"/>
      <c r="N641" s="451"/>
    </row>
    <row r="642" spans="11:14" x14ac:dyDescent="0.25">
      <c r="K642" s="451"/>
      <c r="M642" s="451"/>
      <c r="N642" s="451"/>
    </row>
    <row r="643" spans="11:14" x14ac:dyDescent="0.25">
      <c r="K643" s="451"/>
      <c r="M643" s="451"/>
      <c r="N643" s="451"/>
    </row>
    <row r="644" spans="11:14" x14ac:dyDescent="0.25">
      <c r="K644" s="451"/>
      <c r="M644" s="451"/>
      <c r="N644" s="451"/>
    </row>
    <row r="645" spans="11:14" x14ac:dyDescent="0.25">
      <c r="K645" s="451"/>
      <c r="M645" s="451"/>
      <c r="N645" s="451"/>
    </row>
    <row r="646" spans="11:14" x14ac:dyDescent="0.25">
      <c r="K646" s="451"/>
      <c r="M646" s="451"/>
      <c r="N646" s="451"/>
    </row>
    <row r="647" spans="11:14" x14ac:dyDescent="0.25">
      <c r="K647" s="451"/>
      <c r="M647" s="451"/>
      <c r="N647" s="451"/>
    </row>
    <row r="648" spans="11:14" x14ac:dyDescent="0.25">
      <c r="K648" s="451"/>
      <c r="M648" s="451"/>
      <c r="N648" s="451"/>
    </row>
    <row r="649" spans="11:14" x14ac:dyDescent="0.25">
      <c r="K649" s="451"/>
      <c r="M649" s="451"/>
      <c r="N649" s="451"/>
    </row>
    <row r="650" spans="11:14" x14ac:dyDescent="0.25">
      <c r="K650" s="451"/>
      <c r="M650" s="451"/>
      <c r="N650" s="451"/>
    </row>
    <row r="651" spans="11:14" x14ac:dyDescent="0.25">
      <c r="K651" s="451"/>
      <c r="M651" s="451"/>
      <c r="N651" s="451"/>
    </row>
    <row r="652" spans="11:14" x14ac:dyDescent="0.25">
      <c r="K652" s="451"/>
      <c r="M652" s="451"/>
      <c r="N652" s="451"/>
    </row>
    <row r="653" spans="11:14" x14ac:dyDescent="0.25">
      <c r="K653" s="451"/>
      <c r="M653" s="451"/>
      <c r="N653" s="451"/>
    </row>
    <row r="654" spans="11:14" x14ac:dyDescent="0.25">
      <c r="K654" s="451"/>
      <c r="M654" s="451"/>
      <c r="N654" s="451"/>
    </row>
    <row r="655" spans="11:14" x14ac:dyDescent="0.25">
      <c r="K655" s="451"/>
      <c r="M655" s="451"/>
      <c r="N655" s="451"/>
    </row>
    <row r="656" spans="11:14" x14ac:dyDescent="0.25">
      <c r="K656" s="451"/>
      <c r="M656" s="451"/>
      <c r="N656" s="451"/>
    </row>
    <row r="657" spans="11:14" x14ac:dyDescent="0.25">
      <c r="K657" s="451"/>
      <c r="M657" s="451"/>
      <c r="N657" s="451"/>
    </row>
    <row r="658" spans="11:14" x14ac:dyDescent="0.25">
      <c r="K658" s="451"/>
      <c r="M658" s="451"/>
      <c r="N658" s="451"/>
    </row>
    <row r="659" spans="11:14" x14ac:dyDescent="0.25">
      <c r="K659" s="451"/>
      <c r="M659" s="451"/>
      <c r="N659" s="451"/>
    </row>
    <row r="660" spans="11:14" x14ac:dyDescent="0.25">
      <c r="K660" s="451"/>
      <c r="M660" s="451"/>
      <c r="N660" s="451"/>
    </row>
    <row r="661" spans="11:14" x14ac:dyDescent="0.25">
      <c r="K661" s="451"/>
      <c r="M661" s="451"/>
      <c r="N661" s="451"/>
    </row>
    <row r="662" spans="11:14" x14ac:dyDescent="0.25">
      <c r="K662" s="451"/>
      <c r="M662" s="451"/>
      <c r="N662" s="451"/>
    </row>
    <row r="663" spans="11:14" x14ac:dyDescent="0.25">
      <c r="K663" s="451"/>
      <c r="M663" s="451"/>
      <c r="N663" s="451"/>
    </row>
    <row r="664" spans="11:14" x14ac:dyDescent="0.25">
      <c r="K664" s="451"/>
      <c r="M664" s="451"/>
      <c r="N664" s="451"/>
    </row>
    <row r="665" spans="11:14" x14ac:dyDescent="0.25">
      <c r="K665" s="451"/>
      <c r="M665" s="451"/>
      <c r="N665" s="451"/>
    </row>
    <row r="666" spans="11:14" x14ac:dyDescent="0.25">
      <c r="K666" s="451"/>
      <c r="M666" s="451"/>
      <c r="N666" s="451"/>
    </row>
    <row r="667" spans="11:14" x14ac:dyDescent="0.25">
      <c r="K667" s="451"/>
      <c r="M667" s="451"/>
      <c r="N667" s="451"/>
    </row>
    <row r="668" spans="11:14" x14ac:dyDescent="0.25">
      <c r="K668" s="451"/>
      <c r="M668" s="451"/>
      <c r="N668" s="451"/>
    </row>
    <row r="669" spans="11:14" x14ac:dyDescent="0.25">
      <c r="K669" s="451"/>
      <c r="M669" s="451"/>
      <c r="N669" s="451"/>
    </row>
    <row r="670" spans="11:14" x14ac:dyDescent="0.25">
      <c r="K670" s="451"/>
      <c r="M670" s="451"/>
      <c r="N670" s="451"/>
    </row>
    <row r="671" spans="11:14" x14ac:dyDescent="0.25">
      <c r="K671" s="451"/>
      <c r="M671" s="451"/>
      <c r="N671" s="451"/>
    </row>
    <row r="672" spans="11:14" x14ac:dyDescent="0.25">
      <c r="K672" s="451"/>
      <c r="M672" s="451"/>
      <c r="N672" s="451"/>
    </row>
    <row r="673" spans="11:14" x14ac:dyDescent="0.25">
      <c r="K673" s="451"/>
      <c r="M673" s="451"/>
      <c r="N673" s="451"/>
    </row>
    <row r="674" spans="11:14" x14ac:dyDescent="0.25">
      <c r="K674" s="451"/>
      <c r="M674" s="451"/>
      <c r="N674" s="451"/>
    </row>
    <row r="675" spans="11:14" x14ac:dyDescent="0.25">
      <c r="K675" s="451"/>
      <c r="M675" s="451"/>
      <c r="N675" s="451"/>
    </row>
    <row r="676" spans="11:14" x14ac:dyDescent="0.25">
      <c r="K676" s="451"/>
      <c r="M676" s="451"/>
      <c r="N676" s="451"/>
    </row>
    <row r="677" spans="11:14" x14ac:dyDescent="0.25">
      <c r="K677" s="451"/>
      <c r="M677" s="451"/>
      <c r="N677" s="451"/>
    </row>
    <row r="678" spans="11:14" x14ac:dyDescent="0.25">
      <c r="K678" s="451"/>
      <c r="M678" s="451"/>
      <c r="N678" s="451"/>
    </row>
    <row r="679" spans="11:14" x14ac:dyDescent="0.25">
      <c r="K679" s="451"/>
      <c r="M679" s="451"/>
      <c r="N679" s="451"/>
    </row>
    <row r="680" spans="11:14" x14ac:dyDescent="0.25">
      <c r="K680" s="451"/>
      <c r="M680" s="451"/>
      <c r="N680" s="451"/>
    </row>
    <row r="681" spans="11:14" x14ac:dyDescent="0.25">
      <c r="K681" s="451"/>
      <c r="M681" s="451"/>
      <c r="N681" s="451"/>
    </row>
    <row r="682" spans="11:14" x14ac:dyDescent="0.25">
      <c r="K682" s="451"/>
      <c r="M682" s="451"/>
      <c r="N682" s="451"/>
    </row>
    <row r="683" spans="11:14" x14ac:dyDescent="0.25">
      <c r="K683" s="451"/>
      <c r="M683" s="451"/>
      <c r="N683" s="451"/>
    </row>
    <row r="684" spans="11:14" x14ac:dyDescent="0.25">
      <c r="K684" s="451"/>
      <c r="M684" s="451"/>
      <c r="N684" s="451"/>
    </row>
    <row r="685" spans="11:14" x14ac:dyDescent="0.25">
      <c r="K685" s="451"/>
      <c r="M685" s="451"/>
      <c r="N685" s="451"/>
    </row>
    <row r="686" spans="11:14" x14ac:dyDescent="0.25">
      <c r="K686" s="451"/>
      <c r="M686" s="451"/>
      <c r="N686" s="451"/>
    </row>
    <row r="687" spans="11:14" x14ac:dyDescent="0.25">
      <c r="K687" s="451"/>
      <c r="M687" s="451"/>
      <c r="N687" s="451"/>
    </row>
    <row r="688" spans="11:14" x14ac:dyDescent="0.25">
      <c r="K688" s="451"/>
      <c r="M688" s="451"/>
      <c r="N688" s="451"/>
    </row>
    <row r="689" spans="11:14" x14ac:dyDescent="0.25">
      <c r="K689" s="451"/>
      <c r="M689" s="451"/>
      <c r="N689" s="451"/>
    </row>
    <row r="690" spans="11:14" x14ac:dyDescent="0.25">
      <c r="K690" s="451"/>
      <c r="M690" s="451"/>
      <c r="N690" s="451"/>
    </row>
    <row r="691" spans="11:14" x14ac:dyDescent="0.25">
      <c r="K691" s="451"/>
      <c r="M691" s="451"/>
      <c r="N691" s="451"/>
    </row>
    <row r="692" spans="11:14" x14ac:dyDescent="0.25">
      <c r="K692" s="451"/>
      <c r="M692" s="451"/>
      <c r="N692" s="451"/>
    </row>
    <row r="693" spans="11:14" x14ac:dyDescent="0.25">
      <c r="K693" s="451"/>
      <c r="M693" s="451"/>
      <c r="N693" s="451"/>
    </row>
    <row r="694" spans="11:14" x14ac:dyDescent="0.25">
      <c r="K694" s="451"/>
      <c r="M694" s="451"/>
      <c r="N694" s="451"/>
    </row>
    <row r="695" spans="11:14" x14ac:dyDescent="0.25">
      <c r="K695" s="451"/>
      <c r="M695" s="451"/>
      <c r="N695" s="451"/>
    </row>
    <row r="696" spans="11:14" x14ac:dyDescent="0.25">
      <c r="K696" s="451"/>
      <c r="M696" s="451"/>
      <c r="N696" s="451"/>
    </row>
    <row r="697" spans="11:14" x14ac:dyDescent="0.25">
      <c r="K697" s="451"/>
      <c r="M697" s="451"/>
      <c r="N697" s="451"/>
    </row>
    <row r="698" spans="11:14" x14ac:dyDescent="0.25">
      <c r="K698" s="451"/>
      <c r="M698" s="451"/>
      <c r="N698" s="451"/>
    </row>
    <row r="699" spans="11:14" x14ac:dyDescent="0.25">
      <c r="K699" s="451"/>
      <c r="M699" s="451"/>
      <c r="N699" s="451"/>
    </row>
    <row r="700" spans="11:14" x14ac:dyDescent="0.25">
      <c r="K700" s="451"/>
      <c r="M700" s="451"/>
      <c r="N700" s="451"/>
    </row>
    <row r="701" spans="11:14" x14ac:dyDescent="0.25">
      <c r="K701" s="451"/>
      <c r="M701" s="451"/>
      <c r="N701" s="451"/>
    </row>
    <row r="702" spans="11:14" x14ac:dyDescent="0.25">
      <c r="K702" s="451"/>
      <c r="M702" s="451"/>
      <c r="N702" s="451"/>
    </row>
    <row r="703" spans="11:14" x14ac:dyDescent="0.25">
      <c r="K703" s="451"/>
      <c r="M703" s="451"/>
      <c r="N703" s="451"/>
    </row>
    <row r="704" spans="11:14" x14ac:dyDescent="0.25">
      <c r="K704" s="451"/>
      <c r="M704" s="451"/>
      <c r="N704" s="451"/>
    </row>
    <row r="705" spans="11:14" x14ac:dyDescent="0.25">
      <c r="K705" s="451"/>
      <c r="M705" s="451"/>
      <c r="N705" s="451"/>
    </row>
    <row r="706" spans="11:14" x14ac:dyDescent="0.25">
      <c r="K706" s="451"/>
      <c r="M706" s="451"/>
      <c r="N706" s="451"/>
    </row>
    <row r="707" spans="11:14" x14ac:dyDescent="0.25">
      <c r="K707" s="451"/>
      <c r="M707" s="451"/>
      <c r="N707" s="451"/>
    </row>
    <row r="708" spans="11:14" x14ac:dyDescent="0.25">
      <c r="K708" s="451"/>
      <c r="M708" s="451"/>
      <c r="N708" s="451"/>
    </row>
    <row r="709" spans="11:14" x14ac:dyDescent="0.25">
      <c r="K709" s="451"/>
      <c r="M709" s="451"/>
      <c r="N709" s="451"/>
    </row>
    <row r="710" spans="11:14" x14ac:dyDescent="0.25">
      <c r="K710" s="451"/>
      <c r="M710" s="451"/>
      <c r="N710" s="451"/>
    </row>
    <row r="711" spans="11:14" x14ac:dyDescent="0.25">
      <c r="K711" s="451"/>
      <c r="M711" s="451"/>
      <c r="N711" s="451"/>
    </row>
    <row r="712" spans="11:14" x14ac:dyDescent="0.25">
      <c r="K712" s="451"/>
      <c r="M712" s="451"/>
      <c r="N712" s="451"/>
    </row>
    <row r="713" spans="11:14" x14ac:dyDescent="0.25">
      <c r="K713" s="451"/>
      <c r="M713" s="451"/>
      <c r="N713" s="451"/>
    </row>
    <row r="714" spans="11:14" x14ac:dyDescent="0.25">
      <c r="K714" s="451"/>
      <c r="M714" s="451"/>
      <c r="N714" s="451"/>
    </row>
    <row r="715" spans="11:14" x14ac:dyDescent="0.25">
      <c r="K715" s="451"/>
      <c r="M715" s="451"/>
      <c r="N715" s="451"/>
    </row>
    <row r="716" spans="11:14" x14ac:dyDescent="0.25">
      <c r="K716" s="451"/>
      <c r="M716" s="451"/>
      <c r="N716" s="451"/>
    </row>
    <row r="717" spans="11:14" x14ac:dyDescent="0.25">
      <c r="K717" s="451"/>
      <c r="M717" s="451"/>
      <c r="N717" s="451"/>
    </row>
    <row r="718" spans="11:14" x14ac:dyDescent="0.25">
      <c r="K718" s="451"/>
      <c r="M718" s="451"/>
      <c r="N718" s="451"/>
    </row>
    <row r="719" spans="11:14" x14ac:dyDescent="0.25">
      <c r="K719" s="451"/>
      <c r="M719" s="451"/>
      <c r="N719" s="451"/>
    </row>
    <row r="720" spans="11:14" x14ac:dyDescent="0.25">
      <c r="K720" s="451"/>
      <c r="M720" s="451"/>
      <c r="N720" s="451"/>
    </row>
    <row r="721" spans="11:14" x14ac:dyDescent="0.25">
      <c r="K721" s="451"/>
      <c r="M721" s="451"/>
      <c r="N721" s="451"/>
    </row>
    <row r="722" spans="11:14" x14ac:dyDescent="0.25">
      <c r="K722" s="451"/>
      <c r="M722" s="451"/>
      <c r="N722" s="451"/>
    </row>
    <row r="723" spans="11:14" x14ac:dyDescent="0.25">
      <c r="K723" s="451"/>
      <c r="M723" s="451"/>
      <c r="N723" s="451"/>
    </row>
    <row r="724" spans="11:14" x14ac:dyDescent="0.25">
      <c r="K724" s="451"/>
      <c r="M724" s="451"/>
      <c r="N724" s="451"/>
    </row>
    <row r="725" spans="11:14" x14ac:dyDescent="0.25">
      <c r="K725" s="451"/>
      <c r="M725" s="451"/>
      <c r="N725" s="451"/>
    </row>
    <row r="726" spans="11:14" x14ac:dyDescent="0.25">
      <c r="K726" s="451"/>
      <c r="M726" s="451"/>
      <c r="N726" s="451"/>
    </row>
    <row r="727" spans="11:14" x14ac:dyDescent="0.25">
      <c r="K727" s="451"/>
      <c r="M727" s="451"/>
      <c r="N727" s="451"/>
    </row>
    <row r="728" spans="11:14" x14ac:dyDescent="0.25">
      <c r="K728" s="451"/>
      <c r="M728" s="451"/>
      <c r="N728" s="451"/>
    </row>
    <row r="729" spans="11:14" x14ac:dyDescent="0.25">
      <c r="K729" s="451"/>
      <c r="M729" s="451"/>
      <c r="N729" s="451"/>
    </row>
    <row r="730" spans="11:14" x14ac:dyDescent="0.25">
      <c r="K730" s="451"/>
      <c r="M730" s="451"/>
      <c r="N730" s="451"/>
    </row>
    <row r="731" spans="11:14" x14ac:dyDescent="0.25">
      <c r="K731" s="451"/>
      <c r="M731" s="451"/>
      <c r="N731" s="451"/>
    </row>
    <row r="732" spans="11:14" x14ac:dyDescent="0.25">
      <c r="K732" s="451"/>
      <c r="M732" s="451"/>
      <c r="N732" s="451"/>
    </row>
    <row r="733" spans="11:14" x14ac:dyDescent="0.25">
      <c r="K733" s="451"/>
      <c r="M733" s="451"/>
      <c r="N733" s="451"/>
    </row>
    <row r="734" spans="11:14" x14ac:dyDescent="0.25">
      <c r="K734" s="451"/>
      <c r="M734" s="451"/>
      <c r="N734" s="451"/>
    </row>
    <row r="735" spans="11:14" x14ac:dyDescent="0.25">
      <c r="K735" s="451"/>
      <c r="M735" s="451"/>
      <c r="N735" s="451"/>
    </row>
    <row r="736" spans="11:14" x14ac:dyDescent="0.25">
      <c r="K736" s="451"/>
      <c r="M736" s="451"/>
      <c r="N736" s="451"/>
    </row>
    <row r="737" spans="11:14" x14ac:dyDescent="0.25">
      <c r="K737" s="451"/>
      <c r="M737" s="451"/>
      <c r="N737" s="451"/>
    </row>
    <row r="738" spans="11:14" x14ac:dyDescent="0.25">
      <c r="K738" s="451"/>
      <c r="M738" s="451"/>
      <c r="N738" s="451"/>
    </row>
    <row r="739" spans="11:14" x14ac:dyDescent="0.25">
      <c r="K739" s="451"/>
      <c r="M739" s="451"/>
      <c r="N739" s="451"/>
    </row>
    <row r="740" spans="11:14" x14ac:dyDescent="0.25">
      <c r="K740" s="451"/>
      <c r="M740" s="451"/>
      <c r="N740" s="451"/>
    </row>
    <row r="741" spans="11:14" x14ac:dyDescent="0.25">
      <c r="K741" s="451"/>
      <c r="M741" s="451"/>
      <c r="N741" s="451"/>
    </row>
    <row r="742" spans="11:14" x14ac:dyDescent="0.25">
      <c r="K742" s="451"/>
      <c r="M742" s="451"/>
      <c r="N742" s="451"/>
    </row>
    <row r="743" spans="11:14" x14ac:dyDescent="0.25">
      <c r="K743" s="451"/>
      <c r="M743" s="451"/>
      <c r="N743" s="451"/>
    </row>
    <row r="744" spans="11:14" x14ac:dyDescent="0.25">
      <c r="K744" s="451"/>
      <c r="M744" s="451"/>
      <c r="N744" s="451"/>
    </row>
    <row r="745" spans="11:14" x14ac:dyDescent="0.25">
      <c r="K745" s="451"/>
      <c r="M745" s="451"/>
      <c r="N745" s="451"/>
    </row>
    <row r="746" spans="11:14" x14ac:dyDescent="0.25">
      <c r="K746" s="451"/>
      <c r="M746" s="451"/>
      <c r="N746" s="451"/>
    </row>
    <row r="747" spans="11:14" x14ac:dyDescent="0.25">
      <c r="K747" s="451"/>
      <c r="M747" s="451"/>
      <c r="N747" s="451"/>
    </row>
    <row r="748" spans="11:14" x14ac:dyDescent="0.25">
      <c r="K748" s="451"/>
      <c r="M748" s="451"/>
      <c r="N748" s="451"/>
    </row>
    <row r="749" spans="11:14" x14ac:dyDescent="0.25">
      <c r="K749" s="451"/>
      <c r="M749" s="451"/>
      <c r="N749" s="451"/>
    </row>
    <row r="750" spans="11:14" x14ac:dyDescent="0.25">
      <c r="K750" s="451"/>
      <c r="M750" s="451"/>
      <c r="N750" s="451"/>
    </row>
    <row r="751" spans="11:14" x14ac:dyDescent="0.25">
      <c r="K751" s="451"/>
      <c r="M751" s="451"/>
      <c r="N751" s="451"/>
    </row>
    <row r="752" spans="11:14" x14ac:dyDescent="0.25">
      <c r="K752" s="451"/>
      <c r="M752" s="451"/>
      <c r="N752" s="451"/>
    </row>
    <row r="753" spans="11:14" x14ac:dyDescent="0.25">
      <c r="K753" s="451"/>
      <c r="M753" s="451"/>
      <c r="N753" s="451"/>
    </row>
    <row r="754" spans="11:14" x14ac:dyDescent="0.25">
      <c r="K754" s="451"/>
      <c r="M754" s="451"/>
      <c r="N754" s="451"/>
    </row>
    <row r="755" spans="11:14" x14ac:dyDescent="0.25">
      <c r="K755" s="451"/>
      <c r="M755" s="451"/>
      <c r="N755" s="451"/>
    </row>
    <row r="756" spans="11:14" x14ac:dyDescent="0.25">
      <c r="K756" s="451"/>
      <c r="M756" s="451"/>
      <c r="N756" s="451"/>
    </row>
    <row r="757" spans="11:14" x14ac:dyDescent="0.25">
      <c r="K757" s="451"/>
      <c r="M757" s="451"/>
      <c r="N757" s="451"/>
    </row>
    <row r="758" spans="11:14" x14ac:dyDescent="0.25">
      <c r="K758" s="451"/>
      <c r="M758" s="451"/>
      <c r="N758" s="451"/>
    </row>
    <row r="759" spans="11:14" x14ac:dyDescent="0.25">
      <c r="K759" s="451"/>
      <c r="M759" s="451"/>
      <c r="N759" s="451"/>
    </row>
    <row r="760" spans="11:14" x14ac:dyDescent="0.25">
      <c r="K760" s="451"/>
      <c r="M760" s="451"/>
      <c r="N760" s="451"/>
    </row>
    <row r="761" spans="11:14" x14ac:dyDescent="0.25">
      <c r="K761" s="451"/>
      <c r="M761" s="451"/>
      <c r="N761" s="451"/>
    </row>
    <row r="762" spans="11:14" x14ac:dyDescent="0.25">
      <c r="K762" s="451"/>
      <c r="M762" s="451"/>
      <c r="N762" s="451"/>
    </row>
    <row r="763" spans="11:14" x14ac:dyDescent="0.25">
      <c r="K763" s="451"/>
      <c r="M763" s="451"/>
      <c r="N763" s="451"/>
    </row>
    <row r="764" spans="11:14" x14ac:dyDescent="0.25">
      <c r="K764" s="451"/>
      <c r="M764" s="451"/>
      <c r="N764" s="451"/>
    </row>
    <row r="765" spans="11:14" x14ac:dyDescent="0.25">
      <c r="K765" s="451"/>
      <c r="M765" s="451"/>
      <c r="N765" s="451"/>
    </row>
    <row r="766" spans="11:14" x14ac:dyDescent="0.25">
      <c r="K766" s="451"/>
      <c r="M766" s="451"/>
      <c r="N766" s="451"/>
    </row>
    <row r="767" spans="11:14" x14ac:dyDescent="0.25">
      <c r="K767" s="451"/>
      <c r="M767" s="451"/>
      <c r="N767" s="451"/>
    </row>
    <row r="768" spans="11:14" x14ac:dyDescent="0.25">
      <c r="K768" s="451"/>
      <c r="M768" s="451"/>
      <c r="N768" s="451"/>
    </row>
    <row r="769" spans="11:14" x14ac:dyDescent="0.25">
      <c r="K769" s="451"/>
      <c r="M769" s="451"/>
      <c r="N769" s="451"/>
    </row>
    <row r="770" spans="11:14" x14ac:dyDescent="0.25">
      <c r="K770" s="451"/>
      <c r="M770" s="451"/>
      <c r="N770" s="451"/>
    </row>
    <row r="771" spans="11:14" x14ac:dyDescent="0.25">
      <c r="K771" s="451"/>
      <c r="M771" s="451"/>
      <c r="N771" s="451"/>
    </row>
    <row r="772" spans="11:14" x14ac:dyDescent="0.25">
      <c r="K772" s="451"/>
      <c r="M772" s="451"/>
      <c r="N772" s="451"/>
    </row>
    <row r="773" spans="11:14" x14ac:dyDescent="0.25">
      <c r="K773" s="451"/>
      <c r="M773" s="451"/>
      <c r="N773" s="451"/>
    </row>
    <row r="774" spans="11:14" x14ac:dyDescent="0.25">
      <c r="K774" s="451"/>
      <c r="M774" s="451"/>
      <c r="N774" s="451"/>
    </row>
    <row r="775" spans="11:14" x14ac:dyDescent="0.25">
      <c r="K775" s="451"/>
      <c r="M775" s="451"/>
      <c r="N775" s="451"/>
    </row>
    <row r="776" spans="11:14" x14ac:dyDescent="0.25">
      <c r="K776" s="451"/>
      <c r="M776" s="451"/>
      <c r="N776" s="451"/>
    </row>
    <row r="777" spans="11:14" x14ac:dyDescent="0.25">
      <c r="K777" s="451"/>
      <c r="M777" s="451"/>
      <c r="N777" s="451"/>
    </row>
    <row r="778" spans="11:14" x14ac:dyDescent="0.25">
      <c r="K778" s="451"/>
      <c r="M778" s="451"/>
      <c r="N778" s="451"/>
    </row>
    <row r="779" spans="11:14" x14ac:dyDescent="0.25">
      <c r="K779" s="451"/>
      <c r="M779" s="451"/>
      <c r="N779" s="451"/>
    </row>
    <row r="780" spans="11:14" x14ac:dyDescent="0.25">
      <c r="K780" s="451"/>
      <c r="M780" s="451"/>
      <c r="N780" s="451"/>
    </row>
    <row r="781" spans="11:14" x14ac:dyDescent="0.25">
      <c r="K781" s="451"/>
      <c r="M781" s="451"/>
      <c r="N781" s="451"/>
    </row>
    <row r="782" spans="11:14" x14ac:dyDescent="0.25">
      <c r="K782" s="451"/>
      <c r="M782" s="451"/>
      <c r="N782" s="451"/>
    </row>
    <row r="783" spans="11:14" x14ac:dyDescent="0.25">
      <c r="K783" s="451"/>
      <c r="M783" s="451"/>
      <c r="N783" s="451"/>
    </row>
    <row r="784" spans="11:14" x14ac:dyDescent="0.25">
      <c r="K784" s="451"/>
      <c r="M784" s="451"/>
      <c r="N784" s="451"/>
    </row>
    <row r="785" spans="11:14" x14ac:dyDescent="0.25">
      <c r="K785" s="451"/>
      <c r="M785" s="451"/>
      <c r="N785" s="451"/>
    </row>
    <row r="786" spans="11:14" x14ac:dyDescent="0.25">
      <c r="K786" s="451"/>
      <c r="M786" s="451"/>
      <c r="N786" s="451"/>
    </row>
    <row r="787" spans="11:14" x14ac:dyDescent="0.25">
      <c r="K787" s="451"/>
      <c r="M787" s="451"/>
      <c r="N787" s="451"/>
    </row>
    <row r="788" spans="11:14" x14ac:dyDescent="0.25">
      <c r="K788" s="451"/>
      <c r="M788" s="451"/>
      <c r="N788" s="451"/>
    </row>
    <row r="789" spans="11:14" x14ac:dyDescent="0.25">
      <c r="K789" s="451"/>
      <c r="M789" s="451"/>
      <c r="N789" s="451"/>
    </row>
    <row r="790" spans="11:14" x14ac:dyDescent="0.25">
      <c r="K790" s="451"/>
      <c r="M790" s="451"/>
      <c r="N790" s="451"/>
    </row>
    <row r="791" spans="11:14" x14ac:dyDescent="0.25">
      <c r="K791" s="451"/>
      <c r="M791" s="451"/>
      <c r="N791" s="451"/>
    </row>
    <row r="792" spans="11:14" x14ac:dyDescent="0.25">
      <c r="K792" s="451"/>
      <c r="M792" s="451"/>
      <c r="N792" s="451"/>
    </row>
    <row r="793" spans="11:14" x14ac:dyDescent="0.25">
      <c r="K793" s="451"/>
      <c r="M793" s="451"/>
      <c r="N793" s="451"/>
    </row>
    <row r="794" spans="11:14" x14ac:dyDescent="0.25">
      <c r="K794" s="451"/>
      <c r="M794" s="451"/>
      <c r="N794" s="451"/>
    </row>
    <row r="795" spans="11:14" x14ac:dyDescent="0.25">
      <c r="K795" s="451"/>
      <c r="M795" s="451"/>
      <c r="N795" s="451"/>
    </row>
    <row r="796" spans="11:14" x14ac:dyDescent="0.25">
      <c r="K796" s="451"/>
      <c r="M796" s="451"/>
      <c r="N796" s="451"/>
    </row>
    <row r="797" spans="11:14" x14ac:dyDescent="0.25">
      <c r="K797" s="451"/>
      <c r="M797" s="451"/>
      <c r="N797" s="451"/>
    </row>
    <row r="798" spans="11:14" x14ac:dyDescent="0.25">
      <c r="K798" s="451"/>
      <c r="M798" s="451"/>
      <c r="N798" s="451"/>
    </row>
    <row r="799" spans="11:14" x14ac:dyDescent="0.25">
      <c r="K799" s="451"/>
      <c r="M799" s="451"/>
      <c r="N799" s="451"/>
    </row>
    <row r="800" spans="11:14" x14ac:dyDescent="0.25">
      <c r="K800" s="451"/>
      <c r="M800" s="451"/>
      <c r="N800" s="451"/>
    </row>
    <row r="801" spans="11:14" x14ac:dyDescent="0.25">
      <c r="K801" s="451"/>
      <c r="M801" s="451"/>
      <c r="N801" s="451"/>
    </row>
    <row r="802" spans="11:14" x14ac:dyDescent="0.25">
      <c r="K802" s="451"/>
      <c r="M802" s="451"/>
      <c r="N802" s="451"/>
    </row>
    <row r="803" spans="11:14" x14ac:dyDescent="0.25">
      <c r="K803" s="451"/>
      <c r="M803" s="451"/>
      <c r="N803" s="451"/>
    </row>
    <row r="804" spans="11:14" x14ac:dyDescent="0.25">
      <c r="K804" s="451"/>
      <c r="M804" s="451"/>
      <c r="N804" s="451"/>
    </row>
    <row r="805" spans="11:14" x14ac:dyDescent="0.25">
      <c r="K805" s="451"/>
      <c r="M805" s="451"/>
      <c r="N805" s="451"/>
    </row>
    <row r="806" spans="11:14" x14ac:dyDescent="0.25">
      <c r="K806" s="451"/>
      <c r="M806" s="451"/>
      <c r="N806" s="451"/>
    </row>
    <row r="807" spans="11:14" x14ac:dyDescent="0.25">
      <c r="K807" s="451"/>
      <c r="M807" s="451"/>
      <c r="N807" s="451"/>
    </row>
    <row r="808" spans="11:14" x14ac:dyDescent="0.25">
      <c r="K808" s="451"/>
      <c r="M808" s="451"/>
      <c r="N808" s="451"/>
    </row>
    <row r="809" spans="11:14" x14ac:dyDescent="0.25">
      <c r="K809" s="451"/>
      <c r="M809" s="451"/>
      <c r="N809" s="451"/>
    </row>
    <row r="810" spans="11:14" x14ac:dyDescent="0.25">
      <c r="K810" s="451"/>
      <c r="M810" s="451"/>
      <c r="N810" s="451"/>
    </row>
    <row r="811" spans="11:14" x14ac:dyDescent="0.25">
      <c r="K811" s="451"/>
      <c r="M811" s="451"/>
      <c r="N811" s="451"/>
    </row>
    <row r="812" spans="11:14" x14ac:dyDescent="0.25">
      <c r="K812" s="451"/>
      <c r="M812" s="451"/>
      <c r="N812" s="451"/>
    </row>
    <row r="813" spans="11:14" x14ac:dyDescent="0.25">
      <c r="K813" s="451"/>
      <c r="M813" s="451"/>
      <c r="N813" s="451"/>
    </row>
    <row r="814" spans="11:14" x14ac:dyDescent="0.25">
      <c r="K814" s="451"/>
      <c r="M814" s="451"/>
      <c r="N814" s="451"/>
    </row>
    <row r="815" spans="11:14" x14ac:dyDescent="0.25">
      <c r="K815" s="451"/>
      <c r="M815" s="451"/>
      <c r="N815" s="451"/>
    </row>
    <row r="816" spans="11:14" x14ac:dyDescent="0.25">
      <c r="K816" s="451"/>
      <c r="M816" s="451"/>
      <c r="N816" s="451"/>
    </row>
    <row r="817" spans="11:14" x14ac:dyDescent="0.25">
      <c r="K817" s="451"/>
      <c r="M817" s="451"/>
      <c r="N817" s="451"/>
    </row>
    <row r="818" spans="11:14" x14ac:dyDescent="0.25">
      <c r="K818" s="451"/>
      <c r="M818" s="451"/>
      <c r="N818" s="451"/>
    </row>
    <row r="819" spans="11:14" x14ac:dyDescent="0.25">
      <c r="K819" s="451"/>
      <c r="M819" s="451"/>
      <c r="N819" s="451"/>
    </row>
    <row r="820" spans="11:14" x14ac:dyDescent="0.25">
      <c r="K820" s="451"/>
      <c r="M820" s="451"/>
      <c r="N820" s="451"/>
    </row>
    <row r="821" spans="11:14" x14ac:dyDescent="0.25">
      <c r="K821" s="451"/>
      <c r="M821" s="451"/>
      <c r="N821" s="451"/>
    </row>
    <row r="822" spans="11:14" x14ac:dyDescent="0.25">
      <c r="K822" s="451"/>
      <c r="M822" s="451"/>
      <c r="N822" s="451"/>
    </row>
    <row r="823" spans="11:14" x14ac:dyDescent="0.25">
      <c r="K823" s="451"/>
      <c r="M823" s="451"/>
      <c r="N823" s="451"/>
    </row>
    <row r="824" spans="11:14" x14ac:dyDescent="0.25">
      <c r="K824" s="451"/>
      <c r="M824" s="451"/>
      <c r="N824" s="451"/>
    </row>
    <row r="825" spans="11:14" x14ac:dyDescent="0.25">
      <c r="K825" s="451"/>
      <c r="M825" s="451"/>
      <c r="N825" s="451"/>
    </row>
    <row r="826" spans="11:14" x14ac:dyDescent="0.25">
      <c r="K826" s="451"/>
      <c r="M826" s="451"/>
      <c r="N826" s="451"/>
    </row>
    <row r="827" spans="11:14" x14ac:dyDescent="0.25">
      <c r="K827" s="451"/>
      <c r="M827" s="451"/>
      <c r="N827" s="451"/>
    </row>
    <row r="828" spans="11:14" x14ac:dyDescent="0.25">
      <c r="K828" s="451"/>
      <c r="M828" s="451"/>
      <c r="N828" s="451"/>
    </row>
    <row r="829" spans="11:14" x14ac:dyDescent="0.25">
      <c r="K829" s="451"/>
      <c r="M829" s="451"/>
      <c r="N829" s="451"/>
    </row>
    <row r="830" spans="11:14" x14ac:dyDescent="0.25">
      <c r="K830" s="451"/>
      <c r="M830" s="451"/>
      <c r="N830" s="451"/>
    </row>
    <row r="831" spans="11:14" x14ac:dyDescent="0.25">
      <c r="K831" s="451"/>
      <c r="M831" s="451"/>
      <c r="N831" s="451"/>
    </row>
    <row r="832" spans="11:14" x14ac:dyDescent="0.25">
      <c r="K832" s="451"/>
      <c r="M832" s="451"/>
      <c r="N832" s="451"/>
    </row>
    <row r="833" spans="11:14" x14ac:dyDescent="0.25">
      <c r="K833" s="451"/>
      <c r="M833" s="451"/>
      <c r="N833" s="451"/>
    </row>
    <row r="834" spans="11:14" x14ac:dyDescent="0.25">
      <c r="K834" s="451"/>
      <c r="M834" s="451"/>
      <c r="N834" s="451"/>
    </row>
    <row r="835" spans="11:14" x14ac:dyDescent="0.25">
      <c r="K835" s="451"/>
      <c r="M835" s="451"/>
      <c r="N835" s="451"/>
    </row>
    <row r="836" spans="11:14" x14ac:dyDescent="0.25">
      <c r="K836" s="451"/>
      <c r="M836" s="451"/>
      <c r="N836" s="451"/>
    </row>
    <row r="837" spans="11:14" x14ac:dyDescent="0.25">
      <c r="K837" s="451"/>
      <c r="M837" s="451"/>
      <c r="N837" s="451"/>
    </row>
    <row r="838" spans="11:14" x14ac:dyDescent="0.25">
      <c r="K838" s="451"/>
      <c r="M838" s="451"/>
      <c r="N838" s="451"/>
    </row>
    <row r="839" spans="11:14" x14ac:dyDescent="0.25">
      <c r="K839" s="451"/>
      <c r="M839" s="451"/>
      <c r="N839" s="451"/>
    </row>
    <row r="840" spans="11:14" x14ac:dyDescent="0.25">
      <c r="K840" s="451"/>
      <c r="M840" s="451"/>
      <c r="N840" s="451"/>
    </row>
    <row r="841" spans="11:14" x14ac:dyDescent="0.25">
      <c r="K841" s="451"/>
      <c r="M841" s="451"/>
      <c r="N841" s="451"/>
    </row>
    <row r="842" spans="11:14" x14ac:dyDescent="0.25">
      <c r="K842" s="451"/>
      <c r="M842" s="451"/>
      <c r="N842" s="451"/>
    </row>
    <row r="843" spans="11:14" x14ac:dyDescent="0.25">
      <c r="K843" s="451"/>
      <c r="M843" s="451"/>
      <c r="N843" s="451"/>
    </row>
    <row r="844" spans="11:14" x14ac:dyDescent="0.25">
      <c r="K844" s="451"/>
      <c r="M844" s="451"/>
      <c r="N844" s="451"/>
    </row>
    <row r="845" spans="11:14" x14ac:dyDescent="0.25">
      <c r="K845" s="451"/>
      <c r="M845" s="451"/>
      <c r="N845" s="451"/>
    </row>
    <row r="846" spans="11:14" x14ac:dyDescent="0.25">
      <c r="K846" s="451"/>
      <c r="M846" s="451"/>
      <c r="N846" s="451"/>
    </row>
    <row r="847" spans="11:14" x14ac:dyDescent="0.25">
      <c r="K847" s="451"/>
      <c r="M847" s="451"/>
      <c r="N847" s="451"/>
    </row>
    <row r="848" spans="11:14" x14ac:dyDescent="0.25">
      <c r="K848" s="451"/>
      <c r="M848" s="451"/>
      <c r="N848" s="451"/>
    </row>
    <row r="849" spans="11:14" x14ac:dyDescent="0.25">
      <c r="K849" s="451"/>
      <c r="M849" s="451"/>
      <c r="N849" s="451"/>
    </row>
    <row r="850" spans="11:14" x14ac:dyDescent="0.25">
      <c r="K850" s="451"/>
      <c r="M850" s="451"/>
      <c r="N850" s="451"/>
    </row>
    <row r="851" spans="11:14" x14ac:dyDescent="0.25">
      <c r="K851" s="451"/>
      <c r="M851" s="451"/>
      <c r="N851" s="451"/>
    </row>
    <row r="852" spans="11:14" x14ac:dyDescent="0.25">
      <c r="K852" s="451"/>
      <c r="M852" s="451"/>
      <c r="N852" s="451"/>
    </row>
    <row r="853" spans="11:14" x14ac:dyDescent="0.25">
      <c r="K853" s="451"/>
      <c r="M853" s="451"/>
      <c r="N853" s="451"/>
    </row>
    <row r="854" spans="11:14" x14ac:dyDescent="0.25">
      <c r="K854" s="451"/>
      <c r="M854" s="451"/>
      <c r="N854" s="451"/>
    </row>
    <row r="855" spans="11:14" x14ac:dyDescent="0.25">
      <c r="K855" s="451"/>
      <c r="M855" s="451"/>
      <c r="N855" s="451"/>
    </row>
    <row r="856" spans="11:14" x14ac:dyDescent="0.25">
      <c r="K856" s="451"/>
      <c r="M856" s="451"/>
      <c r="N856" s="451"/>
    </row>
    <row r="857" spans="11:14" x14ac:dyDescent="0.25">
      <c r="K857" s="451"/>
      <c r="M857" s="451"/>
      <c r="N857" s="451"/>
    </row>
    <row r="858" spans="11:14" x14ac:dyDescent="0.25">
      <c r="K858" s="451"/>
      <c r="M858" s="451"/>
      <c r="N858" s="451"/>
    </row>
    <row r="859" spans="11:14" x14ac:dyDescent="0.25">
      <c r="K859" s="451"/>
      <c r="M859" s="451"/>
      <c r="N859" s="451"/>
    </row>
    <row r="860" spans="11:14" x14ac:dyDescent="0.25">
      <c r="K860" s="451"/>
      <c r="M860" s="451"/>
      <c r="N860" s="451"/>
    </row>
    <row r="861" spans="11:14" x14ac:dyDescent="0.25">
      <c r="K861" s="451"/>
      <c r="M861" s="451"/>
      <c r="N861" s="451"/>
    </row>
    <row r="862" spans="11:14" x14ac:dyDescent="0.25">
      <c r="K862" s="451"/>
      <c r="M862" s="451"/>
      <c r="N862" s="451"/>
    </row>
    <row r="863" spans="11:14" x14ac:dyDescent="0.25">
      <c r="K863" s="451"/>
      <c r="M863" s="451"/>
      <c r="N863" s="451"/>
    </row>
    <row r="864" spans="11:14" x14ac:dyDescent="0.25">
      <c r="K864" s="451"/>
      <c r="M864" s="451"/>
      <c r="N864" s="451"/>
    </row>
    <row r="865" spans="11:14" x14ac:dyDescent="0.25">
      <c r="K865" s="451"/>
      <c r="M865" s="451"/>
      <c r="N865" s="451"/>
    </row>
    <row r="866" spans="11:14" x14ac:dyDescent="0.25">
      <c r="K866" s="451"/>
      <c r="M866" s="451"/>
      <c r="N866" s="451"/>
    </row>
    <row r="867" spans="11:14" x14ac:dyDescent="0.25">
      <c r="K867" s="451"/>
      <c r="M867" s="451"/>
      <c r="N867" s="451"/>
    </row>
    <row r="868" spans="11:14" x14ac:dyDescent="0.25">
      <c r="K868" s="451"/>
      <c r="M868" s="451"/>
      <c r="N868" s="451"/>
    </row>
    <row r="869" spans="11:14" x14ac:dyDescent="0.25">
      <c r="K869" s="451"/>
      <c r="M869" s="451"/>
      <c r="N869" s="451"/>
    </row>
    <row r="870" spans="11:14" x14ac:dyDescent="0.25">
      <c r="K870" s="451"/>
      <c r="M870" s="451"/>
      <c r="N870" s="451"/>
    </row>
    <row r="871" spans="11:14" x14ac:dyDescent="0.25">
      <c r="K871" s="451"/>
      <c r="M871" s="451"/>
      <c r="N871" s="451"/>
    </row>
    <row r="872" spans="11:14" x14ac:dyDescent="0.25">
      <c r="K872" s="451"/>
      <c r="M872" s="451"/>
      <c r="N872" s="451"/>
    </row>
    <row r="873" spans="11:14" x14ac:dyDescent="0.25">
      <c r="K873" s="451"/>
      <c r="M873" s="451"/>
      <c r="N873" s="451"/>
    </row>
    <row r="874" spans="11:14" x14ac:dyDescent="0.25">
      <c r="K874" s="451"/>
      <c r="M874" s="451"/>
      <c r="N874" s="451"/>
    </row>
    <row r="875" spans="11:14" x14ac:dyDescent="0.25">
      <c r="K875" s="451"/>
      <c r="M875" s="451"/>
      <c r="N875" s="451"/>
    </row>
    <row r="876" spans="11:14" x14ac:dyDescent="0.25">
      <c r="K876" s="451"/>
      <c r="M876" s="451"/>
      <c r="N876" s="451"/>
    </row>
    <row r="877" spans="11:14" x14ac:dyDescent="0.25">
      <c r="K877" s="451"/>
      <c r="M877" s="451"/>
      <c r="N877" s="451"/>
    </row>
    <row r="878" spans="11:14" x14ac:dyDescent="0.25">
      <c r="K878" s="451"/>
      <c r="M878" s="451"/>
      <c r="N878" s="451"/>
    </row>
    <row r="879" spans="11:14" x14ac:dyDescent="0.25">
      <c r="K879" s="451"/>
      <c r="M879" s="451"/>
      <c r="N879" s="451"/>
    </row>
    <row r="880" spans="11:14" x14ac:dyDescent="0.25">
      <c r="K880" s="451"/>
      <c r="M880" s="451"/>
      <c r="N880" s="451"/>
    </row>
    <row r="881" spans="11:14" x14ac:dyDescent="0.25">
      <c r="K881" s="451"/>
      <c r="M881" s="451"/>
      <c r="N881" s="451"/>
    </row>
    <row r="882" spans="11:14" x14ac:dyDescent="0.25">
      <c r="K882" s="451"/>
      <c r="M882" s="451"/>
      <c r="N882" s="451"/>
    </row>
    <row r="883" spans="11:14" x14ac:dyDescent="0.25">
      <c r="K883" s="451"/>
      <c r="M883" s="451"/>
      <c r="N883" s="451"/>
    </row>
    <row r="884" spans="11:14" x14ac:dyDescent="0.25">
      <c r="K884" s="451"/>
      <c r="M884" s="451"/>
      <c r="N884" s="451"/>
    </row>
    <row r="885" spans="11:14" x14ac:dyDescent="0.25">
      <c r="K885" s="451"/>
      <c r="M885" s="451"/>
      <c r="N885" s="451"/>
    </row>
    <row r="886" spans="11:14" x14ac:dyDescent="0.25">
      <c r="K886" s="451"/>
      <c r="M886" s="451"/>
      <c r="N886" s="451"/>
    </row>
    <row r="887" spans="11:14" x14ac:dyDescent="0.25">
      <c r="K887" s="451"/>
      <c r="M887" s="451"/>
      <c r="N887" s="451"/>
    </row>
    <row r="888" spans="11:14" x14ac:dyDescent="0.25">
      <c r="K888" s="451"/>
      <c r="M888" s="451"/>
      <c r="N888" s="451"/>
    </row>
    <row r="889" spans="11:14" x14ac:dyDescent="0.25">
      <c r="K889" s="451"/>
      <c r="M889" s="451"/>
      <c r="N889" s="451"/>
    </row>
    <row r="890" spans="11:14" x14ac:dyDescent="0.25">
      <c r="K890" s="451"/>
      <c r="M890" s="451"/>
      <c r="N890" s="451"/>
    </row>
    <row r="891" spans="11:14" x14ac:dyDescent="0.25">
      <c r="K891" s="451"/>
      <c r="M891" s="451"/>
      <c r="N891" s="451"/>
    </row>
    <row r="892" spans="11:14" x14ac:dyDescent="0.25">
      <c r="K892" s="451"/>
      <c r="M892" s="451"/>
      <c r="N892" s="451"/>
    </row>
    <row r="893" spans="11:14" x14ac:dyDescent="0.25">
      <c r="K893" s="451"/>
      <c r="M893" s="451"/>
      <c r="N893" s="451"/>
    </row>
    <row r="894" spans="11:14" x14ac:dyDescent="0.25">
      <c r="K894" s="451"/>
      <c r="M894" s="451"/>
      <c r="N894" s="451"/>
    </row>
    <row r="895" spans="11:14" x14ac:dyDescent="0.25">
      <c r="K895" s="451"/>
      <c r="M895" s="451"/>
      <c r="N895" s="451"/>
    </row>
    <row r="896" spans="11:14" x14ac:dyDescent="0.25">
      <c r="K896" s="451"/>
      <c r="M896" s="451"/>
      <c r="N896" s="451"/>
    </row>
    <row r="897" spans="11:14" x14ac:dyDescent="0.25">
      <c r="K897" s="451"/>
      <c r="M897" s="451"/>
      <c r="N897" s="451"/>
    </row>
    <row r="898" spans="11:14" x14ac:dyDescent="0.25">
      <c r="K898" s="451"/>
      <c r="M898" s="451"/>
      <c r="N898" s="451"/>
    </row>
    <row r="899" spans="11:14" x14ac:dyDescent="0.25">
      <c r="K899" s="451"/>
      <c r="M899" s="451"/>
      <c r="N899" s="451"/>
    </row>
    <row r="900" spans="11:14" x14ac:dyDescent="0.25">
      <c r="K900" s="451"/>
      <c r="M900" s="451"/>
      <c r="N900" s="451"/>
    </row>
    <row r="901" spans="11:14" x14ac:dyDescent="0.25">
      <c r="K901" s="451"/>
      <c r="M901" s="451"/>
      <c r="N901" s="451"/>
    </row>
    <row r="902" spans="11:14" x14ac:dyDescent="0.25">
      <c r="K902" s="451"/>
      <c r="M902" s="451"/>
      <c r="N902" s="451"/>
    </row>
    <row r="903" spans="11:14" x14ac:dyDescent="0.25">
      <c r="K903" s="451"/>
      <c r="M903" s="451"/>
      <c r="N903" s="451"/>
    </row>
    <row r="904" spans="11:14" x14ac:dyDescent="0.25">
      <c r="K904" s="451"/>
      <c r="M904" s="451"/>
      <c r="N904" s="451"/>
    </row>
    <row r="905" spans="11:14" x14ac:dyDescent="0.25">
      <c r="K905" s="451"/>
      <c r="M905" s="451"/>
      <c r="N905" s="451"/>
    </row>
    <row r="906" spans="11:14" x14ac:dyDescent="0.25">
      <c r="K906" s="451"/>
      <c r="M906" s="451"/>
      <c r="N906" s="451"/>
    </row>
    <row r="907" spans="11:14" x14ac:dyDescent="0.25">
      <c r="K907" s="451"/>
      <c r="M907" s="451"/>
      <c r="N907" s="451"/>
    </row>
    <row r="908" spans="11:14" x14ac:dyDescent="0.25">
      <c r="K908" s="451"/>
      <c r="M908" s="451"/>
      <c r="N908" s="451"/>
    </row>
    <row r="909" spans="11:14" x14ac:dyDescent="0.25">
      <c r="K909" s="451"/>
      <c r="M909" s="451"/>
      <c r="N909" s="451"/>
    </row>
    <row r="910" spans="11:14" x14ac:dyDescent="0.25">
      <c r="K910" s="451"/>
      <c r="M910" s="451"/>
      <c r="N910" s="451"/>
    </row>
    <row r="911" spans="11:14" x14ac:dyDescent="0.25">
      <c r="K911" s="451"/>
      <c r="M911" s="451"/>
      <c r="N911" s="451"/>
    </row>
    <row r="912" spans="11:14" x14ac:dyDescent="0.25">
      <c r="K912" s="451"/>
      <c r="M912" s="451"/>
      <c r="N912" s="451"/>
    </row>
    <row r="913" spans="11:14" x14ac:dyDescent="0.25">
      <c r="K913" s="451"/>
      <c r="M913" s="451"/>
      <c r="N913" s="451"/>
    </row>
    <row r="914" spans="11:14" x14ac:dyDescent="0.25">
      <c r="K914" s="451"/>
      <c r="M914" s="451"/>
      <c r="N914" s="451"/>
    </row>
    <row r="915" spans="11:14" x14ac:dyDescent="0.25">
      <c r="K915" s="451"/>
      <c r="M915" s="451"/>
      <c r="N915" s="451"/>
    </row>
    <row r="916" spans="11:14" x14ac:dyDescent="0.25">
      <c r="K916" s="451"/>
      <c r="M916" s="451"/>
      <c r="N916" s="451"/>
    </row>
    <row r="917" spans="11:14" x14ac:dyDescent="0.25">
      <c r="K917" s="451"/>
      <c r="M917" s="451"/>
      <c r="N917" s="451"/>
    </row>
    <row r="918" spans="11:14" x14ac:dyDescent="0.25">
      <c r="K918" s="451"/>
      <c r="M918" s="451"/>
      <c r="N918" s="451"/>
    </row>
    <row r="919" spans="11:14" x14ac:dyDescent="0.25">
      <c r="K919" s="451"/>
      <c r="M919" s="451"/>
      <c r="N919" s="451"/>
    </row>
    <row r="920" spans="11:14" x14ac:dyDescent="0.25">
      <c r="K920" s="451"/>
      <c r="M920" s="451"/>
      <c r="N920" s="451"/>
    </row>
    <row r="921" spans="11:14" x14ac:dyDescent="0.25">
      <c r="K921" s="451"/>
      <c r="M921" s="451"/>
      <c r="N921" s="451"/>
    </row>
    <row r="922" spans="11:14" x14ac:dyDescent="0.25">
      <c r="K922" s="451"/>
      <c r="M922" s="451"/>
      <c r="N922" s="451"/>
    </row>
    <row r="923" spans="11:14" x14ac:dyDescent="0.25">
      <c r="K923" s="451"/>
      <c r="M923" s="451"/>
      <c r="N923" s="451"/>
    </row>
    <row r="924" spans="11:14" x14ac:dyDescent="0.25">
      <c r="K924" s="451"/>
      <c r="M924" s="451"/>
      <c r="N924" s="451"/>
    </row>
    <row r="925" spans="11:14" x14ac:dyDescent="0.25">
      <c r="K925" s="451"/>
      <c r="M925" s="451"/>
      <c r="N925" s="451"/>
    </row>
    <row r="926" spans="11:14" x14ac:dyDescent="0.25">
      <c r="K926" s="451"/>
      <c r="M926" s="451"/>
      <c r="N926" s="451"/>
    </row>
    <row r="927" spans="11:14" x14ac:dyDescent="0.25">
      <c r="K927" s="451"/>
      <c r="M927" s="451"/>
      <c r="N927" s="451"/>
    </row>
    <row r="928" spans="11:14" x14ac:dyDescent="0.25">
      <c r="K928" s="451"/>
      <c r="M928" s="451"/>
      <c r="N928" s="451"/>
    </row>
    <row r="929" spans="11:14" x14ac:dyDescent="0.25">
      <c r="K929" s="451"/>
      <c r="M929" s="451"/>
      <c r="N929" s="451"/>
    </row>
    <row r="930" spans="11:14" x14ac:dyDescent="0.25">
      <c r="K930" s="451"/>
      <c r="M930" s="451"/>
      <c r="N930" s="451"/>
    </row>
    <row r="931" spans="11:14" x14ac:dyDescent="0.25">
      <c r="K931" s="451"/>
      <c r="M931" s="451"/>
      <c r="N931" s="451"/>
    </row>
    <row r="932" spans="11:14" x14ac:dyDescent="0.25">
      <c r="K932" s="451"/>
      <c r="M932" s="451"/>
      <c r="N932" s="451"/>
    </row>
    <row r="933" spans="11:14" x14ac:dyDescent="0.25">
      <c r="K933" s="451"/>
      <c r="M933" s="451"/>
      <c r="N933" s="451"/>
    </row>
    <row r="934" spans="11:14" x14ac:dyDescent="0.25">
      <c r="K934" s="451"/>
      <c r="M934" s="451"/>
      <c r="N934" s="451"/>
    </row>
    <row r="935" spans="11:14" x14ac:dyDescent="0.25">
      <c r="K935" s="451"/>
      <c r="M935" s="451"/>
      <c r="N935" s="451"/>
    </row>
    <row r="936" spans="11:14" x14ac:dyDescent="0.25">
      <c r="K936" s="451"/>
      <c r="M936" s="451"/>
      <c r="N936" s="451"/>
    </row>
    <row r="937" spans="11:14" x14ac:dyDescent="0.25">
      <c r="K937" s="451"/>
      <c r="M937" s="451"/>
      <c r="N937" s="451"/>
    </row>
    <row r="938" spans="11:14" x14ac:dyDescent="0.25">
      <c r="K938" s="451"/>
      <c r="M938" s="451"/>
      <c r="N938" s="451"/>
    </row>
    <row r="939" spans="11:14" x14ac:dyDescent="0.25">
      <c r="K939" s="451"/>
      <c r="M939" s="451"/>
      <c r="N939" s="451"/>
    </row>
    <row r="940" spans="11:14" x14ac:dyDescent="0.25">
      <c r="K940" s="451"/>
      <c r="M940" s="451"/>
      <c r="N940" s="451"/>
    </row>
    <row r="941" spans="11:14" x14ac:dyDescent="0.25">
      <c r="K941" s="451"/>
      <c r="M941" s="451"/>
      <c r="N941" s="451"/>
    </row>
    <row r="942" spans="11:14" x14ac:dyDescent="0.25">
      <c r="K942" s="451"/>
      <c r="M942" s="451"/>
      <c r="N942" s="451"/>
    </row>
    <row r="943" spans="11:14" x14ac:dyDescent="0.25">
      <c r="K943" s="451"/>
      <c r="M943" s="451"/>
      <c r="N943" s="451"/>
    </row>
    <row r="944" spans="11:14" x14ac:dyDescent="0.25">
      <c r="K944" s="451"/>
      <c r="M944" s="451"/>
      <c r="N944" s="451"/>
    </row>
    <row r="945" spans="11:14" x14ac:dyDescent="0.25">
      <c r="K945" s="451"/>
      <c r="M945" s="451"/>
      <c r="N945" s="451"/>
    </row>
    <row r="946" spans="11:14" x14ac:dyDescent="0.25">
      <c r="K946" s="451"/>
      <c r="M946" s="451"/>
      <c r="N946" s="451"/>
    </row>
    <row r="947" spans="11:14" x14ac:dyDescent="0.25">
      <c r="K947" s="451"/>
      <c r="M947" s="451"/>
      <c r="N947" s="451"/>
    </row>
    <row r="948" spans="11:14" x14ac:dyDescent="0.25">
      <c r="K948" s="451"/>
      <c r="M948" s="451"/>
      <c r="N948" s="451"/>
    </row>
    <row r="949" spans="11:14" x14ac:dyDescent="0.25">
      <c r="K949" s="451"/>
      <c r="M949" s="451"/>
      <c r="N949" s="451"/>
    </row>
    <row r="950" spans="11:14" x14ac:dyDescent="0.25">
      <c r="K950" s="451"/>
      <c r="M950" s="451"/>
      <c r="N950" s="451"/>
    </row>
    <row r="951" spans="11:14" x14ac:dyDescent="0.25">
      <c r="K951" s="451"/>
      <c r="M951" s="451"/>
      <c r="N951" s="451"/>
    </row>
    <row r="952" spans="11:14" x14ac:dyDescent="0.25">
      <c r="K952" s="451"/>
      <c r="M952" s="451"/>
      <c r="N952" s="451"/>
    </row>
    <row r="953" spans="11:14" x14ac:dyDescent="0.25">
      <c r="K953" s="451"/>
      <c r="M953" s="451"/>
      <c r="N953" s="451"/>
    </row>
    <row r="954" spans="11:14" x14ac:dyDescent="0.25">
      <c r="K954" s="451"/>
      <c r="M954" s="451"/>
      <c r="N954" s="451"/>
    </row>
    <row r="955" spans="11:14" x14ac:dyDescent="0.25">
      <c r="K955" s="451"/>
      <c r="M955" s="451"/>
      <c r="N955" s="451"/>
    </row>
    <row r="956" spans="11:14" x14ac:dyDescent="0.25">
      <c r="K956" s="451"/>
      <c r="M956" s="451"/>
      <c r="N956" s="451"/>
    </row>
    <row r="957" spans="11:14" x14ac:dyDescent="0.25">
      <c r="K957" s="451"/>
      <c r="M957" s="451"/>
      <c r="N957" s="451"/>
    </row>
    <row r="958" spans="11:14" x14ac:dyDescent="0.25">
      <c r="K958" s="451"/>
      <c r="M958" s="451"/>
      <c r="N958" s="451"/>
    </row>
    <row r="959" spans="11:14" x14ac:dyDescent="0.25">
      <c r="K959" s="451"/>
      <c r="M959" s="451"/>
      <c r="N959" s="451"/>
    </row>
    <row r="960" spans="11:14" x14ac:dyDescent="0.25">
      <c r="K960" s="451"/>
      <c r="M960" s="451"/>
      <c r="N960" s="451"/>
    </row>
    <row r="961" spans="11:14" x14ac:dyDescent="0.25">
      <c r="K961" s="451"/>
      <c r="M961" s="451"/>
      <c r="N961" s="451"/>
    </row>
    <row r="962" spans="11:14" x14ac:dyDescent="0.25">
      <c r="K962" s="451"/>
      <c r="M962" s="451"/>
      <c r="N962" s="451"/>
    </row>
    <row r="963" spans="11:14" x14ac:dyDescent="0.25">
      <c r="K963" s="451"/>
      <c r="M963" s="451"/>
      <c r="N963" s="451"/>
    </row>
    <row r="964" spans="11:14" x14ac:dyDescent="0.25">
      <c r="K964" s="451"/>
      <c r="M964" s="451"/>
      <c r="N964" s="451"/>
    </row>
    <row r="965" spans="11:14" x14ac:dyDescent="0.25">
      <c r="K965" s="451"/>
      <c r="M965" s="451"/>
      <c r="N965" s="451"/>
    </row>
    <row r="966" spans="11:14" x14ac:dyDescent="0.25">
      <c r="K966" s="451"/>
      <c r="M966" s="451"/>
      <c r="N966" s="451"/>
    </row>
    <row r="967" spans="11:14" x14ac:dyDescent="0.25">
      <c r="K967" s="451"/>
      <c r="M967" s="451"/>
      <c r="N967" s="451"/>
    </row>
    <row r="968" spans="11:14" x14ac:dyDescent="0.25">
      <c r="K968" s="451"/>
      <c r="M968" s="451"/>
      <c r="N968" s="451"/>
    </row>
    <row r="969" spans="11:14" x14ac:dyDescent="0.25">
      <c r="K969" s="451"/>
      <c r="M969" s="451"/>
      <c r="N969" s="451"/>
    </row>
    <row r="970" spans="11:14" x14ac:dyDescent="0.25">
      <c r="K970" s="451"/>
      <c r="M970" s="451"/>
      <c r="N970" s="451"/>
    </row>
    <row r="971" spans="11:14" x14ac:dyDescent="0.25">
      <c r="K971" s="451"/>
      <c r="M971" s="451"/>
      <c r="N971" s="451"/>
    </row>
    <row r="972" spans="11:14" x14ac:dyDescent="0.25">
      <c r="K972" s="451"/>
      <c r="M972" s="451"/>
      <c r="N972" s="451"/>
    </row>
    <row r="973" spans="11:14" x14ac:dyDescent="0.25">
      <c r="K973" s="451"/>
      <c r="M973" s="451"/>
      <c r="N973" s="451"/>
    </row>
    <row r="974" spans="11:14" x14ac:dyDescent="0.25">
      <c r="K974" s="451"/>
      <c r="M974" s="451"/>
      <c r="N974" s="451"/>
    </row>
    <row r="975" spans="11:14" x14ac:dyDescent="0.25">
      <c r="K975" s="451"/>
      <c r="M975" s="451"/>
      <c r="N975" s="451"/>
    </row>
    <row r="976" spans="11:14" x14ac:dyDescent="0.25">
      <c r="K976" s="451"/>
      <c r="M976" s="451"/>
      <c r="N976" s="451"/>
    </row>
    <row r="977" spans="11:14" x14ac:dyDescent="0.25">
      <c r="K977" s="451"/>
      <c r="M977" s="451"/>
      <c r="N977" s="451"/>
    </row>
    <row r="978" spans="11:14" x14ac:dyDescent="0.25">
      <c r="K978" s="451"/>
      <c r="M978" s="451"/>
      <c r="N978" s="451"/>
    </row>
    <row r="979" spans="11:14" x14ac:dyDescent="0.25">
      <c r="K979" s="451"/>
      <c r="M979" s="451"/>
      <c r="N979" s="451"/>
    </row>
    <row r="980" spans="11:14" x14ac:dyDescent="0.25">
      <c r="K980" s="451"/>
      <c r="M980" s="451"/>
      <c r="N980" s="451"/>
    </row>
    <row r="981" spans="11:14" x14ac:dyDescent="0.25">
      <c r="K981" s="451"/>
      <c r="M981" s="451"/>
      <c r="N981" s="451"/>
    </row>
    <row r="982" spans="11:14" x14ac:dyDescent="0.25">
      <c r="K982" s="451"/>
      <c r="M982" s="451"/>
      <c r="N982" s="451"/>
    </row>
  </sheetData>
  <conditionalFormatting sqref="A1:J1 L1:N1 M355:N355 N2 N341 M3:N326 M359:N359 K359 K384 M384:N384 M386:N386 K386 K388 M388:N388 M404:N404 K404 K406 M406:N406 M408:N408 K408 K412:K65519 M412:N65519">
    <cfRule type="expression" dxfId="3572" priority="1370">
      <formula>$E1&lt;12</formula>
    </cfRule>
    <cfRule type="expression" dxfId="3571" priority="1371">
      <formula>$E1=18</formula>
    </cfRule>
    <cfRule type="expression" dxfId="3570" priority="1372">
      <formula>$E1=17</formula>
    </cfRule>
    <cfRule type="expression" dxfId="3569" priority="1373">
      <formula>$E1=16</formula>
    </cfRule>
    <cfRule type="expression" dxfId="3568" priority="1374">
      <formula>$E1=15</formula>
    </cfRule>
    <cfRule type="expression" dxfId="3567" priority="1375">
      <formula>$E1=14</formula>
    </cfRule>
    <cfRule type="expression" dxfId="3566" priority="1376">
      <formula>$E1=13</formula>
    </cfRule>
    <cfRule type="expression" dxfId="3565" priority="1377">
      <formula>$E1=12</formula>
    </cfRule>
  </conditionalFormatting>
  <conditionalFormatting sqref="A1:J1 L1:N1 M355:N355 N2 N341 M3:N326 M359:N359 K359 K384 M384:N384 M386:N386 K386 K388 M388:N388 M404:N404 K404 K406 M406:N406 M408:N408 K408 K412:K65519 M412:N65519">
    <cfRule type="expression" dxfId="3564" priority="1361">
      <formula>$E1=10</formula>
    </cfRule>
    <cfRule type="expression" dxfId="3563" priority="1362">
      <formula>$E1=11</formula>
    </cfRule>
    <cfRule type="expression" dxfId="3562" priority="1363">
      <formula>$E1=18</formula>
    </cfRule>
    <cfRule type="expression" dxfId="3561" priority="1364">
      <formula>$E1=17</formula>
    </cfRule>
    <cfRule type="expression" dxfId="3560" priority="1365">
      <formula>$E1=16</formula>
    </cfRule>
    <cfRule type="expression" dxfId="3559" priority="1366">
      <formula>$E1=15</formula>
    </cfRule>
    <cfRule type="expression" dxfId="3558" priority="1367">
      <formula>$E1=14</formula>
    </cfRule>
    <cfRule type="expression" dxfId="3557" priority="1368">
      <formula>$E1=13</formula>
    </cfRule>
    <cfRule type="expression" dxfId="3556" priority="1369">
      <formula>$E1=12</formula>
    </cfRule>
  </conditionalFormatting>
  <conditionalFormatting sqref="L2:L146 A2:B2 G2:I2 A3:I3 A4:J325 J326:J333 L148:L325">
    <cfRule type="expression" dxfId="3555" priority="1353">
      <formula>$E2&lt;12</formula>
    </cfRule>
    <cfRule type="expression" dxfId="3554" priority="1354">
      <formula>$E2=18</formula>
    </cfRule>
    <cfRule type="expression" dxfId="3553" priority="1355">
      <formula>$E2=17</formula>
    </cfRule>
    <cfRule type="expression" dxfId="3552" priority="1356">
      <formula>$E2=16</formula>
    </cfRule>
    <cfRule type="expression" dxfId="3551" priority="1357">
      <formula>$E2=15</formula>
    </cfRule>
    <cfRule type="expression" dxfId="3550" priority="1358">
      <formula>$E2=14</formula>
    </cfRule>
    <cfRule type="expression" dxfId="3549" priority="1359">
      <formula>$E2=13</formula>
    </cfRule>
    <cfRule type="expression" dxfId="3548" priority="1360">
      <formula>$E2=12</formula>
    </cfRule>
  </conditionalFormatting>
  <conditionalFormatting sqref="L2:L146 A2:B2 G2:I2 A3:I3 A4:J325 J326:J333 L148:L325">
    <cfRule type="expression" dxfId="3547" priority="1344">
      <formula>$E2=10</formula>
    </cfRule>
    <cfRule type="expression" dxfId="3546" priority="1345">
      <formula>$E2=11</formula>
    </cfRule>
    <cfRule type="expression" dxfId="3545" priority="1346">
      <formula>$E2=18</formula>
    </cfRule>
    <cfRule type="expression" dxfId="3544" priority="1347">
      <formula>$E2=17</formula>
    </cfRule>
    <cfRule type="expression" dxfId="3543" priority="1348">
      <formula>$E2=16</formula>
    </cfRule>
    <cfRule type="expression" dxfId="3542" priority="1349">
      <formula>$E2=15</formula>
    </cfRule>
    <cfRule type="expression" dxfId="3541" priority="1350">
      <formula>$E2=14</formula>
    </cfRule>
    <cfRule type="expression" dxfId="3540" priority="1351">
      <formula>$E2=13</formula>
    </cfRule>
    <cfRule type="expression" dxfId="3539" priority="1352">
      <formula>$E2=12</formula>
    </cfRule>
  </conditionalFormatting>
  <conditionalFormatting sqref="K1 K355 K3:K326">
    <cfRule type="expression" dxfId="3538" priority="1336">
      <formula>$E1&lt;12</formula>
    </cfRule>
    <cfRule type="expression" dxfId="3537" priority="1337">
      <formula>$E1=18</formula>
    </cfRule>
    <cfRule type="expression" dxfId="3536" priority="1338">
      <formula>$E1=17</formula>
    </cfRule>
    <cfRule type="expression" dxfId="3535" priority="1339">
      <formula>$E1=16</formula>
    </cfRule>
    <cfRule type="expression" dxfId="3534" priority="1340">
      <formula>$E1=15</formula>
    </cfRule>
    <cfRule type="expression" dxfId="3533" priority="1341">
      <formula>$E1=14</formula>
    </cfRule>
    <cfRule type="expression" dxfId="3532" priority="1342">
      <formula>$E1=13</formula>
    </cfRule>
    <cfRule type="expression" dxfId="3531" priority="1343">
      <formula>$E1=12</formula>
    </cfRule>
  </conditionalFormatting>
  <conditionalFormatting sqref="K1 K355 K3:K326">
    <cfRule type="expression" dxfId="3530" priority="1327">
      <formula>$E1=10</formula>
    </cfRule>
    <cfRule type="expression" dxfId="3529" priority="1328">
      <formula>$E1=11</formula>
    </cfRule>
    <cfRule type="expression" dxfId="3528" priority="1329">
      <formula>$E1=18</formula>
    </cfRule>
    <cfRule type="expression" dxfId="3527" priority="1330">
      <formula>$E1=17</formula>
    </cfRule>
    <cfRule type="expression" dxfId="3526" priority="1331">
      <formula>$E1=16</formula>
    </cfRule>
    <cfRule type="expression" dxfId="3525" priority="1332">
      <formula>$E1=15</formula>
    </cfRule>
    <cfRule type="expression" dxfId="3524" priority="1333">
      <formula>$E1=14</formula>
    </cfRule>
    <cfRule type="expression" dxfId="3523" priority="1334">
      <formula>$E1=13</formula>
    </cfRule>
    <cfRule type="expression" dxfId="3522" priority="1335">
      <formula>$E1=12</formula>
    </cfRule>
  </conditionalFormatting>
  <conditionalFormatting sqref="N327:N332">
    <cfRule type="expression" dxfId="3521" priority="1319">
      <formula>$E327&lt;12</formula>
    </cfRule>
    <cfRule type="expression" dxfId="3520" priority="1320">
      <formula>$E327=18</formula>
    </cfRule>
    <cfRule type="expression" dxfId="3519" priority="1321">
      <formula>$E327=17</formula>
    </cfRule>
    <cfRule type="expression" dxfId="3518" priority="1322">
      <formula>$E327=16</formula>
    </cfRule>
    <cfRule type="expression" dxfId="3517" priority="1323">
      <formula>$E327=15</formula>
    </cfRule>
    <cfRule type="expression" dxfId="3516" priority="1324">
      <formula>$E327=14</formula>
    </cfRule>
    <cfRule type="expression" dxfId="3515" priority="1325">
      <formula>$E327=13</formula>
    </cfRule>
    <cfRule type="expression" dxfId="3514" priority="1326">
      <formula>$E327=12</formula>
    </cfRule>
  </conditionalFormatting>
  <conditionalFormatting sqref="N327:N332">
    <cfRule type="expression" dxfId="3513" priority="1310">
      <formula>$E327=10</formula>
    </cfRule>
    <cfRule type="expression" dxfId="3512" priority="1311">
      <formula>$E327=11</formula>
    </cfRule>
    <cfRule type="expression" dxfId="3511" priority="1312">
      <formula>$E327=18</formula>
    </cfRule>
    <cfRule type="expression" dxfId="3510" priority="1313">
      <formula>$E327=17</formula>
    </cfRule>
    <cfRule type="expression" dxfId="3509" priority="1314">
      <formula>$E327=16</formula>
    </cfRule>
    <cfRule type="expression" dxfId="3508" priority="1315">
      <formula>$E327=15</formula>
    </cfRule>
    <cfRule type="expression" dxfId="3507" priority="1316">
      <formula>$E327=14</formula>
    </cfRule>
    <cfRule type="expression" dxfId="3506" priority="1317">
      <formula>$E327=13</formula>
    </cfRule>
    <cfRule type="expression" dxfId="3505" priority="1318">
      <formula>$E327=12</formula>
    </cfRule>
  </conditionalFormatting>
  <conditionalFormatting sqref="N333:N340">
    <cfRule type="expression" dxfId="3504" priority="1302">
      <formula>$E333&lt;12</formula>
    </cfRule>
    <cfRule type="expression" dxfId="3503" priority="1303">
      <formula>$E333=18</formula>
    </cfRule>
    <cfRule type="expression" dxfId="3502" priority="1304">
      <formula>$E333=17</formula>
    </cfRule>
    <cfRule type="expression" dxfId="3501" priority="1305">
      <formula>$E333=16</formula>
    </cfRule>
    <cfRule type="expression" dxfId="3500" priority="1306">
      <formula>$E333=15</formula>
    </cfRule>
    <cfRule type="expression" dxfId="3499" priority="1307">
      <formula>$E333=14</formula>
    </cfRule>
    <cfRule type="expression" dxfId="3498" priority="1308">
      <formula>$E333=13</formula>
    </cfRule>
    <cfRule type="expression" dxfId="3497" priority="1309">
      <formula>$E333=12</formula>
    </cfRule>
  </conditionalFormatting>
  <conditionalFormatting sqref="N333:N340">
    <cfRule type="expression" dxfId="3496" priority="1293">
      <formula>$E333=10</formula>
    </cfRule>
    <cfRule type="expression" dxfId="3495" priority="1294">
      <formula>$E333=11</formula>
    </cfRule>
    <cfRule type="expression" dxfId="3494" priority="1295">
      <formula>$E333=18</formula>
    </cfRule>
    <cfRule type="expression" dxfId="3493" priority="1296">
      <formula>$E333=17</formula>
    </cfRule>
    <cfRule type="expression" dxfId="3492" priority="1297">
      <formula>$E333=16</formula>
    </cfRule>
    <cfRule type="expression" dxfId="3491" priority="1298">
      <formula>$E333=15</formula>
    </cfRule>
    <cfRule type="expression" dxfId="3490" priority="1299">
      <formula>$E333=14</formula>
    </cfRule>
    <cfRule type="expression" dxfId="3489" priority="1300">
      <formula>$E333=13</formula>
    </cfRule>
    <cfRule type="expression" dxfId="3488" priority="1301">
      <formula>$E333=12</formula>
    </cfRule>
  </conditionalFormatting>
  <conditionalFormatting sqref="M341">
    <cfRule type="expression" dxfId="3487" priority="1234">
      <formula>$E341&lt;12</formula>
    </cfRule>
    <cfRule type="expression" dxfId="3486" priority="1235">
      <formula>$E341=18</formula>
    </cfRule>
    <cfRule type="expression" dxfId="3485" priority="1236">
      <formula>$E341=17</formula>
    </cfRule>
    <cfRule type="expression" dxfId="3484" priority="1237">
      <formula>$E341=16</formula>
    </cfRule>
    <cfRule type="expression" dxfId="3483" priority="1238">
      <formula>$E341=15</formula>
    </cfRule>
    <cfRule type="expression" dxfId="3482" priority="1239">
      <formula>$E341=14</formula>
    </cfRule>
    <cfRule type="expression" dxfId="3481" priority="1240">
      <formula>$E341=13</formula>
    </cfRule>
    <cfRule type="expression" dxfId="3480" priority="1241">
      <formula>$E341=12</formula>
    </cfRule>
  </conditionalFormatting>
  <conditionalFormatting sqref="M341">
    <cfRule type="expression" dxfId="3479" priority="1225">
      <formula>$E341=10</formula>
    </cfRule>
    <cfRule type="expression" dxfId="3478" priority="1226">
      <formula>$E341=11</formula>
    </cfRule>
    <cfRule type="expression" dxfId="3477" priority="1227">
      <formula>$E341=18</formula>
    </cfRule>
    <cfRule type="expression" dxfId="3476" priority="1228">
      <formula>$E341=17</formula>
    </cfRule>
    <cfRule type="expression" dxfId="3475" priority="1229">
      <formula>$E341=16</formula>
    </cfRule>
    <cfRule type="expression" dxfId="3474" priority="1230">
      <formula>$E341=15</formula>
    </cfRule>
    <cfRule type="expression" dxfId="3473" priority="1231">
      <formula>$E341=14</formula>
    </cfRule>
    <cfRule type="expression" dxfId="3472" priority="1232">
      <formula>$E341=13</formula>
    </cfRule>
    <cfRule type="expression" dxfId="3471" priority="1233">
      <formula>$E341=12</formula>
    </cfRule>
  </conditionalFormatting>
  <conditionalFormatting sqref="K341">
    <cfRule type="expression" dxfId="3470" priority="1217">
      <formula>$E341&lt;12</formula>
    </cfRule>
    <cfRule type="expression" dxfId="3469" priority="1218">
      <formula>$E341=18</formula>
    </cfRule>
    <cfRule type="expression" dxfId="3468" priority="1219">
      <formula>$E341=17</formula>
    </cfRule>
    <cfRule type="expression" dxfId="3467" priority="1220">
      <formula>$E341=16</formula>
    </cfRule>
    <cfRule type="expression" dxfId="3466" priority="1221">
      <formula>$E341=15</formula>
    </cfRule>
    <cfRule type="expression" dxfId="3465" priority="1222">
      <formula>$E341=14</formula>
    </cfRule>
    <cfRule type="expression" dxfId="3464" priority="1223">
      <formula>$E341=13</formula>
    </cfRule>
    <cfRule type="expression" dxfId="3463" priority="1224">
      <formula>$E341=12</formula>
    </cfRule>
  </conditionalFormatting>
  <conditionalFormatting sqref="K341">
    <cfRule type="expression" dxfId="3462" priority="1208">
      <formula>$E341=10</formula>
    </cfRule>
    <cfRule type="expression" dxfId="3461" priority="1209">
      <formula>$E341=11</formula>
    </cfRule>
    <cfRule type="expression" dxfId="3460" priority="1210">
      <formula>$E341=18</formula>
    </cfRule>
    <cfRule type="expression" dxfId="3459" priority="1211">
      <formula>$E341=17</formula>
    </cfRule>
    <cfRule type="expression" dxfId="3458" priority="1212">
      <formula>$E341=16</formula>
    </cfRule>
    <cfRule type="expression" dxfId="3457" priority="1213">
      <formula>$E341=15</formula>
    </cfRule>
    <cfRule type="expression" dxfId="3456" priority="1214">
      <formula>$E341=14</formula>
    </cfRule>
    <cfRule type="expression" dxfId="3455" priority="1215">
      <formula>$E341=13</formula>
    </cfRule>
    <cfRule type="expression" dxfId="3454" priority="1216">
      <formula>$E341=12</formula>
    </cfRule>
  </conditionalFormatting>
  <conditionalFormatting sqref="M327:M332">
    <cfRule type="expression" dxfId="3453" priority="1200">
      <formula>$E327&lt;12</formula>
    </cfRule>
    <cfRule type="expression" dxfId="3452" priority="1201">
      <formula>$E327=18</formula>
    </cfRule>
    <cfRule type="expression" dxfId="3451" priority="1202">
      <formula>$E327=17</formula>
    </cfRule>
    <cfRule type="expression" dxfId="3450" priority="1203">
      <formula>$E327=16</formula>
    </cfRule>
    <cfRule type="expression" dxfId="3449" priority="1204">
      <formula>$E327=15</formula>
    </cfRule>
    <cfRule type="expression" dxfId="3448" priority="1205">
      <formula>$E327=14</formula>
    </cfRule>
    <cfRule type="expression" dxfId="3447" priority="1206">
      <formula>$E327=13</formula>
    </cfRule>
    <cfRule type="expression" dxfId="3446" priority="1207">
      <formula>$E327=12</formula>
    </cfRule>
  </conditionalFormatting>
  <conditionalFormatting sqref="M327:M332">
    <cfRule type="expression" dxfId="3445" priority="1191">
      <formula>$E327=10</formula>
    </cfRule>
    <cfRule type="expression" dxfId="3444" priority="1192">
      <formula>$E327=11</formula>
    </cfRule>
    <cfRule type="expression" dxfId="3443" priority="1193">
      <formula>$E327=18</formula>
    </cfRule>
    <cfRule type="expression" dxfId="3442" priority="1194">
      <formula>$E327=17</formula>
    </cfRule>
    <cfRule type="expression" dxfId="3441" priority="1195">
      <formula>$E327=16</formula>
    </cfRule>
    <cfRule type="expression" dxfId="3440" priority="1196">
      <formula>$E327=15</formula>
    </cfRule>
    <cfRule type="expression" dxfId="3439" priority="1197">
      <formula>$E327=14</formula>
    </cfRule>
    <cfRule type="expression" dxfId="3438" priority="1198">
      <formula>$E327=13</formula>
    </cfRule>
    <cfRule type="expression" dxfId="3437" priority="1199">
      <formula>$E327=12</formula>
    </cfRule>
  </conditionalFormatting>
  <conditionalFormatting sqref="K2:K325">
    <cfRule type="expression" dxfId="3436" priority="1251">
      <formula>$E2&lt;12</formula>
    </cfRule>
    <cfRule type="expression" dxfId="3435" priority="1252">
      <formula>$E2=18</formula>
    </cfRule>
    <cfRule type="expression" dxfId="3434" priority="1253">
      <formula>$E2=17</formula>
    </cfRule>
    <cfRule type="expression" dxfId="3433" priority="1254">
      <formula>$E2=16</formula>
    </cfRule>
    <cfRule type="expression" dxfId="3432" priority="1255">
      <formula>$E2=15</formula>
    </cfRule>
    <cfRule type="expression" dxfId="3431" priority="1256">
      <formula>$E2=14</formula>
    </cfRule>
    <cfRule type="expression" dxfId="3430" priority="1257">
      <formula>$E2=13</formula>
    </cfRule>
    <cfRule type="expression" dxfId="3429" priority="1258">
      <formula>$E2=12</formula>
    </cfRule>
  </conditionalFormatting>
  <conditionalFormatting sqref="K2:K325">
    <cfRule type="expression" dxfId="3428" priority="1242">
      <formula>$E2=10</formula>
    </cfRule>
    <cfRule type="expression" dxfId="3427" priority="1243">
      <formula>$E2=11</formula>
    </cfRule>
    <cfRule type="expression" dxfId="3426" priority="1244">
      <formula>$E2=18</formula>
    </cfRule>
    <cfRule type="expression" dxfId="3425" priority="1245">
      <formula>$E2=17</formula>
    </cfRule>
    <cfRule type="expression" dxfId="3424" priority="1246">
      <formula>$E2=16</formula>
    </cfRule>
    <cfRule type="expression" dxfId="3423" priority="1247">
      <formula>$E2=15</formula>
    </cfRule>
    <cfRule type="expression" dxfId="3422" priority="1248">
      <formula>$E2=14</formula>
    </cfRule>
    <cfRule type="expression" dxfId="3421" priority="1249">
      <formula>$E2=13</formula>
    </cfRule>
    <cfRule type="expression" dxfId="3420" priority="1250">
      <formula>$E2=12</formula>
    </cfRule>
  </conditionalFormatting>
  <conditionalFormatting sqref="C2:F325">
    <cfRule type="expression" dxfId="3419" priority="1285">
      <formula>$E2&lt;12</formula>
    </cfRule>
    <cfRule type="expression" dxfId="3418" priority="1286">
      <formula>$E2=18</formula>
    </cfRule>
    <cfRule type="expression" dxfId="3417" priority="1287">
      <formula>$E2=17</formula>
    </cfRule>
    <cfRule type="expression" dxfId="3416" priority="1288">
      <formula>$E2=16</formula>
    </cfRule>
    <cfRule type="expression" dxfId="3415" priority="1289">
      <formula>$E2=15</formula>
    </cfRule>
    <cfRule type="expression" dxfId="3414" priority="1290">
      <formula>$E2=14</formula>
    </cfRule>
    <cfRule type="expression" dxfId="3413" priority="1291">
      <formula>$E2=13</formula>
    </cfRule>
    <cfRule type="expression" dxfId="3412" priority="1292">
      <formula>$E2=12</formula>
    </cfRule>
  </conditionalFormatting>
  <conditionalFormatting sqref="C2:F325">
    <cfRule type="expression" dxfId="3411" priority="1276">
      <formula>$E2=10</formula>
    </cfRule>
    <cfRule type="expression" dxfId="3410" priority="1277">
      <formula>$E2=11</formula>
    </cfRule>
    <cfRule type="expression" dxfId="3409" priority="1278">
      <formula>$E2=18</formula>
    </cfRule>
    <cfRule type="expression" dxfId="3408" priority="1279">
      <formula>$E2=17</formula>
    </cfRule>
    <cfRule type="expression" dxfId="3407" priority="1280">
      <formula>$E2=16</formula>
    </cfRule>
    <cfRule type="expression" dxfId="3406" priority="1281">
      <formula>$E2=15</formula>
    </cfRule>
    <cfRule type="expression" dxfId="3405" priority="1282">
      <formula>$E2=14</formula>
    </cfRule>
    <cfRule type="expression" dxfId="3404" priority="1283">
      <formula>$E2=13</formula>
    </cfRule>
    <cfRule type="expression" dxfId="3403" priority="1284">
      <formula>$E2=12</formula>
    </cfRule>
  </conditionalFormatting>
  <conditionalFormatting sqref="M2">
    <cfRule type="expression" dxfId="3402" priority="1268">
      <formula>$E2&lt;12</formula>
    </cfRule>
    <cfRule type="expression" dxfId="3401" priority="1269">
      <formula>$E2=18</formula>
    </cfRule>
    <cfRule type="expression" dxfId="3400" priority="1270">
      <formula>$E2=17</formula>
    </cfRule>
    <cfRule type="expression" dxfId="3399" priority="1271">
      <formula>$E2=16</formula>
    </cfRule>
    <cfRule type="expression" dxfId="3398" priority="1272">
      <formula>$E2=15</formula>
    </cfRule>
    <cfRule type="expression" dxfId="3397" priority="1273">
      <formula>$E2=14</formula>
    </cfRule>
    <cfRule type="expression" dxfId="3396" priority="1274">
      <formula>$E2=13</formula>
    </cfRule>
    <cfRule type="expression" dxfId="3395" priority="1275">
      <formula>$E2=12</formula>
    </cfRule>
  </conditionalFormatting>
  <conditionalFormatting sqref="M2">
    <cfRule type="expression" dxfId="3394" priority="1259">
      <formula>$E2=10</formula>
    </cfRule>
    <cfRule type="expression" dxfId="3393" priority="1260">
      <formula>$E2=11</formula>
    </cfRule>
    <cfRule type="expression" dxfId="3392" priority="1261">
      <formula>$E2=18</formula>
    </cfRule>
    <cfRule type="expression" dxfId="3391" priority="1262">
      <formula>$E2=17</formula>
    </cfRule>
    <cfRule type="expression" dxfId="3390" priority="1263">
      <formula>$E2=16</formula>
    </cfRule>
    <cfRule type="expression" dxfId="3389" priority="1264">
      <formula>$E2=15</formula>
    </cfRule>
    <cfRule type="expression" dxfId="3388" priority="1265">
      <formula>$E2=14</formula>
    </cfRule>
    <cfRule type="expression" dxfId="3387" priority="1266">
      <formula>$E2=13</formula>
    </cfRule>
    <cfRule type="expression" dxfId="3386" priority="1267">
      <formula>$E2=12</formula>
    </cfRule>
  </conditionalFormatting>
  <conditionalFormatting sqref="L327:L332 A327:J340">
    <cfRule type="expression" dxfId="3385" priority="1183">
      <formula>$E327&lt;12</formula>
    </cfRule>
    <cfRule type="expression" dxfId="3384" priority="1184">
      <formula>$E327=18</formula>
    </cfRule>
    <cfRule type="expression" dxfId="3383" priority="1185">
      <formula>$E327=17</formula>
    </cfRule>
    <cfRule type="expression" dxfId="3382" priority="1186">
      <formula>$E327=16</formula>
    </cfRule>
    <cfRule type="expression" dxfId="3381" priority="1187">
      <formula>$E327=15</formula>
    </cfRule>
    <cfRule type="expression" dxfId="3380" priority="1188">
      <formula>$E327=14</formula>
    </cfRule>
    <cfRule type="expression" dxfId="3379" priority="1189">
      <formula>$E327=13</formula>
    </cfRule>
    <cfRule type="expression" dxfId="3378" priority="1190">
      <formula>$E327=12</formula>
    </cfRule>
  </conditionalFormatting>
  <conditionalFormatting sqref="L327:L332 A327:J340">
    <cfRule type="expression" dxfId="3377" priority="1174">
      <formula>$E327=10</formula>
    </cfRule>
    <cfRule type="expression" dxfId="3376" priority="1175">
      <formula>$E327=11</formula>
    </cfRule>
    <cfRule type="expression" dxfId="3375" priority="1176">
      <formula>$E327=18</formula>
    </cfRule>
    <cfRule type="expression" dxfId="3374" priority="1177">
      <formula>$E327=17</formula>
    </cfRule>
    <cfRule type="expression" dxfId="3373" priority="1178">
      <formula>$E327=16</formula>
    </cfRule>
    <cfRule type="expression" dxfId="3372" priority="1179">
      <formula>$E327=15</formula>
    </cfRule>
    <cfRule type="expression" dxfId="3371" priority="1180">
      <formula>$E327=14</formula>
    </cfRule>
    <cfRule type="expression" dxfId="3370" priority="1181">
      <formula>$E327=13</formula>
    </cfRule>
    <cfRule type="expression" dxfId="3369" priority="1182">
      <formula>$E327=12</formula>
    </cfRule>
  </conditionalFormatting>
  <conditionalFormatting sqref="M333:M340">
    <cfRule type="expression" dxfId="3368" priority="1149">
      <formula>$E333&lt;12</formula>
    </cfRule>
    <cfRule type="expression" dxfId="3367" priority="1150">
      <formula>$E333=18</formula>
    </cfRule>
    <cfRule type="expression" dxfId="3366" priority="1151">
      <formula>$E333=17</formula>
    </cfRule>
    <cfRule type="expression" dxfId="3365" priority="1152">
      <formula>$E333=16</formula>
    </cfRule>
    <cfRule type="expression" dxfId="3364" priority="1153">
      <formula>$E333=15</formula>
    </cfRule>
    <cfRule type="expression" dxfId="3363" priority="1154">
      <formula>$E333=14</formula>
    </cfRule>
    <cfRule type="expression" dxfId="3362" priority="1155">
      <formula>$E333=13</formula>
    </cfRule>
    <cfRule type="expression" dxfId="3361" priority="1156">
      <formula>$E333=12</formula>
    </cfRule>
  </conditionalFormatting>
  <conditionalFormatting sqref="M333:M340">
    <cfRule type="expression" dxfId="3360" priority="1140">
      <formula>$E333=10</formula>
    </cfRule>
    <cfRule type="expression" dxfId="3359" priority="1141">
      <formula>$E333=11</formula>
    </cfRule>
    <cfRule type="expression" dxfId="3358" priority="1142">
      <formula>$E333=18</formula>
    </cfRule>
    <cfRule type="expression" dxfId="3357" priority="1143">
      <formula>$E333=17</formula>
    </cfRule>
    <cfRule type="expression" dxfId="3356" priority="1144">
      <formula>$E333=16</formula>
    </cfRule>
    <cfRule type="expression" dxfId="3355" priority="1145">
      <formula>$E333=15</formula>
    </cfRule>
    <cfRule type="expression" dxfId="3354" priority="1146">
      <formula>$E333=14</formula>
    </cfRule>
    <cfRule type="expression" dxfId="3353" priority="1147">
      <formula>$E333=13</formula>
    </cfRule>
    <cfRule type="expression" dxfId="3352" priority="1148">
      <formula>$E333=12</formula>
    </cfRule>
  </conditionalFormatting>
  <conditionalFormatting sqref="L333:L340">
    <cfRule type="expression" dxfId="3351" priority="1132">
      <formula>$E333&lt;12</formula>
    </cfRule>
    <cfRule type="expression" dxfId="3350" priority="1133">
      <formula>$E333=18</formula>
    </cfRule>
    <cfRule type="expression" dxfId="3349" priority="1134">
      <formula>$E333=17</formula>
    </cfRule>
    <cfRule type="expression" dxfId="3348" priority="1135">
      <formula>$E333=16</formula>
    </cfRule>
    <cfRule type="expression" dxfId="3347" priority="1136">
      <formula>$E333=15</formula>
    </cfRule>
    <cfRule type="expression" dxfId="3346" priority="1137">
      <formula>$E333=14</formula>
    </cfRule>
    <cfRule type="expression" dxfId="3345" priority="1138">
      <formula>$E333=13</formula>
    </cfRule>
    <cfRule type="expression" dxfId="3344" priority="1139">
      <formula>$E333=12</formula>
    </cfRule>
  </conditionalFormatting>
  <conditionalFormatting sqref="L333:L340">
    <cfRule type="expression" dxfId="3343" priority="1123">
      <formula>$E333=10</formula>
    </cfRule>
    <cfRule type="expression" dxfId="3342" priority="1124">
      <formula>$E333=11</formula>
    </cfRule>
    <cfRule type="expression" dxfId="3341" priority="1125">
      <formula>$E333=18</formula>
    </cfRule>
    <cfRule type="expression" dxfId="3340" priority="1126">
      <formula>$E333=17</formula>
    </cfRule>
    <cfRule type="expression" dxfId="3339" priority="1127">
      <formula>$E333=16</formula>
    </cfRule>
    <cfRule type="expression" dxfId="3338" priority="1128">
      <formula>$E333=15</formula>
    </cfRule>
    <cfRule type="expression" dxfId="3337" priority="1129">
      <formula>$E333=14</formula>
    </cfRule>
    <cfRule type="expression" dxfId="3336" priority="1130">
      <formula>$E333=13</formula>
    </cfRule>
    <cfRule type="expression" dxfId="3335" priority="1131">
      <formula>$E333=12</formula>
    </cfRule>
  </conditionalFormatting>
  <conditionalFormatting sqref="K333:K340">
    <cfRule type="expression" dxfId="3334" priority="1115">
      <formula>$E333&lt;12</formula>
    </cfRule>
    <cfRule type="expression" dxfId="3333" priority="1116">
      <formula>$E333=18</formula>
    </cfRule>
    <cfRule type="expression" dxfId="3332" priority="1117">
      <formula>$E333=17</formula>
    </cfRule>
    <cfRule type="expression" dxfId="3331" priority="1118">
      <formula>$E333=16</formula>
    </cfRule>
    <cfRule type="expression" dxfId="3330" priority="1119">
      <formula>$E333=15</formula>
    </cfRule>
    <cfRule type="expression" dxfId="3329" priority="1120">
      <formula>$E333=14</formula>
    </cfRule>
    <cfRule type="expression" dxfId="3328" priority="1121">
      <formula>$E333=13</formula>
    </cfRule>
    <cfRule type="expression" dxfId="3327" priority="1122">
      <formula>$E333=12</formula>
    </cfRule>
  </conditionalFormatting>
  <conditionalFormatting sqref="K333:K340">
    <cfRule type="expression" dxfId="3326" priority="1106">
      <formula>$E333=10</formula>
    </cfRule>
    <cfRule type="expression" dxfId="3325" priority="1107">
      <formula>$E333=11</formula>
    </cfRule>
    <cfRule type="expression" dxfId="3324" priority="1108">
      <formula>$E333=18</formula>
    </cfRule>
    <cfRule type="expression" dxfId="3323" priority="1109">
      <formula>$E333=17</formula>
    </cfRule>
    <cfRule type="expression" dxfId="3322" priority="1110">
      <formula>$E333=16</formula>
    </cfRule>
    <cfRule type="expression" dxfId="3321" priority="1111">
      <formula>$E333=15</formula>
    </cfRule>
    <cfRule type="expression" dxfId="3320" priority="1112">
      <formula>$E333=14</formula>
    </cfRule>
    <cfRule type="expression" dxfId="3319" priority="1113">
      <formula>$E333=13</formula>
    </cfRule>
    <cfRule type="expression" dxfId="3318" priority="1114">
      <formula>$E333=12</formula>
    </cfRule>
  </conditionalFormatting>
  <conditionalFormatting sqref="K327:K332">
    <cfRule type="expression" dxfId="3317" priority="1166">
      <formula>$E327&lt;12</formula>
    </cfRule>
    <cfRule type="expression" dxfId="3316" priority="1167">
      <formula>$E327=18</formula>
    </cfRule>
    <cfRule type="expression" dxfId="3315" priority="1168">
      <formula>$E327=17</formula>
    </cfRule>
    <cfRule type="expression" dxfId="3314" priority="1169">
      <formula>$E327=16</formula>
    </cfRule>
    <cfRule type="expression" dxfId="3313" priority="1170">
      <formula>$E327=15</formula>
    </cfRule>
    <cfRule type="expression" dxfId="3312" priority="1171">
      <formula>$E327=14</formula>
    </cfRule>
    <cfRule type="expression" dxfId="3311" priority="1172">
      <formula>$E327=13</formula>
    </cfRule>
    <cfRule type="expression" dxfId="3310" priority="1173">
      <formula>$E327=12</formula>
    </cfRule>
  </conditionalFormatting>
  <conditionalFormatting sqref="K327:K332">
    <cfRule type="expression" dxfId="3309" priority="1157">
      <formula>$E327=10</formula>
    </cfRule>
    <cfRule type="expression" dxfId="3308" priority="1158">
      <formula>$E327=11</formula>
    </cfRule>
    <cfRule type="expression" dxfId="3307" priority="1159">
      <formula>$E327=18</formula>
    </cfRule>
    <cfRule type="expression" dxfId="3306" priority="1160">
      <formula>$E327=17</formula>
    </cfRule>
    <cfRule type="expression" dxfId="3305" priority="1161">
      <formula>$E327=16</formula>
    </cfRule>
    <cfRule type="expression" dxfId="3304" priority="1162">
      <formula>$E327=15</formula>
    </cfRule>
    <cfRule type="expression" dxfId="3303" priority="1163">
      <formula>$E327=14</formula>
    </cfRule>
    <cfRule type="expression" dxfId="3302" priority="1164">
      <formula>$E327=13</formula>
    </cfRule>
    <cfRule type="expression" dxfId="3301" priority="1165">
      <formula>$E327=12</formula>
    </cfRule>
  </conditionalFormatting>
  <conditionalFormatting sqref="J2:J3">
    <cfRule type="expression" dxfId="3300" priority="1098">
      <formula>$E2&lt;12</formula>
    </cfRule>
    <cfRule type="expression" dxfId="3299" priority="1099">
      <formula>$E2=18</formula>
    </cfRule>
    <cfRule type="expression" dxfId="3298" priority="1100">
      <formula>$E2=17</formula>
    </cfRule>
    <cfRule type="expression" dxfId="3297" priority="1101">
      <formula>$E2=16</formula>
    </cfRule>
    <cfRule type="expression" dxfId="3296" priority="1102">
      <formula>$E2=15</formula>
    </cfRule>
    <cfRule type="expression" dxfId="3295" priority="1103">
      <formula>$E2=14</formula>
    </cfRule>
    <cfRule type="expression" dxfId="3294" priority="1104">
      <formula>$E2=13</formula>
    </cfRule>
    <cfRule type="expression" dxfId="3293" priority="1105">
      <formula>$E2=12</formula>
    </cfRule>
  </conditionalFormatting>
  <conditionalFormatting sqref="J2:J3">
    <cfRule type="expression" dxfId="3292" priority="1089">
      <formula>$E2=10</formula>
    </cfRule>
    <cfRule type="expression" dxfId="3291" priority="1090">
      <formula>$E2=11</formula>
    </cfRule>
    <cfRule type="expression" dxfId="3290" priority="1091">
      <formula>$E2=18</formula>
    </cfRule>
    <cfRule type="expression" dxfId="3289" priority="1092">
      <formula>$E2=17</formula>
    </cfRule>
    <cfRule type="expression" dxfId="3288" priority="1093">
      <formula>$E2=16</formula>
    </cfRule>
    <cfRule type="expression" dxfId="3287" priority="1094">
      <formula>$E2=15</formula>
    </cfRule>
    <cfRule type="expression" dxfId="3286" priority="1095">
      <formula>$E2=14</formula>
    </cfRule>
    <cfRule type="expression" dxfId="3285" priority="1096">
      <formula>$E2=13</formula>
    </cfRule>
    <cfRule type="expression" dxfId="3284" priority="1097">
      <formula>$E2=12</formula>
    </cfRule>
  </conditionalFormatting>
  <conditionalFormatting sqref="L342:L353">
    <cfRule type="expression" dxfId="3283" priority="1047">
      <formula>$E342&lt;12</formula>
    </cfRule>
    <cfRule type="expression" dxfId="3282" priority="1048">
      <formula>$E342=18</formula>
    </cfRule>
    <cfRule type="expression" dxfId="3281" priority="1049">
      <formula>$E342=17</formula>
    </cfRule>
    <cfRule type="expression" dxfId="3280" priority="1050">
      <formula>$E342=16</formula>
    </cfRule>
    <cfRule type="expression" dxfId="3279" priority="1051">
      <formula>$E342=15</formula>
    </cfRule>
    <cfRule type="expression" dxfId="3278" priority="1052">
      <formula>$E342=14</formula>
    </cfRule>
    <cfRule type="expression" dxfId="3277" priority="1053">
      <formula>$E342=13</formula>
    </cfRule>
    <cfRule type="expression" dxfId="3276" priority="1054">
      <formula>$E342=12</formula>
    </cfRule>
  </conditionalFormatting>
  <conditionalFormatting sqref="L342:L353">
    <cfRule type="expression" dxfId="3275" priority="1038">
      <formula>$E342=10</formula>
    </cfRule>
    <cfRule type="expression" dxfId="3274" priority="1039">
      <formula>$E342=11</formula>
    </cfRule>
    <cfRule type="expression" dxfId="3273" priority="1040">
      <formula>$E342=18</formula>
    </cfRule>
    <cfRule type="expression" dxfId="3272" priority="1041">
      <formula>$E342=17</formula>
    </cfRule>
    <cfRule type="expression" dxfId="3271" priority="1042">
      <formula>$E342=16</formula>
    </cfRule>
    <cfRule type="expression" dxfId="3270" priority="1043">
      <formula>$E342=15</formula>
    </cfRule>
    <cfRule type="expression" dxfId="3269" priority="1044">
      <formula>$E342=14</formula>
    </cfRule>
    <cfRule type="expression" dxfId="3268" priority="1045">
      <formula>$E342=13</formula>
    </cfRule>
    <cfRule type="expression" dxfId="3267" priority="1046">
      <formula>$E342=12</formula>
    </cfRule>
  </conditionalFormatting>
  <conditionalFormatting sqref="K342:K353">
    <cfRule type="expression" dxfId="3266" priority="1030">
      <formula>$E342&lt;12</formula>
    </cfRule>
    <cfRule type="expression" dxfId="3265" priority="1031">
      <formula>$E342=18</formula>
    </cfRule>
    <cfRule type="expression" dxfId="3264" priority="1032">
      <formula>$E342=17</formula>
    </cfRule>
    <cfRule type="expression" dxfId="3263" priority="1033">
      <formula>$E342=16</formula>
    </cfRule>
    <cfRule type="expression" dxfId="3262" priority="1034">
      <formula>$E342=15</formula>
    </cfRule>
    <cfRule type="expression" dxfId="3261" priority="1035">
      <formula>$E342=14</formula>
    </cfRule>
    <cfRule type="expression" dxfId="3260" priority="1036">
      <formula>$E342=13</formula>
    </cfRule>
    <cfRule type="expression" dxfId="3259" priority="1037">
      <formula>$E342=12</formula>
    </cfRule>
  </conditionalFormatting>
  <conditionalFormatting sqref="K342:K353">
    <cfRule type="expression" dxfId="3258" priority="1021">
      <formula>$E342=10</formula>
    </cfRule>
    <cfRule type="expression" dxfId="3257" priority="1022">
      <formula>$E342=11</formula>
    </cfRule>
    <cfRule type="expression" dxfId="3256" priority="1023">
      <formula>$E342=18</formula>
    </cfRule>
    <cfRule type="expression" dxfId="3255" priority="1024">
      <formula>$E342=17</formula>
    </cfRule>
    <cfRule type="expression" dxfId="3254" priority="1025">
      <formula>$E342=16</formula>
    </cfRule>
    <cfRule type="expression" dxfId="3253" priority="1026">
      <formula>$E342=15</formula>
    </cfRule>
    <cfRule type="expression" dxfId="3252" priority="1027">
      <formula>$E342=14</formula>
    </cfRule>
    <cfRule type="expression" dxfId="3251" priority="1028">
      <formula>$E342=13</formula>
    </cfRule>
    <cfRule type="expression" dxfId="3250" priority="1029">
      <formula>$E342=12</formula>
    </cfRule>
  </conditionalFormatting>
  <conditionalFormatting sqref="M342:N353">
    <cfRule type="expression" dxfId="3249" priority="1064">
      <formula>$E342&lt;12</formula>
    </cfRule>
    <cfRule type="expression" dxfId="3248" priority="1065">
      <formula>$E342=18</formula>
    </cfRule>
    <cfRule type="expression" dxfId="3247" priority="1066">
      <formula>$E342=17</formula>
    </cfRule>
    <cfRule type="expression" dxfId="3246" priority="1067">
      <formula>$E342=16</formula>
    </cfRule>
    <cfRule type="expression" dxfId="3245" priority="1068">
      <formula>$E342=15</formula>
    </cfRule>
    <cfRule type="expression" dxfId="3244" priority="1069">
      <formula>$E342=14</formula>
    </cfRule>
    <cfRule type="expression" dxfId="3243" priority="1070">
      <formula>$E342=13</formula>
    </cfRule>
    <cfRule type="expression" dxfId="3242" priority="1071">
      <formula>$E342=12</formula>
    </cfRule>
  </conditionalFormatting>
  <conditionalFormatting sqref="M342:N353">
    <cfRule type="expression" dxfId="3241" priority="1055">
      <formula>$E342=10</formula>
    </cfRule>
    <cfRule type="expression" dxfId="3240" priority="1056">
      <formula>$E342=11</formula>
    </cfRule>
    <cfRule type="expression" dxfId="3239" priority="1057">
      <formula>$E342=18</formula>
    </cfRule>
    <cfRule type="expression" dxfId="3238" priority="1058">
      <formula>$E342=17</formula>
    </cfRule>
    <cfRule type="expression" dxfId="3237" priority="1059">
      <formula>$E342=16</formula>
    </cfRule>
    <cfRule type="expression" dxfId="3236" priority="1060">
      <formula>$E342=15</formula>
    </cfRule>
    <cfRule type="expression" dxfId="3235" priority="1061">
      <formula>$E342=14</formula>
    </cfRule>
    <cfRule type="expression" dxfId="3234" priority="1062">
      <formula>$E342=13</formula>
    </cfRule>
    <cfRule type="expression" dxfId="3233" priority="1063">
      <formula>$E342=12</formula>
    </cfRule>
  </conditionalFormatting>
  <conditionalFormatting sqref="A342:J353">
    <cfRule type="expression" dxfId="3232" priority="1081">
      <formula>$E342&lt;12</formula>
    </cfRule>
    <cfRule type="expression" dxfId="3231" priority="1082">
      <formula>$E342=18</formula>
    </cfRule>
    <cfRule type="expression" dxfId="3230" priority="1083">
      <formula>$E342=17</formula>
    </cfRule>
    <cfRule type="expression" dxfId="3229" priority="1084">
      <formula>$E342=16</formula>
    </cfRule>
    <cfRule type="expression" dxfId="3228" priority="1085">
      <formula>$E342=15</formula>
    </cfRule>
    <cfRule type="expression" dxfId="3227" priority="1086">
      <formula>$E342=14</formula>
    </cfRule>
    <cfRule type="expression" dxfId="3226" priority="1087">
      <formula>$E342=13</formula>
    </cfRule>
    <cfRule type="expression" dxfId="3225" priority="1088">
      <formula>$E342=12</formula>
    </cfRule>
  </conditionalFormatting>
  <conditionalFormatting sqref="A342:J353">
    <cfRule type="expression" dxfId="3224" priority="1072">
      <formula>$E342=10</formula>
    </cfRule>
    <cfRule type="expression" dxfId="3223" priority="1073">
      <formula>$E342=11</formula>
    </cfRule>
    <cfRule type="expression" dxfId="3222" priority="1074">
      <formula>$E342=18</formula>
    </cfRule>
    <cfRule type="expression" dxfId="3221" priority="1075">
      <formula>$E342=17</formula>
    </cfRule>
    <cfRule type="expression" dxfId="3220" priority="1076">
      <formula>$E342=16</formula>
    </cfRule>
    <cfRule type="expression" dxfId="3219" priority="1077">
      <formula>$E342=15</formula>
    </cfRule>
    <cfRule type="expression" dxfId="3218" priority="1078">
      <formula>$E342=14</formula>
    </cfRule>
    <cfRule type="expression" dxfId="3217" priority="1079">
      <formula>$E342=13</formula>
    </cfRule>
    <cfRule type="expression" dxfId="3216" priority="1080">
      <formula>$E342=12</formula>
    </cfRule>
  </conditionalFormatting>
  <conditionalFormatting sqref="A354:J354">
    <cfRule type="expression" dxfId="3215" priority="996">
      <formula>$E354&lt;12</formula>
    </cfRule>
    <cfRule type="expression" dxfId="3214" priority="997">
      <formula>$E354=18</formula>
    </cfRule>
    <cfRule type="expression" dxfId="3213" priority="998">
      <formula>$E354=17</formula>
    </cfRule>
    <cfRule type="expression" dxfId="3212" priority="999">
      <formula>$E354=16</formula>
    </cfRule>
    <cfRule type="expression" dxfId="3211" priority="1000">
      <formula>$E354=15</formula>
    </cfRule>
    <cfRule type="expression" dxfId="3210" priority="1001">
      <formula>$E354=14</formula>
    </cfRule>
    <cfRule type="expression" dxfId="3209" priority="1002">
      <formula>$E354=13</formula>
    </cfRule>
    <cfRule type="expression" dxfId="3208" priority="1003">
      <formula>$E354=12</formula>
    </cfRule>
  </conditionalFormatting>
  <conditionalFormatting sqref="A354:J354">
    <cfRule type="expression" dxfId="3207" priority="987">
      <formula>$E354=10</formula>
    </cfRule>
    <cfRule type="expression" dxfId="3206" priority="988">
      <formula>$E354=11</formula>
    </cfRule>
    <cfRule type="expression" dxfId="3205" priority="989">
      <formula>$E354=18</formula>
    </cfRule>
    <cfRule type="expression" dxfId="3204" priority="990">
      <formula>$E354=17</formula>
    </cfRule>
    <cfRule type="expression" dxfId="3203" priority="991">
      <formula>$E354=16</formula>
    </cfRule>
    <cfRule type="expression" dxfId="3202" priority="992">
      <formula>$E354=15</formula>
    </cfRule>
    <cfRule type="expression" dxfId="3201" priority="993">
      <formula>$E354=14</formula>
    </cfRule>
    <cfRule type="expression" dxfId="3200" priority="994">
      <formula>$E354=13</formula>
    </cfRule>
    <cfRule type="expression" dxfId="3199" priority="995">
      <formula>$E354=12</formula>
    </cfRule>
  </conditionalFormatting>
  <conditionalFormatting sqref="M354:N354">
    <cfRule type="expression" dxfId="3198" priority="979">
      <formula>$E354&lt;12</formula>
    </cfRule>
    <cfRule type="expression" dxfId="3197" priority="980">
      <formula>$E354=18</formula>
    </cfRule>
    <cfRule type="expression" dxfId="3196" priority="981">
      <formula>$E354=17</formula>
    </cfRule>
    <cfRule type="expression" dxfId="3195" priority="982">
      <formula>$E354=16</formula>
    </cfRule>
    <cfRule type="expression" dxfId="3194" priority="983">
      <formula>$E354=15</formula>
    </cfRule>
    <cfRule type="expression" dxfId="3193" priority="984">
      <formula>$E354=14</formula>
    </cfRule>
    <cfRule type="expression" dxfId="3192" priority="985">
      <formula>$E354=13</formula>
    </cfRule>
    <cfRule type="expression" dxfId="3191" priority="986">
      <formula>$E354=12</formula>
    </cfRule>
  </conditionalFormatting>
  <conditionalFormatting sqref="M354:N354">
    <cfRule type="expression" dxfId="3190" priority="970">
      <formula>$E354=10</formula>
    </cfRule>
    <cfRule type="expression" dxfId="3189" priority="971">
      <formula>$E354=11</formula>
    </cfRule>
    <cfRule type="expression" dxfId="3188" priority="972">
      <formula>$E354=18</formula>
    </cfRule>
    <cfRule type="expression" dxfId="3187" priority="973">
      <formula>$E354=17</formula>
    </cfRule>
    <cfRule type="expression" dxfId="3186" priority="974">
      <formula>$E354=16</formula>
    </cfRule>
    <cfRule type="expression" dxfId="3185" priority="975">
      <formula>$E354=15</formula>
    </cfRule>
    <cfRule type="expression" dxfId="3184" priority="976">
      <formula>$E354=14</formula>
    </cfRule>
    <cfRule type="expression" dxfId="3183" priority="977">
      <formula>$E354=13</formula>
    </cfRule>
    <cfRule type="expression" dxfId="3182" priority="978">
      <formula>$E354=12</formula>
    </cfRule>
  </conditionalFormatting>
  <conditionalFormatting sqref="L354">
    <cfRule type="expression" dxfId="3181" priority="962">
      <formula>$E354&lt;12</formula>
    </cfRule>
    <cfRule type="expression" dxfId="3180" priority="963">
      <formula>$E354=18</formula>
    </cfRule>
    <cfRule type="expression" dxfId="3179" priority="964">
      <formula>$E354=17</formula>
    </cfRule>
    <cfRule type="expression" dxfId="3178" priority="965">
      <formula>$E354=16</formula>
    </cfRule>
    <cfRule type="expression" dxfId="3177" priority="966">
      <formula>$E354=15</formula>
    </cfRule>
    <cfRule type="expression" dxfId="3176" priority="967">
      <formula>$E354=14</formula>
    </cfRule>
    <cfRule type="expression" dxfId="3175" priority="968">
      <formula>$E354=13</formula>
    </cfRule>
    <cfRule type="expression" dxfId="3174" priority="969">
      <formula>$E354=12</formula>
    </cfRule>
  </conditionalFormatting>
  <conditionalFormatting sqref="L354">
    <cfRule type="expression" dxfId="3173" priority="953">
      <formula>$E354=10</formula>
    </cfRule>
    <cfRule type="expression" dxfId="3172" priority="954">
      <formula>$E354=11</formula>
    </cfRule>
    <cfRule type="expression" dxfId="3171" priority="955">
      <formula>$E354=18</formula>
    </cfRule>
    <cfRule type="expression" dxfId="3170" priority="956">
      <formula>$E354=17</formula>
    </cfRule>
    <cfRule type="expression" dxfId="3169" priority="957">
      <formula>$E354=16</formula>
    </cfRule>
    <cfRule type="expression" dxfId="3168" priority="958">
      <formula>$E354=15</formula>
    </cfRule>
    <cfRule type="expression" dxfId="3167" priority="959">
      <formula>$E354=14</formula>
    </cfRule>
    <cfRule type="expression" dxfId="3166" priority="960">
      <formula>$E354=13</formula>
    </cfRule>
    <cfRule type="expression" dxfId="3165" priority="961">
      <formula>$E354=12</formula>
    </cfRule>
  </conditionalFormatting>
  <conditionalFormatting sqref="L147">
    <cfRule type="expression" dxfId="3164" priority="1013">
      <formula>$E147&lt;12</formula>
    </cfRule>
    <cfRule type="expression" dxfId="3163" priority="1014">
      <formula>$E147=18</formula>
    </cfRule>
    <cfRule type="expression" dxfId="3162" priority="1015">
      <formula>$E147=17</formula>
    </cfRule>
    <cfRule type="expression" dxfId="3161" priority="1016">
      <formula>$E147=16</formula>
    </cfRule>
    <cfRule type="expression" dxfId="3160" priority="1017">
      <formula>$E147=15</formula>
    </cfRule>
    <cfRule type="expression" dxfId="3159" priority="1018">
      <formula>$E147=14</formula>
    </cfRule>
    <cfRule type="expression" dxfId="3158" priority="1019">
      <formula>$E147=13</formula>
    </cfRule>
    <cfRule type="expression" dxfId="3157" priority="1020">
      <formula>$E147=12</formula>
    </cfRule>
  </conditionalFormatting>
  <conditionalFormatting sqref="L147">
    <cfRule type="expression" dxfId="3156" priority="1004">
      <formula>$E147=10</formula>
    </cfRule>
    <cfRule type="expression" dxfId="3155" priority="1005">
      <formula>$E147=11</formula>
    </cfRule>
    <cfRule type="expression" dxfId="3154" priority="1006">
      <formula>$E147=18</formula>
    </cfRule>
    <cfRule type="expression" dxfId="3153" priority="1007">
      <formula>$E147=17</formula>
    </cfRule>
    <cfRule type="expression" dxfId="3152" priority="1008">
      <formula>$E147=16</formula>
    </cfRule>
    <cfRule type="expression" dxfId="3151" priority="1009">
      <formula>$E147=15</formula>
    </cfRule>
    <cfRule type="expression" dxfId="3150" priority="1010">
      <formula>$E147=14</formula>
    </cfRule>
    <cfRule type="expression" dxfId="3149" priority="1011">
      <formula>$E147=13</formula>
    </cfRule>
    <cfRule type="expression" dxfId="3148" priority="1012">
      <formula>$E147=12</formula>
    </cfRule>
  </conditionalFormatting>
  <conditionalFormatting sqref="K354">
    <cfRule type="expression" dxfId="3147" priority="945">
      <formula>$E354&lt;12</formula>
    </cfRule>
    <cfRule type="expression" dxfId="3146" priority="946">
      <formula>$E354=18</formula>
    </cfRule>
    <cfRule type="expression" dxfId="3145" priority="947">
      <formula>$E354=17</formula>
    </cfRule>
    <cfRule type="expression" dxfId="3144" priority="948">
      <formula>$E354=16</formula>
    </cfRule>
    <cfRule type="expression" dxfId="3143" priority="949">
      <formula>$E354=15</formula>
    </cfRule>
    <cfRule type="expression" dxfId="3142" priority="950">
      <formula>$E354=14</formula>
    </cfRule>
    <cfRule type="expression" dxfId="3141" priority="951">
      <formula>$E354=13</formula>
    </cfRule>
    <cfRule type="expression" dxfId="3140" priority="952">
      <formula>$E354=12</formula>
    </cfRule>
  </conditionalFormatting>
  <conditionalFormatting sqref="K354">
    <cfRule type="expression" dxfId="3139" priority="936">
      <formula>$E354=10</formula>
    </cfRule>
    <cfRule type="expression" dxfId="3138" priority="937">
      <formula>$E354=11</formula>
    </cfRule>
    <cfRule type="expression" dxfId="3137" priority="938">
      <formula>$E354=18</formula>
    </cfRule>
    <cfRule type="expression" dxfId="3136" priority="939">
      <formula>$E354=17</formula>
    </cfRule>
    <cfRule type="expression" dxfId="3135" priority="940">
      <formula>$E354=16</formula>
    </cfRule>
    <cfRule type="expression" dxfId="3134" priority="941">
      <formula>$E354=15</formula>
    </cfRule>
    <cfRule type="expression" dxfId="3133" priority="942">
      <formula>$E354=14</formula>
    </cfRule>
    <cfRule type="expression" dxfId="3132" priority="943">
      <formula>$E354=13</formula>
    </cfRule>
    <cfRule type="expression" dxfId="3131" priority="944">
      <formula>$E354=12</formula>
    </cfRule>
  </conditionalFormatting>
  <conditionalFormatting sqref="A356:J358">
    <cfRule type="expression" dxfId="3130" priority="928">
      <formula>$E356&lt;12</formula>
    </cfRule>
    <cfRule type="expression" dxfId="3129" priority="929">
      <formula>$E356=18</formula>
    </cfRule>
    <cfRule type="expression" dxfId="3128" priority="930">
      <formula>$E356=17</formula>
    </cfRule>
    <cfRule type="expression" dxfId="3127" priority="931">
      <formula>$E356=16</formula>
    </cfRule>
    <cfRule type="expression" dxfId="3126" priority="932">
      <formula>$E356=15</formula>
    </cfRule>
    <cfRule type="expression" dxfId="3125" priority="933">
      <formula>$E356=14</formula>
    </cfRule>
    <cfRule type="expression" dxfId="3124" priority="934">
      <formula>$E356=13</formula>
    </cfRule>
    <cfRule type="expression" dxfId="3123" priority="935">
      <formula>$E356=12</formula>
    </cfRule>
  </conditionalFormatting>
  <conditionalFormatting sqref="A356:J358">
    <cfRule type="expression" dxfId="3122" priority="919">
      <formula>$E356=10</formula>
    </cfRule>
    <cfRule type="expression" dxfId="3121" priority="920">
      <formula>$E356=11</formula>
    </cfRule>
    <cfRule type="expression" dxfId="3120" priority="921">
      <formula>$E356=18</formula>
    </cfRule>
    <cfRule type="expression" dxfId="3119" priority="922">
      <formula>$E356=17</formula>
    </cfRule>
    <cfRule type="expression" dxfId="3118" priority="923">
      <formula>$E356=16</formula>
    </cfRule>
    <cfRule type="expression" dxfId="3117" priority="924">
      <formula>$E356=15</formula>
    </cfRule>
    <cfRule type="expression" dxfId="3116" priority="925">
      <formula>$E356=14</formula>
    </cfRule>
    <cfRule type="expression" dxfId="3115" priority="926">
      <formula>$E356=13</formula>
    </cfRule>
    <cfRule type="expression" dxfId="3114" priority="927">
      <formula>$E356=12</formula>
    </cfRule>
  </conditionalFormatting>
  <conditionalFormatting sqref="M356:N358">
    <cfRule type="expression" dxfId="3113" priority="911">
      <formula>$E356&lt;12</formula>
    </cfRule>
    <cfRule type="expression" dxfId="3112" priority="912">
      <formula>$E356=18</formula>
    </cfRule>
    <cfRule type="expression" dxfId="3111" priority="913">
      <formula>$E356=17</formula>
    </cfRule>
    <cfRule type="expression" dxfId="3110" priority="914">
      <formula>$E356=16</formula>
    </cfRule>
    <cfRule type="expression" dxfId="3109" priority="915">
      <formula>$E356=15</formula>
    </cfRule>
    <cfRule type="expression" dxfId="3108" priority="916">
      <formula>$E356=14</formula>
    </cfRule>
    <cfRule type="expression" dxfId="3107" priority="917">
      <formula>$E356=13</formula>
    </cfRule>
    <cfRule type="expression" dxfId="3106" priority="918">
      <formula>$E356=12</formula>
    </cfRule>
  </conditionalFormatting>
  <conditionalFormatting sqref="M356:N358">
    <cfRule type="expression" dxfId="3105" priority="902">
      <formula>$E356=10</formula>
    </cfRule>
    <cfRule type="expression" dxfId="3104" priority="903">
      <formula>$E356=11</formula>
    </cfRule>
    <cfRule type="expression" dxfId="3103" priority="904">
      <formula>$E356=18</formula>
    </cfRule>
    <cfRule type="expression" dxfId="3102" priority="905">
      <formula>$E356=17</formula>
    </cfRule>
    <cfRule type="expression" dxfId="3101" priority="906">
      <formula>$E356=16</formula>
    </cfRule>
    <cfRule type="expression" dxfId="3100" priority="907">
      <formula>$E356=15</formula>
    </cfRule>
    <cfRule type="expression" dxfId="3099" priority="908">
      <formula>$E356=14</formula>
    </cfRule>
    <cfRule type="expression" dxfId="3098" priority="909">
      <formula>$E356=13</formula>
    </cfRule>
    <cfRule type="expression" dxfId="3097" priority="910">
      <formula>$E356=12</formula>
    </cfRule>
  </conditionalFormatting>
  <conditionalFormatting sqref="L356:L358">
    <cfRule type="expression" dxfId="3096" priority="894">
      <formula>$E356&lt;12</formula>
    </cfRule>
    <cfRule type="expression" dxfId="3095" priority="895">
      <formula>$E356=18</formula>
    </cfRule>
    <cfRule type="expression" dxfId="3094" priority="896">
      <formula>$E356=17</formula>
    </cfRule>
    <cfRule type="expression" dxfId="3093" priority="897">
      <formula>$E356=16</formula>
    </cfRule>
    <cfRule type="expression" dxfId="3092" priority="898">
      <formula>$E356=15</formula>
    </cfRule>
    <cfRule type="expression" dxfId="3091" priority="899">
      <formula>$E356=14</formula>
    </cfRule>
    <cfRule type="expression" dxfId="3090" priority="900">
      <formula>$E356=13</formula>
    </cfRule>
    <cfRule type="expression" dxfId="3089" priority="901">
      <formula>$E356=12</formula>
    </cfRule>
  </conditionalFormatting>
  <conditionalFormatting sqref="L356:L358">
    <cfRule type="expression" dxfId="3088" priority="885">
      <formula>$E356=10</formula>
    </cfRule>
    <cfRule type="expression" dxfId="3087" priority="886">
      <formula>$E356=11</formula>
    </cfRule>
    <cfRule type="expression" dxfId="3086" priority="887">
      <formula>$E356=18</formula>
    </cfRule>
    <cfRule type="expression" dxfId="3085" priority="888">
      <formula>$E356=17</formula>
    </cfRule>
    <cfRule type="expression" dxfId="3084" priority="889">
      <formula>$E356=16</formula>
    </cfRule>
    <cfRule type="expression" dxfId="3083" priority="890">
      <formula>$E356=15</formula>
    </cfRule>
    <cfRule type="expression" dxfId="3082" priority="891">
      <formula>$E356=14</formula>
    </cfRule>
    <cfRule type="expression" dxfId="3081" priority="892">
      <formula>$E356=13</formula>
    </cfRule>
    <cfRule type="expression" dxfId="3080" priority="893">
      <formula>$E356=12</formula>
    </cfRule>
  </conditionalFormatting>
  <conditionalFormatting sqref="K356:K358">
    <cfRule type="expression" dxfId="3079" priority="877">
      <formula>$E356&lt;12</formula>
    </cfRule>
    <cfRule type="expression" dxfId="3078" priority="878">
      <formula>$E356=18</formula>
    </cfRule>
    <cfRule type="expression" dxfId="3077" priority="879">
      <formula>$E356=17</formula>
    </cfRule>
    <cfRule type="expression" dxfId="3076" priority="880">
      <formula>$E356=16</formula>
    </cfRule>
    <cfRule type="expression" dxfId="3075" priority="881">
      <formula>$E356=15</formula>
    </cfRule>
    <cfRule type="expression" dxfId="3074" priority="882">
      <formula>$E356=14</formula>
    </cfRule>
    <cfRule type="expression" dxfId="3073" priority="883">
      <formula>$E356=13</formula>
    </cfRule>
    <cfRule type="expression" dxfId="3072" priority="884">
      <formula>$E356=12</formula>
    </cfRule>
  </conditionalFormatting>
  <conditionalFormatting sqref="K356:K358">
    <cfRule type="expression" dxfId="3071" priority="868">
      <formula>$E356=10</formula>
    </cfRule>
    <cfRule type="expression" dxfId="3070" priority="869">
      <formula>$E356=11</formula>
    </cfRule>
    <cfRule type="expression" dxfId="3069" priority="870">
      <formula>$E356=18</formula>
    </cfRule>
    <cfRule type="expression" dxfId="3068" priority="871">
      <formula>$E356=17</formula>
    </cfRule>
    <cfRule type="expression" dxfId="3067" priority="872">
      <formula>$E356=16</formula>
    </cfRule>
    <cfRule type="expression" dxfId="3066" priority="873">
      <formula>$E356=15</formula>
    </cfRule>
    <cfRule type="expression" dxfId="3065" priority="874">
      <formula>$E356=14</formula>
    </cfRule>
    <cfRule type="expression" dxfId="3064" priority="875">
      <formula>$E356=13</formula>
    </cfRule>
    <cfRule type="expression" dxfId="3063" priority="876">
      <formula>$E356=12</formula>
    </cfRule>
  </conditionalFormatting>
  <conditionalFormatting sqref="G1:I1">
    <cfRule type="containsText" dxfId="3062" priority="1378" operator="containsText" text="CSRA">
      <formula>NOT(ISERROR(SEARCH("CSRA",G1)))</formula>
    </cfRule>
  </conditionalFormatting>
  <conditionalFormatting sqref="A360:B363 G360:J363">
    <cfRule type="expression" dxfId="3061" priority="860">
      <formula>$E360&lt;12</formula>
    </cfRule>
    <cfRule type="expression" dxfId="3060" priority="861">
      <formula>$E360=18</formula>
    </cfRule>
    <cfRule type="expression" dxfId="3059" priority="862">
      <formula>$E360=17</formula>
    </cfRule>
    <cfRule type="expression" dxfId="3058" priority="863">
      <formula>$E360=16</formula>
    </cfRule>
    <cfRule type="expression" dxfId="3057" priority="864">
      <formula>$E360=15</formula>
    </cfRule>
    <cfRule type="expression" dxfId="3056" priority="865">
      <formula>$E360=14</formula>
    </cfRule>
    <cfRule type="expression" dxfId="3055" priority="866">
      <formula>$E360=13</formula>
    </cfRule>
    <cfRule type="expression" dxfId="3054" priority="867">
      <formula>$E360=12</formula>
    </cfRule>
  </conditionalFormatting>
  <conditionalFormatting sqref="A360:B363 G360:J363">
    <cfRule type="expression" dxfId="3053" priority="851">
      <formula>$E360=10</formula>
    </cfRule>
    <cfRule type="expression" dxfId="3052" priority="852">
      <formula>$E360=11</formula>
    </cfRule>
    <cfRule type="expression" dxfId="3051" priority="853">
      <formula>$E360=18</formula>
    </cfRule>
    <cfRule type="expression" dxfId="3050" priority="854">
      <formula>$E360=17</formula>
    </cfRule>
    <cfRule type="expression" dxfId="3049" priority="855">
      <formula>$E360=16</formula>
    </cfRule>
    <cfRule type="expression" dxfId="3048" priority="856">
      <formula>$E360=15</formula>
    </cfRule>
    <cfRule type="expression" dxfId="3047" priority="857">
      <formula>$E360=14</formula>
    </cfRule>
    <cfRule type="expression" dxfId="3046" priority="858">
      <formula>$E360=13</formula>
    </cfRule>
    <cfRule type="expression" dxfId="3045" priority="859">
      <formula>$E360=12</formula>
    </cfRule>
  </conditionalFormatting>
  <conditionalFormatting sqref="M360:N363">
    <cfRule type="expression" dxfId="3044" priority="843">
      <formula>$E360&lt;12</formula>
    </cfRule>
    <cfRule type="expression" dxfId="3043" priority="844">
      <formula>$E360=18</formula>
    </cfRule>
    <cfRule type="expression" dxfId="3042" priority="845">
      <formula>$E360=17</formula>
    </cfRule>
    <cfRule type="expression" dxfId="3041" priority="846">
      <formula>$E360=16</formula>
    </cfRule>
    <cfRule type="expression" dxfId="3040" priority="847">
      <formula>$E360=15</formula>
    </cfRule>
    <cfRule type="expression" dxfId="3039" priority="848">
      <formula>$E360=14</formula>
    </cfRule>
    <cfRule type="expression" dxfId="3038" priority="849">
      <formula>$E360=13</formula>
    </cfRule>
    <cfRule type="expression" dxfId="3037" priority="850">
      <formula>$E360=12</formula>
    </cfRule>
  </conditionalFormatting>
  <conditionalFormatting sqref="M360:N363">
    <cfRule type="expression" dxfId="3036" priority="834">
      <formula>$E360=10</formula>
    </cfRule>
    <cfRule type="expression" dxfId="3035" priority="835">
      <formula>$E360=11</formula>
    </cfRule>
    <cfRule type="expression" dxfId="3034" priority="836">
      <formula>$E360=18</formula>
    </cfRule>
    <cfRule type="expression" dxfId="3033" priority="837">
      <formula>$E360=17</formula>
    </cfRule>
    <cfRule type="expression" dxfId="3032" priority="838">
      <formula>$E360=16</formula>
    </cfRule>
    <cfRule type="expression" dxfId="3031" priority="839">
      <formula>$E360=15</formula>
    </cfRule>
    <cfRule type="expression" dxfId="3030" priority="840">
      <formula>$E360=14</formula>
    </cfRule>
    <cfRule type="expression" dxfId="3029" priority="841">
      <formula>$E360=13</formula>
    </cfRule>
    <cfRule type="expression" dxfId="3028" priority="842">
      <formula>$E360=12</formula>
    </cfRule>
  </conditionalFormatting>
  <conditionalFormatting sqref="L360:L363">
    <cfRule type="expression" dxfId="3027" priority="826">
      <formula>$E360&lt;12</formula>
    </cfRule>
    <cfRule type="expression" dxfId="3026" priority="827">
      <formula>$E360=18</formula>
    </cfRule>
    <cfRule type="expression" dxfId="3025" priority="828">
      <formula>$E360=17</formula>
    </cfRule>
    <cfRule type="expression" dxfId="3024" priority="829">
      <formula>$E360=16</formula>
    </cfRule>
    <cfRule type="expression" dxfId="3023" priority="830">
      <formula>$E360=15</formula>
    </cfRule>
    <cfRule type="expression" dxfId="3022" priority="831">
      <formula>$E360=14</formula>
    </cfRule>
    <cfRule type="expression" dxfId="3021" priority="832">
      <formula>$E360=13</formula>
    </cfRule>
    <cfRule type="expression" dxfId="3020" priority="833">
      <formula>$E360=12</formula>
    </cfRule>
  </conditionalFormatting>
  <conditionalFormatting sqref="L360:L363">
    <cfRule type="expression" dxfId="3019" priority="817">
      <formula>$E360=10</formula>
    </cfRule>
    <cfRule type="expression" dxfId="3018" priority="818">
      <formula>$E360=11</formula>
    </cfRule>
    <cfRule type="expression" dxfId="3017" priority="819">
      <formula>$E360=18</formula>
    </cfRule>
    <cfRule type="expression" dxfId="3016" priority="820">
      <formula>$E360=17</formula>
    </cfRule>
    <cfRule type="expression" dxfId="3015" priority="821">
      <formula>$E360=16</formula>
    </cfRule>
    <cfRule type="expression" dxfId="3014" priority="822">
      <formula>$E360=15</formula>
    </cfRule>
    <cfRule type="expression" dxfId="3013" priority="823">
      <formula>$E360=14</formula>
    </cfRule>
    <cfRule type="expression" dxfId="3012" priority="824">
      <formula>$E360=13</formula>
    </cfRule>
    <cfRule type="expression" dxfId="3011" priority="825">
      <formula>$E360=12</formula>
    </cfRule>
  </conditionalFormatting>
  <conditionalFormatting sqref="K360:K363">
    <cfRule type="expression" dxfId="3010" priority="809">
      <formula>$E360&lt;12</formula>
    </cfRule>
    <cfRule type="expression" dxfId="3009" priority="810">
      <formula>$E360=18</formula>
    </cfRule>
    <cfRule type="expression" dxfId="3008" priority="811">
      <formula>$E360=17</formula>
    </cfRule>
    <cfRule type="expression" dxfId="3007" priority="812">
      <formula>$E360=16</formula>
    </cfRule>
    <cfRule type="expression" dxfId="3006" priority="813">
      <formula>$E360=15</formula>
    </cfRule>
    <cfRule type="expression" dxfId="3005" priority="814">
      <formula>$E360=14</formula>
    </cfRule>
    <cfRule type="expression" dxfId="3004" priority="815">
      <formula>$E360=13</formula>
    </cfRule>
    <cfRule type="expression" dxfId="3003" priority="816">
      <formula>$E360=12</formula>
    </cfRule>
  </conditionalFormatting>
  <conditionalFormatting sqref="K360:K363">
    <cfRule type="expression" dxfId="3002" priority="800">
      <formula>$E360=10</formula>
    </cfRule>
    <cfRule type="expression" dxfId="3001" priority="801">
      <formula>$E360=11</formula>
    </cfRule>
    <cfRule type="expression" dxfId="3000" priority="802">
      <formula>$E360=18</formula>
    </cfRule>
    <cfRule type="expression" dxfId="2999" priority="803">
      <formula>$E360=17</formula>
    </cfRule>
    <cfRule type="expression" dxfId="2998" priority="804">
      <formula>$E360=16</formula>
    </cfRule>
    <cfRule type="expression" dxfId="2997" priority="805">
      <formula>$E360=15</formula>
    </cfRule>
    <cfRule type="expression" dxfId="2996" priority="806">
      <formula>$E360=14</formula>
    </cfRule>
    <cfRule type="expression" dxfId="2995" priority="807">
      <formula>$E360=13</formula>
    </cfRule>
    <cfRule type="expression" dxfId="2994" priority="808">
      <formula>$E360=12</formula>
    </cfRule>
  </conditionalFormatting>
  <conditionalFormatting sqref="C360:F363">
    <cfRule type="expression" dxfId="2993" priority="792">
      <formula>$E360&lt;12</formula>
    </cfRule>
    <cfRule type="expression" dxfId="2992" priority="793">
      <formula>$E360=18</formula>
    </cfRule>
    <cfRule type="expression" dxfId="2991" priority="794">
      <formula>$E360=17</formula>
    </cfRule>
    <cfRule type="expression" dxfId="2990" priority="795">
      <formula>$E360=16</formula>
    </cfRule>
    <cfRule type="expression" dxfId="2989" priority="796">
      <formula>$E360=15</formula>
    </cfRule>
    <cfRule type="expression" dxfId="2988" priority="797">
      <formula>$E360=14</formula>
    </cfRule>
    <cfRule type="expression" dxfId="2987" priority="798">
      <formula>$E360=13</formula>
    </cfRule>
    <cfRule type="expression" dxfId="2986" priority="799">
      <formula>$E360=12</formula>
    </cfRule>
  </conditionalFormatting>
  <conditionalFormatting sqref="C360:F363">
    <cfRule type="expression" dxfId="2985" priority="783">
      <formula>$E360=10</formula>
    </cfRule>
    <cfRule type="expression" dxfId="2984" priority="784">
      <formula>$E360=11</formula>
    </cfRule>
    <cfRule type="expression" dxfId="2983" priority="785">
      <formula>$E360=18</formula>
    </cfRule>
    <cfRule type="expression" dxfId="2982" priority="786">
      <formula>$E360=17</formula>
    </cfRule>
    <cfRule type="expression" dxfId="2981" priority="787">
      <formula>$E360=16</formula>
    </cfRule>
    <cfRule type="expression" dxfId="2980" priority="788">
      <formula>$E360=15</formula>
    </cfRule>
    <cfRule type="expression" dxfId="2979" priority="789">
      <formula>$E360=14</formula>
    </cfRule>
    <cfRule type="expression" dxfId="2978" priority="790">
      <formula>$E360=13</formula>
    </cfRule>
    <cfRule type="expression" dxfId="2977" priority="791">
      <formula>$E360=12</formula>
    </cfRule>
  </conditionalFormatting>
  <conditionalFormatting sqref="A364:B383 G364:J383">
    <cfRule type="expression" dxfId="2976" priority="775">
      <formula>$E364&lt;12</formula>
    </cfRule>
    <cfRule type="expression" dxfId="2975" priority="776">
      <formula>$E364=18</formula>
    </cfRule>
    <cfRule type="expression" dxfId="2974" priority="777">
      <formula>$E364=17</formula>
    </cfRule>
    <cfRule type="expression" dxfId="2973" priority="778">
      <formula>$E364=16</formula>
    </cfRule>
    <cfRule type="expression" dxfId="2972" priority="779">
      <formula>$E364=15</formula>
    </cfRule>
    <cfRule type="expression" dxfId="2971" priority="780">
      <formula>$E364=14</formula>
    </cfRule>
    <cfRule type="expression" dxfId="2970" priority="781">
      <formula>$E364=13</formula>
    </cfRule>
    <cfRule type="expression" dxfId="2969" priority="782">
      <formula>$E364=12</formula>
    </cfRule>
  </conditionalFormatting>
  <conditionalFormatting sqref="A364:B383 G364:J383">
    <cfRule type="expression" dxfId="2968" priority="766">
      <formula>$E364=10</formula>
    </cfRule>
    <cfRule type="expression" dxfId="2967" priority="767">
      <formula>$E364=11</formula>
    </cfRule>
    <cfRule type="expression" dxfId="2966" priority="768">
      <formula>$E364=18</formula>
    </cfRule>
    <cfRule type="expression" dxfId="2965" priority="769">
      <formula>$E364=17</formula>
    </cfRule>
    <cfRule type="expression" dxfId="2964" priority="770">
      <formula>$E364=16</formula>
    </cfRule>
    <cfRule type="expression" dxfId="2963" priority="771">
      <formula>$E364=15</formula>
    </cfRule>
    <cfRule type="expression" dxfId="2962" priority="772">
      <formula>$E364=14</formula>
    </cfRule>
    <cfRule type="expression" dxfId="2961" priority="773">
      <formula>$E364=13</formula>
    </cfRule>
    <cfRule type="expression" dxfId="2960" priority="774">
      <formula>$E364=12</formula>
    </cfRule>
  </conditionalFormatting>
  <conditionalFormatting sqref="M364:N383">
    <cfRule type="expression" dxfId="2959" priority="758">
      <formula>$E364&lt;12</formula>
    </cfRule>
    <cfRule type="expression" dxfId="2958" priority="759">
      <formula>$E364=18</formula>
    </cfRule>
    <cfRule type="expression" dxfId="2957" priority="760">
      <formula>$E364=17</formula>
    </cfRule>
    <cfRule type="expression" dxfId="2956" priority="761">
      <formula>$E364=16</formula>
    </cfRule>
    <cfRule type="expression" dxfId="2955" priority="762">
      <formula>$E364=15</formula>
    </cfRule>
    <cfRule type="expression" dxfId="2954" priority="763">
      <formula>$E364=14</formula>
    </cfRule>
    <cfRule type="expression" dxfId="2953" priority="764">
      <formula>$E364=13</formula>
    </cfRule>
    <cfRule type="expression" dxfId="2952" priority="765">
      <formula>$E364=12</formula>
    </cfRule>
  </conditionalFormatting>
  <conditionalFormatting sqref="M364:N383">
    <cfRule type="expression" dxfId="2951" priority="749">
      <formula>$E364=10</formula>
    </cfRule>
    <cfRule type="expression" dxfId="2950" priority="750">
      <formula>$E364=11</formula>
    </cfRule>
    <cfRule type="expression" dxfId="2949" priority="751">
      <formula>$E364=18</formula>
    </cfRule>
    <cfRule type="expression" dxfId="2948" priority="752">
      <formula>$E364=17</formula>
    </cfRule>
    <cfRule type="expression" dxfId="2947" priority="753">
      <formula>$E364=16</formula>
    </cfRule>
    <cfRule type="expression" dxfId="2946" priority="754">
      <formula>$E364=15</formula>
    </cfRule>
    <cfRule type="expression" dxfId="2945" priority="755">
      <formula>$E364=14</formula>
    </cfRule>
    <cfRule type="expression" dxfId="2944" priority="756">
      <formula>$E364=13</formula>
    </cfRule>
    <cfRule type="expression" dxfId="2943" priority="757">
      <formula>$E364=12</formula>
    </cfRule>
  </conditionalFormatting>
  <conditionalFormatting sqref="L364:L383">
    <cfRule type="expression" dxfId="2942" priority="741">
      <formula>$E364&lt;12</formula>
    </cfRule>
    <cfRule type="expression" dxfId="2941" priority="742">
      <formula>$E364=18</formula>
    </cfRule>
    <cfRule type="expression" dxfId="2940" priority="743">
      <formula>$E364=17</formula>
    </cfRule>
    <cfRule type="expression" dxfId="2939" priority="744">
      <formula>$E364=16</formula>
    </cfRule>
    <cfRule type="expression" dxfId="2938" priority="745">
      <formula>$E364=15</formula>
    </cfRule>
    <cfRule type="expression" dxfId="2937" priority="746">
      <formula>$E364=14</formula>
    </cfRule>
    <cfRule type="expression" dxfId="2936" priority="747">
      <formula>$E364=13</formula>
    </cfRule>
    <cfRule type="expression" dxfId="2935" priority="748">
      <formula>$E364=12</formula>
    </cfRule>
  </conditionalFormatting>
  <conditionalFormatting sqref="L364:L383">
    <cfRule type="expression" dxfId="2934" priority="732">
      <formula>$E364=10</formula>
    </cfRule>
    <cfRule type="expression" dxfId="2933" priority="733">
      <formula>$E364=11</formula>
    </cfRule>
    <cfRule type="expression" dxfId="2932" priority="734">
      <formula>$E364=18</formula>
    </cfRule>
    <cfRule type="expression" dxfId="2931" priority="735">
      <formula>$E364=17</formula>
    </cfRule>
    <cfRule type="expression" dxfId="2930" priority="736">
      <formula>$E364=16</formula>
    </cfRule>
    <cfRule type="expression" dxfId="2929" priority="737">
      <formula>$E364=15</formula>
    </cfRule>
    <cfRule type="expression" dxfId="2928" priority="738">
      <formula>$E364=14</formula>
    </cfRule>
    <cfRule type="expression" dxfId="2927" priority="739">
      <formula>$E364=13</formula>
    </cfRule>
    <cfRule type="expression" dxfId="2926" priority="740">
      <formula>$E364=12</formula>
    </cfRule>
  </conditionalFormatting>
  <conditionalFormatting sqref="K364:K383">
    <cfRule type="expression" dxfId="2925" priority="724">
      <formula>$E364&lt;12</formula>
    </cfRule>
    <cfRule type="expression" dxfId="2924" priority="725">
      <formula>$E364=18</formula>
    </cfRule>
    <cfRule type="expression" dxfId="2923" priority="726">
      <formula>$E364=17</formula>
    </cfRule>
    <cfRule type="expression" dxfId="2922" priority="727">
      <formula>$E364=16</formula>
    </cfRule>
    <cfRule type="expression" dxfId="2921" priority="728">
      <formula>$E364=15</formula>
    </cfRule>
    <cfRule type="expression" dxfId="2920" priority="729">
      <formula>$E364=14</formula>
    </cfRule>
    <cfRule type="expression" dxfId="2919" priority="730">
      <formula>$E364=13</formula>
    </cfRule>
    <cfRule type="expression" dxfId="2918" priority="731">
      <formula>$E364=12</formula>
    </cfRule>
  </conditionalFormatting>
  <conditionalFormatting sqref="K364:K383">
    <cfRule type="expression" dxfId="2917" priority="715">
      <formula>$E364=10</formula>
    </cfRule>
    <cfRule type="expression" dxfId="2916" priority="716">
      <formula>$E364=11</formula>
    </cfRule>
    <cfRule type="expression" dxfId="2915" priority="717">
      <formula>$E364=18</formula>
    </cfRule>
    <cfRule type="expression" dxfId="2914" priority="718">
      <formula>$E364=17</formula>
    </cfRule>
    <cfRule type="expression" dxfId="2913" priority="719">
      <formula>$E364=16</formula>
    </cfRule>
    <cfRule type="expression" dxfId="2912" priority="720">
      <formula>$E364=15</formula>
    </cfRule>
    <cfRule type="expression" dxfId="2911" priority="721">
      <formula>$E364=14</formula>
    </cfRule>
    <cfRule type="expression" dxfId="2910" priority="722">
      <formula>$E364=13</formula>
    </cfRule>
    <cfRule type="expression" dxfId="2909" priority="723">
      <formula>$E364=12</formula>
    </cfRule>
  </conditionalFormatting>
  <conditionalFormatting sqref="C364:F383">
    <cfRule type="expression" dxfId="2908" priority="698">
      <formula>$E364=10</formula>
    </cfRule>
    <cfRule type="expression" dxfId="2907" priority="699">
      <formula>$E364=11</formula>
    </cfRule>
    <cfRule type="expression" dxfId="2906" priority="700">
      <formula>$E364=18</formula>
    </cfRule>
    <cfRule type="expression" dxfId="2905" priority="701">
      <formula>$E364=17</formula>
    </cfRule>
    <cfRule type="expression" dxfId="2904" priority="702">
      <formula>$E364=16</formula>
    </cfRule>
    <cfRule type="expression" dxfId="2903" priority="703">
      <formula>$E364=15</formula>
    </cfRule>
    <cfRule type="expression" dxfId="2902" priority="704">
      <formula>$E364=14</formula>
    </cfRule>
    <cfRule type="expression" dxfId="2901" priority="705">
      <formula>$E364=13</formula>
    </cfRule>
    <cfRule type="expression" dxfId="2900" priority="706">
      <formula>$E364=12</formula>
    </cfRule>
  </conditionalFormatting>
  <conditionalFormatting sqref="C364:F383">
    <cfRule type="expression" dxfId="2899" priority="707">
      <formula>$E364&lt;12</formula>
    </cfRule>
    <cfRule type="expression" dxfId="2898" priority="708">
      <formula>$E364=18</formula>
    </cfRule>
    <cfRule type="expression" dxfId="2897" priority="709">
      <formula>$E364=17</formula>
    </cfRule>
    <cfRule type="expression" dxfId="2896" priority="710">
      <formula>$E364=16</formula>
    </cfRule>
    <cfRule type="expression" dxfId="2895" priority="711">
      <formula>$E364=15</formula>
    </cfRule>
    <cfRule type="expression" dxfId="2894" priority="712">
      <formula>$E364=14</formula>
    </cfRule>
    <cfRule type="expression" dxfId="2893" priority="713">
      <formula>$E364=13</formula>
    </cfRule>
    <cfRule type="expression" dxfId="2892" priority="714">
      <formula>$E364=12</formula>
    </cfRule>
  </conditionalFormatting>
  <conditionalFormatting sqref="A387:B387 G387:J387">
    <cfRule type="expression" dxfId="2891" priority="605">
      <formula>$E387&lt;12</formula>
    </cfRule>
    <cfRule type="expression" dxfId="2890" priority="606">
      <formula>$E387=18</formula>
    </cfRule>
    <cfRule type="expression" dxfId="2889" priority="607">
      <formula>$E387=17</formula>
    </cfRule>
    <cfRule type="expression" dxfId="2888" priority="608">
      <formula>$E387=16</formula>
    </cfRule>
    <cfRule type="expression" dxfId="2887" priority="609">
      <formula>$E387=15</formula>
    </cfRule>
    <cfRule type="expression" dxfId="2886" priority="610">
      <formula>$E387=14</formula>
    </cfRule>
    <cfRule type="expression" dxfId="2885" priority="611">
      <formula>$E387=13</formula>
    </cfRule>
    <cfRule type="expression" dxfId="2884" priority="612">
      <formula>$E387=12</formula>
    </cfRule>
  </conditionalFormatting>
  <conditionalFormatting sqref="A387:B387 G387:J387">
    <cfRule type="expression" dxfId="2883" priority="596">
      <formula>$E387=10</formula>
    </cfRule>
    <cfRule type="expression" dxfId="2882" priority="597">
      <formula>$E387=11</formula>
    </cfRule>
    <cfRule type="expression" dxfId="2881" priority="598">
      <formula>$E387=18</formula>
    </cfRule>
    <cfRule type="expression" dxfId="2880" priority="599">
      <formula>$E387=17</formula>
    </cfRule>
    <cfRule type="expression" dxfId="2879" priority="600">
      <formula>$E387=16</formula>
    </cfRule>
    <cfRule type="expression" dxfId="2878" priority="601">
      <formula>$E387=15</formula>
    </cfRule>
    <cfRule type="expression" dxfId="2877" priority="602">
      <formula>$E387=14</formula>
    </cfRule>
    <cfRule type="expression" dxfId="2876" priority="603">
      <formula>$E387=13</formula>
    </cfRule>
    <cfRule type="expression" dxfId="2875" priority="604">
      <formula>$E387=12</formula>
    </cfRule>
  </conditionalFormatting>
  <conditionalFormatting sqref="M387:N387">
    <cfRule type="expression" dxfId="2874" priority="588">
      <formula>$E387&lt;12</formula>
    </cfRule>
    <cfRule type="expression" dxfId="2873" priority="589">
      <formula>$E387=18</formula>
    </cfRule>
    <cfRule type="expression" dxfId="2872" priority="590">
      <formula>$E387=17</formula>
    </cfRule>
    <cfRule type="expression" dxfId="2871" priority="591">
      <formula>$E387=16</formula>
    </cfRule>
    <cfRule type="expression" dxfId="2870" priority="592">
      <formula>$E387=15</formula>
    </cfRule>
    <cfRule type="expression" dxfId="2869" priority="593">
      <formula>$E387=14</formula>
    </cfRule>
    <cfRule type="expression" dxfId="2868" priority="594">
      <formula>$E387=13</formula>
    </cfRule>
    <cfRule type="expression" dxfId="2867" priority="595">
      <formula>$E387=12</formula>
    </cfRule>
  </conditionalFormatting>
  <conditionalFormatting sqref="M387:N387">
    <cfRule type="expression" dxfId="2866" priority="579">
      <formula>$E387=10</formula>
    </cfRule>
    <cfRule type="expression" dxfId="2865" priority="580">
      <formula>$E387=11</formula>
    </cfRule>
    <cfRule type="expression" dxfId="2864" priority="581">
      <formula>$E387=18</formula>
    </cfRule>
    <cfRule type="expression" dxfId="2863" priority="582">
      <formula>$E387=17</formula>
    </cfRule>
    <cfRule type="expression" dxfId="2862" priority="583">
      <formula>$E387=16</formula>
    </cfRule>
    <cfRule type="expression" dxfId="2861" priority="584">
      <formula>$E387=15</formula>
    </cfRule>
    <cfRule type="expression" dxfId="2860" priority="585">
      <formula>$E387=14</formula>
    </cfRule>
    <cfRule type="expression" dxfId="2859" priority="586">
      <formula>$E387=13</formula>
    </cfRule>
    <cfRule type="expression" dxfId="2858" priority="587">
      <formula>$E387=12</formula>
    </cfRule>
  </conditionalFormatting>
  <conditionalFormatting sqref="L387">
    <cfRule type="expression" dxfId="2857" priority="571">
      <formula>$E387&lt;12</formula>
    </cfRule>
    <cfRule type="expression" dxfId="2856" priority="572">
      <formula>$E387=18</formula>
    </cfRule>
    <cfRule type="expression" dxfId="2855" priority="573">
      <formula>$E387=17</formula>
    </cfRule>
    <cfRule type="expression" dxfId="2854" priority="574">
      <formula>$E387=16</formula>
    </cfRule>
    <cfRule type="expression" dxfId="2853" priority="575">
      <formula>$E387=15</formula>
    </cfRule>
    <cfRule type="expression" dxfId="2852" priority="576">
      <formula>$E387=14</formula>
    </cfRule>
    <cfRule type="expression" dxfId="2851" priority="577">
      <formula>$E387=13</formula>
    </cfRule>
    <cfRule type="expression" dxfId="2850" priority="578">
      <formula>$E387=12</formula>
    </cfRule>
  </conditionalFormatting>
  <conditionalFormatting sqref="L387">
    <cfRule type="expression" dxfId="2849" priority="562">
      <formula>$E387=10</formula>
    </cfRule>
    <cfRule type="expression" dxfId="2848" priority="563">
      <formula>$E387=11</formula>
    </cfRule>
    <cfRule type="expression" dxfId="2847" priority="564">
      <formula>$E387=18</formula>
    </cfRule>
    <cfRule type="expression" dxfId="2846" priority="565">
      <formula>$E387=17</formula>
    </cfRule>
    <cfRule type="expression" dxfId="2845" priority="566">
      <formula>$E387=16</formula>
    </cfRule>
    <cfRule type="expression" dxfId="2844" priority="567">
      <formula>$E387=15</formula>
    </cfRule>
    <cfRule type="expression" dxfId="2843" priority="568">
      <formula>$E387=14</formula>
    </cfRule>
    <cfRule type="expression" dxfId="2842" priority="569">
      <formula>$E387=13</formula>
    </cfRule>
    <cfRule type="expression" dxfId="2841" priority="570">
      <formula>$E387=12</formula>
    </cfRule>
  </conditionalFormatting>
  <conditionalFormatting sqref="K387">
    <cfRule type="expression" dxfId="2840" priority="554">
      <formula>$E387&lt;12</formula>
    </cfRule>
    <cfRule type="expression" dxfId="2839" priority="555">
      <formula>$E387=18</formula>
    </cfRule>
    <cfRule type="expression" dxfId="2838" priority="556">
      <formula>$E387=17</formula>
    </cfRule>
    <cfRule type="expression" dxfId="2837" priority="557">
      <formula>$E387=16</formula>
    </cfRule>
    <cfRule type="expression" dxfId="2836" priority="558">
      <formula>$E387=15</formula>
    </cfRule>
    <cfRule type="expression" dxfId="2835" priority="559">
      <formula>$E387=14</formula>
    </cfRule>
    <cfRule type="expression" dxfId="2834" priority="560">
      <formula>$E387=13</formula>
    </cfRule>
    <cfRule type="expression" dxfId="2833" priority="561">
      <formula>$E387=12</formula>
    </cfRule>
  </conditionalFormatting>
  <conditionalFormatting sqref="K387">
    <cfRule type="expression" dxfId="2832" priority="545">
      <formula>$E387=10</formula>
    </cfRule>
    <cfRule type="expression" dxfId="2831" priority="546">
      <formula>$E387=11</formula>
    </cfRule>
    <cfRule type="expression" dxfId="2830" priority="547">
      <formula>$E387=18</formula>
    </cfRule>
    <cfRule type="expression" dxfId="2829" priority="548">
      <formula>$E387=17</formula>
    </cfRule>
    <cfRule type="expression" dxfId="2828" priority="549">
      <formula>$E387=16</formula>
    </cfRule>
    <cfRule type="expression" dxfId="2827" priority="550">
      <formula>$E387=15</formula>
    </cfRule>
    <cfRule type="expression" dxfId="2826" priority="551">
      <formula>$E387=14</formula>
    </cfRule>
    <cfRule type="expression" dxfId="2825" priority="552">
      <formula>$E387=13</formula>
    </cfRule>
    <cfRule type="expression" dxfId="2824" priority="553">
      <formula>$E387=12</formula>
    </cfRule>
  </conditionalFormatting>
  <conditionalFormatting sqref="C387:F387">
    <cfRule type="expression" dxfId="2823" priority="528">
      <formula>$E387=10</formula>
    </cfRule>
    <cfRule type="expression" dxfId="2822" priority="529">
      <formula>$E387=11</formula>
    </cfRule>
    <cfRule type="expression" dxfId="2821" priority="530">
      <formula>$E387=18</formula>
    </cfRule>
    <cfRule type="expression" dxfId="2820" priority="531">
      <formula>$E387=17</formula>
    </cfRule>
    <cfRule type="expression" dxfId="2819" priority="532">
      <formula>$E387=16</formula>
    </cfRule>
    <cfRule type="expression" dxfId="2818" priority="533">
      <formula>$E387=15</formula>
    </cfRule>
    <cfRule type="expression" dxfId="2817" priority="534">
      <formula>$E387=14</formula>
    </cfRule>
    <cfRule type="expression" dxfId="2816" priority="535">
      <formula>$E387=13</formula>
    </cfRule>
    <cfRule type="expression" dxfId="2815" priority="536">
      <formula>$E387=12</formula>
    </cfRule>
  </conditionalFormatting>
  <conditionalFormatting sqref="C387:F387">
    <cfRule type="expression" dxfId="2814" priority="537">
      <formula>$E387&lt;12</formula>
    </cfRule>
    <cfRule type="expression" dxfId="2813" priority="538">
      <formula>$E387=18</formula>
    </cfRule>
    <cfRule type="expression" dxfId="2812" priority="539">
      <formula>$E387=17</formula>
    </cfRule>
    <cfRule type="expression" dxfId="2811" priority="540">
      <formula>$E387=16</formula>
    </cfRule>
    <cfRule type="expression" dxfId="2810" priority="541">
      <formula>$E387=15</formula>
    </cfRule>
    <cfRule type="expression" dxfId="2809" priority="542">
      <formula>$E387=14</formula>
    </cfRule>
    <cfRule type="expression" dxfId="2808" priority="543">
      <formula>$E387=13</formula>
    </cfRule>
    <cfRule type="expression" dxfId="2807" priority="544">
      <formula>$E387=12</formula>
    </cfRule>
  </conditionalFormatting>
  <conditionalFormatting sqref="A385:B385 G385:J385">
    <cfRule type="expression" dxfId="2806" priority="690">
      <formula>$E385&lt;12</formula>
    </cfRule>
    <cfRule type="expression" dxfId="2805" priority="691">
      <formula>$E385=18</formula>
    </cfRule>
    <cfRule type="expression" dxfId="2804" priority="692">
      <formula>$E385=17</formula>
    </cfRule>
    <cfRule type="expression" dxfId="2803" priority="693">
      <formula>$E385=16</formula>
    </cfRule>
    <cfRule type="expression" dxfId="2802" priority="694">
      <formula>$E385=15</formula>
    </cfRule>
    <cfRule type="expression" dxfId="2801" priority="695">
      <formula>$E385=14</formula>
    </cfRule>
    <cfRule type="expression" dxfId="2800" priority="696">
      <formula>$E385=13</formula>
    </cfRule>
    <cfRule type="expression" dxfId="2799" priority="697">
      <formula>$E385=12</formula>
    </cfRule>
  </conditionalFormatting>
  <conditionalFormatting sqref="A385:B385 G385:J385">
    <cfRule type="expression" dxfId="2798" priority="681">
      <formula>$E385=10</formula>
    </cfRule>
    <cfRule type="expression" dxfId="2797" priority="682">
      <formula>$E385=11</formula>
    </cfRule>
    <cfRule type="expression" dxfId="2796" priority="683">
      <formula>$E385=18</formula>
    </cfRule>
    <cfRule type="expression" dxfId="2795" priority="684">
      <formula>$E385=17</formula>
    </cfRule>
    <cfRule type="expression" dxfId="2794" priority="685">
      <formula>$E385=16</formula>
    </cfRule>
    <cfRule type="expression" dxfId="2793" priority="686">
      <formula>$E385=15</formula>
    </cfRule>
    <cfRule type="expression" dxfId="2792" priority="687">
      <formula>$E385=14</formula>
    </cfRule>
    <cfRule type="expression" dxfId="2791" priority="688">
      <formula>$E385=13</formula>
    </cfRule>
    <cfRule type="expression" dxfId="2790" priority="689">
      <formula>$E385=12</formula>
    </cfRule>
  </conditionalFormatting>
  <conditionalFormatting sqref="M385:N385">
    <cfRule type="expression" dxfId="2789" priority="673">
      <formula>$E385&lt;12</formula>
    </cfRule>
    <cfRule type="expression" dxfId="2788" priority="674">
      <formula>$E385=18</formula>
    </cfRule>
    <cfRule type="expression" dxfId="2787" priority="675">
      <formula>$E385=17</formula>
    </cfRule>
    <cfRule type="expression" dxfId="2786" priority="676">
      <formula>$E385=16</formula>
    </cfRule>
    <cfRule type="expression" dxfId="2785" priority="677">
      <formula>$E385=15</formula>
    </cfRule>
    <cfRule type="expression" dxfId="2784" priority="678">
      <formula>$E385=14</formula>
    </cfRule>
    <cfRule type="expression" dxfId="2783" priority="679">
      <formula>$E385=13</formula>
    </cfRule>
    <cfRule type="expression" dxfId="2782" priority="680">
      <formula>$E385=12</formula>
    </cfRule>
  </conditionalFormatting>
  <conditionalFormatting sqref="M385:N385">
    <cfRule type="expression" dxfId="2781" priority="664">
      <formula>$E385=10</formula>
    </cfRule>
    <cfRule type="expression" dxfId="2780" priority="665">
      <formula>$E385=11</formula>
    </cfRule>
    <cfRule type="expression" dxfId="2779" priority="666">
      <formula>$E385=18</formula>
    </cfRule>
    <cfRule type="expression" dxfId="2778" priority="667">
      <formula>$E385=17</formula>
    </cfRule>
    <cfRule type="expression" dxfId="2777" priority="668">
      <formula>$E385=16</formula>
    </cfRule>
    <cfRule type="expression" dxfId="2776" priority="669">
      <formula>$E385=15</formula>
    </cfRule>
    <cfRule type="expression" dxfId="2775" priority="670">
      <formula>$E385=14</formula>
    </cfRule>
    <cfRule type="expression" dxfId="2774" priority="671">
      <formula>$E385=13</formula>
    </cfRule>
    <cfRule type="expression" dxfId="2773" priority="672">
      <formula>$E385=12</formula>
    </cfRule>
  </conditionalFormatting>
  <conditionalFormatting sqref="L385">
    <cfRule type="expression" dxfId="2772" priority="656">
      <formula>$E385&lt;12</formula>
    </cfRule>
    <cfRule type="expression" dxfId="2771" priority="657">
      <formula>$E385=18</formula>
    </cfRule>
    <cfRule type="expression" dxfId="2770" priority="658">
      <formula>$E385=17</formula>
    </cfRule>
    <cfRule type="expression" dxfId="2769" priority="659">
      <formula>$E385=16</formula>
    </cfRule>
    <cfRule type="expression" dxfId="2768" priority="660">
      <formula>$E385=15</formula>
    </cfRule>
    <cfRule type="expression" dxfId="2767" priority="661">
      <formula>$E385=14</formula>
    </cfRule>
    <cfRule type="expression" dxfId="2766" priority="662">
      <formula>$E385=13</formula>
    </cfRule>
    <cfRule type="expression" dxfId="2765" priority="663">
      <formula>$E385=12</formula>
    </cfRule>
  </conditionalFormatting>
  <conditionalFormatting sqref="L385">
    <cfRule type="expression" dxfId="2764" priority="647">
      <formula>$E385=10</formula>
    </cfRule>
    <cfRule type="expression" dxfId="2763" priority="648">
      <formula>$E385=11</formula>
    </cfRule>
    <cfRule type="expression" dxfId="2762" priority="649">
      <formula>$E385=18</formula>
    </cfRule>
    <cfRule type="expression" dxfId="2761" priority="650">
      <formula>$E385=17</formula>
    </cfRule>
    <cfRule type="expression" dxfId="2760" priority="651">
      <formula>$E385=16</formula>
    </cfRule>
    <cfRule type="expression" dxfId="2759" priority="652">
      <formula>$E385=15</formula>
    </cfRule>
    <cfRule type="expression" dxfId="2758" priority="653">
      <formula>$E385=14</formula>
    </cfRule>
    <cfRule type="expression" dxfId="2757" priority="654">
      <formula>$E385=13</formula>
    </cfRule>
    <cfRule type="expression" dxfId="2756" priority="655">
      <formula>$E385=12</formula>
    </cfRule>
  </conditionalFormatting>
  <conditionalFormatting sqref="K385">
    <cfRule type="expression" dxfId="2755" priority="639">
      <formula>$E385&lt;12</formula>
    </cfRule>
    <cfRule type="expression" dxfId="2754" priority="640">
      <formula>$E385=18</formula>
    </cfRule>
    <cfRule type="expression" dxfId="2753" priority="641">
      <formula>$E385=17</formula>
    </cfRule>
    <cfRule type="expression" dxfId="2752" priority="642">
      <formula>$E385=16</formula>
    </cfRule>
    <cfRule type="expression" dxfId="2751" priority="643">
      <formula>$E385=15</formula>
    </cfRule>
    <cfRule type="expression" dxfId="2750" priority="644">
      <formula>$E385=14</formula>
    </cfRule>
    <cfRule type="expression" dxfId="2749" priority="645">
      <formula>$E385=13</formula>
    </cfRule>
    <cfRule type="expression" dxfId="2748" priority="646">
      <formula>$E385=12</formula>
    </cfRule>
  </conditionalFormatting>
  <conditionalFormatting sqref="K385">
    <cfRule type="expression" dxfId="2747" priority="630">
      <formula>$E385=10</formula>
    </cfRule>
    <cfRule type="expression" dxfId="2746" priority="631">
      <formula>$E385=11</formula>
    </cfRule>
    <cfRule type="expression" dxfId="2745" priority="632">
      <formula>$E385=18</formula>
    </cfRule>
    <cfRule type="expression" dxfId="2744" priority="633">
      <formula>$E385=17</formula>
    </cfRule>
    <cfRule type="expression" dxfId="2743" priority="634">
      <formula>$E385=16</formula>
    </cfRule>
    <cfRule type="expression" dxfId="2742" priority="635">
      <formula>$E385=15</formula>
    </cfRule>
    <cfRule type="expression" dxfId="2741" priority="636">
      <formula>$E385=14</formula>
    </cfRule>
    <cfRule type="expression" dxfId="2740" priority="637">
      <formula>$E385=13</formula>
    </cfRule>
    <cfRule type="expression" dxfId="2739" priority="638">
      <formula>$E385=12</formula>
    </cfRule>
  </conditionalFormatting>
  <conditionalFormatting sqref="C385:F385">
    <cfRule type="expression" dxfId="2738" priority="613">
      <formula>$E385=10</formula>
    </cfRule>
    <cfRule type="expression" dxfId="2737" priority="614">
      <formula>$E385=11</formula>
    </cfRule>
    <cfRule type="expression" dxfId="2736" priority="615">
      <formula>$E385=18</formula>
    </cfRule>
    <cfRule type="expression" dxfId="2735" priority="616">
      <formula>$E385=17</formula>
    </cfRule>
    <cfRule type="expression" dxfId="2734" priority="617">
      <formula>$E385=16</formula>
    </cfRule>
    <cfRule type="expression" dxfId="2733" priority="618">
      <formula>$E385=15</formula>
    </cfRule>
    <cfRule type="expression" dxfId="2732" priority="619">
      <formula>$E385=14</formula>
    </cfRule>
    <cfRule type="expression" dxfId="2731" priority="620">
      <formula>$E385=13</formula>
    </cfRule>
    <cfRule type="expression" dxfId="2730" priority="621">
      <formula>$E385=12</formula>
    </cfRule>
  </conditionalFormatting>
  <conditionalFormatting sqref="C385:F385">
    <cfRule type="expression" dxfId="2729" priority="622">
      <formula>$E385&lt;12</formula>
    </cfRule>
    <cfRule type="expression" dxfId="2728" priority="623">
      <formula>$E385=18</formula>
    </cfRule>
    <cfRule type="expression" dxfId="2727" priority="624">
      <formula>$E385=17</formula>
    </cfRule>
    <cfRule type="expression" dxfId="2726" priority="625">
      <formula>$E385=16</formula>
    </cfRule>
    <cfRule type="expression" dxfId="2725" priority="626">
      <formula>$E385=15</formula>
    </cfRule>
    <cfRule type="expression" dxfId="2724" priority="627">
      <formula>$E385=14</formula>
    </cfRule>
    <cfRule type="expression" dxfId="2723" priority="628">
      <formula>$E385=13</formula>
    </cfRule>
    <cfRule type="expression" dxfId="2722" priority="629">
      <formula>$E385=12</formula>
    </cfRule>
  </conditionalFormatting>
  <conditionalFormatting sqref="A389:B403 G389:J403">
    <cfRule type="expression" dxfId="2721" priority="520">
      <formula>$E389&lt;12</formula>
    </cfRule>
    <cfRule type="expression" dxfId="2720" priority="521">
      <formula>$E389=18</formula>
    </cfRule>
    <cfRule type="expression" dxfId="2719" priority="522">
      <formula>$E389=17</formula>
    </cfRule>
    <cfRule type="expression" dxfId="2718" priority="523">
      <formula>$E389=16</formula>
    </cfRule>
    <cfRule type="expression" dxfId="2717" priority="524">
      <formula>$E389=15</formula>
    </cfRule>
    <cfRule type="expression" dxfId="2716" priority="525">
      <formula>$E389=14</formula>
    </cfRule>
    <cfRule type="expression" dxfId="2715" priority="526">
      <formula>$E389=13</formula>
    </cfRule>
    <cfRule type="expression" dxfId="2714" priority="527">
      <formula>$E389=12</formula>
    </cfRule>
  </conditionalFormatting>
  <conditionalFormatting sqref="A389:B403 G389:J403">
    <cfRule type="expression" dxfId="2713" priority="511">
      <formula>$E389=10</formula>
    </cfRule>
    <cfRule type="expression" dxfId="2712" priority="512">
      <formula>$E389=11</formula>
    </cfRule>
    <cfRule type="expression" dxfId="2711" priority="513">
      <formula>$E389=18</formula>
    </cfRule>
    <cfRule type="expression" dxfId="2710" priority="514">
      <formula>$E389=17</formula>
    </cfRule>
    <cfRule type="expression" dxfId="2709" priority="515">
      <formula>$E389=16</formula>
    </cfRule>
    <cfRule type="expression" dxfId="2708" priority="516">
      <formula>$E389=15</formula>
    </cfRule>
    <cfRule type="expression" dxfId="2707" priority="517">
      <formula>$E389=14</formula>
    </cfRule>
    <cfRule type="expression" dxfId="2706" priority="518">
      <formula>$E389=13</formula>
    </cfRule>
    <cfRule type="expression" dxfId="2705" priority="519">
      <formula>$E389=12</formula>
    </cfRule>
  </conditionalFormatting>
  <conditionalFormatting sqref="M389:N403">
    <cfRule type="expression" dxfId="2704" priority="503">
      <formula>$E389&lt;12</formula>
    </cfRule>
    <cfRule type="expression" dxfId="2703" priority="504">
      <formula>$E389=18</formula>
    </cfRule>
    <cfRule type="expression" dxfId="2702" priority="505">
      <formula>$E389=17</formula>
    </cfRule>
    <cfRule type="expression" dxfId="2701" priority="506">
      <formula>$E389=16</formula>
    </cfRule>
    <cfRule type="expression" dxfId="2700" priority="507">
      <formula>$E389=15</formula>
    </cfRule>
    <cfRule type="expression" dxfId="2699" priority="508">
      <formula>$E389=14</formula>
    </cfRule>
    <cfRule type="expression" dxfId="2698" priority="509">
      <formula>$E389=13</formula>
    </cfRule>
    <cfRule type="expression" dxfId="2697" priority="510">
      <formula>$E389=12</formula>
    </cfRule>
  </conditionalFormatting>
  <conditionalFormatting sqref="M389:N403">
    <cfRule type="expression" dxfId="2696" priority="494">
      <formula>$E389=10</formula>
    </cfRule>
    <cfRule type="expression" dxfId="2695" priority="495">
      <formula>$E389=11</formula>
    </cfRule>
    <cfRule type="expression" dxfId="2694" priority="496">
      <formula>$E389=18</formula>
    </cfRule>
    <cfRule type="expression" dxfId="2693" priority="497">
      <formula>$E389=17</formula>
    </cfRule>
    <cfRule type="expression" dxfId="2692" priority="498">
      <formula>$E389=16</formula>
    </cfRule>
    <cfRule type="expression" dxfId="2691" priority="499">
      <formula>$E389=15</formula>
    </cfRule>
    <cfRule type="expression" dxfId="2690" priority="500">
      <formula>$E389=14</formula>
    </cfRule>
    <cfRule type="expression" dxfId="2689" priority="501">
      <formula>$E389=13</formula>
    </cfRule>
    <cfRule type="expression" dxfId="2688" priority="502">
      <formula>$E389=12</formula>
    </cfRule>
  </conditionalFormatting>
  <conditionalFormatting sqref="L389:L403">
    <cfRule type="expression" dxfId="2687" priority="486">
      <formula>$E389&lt;12</formula>
    </cfRule>
    <cfRule type="expression" dxfId="2686" priority="487">
      <formula>$E389=18</formula>
    </cfRule>
    <cfRule type="expression" dxfId="2685" priority="488">
      <formula>$E389=17</formula>
    </cfRule>
    <cfRule type="expression" dxfId="2684" priority="489">
      <formula>$E389=16</formula>
    </cfRule>
    <cfRule type="expression" dxfId="2683" priority="490">
      <formula>$E389=15</formula>
    </cfRule>
    <cfRule type="expression" dxfId="2682" priority="491">
      <formula>$E389=14</formula>
    </cfRule>
    <cfRule type="expression" dxfId="2681" priority="492">
      <formula>$E389=13</formula>
    </cfRule>
    <cfRule type="expression" dxfId="2680" priority="493">
      <formula>$E389=12</formula>
    </cfRule>
  </conditionalFormatting>
  <conditionalFormatting sqref="L389:L403">
    <cfRule type="expression" dxfId="2679" priority="477">
      <formula>$E389=10</formula>
    </cfRule>
    <cfRule type="expression" dxfId="2678" priority="478">
      <formula>$E389=11</formula>
    </cfRule>
    <cfRule type="expression" dxfId="2677" priority="479">
      <formula>$E389=18</formula>
    </cfRule>
    <cfRule type="expression" dxfId="2676" priority="480">
      <formula>$E389=17</formula>
    </cfRule>
    <cfRule type="expression" dxfId="2675" priority="481">
      <formula>$E389=16</formula>
    </cfRule>
    <cfRule type="expression" dxfId="2674" priority="482">
      <formula>$E389=15</formula>
    </cfRule>
    <cfRule type="expression" dxfId="2673" priority="483">
      <formula>$E389=14</formula>
    </cfRule>
    <cfRule type="expression" dxfId="2672" priority="484">
      <formula>$E389=13</formula>
    </cfRule>
    <cfRule type="expression" dxfId="2671" priority="485">
      <formula>$E389=12</formula>
    </cfRule>
  </conditionalFormatting>
  <conditionalFormatting sqref="K389:K403">
    <cfRule type="expression" dxfId="2670" priority="469">
      <formula>$E389&lt;12</formula>
    </cfRule>
    <cfRule type="expression" dxfId="2669" priority="470">
      <formula>$E389=18</formula>
    </cfRule>
    <cfRule type="expression" dxfId="2668" priority="471">
      <formula>$E389=17</formula>
    </cfRule>
    <cfRule type="expression" dxfId="2667" priority="472">
      <formula>$E389=16</formula>
    </cfRule>
    <cfRule type="expression" dxfId="2666" priority="473">
      <formula>$E389=15</formula>
    </cfRule>
    <cfRule type="expression" dxfId="2665" priority="474">
      <formula>$E389=14</formula>
    </cfRule>
    <cfRule type="expression" dxfId="2664" priority="475">
      <formula>$E389=13</formula>
    </cfRule>
    <cfRule type="expression" dxfId="2663" priority="476">
      <formula>$E389=12</formula>
    </cfRule>
  </conditionalFormatting>
  <conditionalFormatting sqref="K389:K403">
    <cfRule type="expression" dxfId="2662" priority="460">
      <formula>$E389=10</formula>
    </cfRule>
    <cfRule type="expression" dxfId="2661" priority="461">
      <formula>$E389=11</formula>
    </cfRule>
    <cfRule type="expression" dxfId="2660" priority="462">
      <formula>$E389=18</formula>
    </cfRule>
    <cfRule type="expression" dxfId="2659" priority="463">
      <formula>$E389=17</formula>
    </cfRule>
    <cfRule type="expression" dxfId="2658" priority="464">
      <formula>$E389=16</formula>
    </cfRule>
    <cfRule type="expression" dxfId="2657" priority="465">
      <formula>$E389=15</formula>
    </cfRule>
    <cfRule type="expression" dxfId="2656" priority="466">
      <formula>$E389=14</formula>
    </cfRule>
    <cfRule type="expression" dxfId="2655" priority="467">
      <formula>$E389=13</formula>
    </cfRule>
    <cfRule type="expression" dxfId="2654" priority="468">
      <formula>$E389=12</formula>
    </cfRule>
  </conditionalFormatting>
  <conditionalFormatting sqref="C389:F403">
    <cfRule type="expression" dxfId="2653" priority="443">
      <formula>$E389=10</formula>
    </cfRule>
    <cfRule type="expression" dxfId="2652" priority="444">
      <formula>$E389=11</formula>
    </cfRule>
    <cfRule type="expression" dxfId="2651" priority="445">
      <formula>$E389=18</formula>
    </cfRule>
    <cfRule type="expression" dxfId="2650" priority="446">
      <formula>$E389=17</formula>
    </cfRule>
    <cfRule type="expression" dxfId="2649" priority="447">
      <formula>$E389=16</formula>
    </cfRule>
    <cfRule type="expression" dxfId="2648" priority="448">
      <formula>$E389=15</formula>
    </cfRule>
    <cfRule type="expression" dxfId="2647" priority="449">
      <formula>$E389=14</formula>
    </cfRule>
    <cfRule type="expression" dxfId="2646" priority="450">
      <formula>$E389=13</formula>
    </cfRule>
    <cfRule type="expression" dxfId="2645" priority="451">
      <formula>$E389=12</formula>
    </cfRule>
  </conditionalFormatting>
  <conditionalFormatting sqref="C389:F403">
    <cfRule type="expression" dxfId="2644" priority="452">
      <formula>$E389&lt;12</formula>
    </cfRule>
    <cfRule type="expression" dxfId="2643" priority="453">
      <formula>$E389=18</formula>
    </cfRule>
    <cfRule type="expression" dxfId="2642" priority="454">
      <formula>$E389=17</formula>
    </cfRule>
    <cfRule type="expression" dxfId="2641" priority="455">
      <formula>$E389=16</formula>
    </cfRule>
    <cfRule type="expression" dxfId="2640" priority="456">
      <formula>$E389=15</formula>
    </cfRule>
    <cfRule type="expression" dxfId="2639" priority="457">
      <formula>$E389=14</formula>
    </cfRule>
    <cfRule type="expression" dxfId="2638" priority="458">
      <formula>$E389=13</formula>
    </cfRule>
    <cfRule type="expression" dxfId="2637" priority="459">
      <formula>$E389=12</formula>
    </cfRule>
  </conditionalFormatting>
  <conditionalFormatting sqref="A405:B405 G405:J405">
    <cfRule type="expression" dxfId="2636" priority="435">
      <formula>$E405&lt;12</formula>
    </cfRule>
    <cfRule type="expression" dxfId="2635" priority="436">
      <formula>$E405=18</formula>
    </cfRule>
    <cfRule type="expression" dxfId="2634" priority="437">
      <formula>$E405=17</formula>
    </cfRule>
    <cfRule type="expression" dxfId="2633" priority="438">
      <formula>$E405=16</formula>
    </cfRule>
    <cfRule type="expression" dxfId="2632" priority="439">
      <formula>$E405=15</formula>
    </cfRule>
    <cfRule type="expression" dxfId="2631" priority="440">
      <formula>$E405=14</formula>
    </cfRule>
    <cfRule type="expression" dxfId="2630" priority="441">
      <formula>$E405=13</formula>
    </cfRule>
    <cfRule type="expression" dxfId="2629" priority="442">
      <formula>$E405=12</formula>
    </cfRule>
  </conditionalFormatting>
  <conditionalFormatting sqref="A405:B405 G405:J405">
    <cfRule type="expression" dxfId="2628" priority="426">
      <formula>$E405=10</formula>
    </cfRule>
    <cfRule type="expression" dxfId="2627" priority="427">
      <formula>$E405=11</formula>
    </cfRule>
    <cfRule type="expression" dxfId="2626" priority="428">
      <formula>$E405=18</formula>
    </cfRule>
    <cfRule type="expression" dxfId="2625" priority="429">
      <formula>$E405=17</formula>
    </cfRule>
    <cfRule type="expression" dxfId="2624" priority="430">
      <formula>$E405=16</formula>
    </cfRule>
    <cfRule type="expression" dxfId="2623" priority="431">
      <formula>$E405=15</formula>
    </cfRule>
    <cfRule type="expression" dxfId="2622" priority="432">
      <formula>$E405=14</formula>
    </cfRule>
    <cfRule type="expression" dxfId="2621" priority="433">
      <formula>$E405=13</formula>
    </cfRule>
    <cfRule type="expression" dxfId="2620" priority="434">
      <formula>$E405=12</formula>
    </cfRule>
  </conditionalFormatting>
  <conditionalFormatting sqref="M405:N405">
    <cfRule type="expression" dxfId="2619" priority="418">
      <formula>$E405&lt;12</formula>
    </cfRule>
    <cfRule type="expression" dxfId="2618" priority="419">
      <formula>$E405=18</formula>
    </cfRule>
    <cfRule type="expression" dxfId="2617" priority="420">
      <formula>$E405=17</formula>
    </cfRule>
    <cfRule type="expression" dxfId="2616" priority="421">
      <formula>$E405=16</formula>
    </cfRule>
    <cfRule type="expression" dxfId="2615" priority="422">
      <formula>$E405=15</formula>
    </cfRule>
    <cfRule type="expression" dxfId="2614" priority="423">
      <formula>$E405=14</formula>
    </cfRule>
    <cfRule type="expression" dxfId="2613" priority="424">
      <formula>$E405=13</formula>
    </cfRule>
    <cfRule type="expression" dxfId="2612" priority="425">
      <formula>$E405=12</formula>
    </cfRule>
  </conditionalFormatting>
  <conditionalFormatting sqref="M405:N405">
    <cfRule type="expression" dxfId="2611" priority="409">
      <formula>$E405=10</formula>
    </cfRule>
    <cfRule type="expression" dxfId="2610" priority="410">
      <formula>$E405=11</formula>
    </cfRule>
    <cfRule type="expression" dxfId="2609" priority="411">
      <formula>$E405=18</formula>
    </cfRule>
    <cfRule type="expression" dxfId="2608" priority="412">
      <formula>$E405=17</formula>
    </cfRule>
    <cfRule type="expression" dxfId="2607" priority="413">
      <formula>$E405=16</formula>
    </cfRule>
    <cfRule type="expression" dxfId="2606" priority="414">
      <formula>$E405=15</formula>
    </cfRule>
    <cfRule type="expression" dxfId="2605" priority="415">
      <formula>$E405=14</formula>
    </cfRule>
    <cfRule type="expression" dxfId="2604" priority="416">
      <formula>$E405=13</formula>
    </cfRule>
    <cfRule type="expression" dxfId="2603" priority="417">
      <formula>$E405=12</formula>
    </cfRule>
  </conditionalFormatting>
  <conditionalFormatting sqref="L405">
    <cfRule type="expression" dxfId="2602" priority="401">
      <formula>$E405&lt;12</formula>
    </cfRule>
    <cfRule type="expression" dxfId="2601" priority="402">
      <formula>$E405=18</formula>
    </cfRule>
    <cfRule type="expression" dxfId="2600" priority="403">
      <formula>$E405=17</formula>
    </cfRule>
    <cfRule type="expression" dxfId="2599" priority="404">
      <formula>$E405=16</formula>
    </cfRule>
    <cfRule type="expression" dxfId="2598" priority="405">
      <formula>$E405=15</formula>
    </cfRule>
    <cfRule type="expression" dxfId="2597" priority="406">
      <formula>$E405=14</formula>
    </cfRule>
    <cfRule type="expression" dxfId="2596" priority="407">
      <formula>$E405=13</formula>
    </cfRule>
    <cfRule type="expression" dxfId="2595" priority="408">
      <formula>$E405=12</formula>
    </cfRule>
  </conditionalFormatting>
  <conditionalFormatting sqref="L405">
    <cfRule type="expression" dxfId="2594" priority="392">
      <formula>$E405=10</formula>
    </cfRule>
    <cfRule type="expression" dxfId="2593" priority="393">
      <formula>$E405=11</formula>
    </cfRule>
    <cfRule type="expression" dxfId="2592" priority="394">
      <formula>$E405=18</formula>
    </cfRule>
    <cfRule type="expression" dxfId="2591" priority="395">
      <formula>$E405=17</formula>
    </cfRule>
    <cfRule type="expression" dxfId="2590" priority="396">
      <formula>$E405=16</formula>
    </cfRule>
    <cfRule type="expression" dxfId="2589" priority="397">
      <formula>$E405=15</formula>
    </cfRule>
    <cfRule type="expression" dxfId="2588" priority="398">
      <formula>$E405=14</formula>
    </cfRule>
    <cfRule type="expression" dxfId="2587" priority="399">
      <formula>$E405=13</formula>
    </cfRule>
    <cfRule type="expression" dxfId="2586" priority="400">
      <formula>$E405=12</formula>
    </cfRule>
  </conditionalFormatting>
  <conditionalFormatting sqref="K405">
    <cfRule type="expression" dxfId="2585" priority="384">
      <formula>$E405&lt;12</formula>
    </cfRule>
    <cfRule type="expression" dxfId="2584" priority="385">
      <formula>$E405=18</formula>
    </cfRule>
    <cfRule type="expression" dxfId="2583" priority="386">
      <formula>$E405=17</formula>
    </cfRule>
    <cfRule type="expression" dxfId="2582" priority="387">
      <formula>$E405=16</formula>
    </cfRule>
    <cfRule type="expression" dxfId="2581" priority="388">
      <formula>$E405=15</formula>
    </cfRule>
    <cfRule type="expression" dxfId="2580" priority="389">
      <formula>$E405=14</formula>
    </cfRule>
    <cfRule type="expression" dxfId="2579" priority="390">
      <formula>$E405=13</formula>
    </cfRule>
    <cfRule type="expression" dxfId="2578" priority="391">
      <formula>$E405=12</formula>
    </cfRule>
  </conditionalFormatting>
  <conditionalFormatting sqref="K405">
    <cfRule type="expression" dxfId="2577" priority="375">
      <formula>$E405=10</formula>
    </cfRule>
    <cfRule type="expression" dxfId="2576" priority="376">
      <formula>$E405=11</formula>
    </cfRule>
    <cfRule type="expression" dxfId="2575" priority="377">
      <formula>$E405=18</formula>
    </cfRule>
    <cfRule type="expression" dxfId="2574" priority="378">
      <formula>$E405=17</formula>
    </cfRule>
    <cfRule type="expression" dxfId="2573" priority="379">
      <formula>$E405=16</formula>
    </cfRule>
    <cfRule type="expression" dxfId="2572" priority="380">
      <formula>$E405=15</formula>
    </cfRule>
    <cfRule type="expression" dxfId="2571" priority="381">
      <formula>$E405=14</formula>
    </cfRule>
    <cfRule type="expression" dxfId="2570" priority="382">
      <formula>$E405=13</formula>
    </cfRule>
    <cfRule type="expression" dxfId="2569" priority="383">
      <formula>$E405=12</formula>
    </cfRule>
  </conditionalFormatting>
  <conditionalFormatting sqref="C405:F405">
    <cfRule type="expression" dxfId="2568" priority="358">
      <formula>$E405=10</formula>
    </cfRule>
    <cfRule type="expression" dxfId="2567" priority="359">
      <formula>$E405=11</formula>
    </cfRule>
    <cfRule type="expression" dxfId="2566" priority="360">
      <formula>$E405=18</formula>
    </cfRule>
    <cfRule type="expression" dxfId="2565" priority="361">
      <formula>$E405=17</formula>
    </cfRule>
    <cfRule type="expression" dxfId="2564" priority="362">
      <formula>$E405=16</formula>
    </cfRule>
    <cfRule type="expression" dxfId="2563" priority="363">
      <formula>$E405=15</formula>
    </cfRule>
    <cfRule type="expression" dxfId="2562" priority="364">
      <formula>$E405=14</formula>
    </cfRule>
    <cfRule type="expression" dxfId="2561" priority="365">
      <formula>$E405=13</formula>
    </cfRule>
    <cfRule type="expression" dxfId="2560" priority="366">
      <formula>$E405=12</formula>
    </cfRule>
  </conditionalFormatting>
  <conditionalFormatting sqref="C405:F405">
    <cfRule type="expression" dxfId="2559" priority="367">
      <formula>$E405&lt;12</formula>
    </cfRule>
    <cfRule type="expression" dxfId="2558" priority="368">
      <formula>$E405=18</formula>
    </cfRule>
    <cfRule type="expression" dxfId="2557" priority="369">
      <formula>$E405=17</formula>
    </cfRule>
    <cfRule type="expression" dxfId="2556" priority="370">
      <formula>$E405=16</formula>
    </cfRule>
    <cfRule type="expression" dxfId="2555" priority="371">
      <formula>$E405=15</formula>
    </cfRule>
    <cfRule type="expression" dxfId="2554" priority="372">
      <formula>$E405=14</formula>
    </cfRule>
    <cfRule type="expression" dxfId="2553" priority="373">
      <formula>$E405=13</formula>
    </cfRule>
    <cfRule type="expression" dxfId="2552" priority="374">
      <formula>$E405=12</formula>
    </cfRule>
  </conditionalFormatting>
  <conditionalFormatting sqref="A407:B407 G407:J407">
    <cfRule type="expression" dxfId="2551" priority="350">
      <formula>$E407&lt;12</formula>
    </cfRule>
    <cfRule type="expression" dxfId="2550" priority="351">
      <formula>$E407=18</formula>
    </cfRule>
    <cfRule type="expression" dxfId="2549" priority="352">
      <formula>$E407=17</formula>
    </cfRule>
    <cfRule type="expression" dxfId="2548" priority="353">
      <formula>$E407=16</formula>
    </cfRule>
    <cfRule type="expression" dxfId="2547" priority="354">
      <formula>$E407=15</formula>
    </cfRule>
    <cfRule type="expression" dxfId="2546" priority="355">
      <formula>$E407=14</formula>
    </cfRule>
    <cfRule type="expression" dxfId="2545" priority="356">
      <formula>$E407=13</formula>
    </cfRule>
    <cfRule type="expression" dxfId="2544" priority="357">
      <formula>$E407=12</formula>
    </cfRule>
  </conditionalFormatting>
  <conditionalFormatting sqref="A407:B407 G407:J407">
    <cfRule type="expression" dxfId="2543" priority="341">
      <formula>$E407=10</formula>
    </cfRule>
    <cfRule type="expression" dxfId="2542" priority="342">
      <formula>$E407=11</formula>
    </cfRule>
    <cfRule type="expression" dxfId="2541" priority="343">
      <formula>$E407=18</formula>
    </cfRule>
    <cfRule type="expression" dxfId="2540" priority="344">
      <formula>$E407=17</formula>
    </cfRule>
    <cfRule type="expression" dxfId="2539" priority="345">
      <formula>$E407=16</formula>
    </cfRule>
    <cfRule type="expression" dxfId="2538" priority="346">
      <formula>$E407=15</formula>
    </cfRule>
    <cfRule type="expression" dxfId="2537" priority="347">
      <formula>$E407=14</formula>
    </cfRule>
    <cfRule type="expression" dxfId="2536" priority="348">
      <formula>$E407=13</formula>
    </cfRule>
    <cfRule type="expression" dxfId="2535" priority="349">
      <formula>$E407=12</formula>
    </cfRule>
  </conditionalFormatting>
  <conditionalFormatting sqref="M407:N407">
    <cfRule type="expression" dxfId="2534" priority="333">
      <formula>$E407&lt;12</formula>
    </cfRule>
    <cfRule type="expression" dxfId="2533" priority="334">
      <formula>$E407=18</formula>
    </cfRule>
    <cfRule type="expression" dxfId="2532" priority="335">
      <formula>$E407=17</formula>
    </cfRule>
    <cfRule type="expression" dxfId="2531" priority="336">
      <formula>$E407=16</formula>
    </cfRule>
    <cfRule type="expression" dxfId="2530" priority="337">
      <formula>$E407=15</formula>
    </cfRule>
    <cfRule type="expression" dxfId="2529" priority="338">
      <formula>$E407=14</formula>
    </cfRule>
    <cfRule type="expression" dxfId="2528" priority="339">
      <formula>$E407=13</formula>
    </cfRule>
    <cfRule type="expression" dxfId="2527" priority="340">
      <formula>$E407=12</formula>
    </cfRule>
  </conditionalFormatting>
  <conditionalFormatting sqref="M407:N407">
    <cfRule type="expression" dxfId="2526" priority="324">
      <formula>$E407=10</formula>
    </cfRule>
    <cfRule type="expression" dxfId="2525" priority="325">
      <formula>$E407=11</formula>
    </cfRule>
    <cfRule type="expression" dxfId="2524" priority="326">
      <formula>$E407=18</formula>
    </cfRule>
    <cfRule type="expression" dxfId="2523" priority="327">
      <formula>$E407=17</formula>
    </cfRule>
    <cfRule type="expression" dxfId="2522" priority="328">
      <formula>$E407=16</formula>
    </cfRule>
    <cfRule type="expression" dxfId="2521" priority="329">
      <formula>$E407=15</formula>
    </cfRule>
    <cfRule type="expression" dxfId="2520" priority="330">
      <formula>$E407=14</formula>
    </cfRule>
    <cfRule type="expression" dxfId="2519" priority="331">
      <formula>$E407=13</formula>
    </cfRule>
    <cfRule type="expression" dxfId="2518" priority="332">
      <formula>$E407=12</formula>
    </cfRule>
  </conditionalFormatting>
  <conditionalFormatting sqref="L407">
    <cfRule type="expression" dxfId="2517" priority="316">
      <formula>$E407&lt;12</formula>
    </cfRule>
    <cfRule type="expression" dxfId="2516" priority="317">
      <formula>$E407=18</formula>
    </cfRule>
    <cfRule type="expression" dxfId="2515" priority="318">
      <formula>$E407=17</formula>
    </cfRule>
    <cfRule type="expression" dxfId="2514" priority="319">
      <formula>$E407=16</formula>
    </cfRule>
    <cfRule type="expression" dxfId="2513" priority="320">
      <formula>$E407=15</formula>
    </cfRule>
    <cfRule type="expression" dxfId="2512" priority="321">
      <formula>$E407=14</formula>
    </cfRule>
    <cfRule type="expression" dxfId="2511" priority="322">
      <formula>$E407=13</formula>
    </cfRule>
    <cfRule type="expression" dxfId="2510" priority="323">
      <formula>$E407=12</formula>
    </cfRule>
  </conditionalFormatting>
  <conditionalFormatting sqref="L407">
    <cfRule type="expression" dxfId="2509" priority="307">
      <formula>$E407=10</formula>
    </cfRule>
    <cfRule type="expression" dxfId="2508" priority="308">
      <formula>$E407=11</formula>
    </cfRule>
    <cfRule type="expression" dxfId="2507" priority="309">
      <formula>$E407=18</formula>
    </cfRule>
    <cfRule type="expression" dxfId="2506" priority="310">
      <formula>$E407=17</formula>
    </cfRule>
    <cfRule type="expression" dxfId="2505" priority="311">
      <formula>$E407=16</formula>
    </cfRule>
    <cfRule type="expression" dxfId="2504" priority="312">
      <formula>$E407=15</formula>
    </cfRule>
    <cfRule type="expression" dxfId="2503" priority="313">
      <formula>$E407=14</formula>
    </cfRule>
    <cfRule type="expression" dxfId="2502" priority="314">
      <formula>$E407=13</formula>
    </cfRule>
    <cfRule type="expression" dxfId="2501" priority="315">
      <formula>$E407=12</formula>
    </cfRule>
  </conditionalFormatting>
  <conditionalFormatting sqref="K407">
    <cfRule type="expression" dxfId="2500" priority="299">
      <formula>$E407&lt;12</formula>
    </cfRule>
    <cfRule type="expression" dxfId="2499" priority="300">
      <formula>$E407=18</formula>
    </cfRule>
    <cfRule type="expression" dxfId="2498" priority="301">
      <formula>$E407=17</formula>
    </cfRule>
    <cfRule type="expression" dxfId="2497" priority="302">
      <formula>$E407=16</formula>
    </cfRule>
    <cfRule type="expression" dxfId="2496" priority="303">
      <formula>$E407=15</formula>
    </cfRule>
    <cfRule type="expression" dxfId="2495" priority="304">
      <formula>$E407=14</formula>
    </cfRule>
    <cfRule type="expression" dxfId="2494" priority="305">
      <formula>$E407=13</formula>
    </cfRule>
    <cfRule type="expression" dxfId="2493" priority="306">
      <formula>$E407=12</formula>
    </cfRule>
  </conditionalFormatting>
  <conditionalFormatting sqref="K407">
    <cfRule type="expression" dxfId="2492" priority="290">
      <formula>$E407=10</formula>
    </cfRule>
    <cfRule type="expression" dxfId="2491" priority="291">
      <formula>$E407=11</formula>
    </cfRule>
    <cfRule type="expression" dxfId="2490" priority="292">
      <formula>$E407=18</formula>
    </cfRule>
    <cfRule type="expression" dxfId="2489" priority="293">
      <formula>$E407=17</formula>
    </cfRule>
    <cfRule type="expression" dxfId="2488" priority="294">
      <formula>$E407=16</formula>
    </cfRule>
    <cfRule type="expression" dxfId="2487" priority="295">
      <formula>$E407=15</formula>
    </cfRule>
    <cfRule type="expression" dxfId="2486" priority="296">
      <formula>$E407=14</formula>
    </cfRule>
    <cfRule type="expression" dxfId="2485" priority="297">
      <formula>$E407=13</formula>
    </cfRule>
    <cfRule type="expression" dxfId="2484" priority="298">
      <formula>$E407=12</formula>
    </cfRule>
  </conditionalFormatting>
  <conditionalFormatting sqref="C407:F407">
    <cfRule type="expression" dxfId="2483" priority="273">
      <formula>$E407=10</formula>
    </cfRule>
    <cfRule type="expression" dxfId="2482" priority="274">
      <formula>$E407=11</formula>
    </cfRule>
    <cfRule type="expression" dxfId="2481" priority="275">
      <formula>$E407=18</formula>
    </cfRule>
    <cfRule type="expression" dxfId="2480" priority="276">
      <formula>$E407=17</formula>
    </cfRule>
    <cfRule type="expression" dxfId="2479" priority="277">
      <formula>$E407=16</formula>
    </cfRule>
    <cfRule type="expression" dxfId="2478" priority="278">
      <formula>$E407=15</formula>
    </cfRule>
    <cfRule type="expression" dxfId="2477" priority="279">
      <formula>$E407=14</formula>
    </cfRule>
    <cfRule type="expression" dxfId="2476" priority="280">
      <formula>$E407=13</formula>
    </cfRule>
    <cfRule type="expression" dxfId="2475" priority="281">
      <formula>$E407=12</formula>
    </cfRule>
  </conditionalFormatting>
  <conditionalFormatting sqref="C407:F407">
    <cfRule type="expression" dxfId="2474" priority="282">
      <formula>$E407&lt;12</formula>
    </cfRule>
    <cfRule type="expression" dxfId="2473" priority="283">
      <formula>$E407=18</formula>
    </cfRule>
    <cfRule type="expression" dxfId="2472" priority="284">
      <formula>$E407=17</formula>
    </cfRule>
    <cfRule type="expression" dxfId="2471" priority="285">
      <formula>$E407=16</formula>
    </cfRule>
    <cfRule type="expression" dxfId="2470" priority="286">
      <formula>$E407=15</formula>
    </cfRule>
    <cfRule type="expression" dxfId="2469" priority="287">
      <formula>$E407=14</formula>
    </cfRule>
    <cfRule type="expression" dxfId="2468" priority="288">
      <formula>$E407=13</formula>
    </cfRule>
    <cfRule type="expression" dxfId="2467" priority="289">
      <formula>$E407=12</formula>
    </cfRule>
  </conditionalFormatting>
  <conditionalFormatting sqref="A409:B411 G409:J411">
    <cfRule type="expression" dxfId="2466" priority="78">
      <formula>$E409&lt;12</formula>
    </cfRule>
    <cfRule type="expression" dxfId="2465" priority="79">
      <formula>$E409=18</formula>
    </cfRule>
    <cfRule type="expression" dxfId="2464" priority="80">
      <formula>$E409=17</formula>
    </cfRule>
    <cfRule type="expression" dxfId="2463" priority="81">
      <formula>$E409=16</formula>
    </cfRule>
    <cfRule type="expression" dxfId="2462" priority="82">
      <formula>$E409=15</formula>
    </cfRule>
    <cfRule type="expression" dxfId="2461" priority="83">
      <formula>$E409=14</formula>
    </cfRule>
    <cfRule type="expression" dxfId="2460" priority="84">
      <formula>$E409=13</formula>
    </cfRule>
    <cfRule type="expression" dxfId="2459" priority="85">
      <formula>$E409=12</formula>
    </cfRule>
  </conditionalFormatting>
  <conditionalFormatting sqref="A409:B411 G409:J411">
    <cfRule type="expression" dxfId="2458" priority="69">
      <formula>$E409=10</formula>
    </cfRule>
    <cfRule type="expression" dxfId="2457" priority="70">
      <formula>$E409=11</formula>
    </cfRule>
    <cfRule type="expression" dxfId="2456" priority="71">
      <formula>$E409=18</formula>
    </cfRule>
    <cfRule type="expression" dxfId="2455" priority="72">
      <formula>$E409=17</formula>
    </cfRule>
    <cfRule type="expression" dxfId="2454" priority="73">
      <formula>$E409=16</formula>
    </cfRule>
    <cfRule type="expression" dxfId="2453" priority="74">
      <formula>$E409=15</formula>
    </cfRule>
    <cfRule type="expression" dxfId="2452" priority="75">
      <formula>$E409=14</formula>
    </cfRule>
    <cfRule type="expression" dxfId="2451" priority="76">
      <formula>$E409=13</formula>
    </cfRule>
    <cfRule type="expression" dxfId="2450" priority="77">
      <formula>$E409=12</formula>
    </cfRule>
  </conditionalFormatting>
  <conditionalFormatting sqref="M409:N411">
    <cfRule type="expression" dxfId="2449" priority="61">
      <formula>$E409&lt;12</formula>
    </cfRule>
    <cfRule type="expression" dxfId="2448" priority="62">
      <formula>$E409=18</formula>
    </cfRule>
    <cfRule type="expression" dxfId="2447" priority="63">
      <formula>$E409=17</formula>
    </cfRule>
    <cfRule type="expression" dxfId="2446" priority="64">
      <formula>$E409=16</formula>
    </cfRule>
    <cfRule type="expression" dxfId="2445" priority="65">
      <formula>$E409=15</formula>
    </cfRule>
    <cfRule type="expression" dxfId="2444" priority="66">
      <formula>$E409=14</formula>
    </cfRule>
    <cfRule type="expression" dxfId="2443" priority="67">
      <formula>$E409=13</formula>
    </cfRule>
    <cfRule type="expression" dxfId="2442" priority="68">
      <formula>$E409=12</formula>
    </cfRule>
  </conditionalFormatting>
  <conditionalFormatting sqref="M409:N411">
    <cfRule type="expression" dxfId="2441" priority="52">
      <formula>$E409=10</formula>
    </cfRule>
    <cfRule type="expression" dxfId="2440" priority="53">
      <formula>$E409=11</formula>
    </cfRule>
    <cfRule type="expression" dxfId="2439" priority="54">
      <formula>$E409=18</formula>
    </cfRule>
    <cfRule type="expression" dxfId="2438" priority="55">
      <formula>$E409=17</formula>
    </cfRule>
    <cfRule type="expression" dxfId="2437" priority="56">
      <formula>$E409=16</formula>
    </cfRule>
    <cfRule type="expression" dxfId="2436" priority="57">
      <formula>$E409=15</formula>
    </cfRule>
    <cfRule type="expression" dxfId="2435" priority="58">
      <formula>$E409=14</formula>
    </cfRule>
    <cfRule type="expression" dxfId="2434" priority="59">
      <formula>$E409=13</formula>
    </cfRule>
    <cfRule type="expression" dxfId="2433" priority="60">
      <formula>$E409=12</formula>
    </cfRule>
  </conditionalFormatting>
  <conditionalFormatting sqref="L409:L411">
    <cfRule type="expression" dxfId="2432" priority="44">
      <formula>$E409&lt;12</formula>
    </cfRule>
    <cfRule type="expression" dxfId="2431" priority="45">
      <formula>$E409=18</formula>
    </cfRule>
    <cfRule type="expression" dxfId="2430" priority="46">
      <formula>$E409=17</formula>
    </cfRule>
    <cfRule type="expression" dxfId="2429" priority="47">
      <formula>$E409=16</formula>
    </cfRule>
    <cfRule type="expression" dxfId="2428" priority="48">
      <formula>$E409=15</formula>
    </cfRule>
    <cfRule type="expression" dxfId="2427" priority="49">
      <formula>$E409=14</formula>
    </cfRule>
    <cfRule type="expression" dxfId="2426" priority="50">
      <formula>$E409=13</formula>
    </cfRule>
    <cfRule type="expression" dxfId="2425" priority="51">
      <formula>$E409=12</formula>
    </cfRule>
  </conditionalFormatting>
  <conditionalFormatting sqref="L409:L411">
    <cfRule type="expression" dxfId="2424" priority="35">
      <formula>$E409=10</formula>
    </cfRule>
    <cfRule type="expression" dxfId="2423" priority="36">
      <formula>$E409=11</formula>
    </cfRule>
    <cfRule type="expression" dxfId="2422" priority="37">
      <formula>$E409=18</formula>
    </cfRule>
    <cfRule type="expression" dxfId="2421" priority="38">
      <formula>$E409=17</formula>
    </cfRule>
    <cfRule type="expression" dxfId="2420" priority="39">
      <formula>$E409=16</formula>
    </cfRule>
    <cfRule type="expression" dxfId="2419" priority="40">
      <formula>$E409=15</formula>
    </cfRule>
    <cfRule type="expression" dxfId="2418" priority="41">
      <formula>$E409=14</formula>
    </cfRule>
    <cfRule type="expression" dxfId="2417" priority="42">
      <formula>$E409=13</formula>
    </cfRule>
    <cfRule type="expression" dxfId="2416" priority="43">
      <formula>$E409=12</formula>
    </cfRule>
  </conditionalFormatting>
  <conditionalFormatting sqref="K409:K411">
    <cfRule type="expression" dxfId="2415" priority="27">
      <formula>$E409&lt;12</formula>
    </cfRule>
    <cfRule type="expression" dxfId="2414" priority="28">
      <formula>$E409=18</formula>
    </cfRule>
    <cfRule type="expression" dxfId="2413" priority="29">
      <formula>$E409=17</formula>
    </cfRule>
    <cfRule type="expression" dxfId="2412" priority="30">
      <formula>$E409=16</formula>
    </cfRule>
    <cfRule type="expression" dxfId="2411" priority="31">
      <formula>$E409=15</formula>
    </cfRule>
    <cfRule type="expression" dxfId="2410" priority="32">
      <formula>$E409=14</formula>
    </cfRule>
    <cfRule type="expression" dxfId="2409" priority="33">
      <formula>$E409=13</formula>
    </cfRule>
    <cfRule type="expression" dxfId="2408" priority="34">
      <formula>$E409=12</formula>
    </cfRule>
  </conditionalFormatting>
  <conditionalFormatting sqref="K409:K411">
    <cfRule type="expression" dxfId="2407" priority="18">
      <formula>$E409=10</formula>
    </cfRule>
    <cfRule type="expression" dxfId="2406" priority="19">
      <formula>$E409=11</formula>
    </cfRule>
    <cfRule type="expression" dxfId="2405" priority="20">
      <formula>$E409=18</formula>
    </cfRule>
    <cfRule type="expression" dxfId="2404" priority="21">
      <formula>$E409=17</formula>
    </cfRule>
    <cfRule type="expression" dxfId="2403" priority="22">
      <formula>$E409=16</formula>
    </cfRule>
    <cfRule type="expression" dxfId="2402" priority="23">
      <formula>$E409=15</formula>
    </cfRule>
    <cfRule type="expression" dxfId="2401" priority="24">
      <formula>$E409=14</formula>
    </cfRule>
    <cfRule type="expression" dxfId="2400" priority="25">
      <formula>$E409=13</formula>
    </cfRule>
    <cfRule type="expression" dxfId="2399" priority="26">
      <formula>$E409=12</formula>
    </cfRule>
  </conditionalFormatting>
  <conditionalFormatting sqref="C409:F411">
    <cfRule type="expression" dxfId="2398" priority="10">
      <formula>$E409&lt;12</formula>
    </cfRule>
    <cfRule type="expression" dxfId="2397" priority="11">
      <formula>$E409=18</formula>
    </cfRule>
    <cfRule type="expression" dxfId="2396" priority="12">
      <formula>$E409=17</formula>
    </cfRule>
    <cfRule type="expression" dxfId="2395" priority="13">
      <formula>$E409=16</formula>
    </cfRule>
    <cfRule type="expression" dxfId="2394" priority="14">
      <formula>$E409=15</formula>
    </cfRule>
    <cfRule type="expression" dxfId="2393" priority="15">
      <formula>$E409=14</formula>
    </cfRule>
    <cfRule type="expression" dxfId="2392" priority="16">
      <formula>$E409=13</formula>
    </cfRule>
    <cfRule type="expression" dxfId="2391" priority="17">
      <formula>$E409=12</formula>
    </cfRule>
  </conditionalFormatting>
  <conditionalFormatting sqref="C409:F411">
    <cfRule type="expression" dxfId="2390" priority="1">
      <formula>$E409=10</formula>
    </cfRule>
    <cfRule type="expression" dxfId="2389" priority="2">
      <formula>$E409=11</formula>
    </cfRule>
    <cfRule type="expression" dxfId="2388" priority="3">
      <formula>$E409=18</formula>
    </cfRule>
    <cfRule type="expression" dxfId="2387" priority="4">
      <formula>$E409=17</formula>
    </cfRule>
    <cfRule type="expression" dxfId="2386" priority="5">
      <formula>$E409=16</formula>
    </cfRule>
    <cfRule type="expression" dxfId="2385" priority="6">
      <formula>$E409=15</formula>
    </cfRule>
    <cfRule type="expression" dxfId="2384" priority="7">
      <formula>$E409=14</formula>
    </cfRule>
    <cfRule type="expression" dxfId="2383" priority="8">
      <formula>$E409=13</formula>
    </cfRule>
    <cfRule type="expression" dxfId="2382" priority="9">
      <formula>$E409=12</formula>
    </cfRule>
  </conditionalFormatting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982"/>
  <sheetViews>
    <sheetView topLeftCell="E393" workbookViewId="0">
      <selection activeCell="H414" sqref="H414"/>
    </sheetView>
  </sheetViews>
  <sheetFormatPr defaultRowHeight="15" x14ac:dyDescent="0.25"/>
  <cols>
    <col min="1" max="1" width="7.140625" style="451" bestFit="1" customWidth="1"/>
    <col min="2" max="2" width="3" style="451" customWidth="1"/>
    <col min="3" max="3" width="3" style="451" bestFit="1" customWidth="1"/>
    <col min="4" max="4" width="5.28515625" style="451" bestFit="1" customWidth="1"/>
    <col min="5" max="5" width="4.42578125" style="451" bestFit="1" customWidth="1"/>
    <col min="6" max="6" width="4.85546875" style="451" bestFit="1" customWidth="1"/>
    <col min="7" max="7" width="13.85546875" style="451" bestFit="1" customWidth="1"/>
    <col min="8" max="8" width="34.85546875" style="451" bestFit="1" customWidth="1"/>
    <col min="9" max="9" width="27.140625" style="451" bestFit="1" customWidth="1"/>
    <col min="10" max="10" width="6.7109375" style="451" bestFit="1" customWidth="1"/>
    <col min="11" max="11" width="7.7109375" style="450" bestFit="1" customWidth="1"/>
    <col min="12" max="12" width="7.5703125" style="451" bestFit="1" customWidth="1"/>
    <col min="13" max="13" width="10" style="450" bestFit="1" customWidth="1"/>
    <col min="14" max="14" width="10" style="450" customWidth="1"/>
    <col min="15" max="16" width="8.7109375" style="451" bestFit="1" customWidth="1"/>
    <col min="17" max="19" width="9.7109375" style="451" bestFit="1" customWidth="1"/>
    <col min="20" max="20" width="8.7109375" style="451" bestFit="1" customWidth="1"/>
    <col min="21" max="23" width="9.7109375" style="451" bestFit="1" customWidth="1"/>
    <col min="24" max="24" width="8.7109375" style="451" bestFit="1" customWidth="1"/>
    <col min="25" max="28" width="9.7109375" style="451" bestFit="1" customWidth="1"/>
    <col min="29" max="29" width="8.7109375" style="451" bestFit="1" customWidth="1"/>
    <col min="30" max="33" width="9.140625" style="451"/>
    <col min="36" max="16384" width="9.140625" style="451"/>
  </cols>
  <sheetData>
    <row r="1" spans="1:35" s="447" customFormat="1" ht="30" x14ac:dyDescent="0.25">
      <c r="A1" s="444" t="s">
        <v>282</v>
      </c>
      <c r="B1" s="444"/>
      <c r="C1" s="444" t="s">
        <v>283</v>
      </c>
      <c r="D1" s="444" t="s">
        <v>284</v>
      </c>
      <c r="E1" s="444" t="s">
        <v>18</v>
      </c>
      <c r="F1" s="444" t="s">
        <v>285</v>
      </c>
      <c r="G1" s="444" t="s">
        <v>286</v>
      </c>
      <c r="H1" s="444" t="s">
        <v>287</v>
      </c>
      <c r="I1" s="444" t="s">
        <v>10</v>
      </c>
      <c r="J1" s="444" t="s">
        <v>288</v>
      </c>
      <c r="K1" s="445" t="s">
        <v>289</v>
      </c>
      <c r="L1" s="444"/>
      <c r="M1" s="445" t="s">
        <v>110</v>
      </c>
      <c r="N1" s="445"/>
      <c r="O1" s="446" t="s">
        <v>290</v>
      </c>
      <c r="P1" s="446" t="s">
        <v>291</v>
      </c>
      <c r="Q1" s="446">
        <v>42383</v>
      </c>
      <c r="R1" s="446">
        <f>Q1+7</f>
        <v>42390</v>
      </c>
      <c r="S1" s="446">
        <f t="shared" ref="S1:AC1" si="0">R1+7</f>
        <v>42397</v>
      </c>
      <c r="T1" s="446">
        <f t="shared" si="0"/>
        <v>42404</v>
      </c>
      <c r="U1" s="446">
        <f t="shared" si="0"/>
        <v>42411</v>
      </c>
      <c r="V1" s="446">
        <f t="shared" si="0"/>
        <v>42418</v>
      </c>
      <c r="W1" s="446">
        <f t="shared" si="0"/>
        <v>42425</v>
      </c>
      <c r="X1" s="446">
        <f t="shared" si="0"/>
        <v>42432</v>
      </c>
      <c r="Y1" s="446">
        <f t="shared" si="0"/>
        <v>42439</v>
      </c>
      <c r="Z1" s="446">
        <f t="shared" si="0"/>
        <v>42446</v>
      </c>
      <c r="AA1" s="446">
        <f t="shared" si="0"/>
        <v>42453</v>
      </c>
      <c r="AB1" s="446">
        <f t="shared" si="0"/>
        <v>42460</v>
      </c>
      <c r="AC1" s="446">
        <f t="shared" si="0"/>
        <v>42467</v>
      </c>
      <c r="AH1"/>
      <c r="AI1"/>
    </row>
    <row r="2" spans="1:35" x14ac:dyDescent="0.25">
      <c r="A2" s="448">
        <v>3</v>
      </c>
      <c r="B2" s="448"/>
      <c r="C2" s="448">
        <f t="shared" ref="C2:C65" si="1">IF(E2=E1,C1+1,1)</f>
        <v>1</v>
      </c>
      <c r="D2" s="448">
        <f t="shared" ref="D2:D65" si="2">IF(M2=M1,D1,C2)</f>
        <v>1</v>
      </c>
      <c r="E2" s="448">
        <f t="shared" ref="E2:E65" si="3">10+VALUE(RIGHT(LEFT(G2,3),1))</f>
        <v>11</v>
      </c>
      <c r="F2" s="448" t="str">
        <f t="shared" ref="F2:F65" si="4">RIGHT(G2,2) &amp; IF(A2&lt;2,"x","")</f>
        <v>pm</v>
      </c>
      <c r="G2" s="448" t="s">
        <v>292</v>
      </c>
      <c r="H2" s="448" t="s">
        <v>293</v>
      </c>
      <c r="I2" s="448" t="s">
        <v>294</v>
      </c>
      <c r="J2" s="449" t="s">
        <v>21</v>
      </c>
      <c r="K2" s="450">
        <f t="shared" ref="K2:K65" si="5">LOOKUP(1E+100,M2:AC2)</f>
        <v>1420.2491124742737</v>
      </c>
      <c r="L2" s="448"/>
      <c r="M2" s="450">
        <v>1600</v>
      </c>
      <c r="O2" s="450">
        <v>1473.3153485871062</v>
      </c>
      <c r="P2" s="450"/>
      <c r="Q2" s="450"/>
      <c r="R2" s="450"/>
      <c r="S2" s="450">
        <v>1420.2491124742737</v>
      </c>
      <c r="T2" s="450"/>
      <c r="U2" s="450"/>
      <c r="V2" s="450"/>
      <c r="W2" s="450"/>
      <c r="X2" s="450"/>
      <c r="Y2" s="450"/>
      <c r="Z2" s="450"/>
      <c r="AA2" s="450"/>
      <c r="AB2" s="450"/>
      <c r="AC2" s="450"/>
      <c r="AD2" s="450"/>
      <c r="AE2" s="450"/>
      <c r="AF2" s="450"/>
      <c r="AG2" s="450"/>
    </row>
    <row r="3" spans="1:35" x14ac:dyDescent="0.25">
      <c r="A3" s="448">
        <v>3</v>
      </c>
      <c r="B3" s="448"/>
      <c r="C3" s="448">
        <f t="shared" si="1"/>
        <v>2</v>
      </c>
      <c r="D3" s="448">
        <f t="shared" si="2"/>
        <v>2</v>
      </c>
      <c r="E3" s="448">
        <f t="shared" si="3"/>
        <v>11</v>
      </c>
      <c r="F3" s="448" t="str">
        <f t="shared" si="4"/>
        <v>pm</v>
      </c>
      <c r="G3" s="448" t="s">
        <v>295</v>
      </c>
      <c r="H3" s="448" t="s">
        <v>296</v>
      </c>
      <c r="I3" s="448" t="s">
        <v>297</v>
      </c>
      <c r="J3" s="449" t="s">
        <v>20</v>
      </c>
      <c r="K3" s="450">
        <f t="shared" si="5"/>
        <v>1414.1860693632427</v>
      </c>
      <c r="L3" s="448"/>
      <c r="M3" s="450">
        <v>1400</v>
      </c>
      <c r="O3" s="450"/>
      <c r="P3" s="450"/>
      <c r="Q3" s="450"/>
      <c r="R3" s="450">
        <v>1414.1860693632427</v>
      </c>
      <c r="S3" s="450"/>
      <c r="T3" s="450"/>
      <c r="U3" s="450"/>
      <c r="V3" s="450"/>
      <c r="W3" s="450"/>
      <c r="X3" s="450"/>
      <c r="Y3" s="450"/>
      <c r="Z3" s="450"/>
      <c r="AA3" s="450"/>
      <c r="AB3" s="450"/>
      <c r="AC3" s="450"/>
      <c r="AD3" s="450"/>
      <c r="AE3" s="450"/>
      <c r="AF3" s="450"/>
      <c r="AG3" s="450"/>
    </row>
    <row r="4" spans="1:35" x14ac:dyDescent="0.25">
      <c r="A4" s="448">
        <v>5</v>
      </c>
      <c r="B4" s="448"/>
      <c r="C4" s="448">
        <f t="shared" si="1"/>
        <v>3</v>
      </c>
      <c r="D4" s="448">
        <f t="shared" si="2"/>
        <v>3</v>
      </c>
      <c r="E4" s="448">
        <f t="shared" si="3"/>
        <v>11</v>
      </c>
      <c r="F4" s="448" t="str">
        <f t="shared" si="4"/>
        <v>pm</v>
      </c>
      <c r="G4" s="448" t="s">
        <v>298</v>
      </c>
      <c r="H4" s="448" t="s">
        <v>299</v>
      </c>
      <c r="I4" s="448" t="s">
        <v>300</v>
      </c>
      <c r="J4" s="449" t="s">
        <v>301</v>
      </c>
      <c r="K4" s="450">
        <f t="shared" si="5"/>
        <v>1295.1387328963617</v>
      </c>
      <c r="L4" s="448"/>
      <c r="M4" s="450">
        <v>1200</v>
      </c>
      <c r="O4" s="450"/>
      <c r="P4" s="450"/>
      <c r="Q4" s="450"/>
      <c r="R4" s="450">
        <v>1217.5505615019474</v>
      </c>
      <c r="S4" s="450"/>
      <c r="T4" s="450">
        <v>1216.2682939252052</v>
      </c>
      <c r="U4" s="450"/>
      <c r="V4" s="450">
        <v>1295.1387328963617</v>
      </c>
      <c r="W4" s="450"/>
      <c r="X4" s="450"/>
      <c r="Y4" s="450"/>
      <c r="Z4" s="450"/>
      <c r="AA4" s="450"/>
      <c r="AB4" s="450"/>
      <c r="AC4" s="450"/>
      <c r="AD4" s="450"/>
      <c r="AE4" s="450"/>
      <c r="AF4" s="450"/>
      <c r="AG4" s="450"/>
    </row>
    <row r="5" spans="1:35" x14ac:dyDescent="0.25">
      <c r="A5" s="448">
        <v>2</v>
      </c>
      <c r="B5" s="448"/>
      <c r="C5" s="448">
        <f t="shared" si="1"/>
        <v>1</v>
      </c>
      <c r="D5" s="448">
        <f t="shared" si="2"/>
        <v>1</v>
      </c>
      <c r="E5" s="448">
        <f t="shared" si="3"/>
        <v>12</v>
      </c>
      <c r="F5" s="448" t="str">
        <f t="shared" si="4"/>
        <v>pm</v>
      </c>
      <c r="G5" s="448" t="s">
        <v>302</v>
      </c>
      <c r="H5" s="448" t="s">
        <v>303</v>
      </c>
      <c r="I5" s="448" t="s">
        <v>304</v>
      </c>
      <c r="J5" s="449" t="s">
        <v>21</v>
      </c>
      <c r="K5" s="450">
        <f t="shared" si="5"/>
        <v>1608.4927494249498</v>
      </c>
      <c r="L5" s="448"/>
      <c r="M5" s="450">
        <v>1600</v>
      </c>
      <c r="O5" s="450">
        <v>1588.0546571711616</v>
      </c>
      <c r="P5" s="450"/>
      <c r="Q5" s="450"/>
      <c r="R5" s="450"/>
      <c r="S5" s="450"/>
      <c r="T5" s="450"/>
      <c r="U5" s="450">
        <v>1608.4927494249498</v>
      </c>
      <c r="V5" s="450"/>
      <c r="W5" s="450"/>
      <c r="X5" s="450"/>
      <c r="Y5" s="450"/>
      <c r="Z5" s="450"/>
      <c r="AA5" s="450"/>
      <c r="AB5" s="450"/>
      <c r="AC5" s="450"/>
      <c r="AD5" s="450"/>
      <c r="AE5" s="450"/>
      <c r="AF5" s="450"/>
      <c r="AG5" s="450"/>
    </row>
    <row r="6" spans="1:35" x14ac:dyDescent="0.25">
      <c r="A6" s="448">
        <v>4</v>
      </c>
      <c r="B6" s="448"/>
      <c r="C6" s="448">
        <f t="shared" si="1"/>
        <v>2</v>
      </c>
      <c r="D6" s="448">
        <f t="shared" si="2"/>
        <v>1</v>
      </c>
      <c r="E6" s="448">
        <f t="shared" si="3"/>
        <v>12</v>
      </c>
      <c r="F6" s="448" t="str">
        <f t="shared" si="4"/>
        <v>pm</v>
      </c>
      <c r="G6" s="448" t="s">
        <v>305</v>
      </c>
      <c r="H6" s="448" t="s">
        <v>306</v>
      </c>
      <c r="I6" s="448" t="s">
        <v>307</v>
      </c>
      <c r="J6" s="449" t="s">
        <v>21</v>
      </c>
      <c r="K6" s="450">
        <f t="shared" si="5"/>
        <v>1511.6178648947346</v>
      </c>
      <c r="L6" s="448"/>
      <c r="M6" s="450">
        <v>1600</v>
      </c>
      <c r="O6" s="450"/>
      <c r="P6" s="450"/>
      <c r="Q6" s="450"/>
      <c r="R6" s="450"/>
      <c r="S6" s="450"/>
      <c r="T6" s="450"/>
      <c r="U6" s="450">
        <v>1599.5723816566881</v>
      </c>
      <c r="V6" s="450"/>
      <c r="W6" s="450">
        <v>1511.6178648947346</v>
      </c>
      <c r="X6" s="450"/>
      <c r="Y6" s="450"/>
      <c r="Z6" s="450"/>
      <c r="AA6" s="450"/>
      <c r="AB6" s="450"/>
      <c r="AC6" s="450"/>
      <c r="AD6" s="450"/>
      <c r="AE6" s="450"/>
      <c r="AF6" s="450"/>
      <c r="AG6" s="450"/>
    </row>
    <row r="7" spans="1:35" x14ac:dyDescent="0.25">
      <c r="A7" s="448">
        <v>7</v>
      </c>
      <c r="B7" s="448"/>
      <c r="C7" s="448">
        <f t="shared" si="1"/>
        <v>3</v>
      </c>
      <c r="D7" s="448">
        <f t="shared" si="2"/>
        <v>1</v>
      </c>
      <c r="E7" s="448">
        <f t="shared" si="3"/>
        <v>12</v>
      </c>
      <c r="F7" s="448" t="str">
        <f t="shared" si="4"/>
        <v>pm</v>
      </c>
      <c r="G7" s="448" t="s">
        <v>308</v>
      </c>
      <c r="H7" s="448" t="s">
        <v>309</v>
      </c>
      <c r="I7" s="448" t="s">
        <v>310</v>
      </c>
      <c r="J7" s="449" t="s">
        <v>21</v>
      </c>
      <c r="K7" s="450">
        <f t="shared" si="5"/>
        <v>1806.1326638746696</v>
      </c>
      <c r="L7" s="448"/>
      <c r="M7" s="450">
        <v>1600</v>
      </c>
      <c r="O7" s="450">
        <v>1636.9148649131555</v>
      </c>
      <c r="P7" s="450"/>
      <c r="Q7" s="450">
        <v>1746.8509792457253</v>
      </c>
      <c r="R7" s="450"/>
      <c r="S7" s="450">
        <v>1730.1249302111369</v>
      </c>
      <c r="T7" s="450"/>
      <c r="U7" s="450">
        <v>1765.8607290603154</v>
      </c>
      <c r="V7" s="450"/>
      <c r="W7" s="450">
        <v>1806.1326638746696</v>
      </c>
      <c r="X7" s="450"/>
      <c r="Y7" s="450"/>
      <c r="Z7" s="450"/>
      <c r="AA7" s="450"/>
      <c r="AB7" s="450"/>
      <c r="AC7" s="450"/>
      <c r="AD7" s="450"/>
      <c r="AE7" s="450"/>
      <c r="AF7" s="450"/>
      <c r="AG7" s="450"/>
    </row>
    <row r="8" spans="1:35" x14ac:dyDescent="0.25">
      <c r="A8" s="448">
        <v>2</v>
      </c>
      <c r="B8" s="448"/>
      <c r="C8" s="448">
        <f t="shared" si="1"/>
        <v>4</v>
      </c>
      <c r="D8" s="448">
        <f t="shared" si="2"/>
        <v>1</v>
      </c>
      <c r="E8" s="448">
        <f t="shared" si="3"/>
        <v>12</v>
      </c>
      <c r="F8" s="448" t="str">
        <f t="shared" si="4"/>
        <v>pm</v>
      </c>
      <c r="G8" s="448" t="s">
        <v>311</v>
      </c>
      <c r="H8" s="448" t="s">
        <v>293</v>
      </c>
      <c r="I8" s="448" t="s">
        <v>312</v>
      </c>
      <c r="J8" s="449" t="s">
        <v>21</v>
      </c>
      <c r="K8" s="450">
        <f t="shared" si="5"/>
        <v>1707.8006673986267</v>
      </c>
      <c r="L8" s="448"/>
      <c r="M8" s="450">
        <v>1600</v>
      </c>
      <c r="O8" s="450">
        <v>1707.8006673986267</v>
      </c>
      <c r="P8" s="450"/>
      <c r="Q8" s="450"/>
      <c r="R8" s="450"/>
      <c r="S8" s="450"/>
      <c r="T8" s="450"/>
      <c r="U8" s="450"/>
      <c r="V8" s="450"/>
      <c r="W8" s="450"/>
      <c r="X8" s="450"/>
      <c r="Y8" s="450"/>
      <c r="Z8" s="450"/>
      <c r="AA8" s="450"/>
      <c r="AB8" s="450"/>
      <c r="AC8" s="450"/>
      <c r="AD8" s="450"/>
      <c r="AE8" s="450"/>
      <c r="AF8" s="450"/>
      <c r="AG8" s="450"/>
    </row>
    <row r="9" spans="1:35" x14ac:dyDescent="0.25">
      <c r="A9" s="448">
        <v>2</v>
      </c>
      <c r="B9" s="448"/>
      <c r="C9" s="448">
        <f t="shared" si="1"/>
        <v>5</v>
      </c>
      <c r="D9" s="448">
        <f t="shared" si="2"/>
        <v>1</v>
      </c>
      <c r="E9" s="448">
        <f t="shared" si="3"/>
        <v>12</v>
      </c>
      <c r="F9" s="448" t="str">
        <f t="shared" si="4"/>
        <v>pm</v>
      </c>
      <c r="G9" s="448" t="s">
        <v>313</v>
      </c>
      <c r="H9" s="448" t="s">
        <v>293</v>
      </c>
      <c r="I9" s="448" t="s">
        <v>314</v>
      </c>
      <c r="J9" s="449" t="s">
        <v>21</v>
      </c>
      <c r="K9" s="450">
        <f t="shared" si="5"/>
        <v>1536.8245779108793</v>
      </c>
      <c r="L9" s="448"/>
      <c r="M9" s="450">
        <v>1600</v>
      </c>
      <c r="O9" s="450">
        <v>1536.8245779108793</v>
      </c>
      <c r="P9" s="450"/>
      <c r="Q9" s="450"/>
      <c r="R9" s="450"/>
      <c r="S9" s="450"/>
      <c r="T9" s="450"/>
      <c r="U9" s="450"/>
      <c r="V9" s="450"/>
      <c r="W9" s="450"/>
      <c r="X9" s="450"/>
      <c r="Y9" s="450"/>
      <c r="Z9" s="450"/>
      <c r="AA9" s="450"/>
      <c r="AB9" s="450"/>
      <c r="AC9" s="450"/>
      <c r="AD9" s="450"/>
      <c r="AE9" s="450"/>
      <c r="AF9" s="450"/>
      <c r="AG9" s="450"/>
    </row>
    <row r="10" spans="1:35" x14ac:dyDescent="0.25">
      <c r="A10" s="448">
        <v>2</v>
      </c>
      <c r="B10" s="448"/>
      <c r="C10" s="448">
        <f t="shared" si="1"/>
        <v>6</v>
      </c>
      <c r="D10" s="448">
        <f t="shared" si="2"/>
        <v>1</v>
      </c>
      <c r="E10" s="448">
        <f t="shared" si="3"/>
        <v>12</v>
      </c>
      <c r="F10" s="448" t="str">
        <f t="shared" si="4"/>
        <v>pm</v>
      </c>
      <c r="G10" s="448" t="s">
        <v>315</v>
      </c>
      <c r="H10" s="448" t="s">
        <v>316</v>
      </c>
      <c r="I10" s="448" t="s">
        <v>317</v>
      </c>
      <c r="J10" s="449" t="s">
        <v>21</v>
      </c>
      <c r="K10" s="450">
        <f t="shared" si="5"/>
        <v>1600</v>
      </c>
      <c r="L10" s="448"/>
      <c r="M10" s="450">
        <v>1600</v>
      </c>
      <c r="O10" s="450"/>
      <c r="P10" s="450"/>
      <c r="Q10" s="450"/>
      <c r="R10" s="450"/>
      <c r="S10" s="450"/>
      <c r="T10" s="450"/>
      <c r="U10" s="450"/>
      <c r="V10" s="450"/>
      <c r="W10" s="450"/>
      <c r="X10" s="450"/>
      <c r="Y10" s="450"/>
      <c r="Z10" s="450"/>
      <c r="AA10" s="450"/>
      <c r="AB10" s="450"/>
      <c r="AC10" s="450"/>
      <c r="AD10" s="450"/>
      <c r="AE10" s="450"/>
      <c r="AF10" s="450"/>
      <c r="AG10" s="450"/>
    </row>
    <row r="11" spans="1:35" x14ac:dyDescent="0.25">
      <c r="A11" s="448">
        <v>1</v>
      </c>
      <c r="B11" s="448"/>
      <c r="C11" s="448">
        <f t="shared" si="1"/>
        <v>7</v>
      </c>
      <c r="D11" s="448">
        <f t="shared" si="2"/>
        <v>1</v>
      </c>
      <c r="E11" s="448">
        <f t="shared" si="3"/>
        <v>12</v>
      </c>
      <c r="F11" s="448" t="str">
        <f t="shared" si="4"/>
        <v>pmx</v>
      </c>
      <c r="G11" s="448" t="s">
        <v>318</v>
      </c>
      <c r="H11" s="448" t="s">
        <v>319</v>
      </c>
      <c r="I11" s="448" t="s">
        <v>320</v>
      </c>
      <c r="J11" s="449" t="s">
        <v>21</v>
      </c>
      <c r="K11" s="450">
        <f t="shared" si="5"/>
        <v>1549.7575137856709</v>
      </c>
      <c r="L11" s="448"/>
      <c r="M11" s="450">
        <v>1600</v>
      </c>
      <c r="O11" s="450">
        <v>1549.7575137856709</v>
      </c>
      <c r="P11" s="450"/>
      <c r="Q11" s="450"/>
      <c r="R11" s="450"/>
      <c r="S11" s="450"/>
      <c r="T11" s="450"/>
      <c r="U11" s="450"/>
      <c r="V11" s="450"/>
      <c r="W11" s="450"/>
      <c r="X11" s="450"/>
      <c r="Y11" s="450"/>
      <c r="Z11" s="450"/>
      <c r="AA11" s="450"/>
      <c r="AB11" s="450"/>
      <c r="AC11" s="450"/>
      <c r="AD11" s="450"/>
      <c r="AE11" s="450"/>
      <c r="AF11" s="450"/>
      <c r="AG11" s="450"/>
    </row>
    <row r="12" spans="1:35" x14ac:dyDescent="0.25">
      <c r="A12" s="448"/>
      <c r="B12" s="448"/>
      <c r="C12" s="448">
        <f t="shared" si="1"/>
        <v>8</v>
      </c>
      <c r="D12" s="448">
        <f t="shared" si="2"/>
        <v>1</v>
      </c>
      <c r="E12" s="448">
        <f t="shared" si="3"/>
        <v>12</v>
      </c>
      <c r="F12" s="448" t="str">
        <f t="shared" si="4"/>
        <v>pmx</v>
      </c>
      <c r="G12" s="448" t="s">
        <v>318</v>
      </c>
      <c r="H12" s="448"/>
      <c r="I12" s="448" t="s">
        <v>321</v>
      </c>
      <c r="J12" s="449" t="s">
        <v>21</v>
      </c>
      <c r="K12" s="450">
        <f t="shared" si="5"/>
        <v>1600</v>
      </c>
      <c r="L12" s="448"/>
      <c r="M12" s="450">
        <v>1600</v>
      </c>
    </row>
    <row r="13" spans="1:35" x14ac:dyDescent="0.25">
      <c r="A13" s="448">
        <v>4</v>
      </c>
      <c r="B13" s="448"/>
      <c r="C13" s="448">
        <f t="shared" si="1"/>
        <v>9</v>
      </c>
      <c r="D13" s="448">
        <f t="shared" si="2"/>
        <v>9</v>
      </c>
      <c r="E13" s="448">
        <f t="shared" si="3"/>
        <v>12</v>
      </c>
      <c r="F13" s="448" t="str">
        <f t="shared" si="4"/>
        <v>pm</v>
      </c>
      <c r="G13" s="448" t="s">
        <v>322</v>
      </c>
      <c r="H13" s="448" t="s">
        <v>319</v>
      </c>
      <c r="I13" s="448" t="s">
        <v>323</v>
      </c>
      <c r="J13" s="449" t="s">
        <v>21</v>
      </c>
      <c r="K13" s="450">
        <f t="shared" si="5"/>
        <v>1706.1407986026627</v>
      </c>
      <c r="L13" s="448"/>
      <c r="M13" s="450">
        <v>1550</v>
      </c>
      <c r="O13" s="450">
        <v>1590.1567686677104</v>
      </c>
      <c r="P13" s="450"/>
      <c r="Q13" s="450"/>
      <c r="R13" s="450"/>
      <c r="S13" s="450">
        <v>1683.9371318599437</v>
      </c>
      <c r="T13" s="450">
        <v>1706.1407986026627</v>
      </c>
      <c r="U13" s="450"/>
      <c r="V13" s="450"/>
      <c r="W13" s="450"/>
      <c r="X13" s="450"/>
      <c r="Y13" s="450"/>
      <c r="Z13" s="450"/>
      <c r="AA13" s="450"/>
      <c r="AB13" s="450"/>
      <c r="AC13" s="450"/>
      <c r="AD13" s="450"/>
      <c r="AE13" s="450"/>
      <c r="AF13" s="450"/>
      <c r="AG13" s="450"/>
    </row>
    <row r="14" spans="1:35" x14ac:dyDescent="0.25">
      <c r="A14" s="448">
        <v>3</v>
      </c>
      <c r="B14" s="448"/>
      <c r="C14" s="448">
        <f t="shared" si="1"/>
        <v>10</v>
      </c>
      <c r="D14" s="448">
        <f t="shared" si="2"/>
        <v>10</v>
      </c>
      <c r="E14" s="448">
        <f t="shared" si="3"/>
        <v>12</v>
      </c>
      <c r="F14" s="448" t="str">
        <f t="shared" si="4"/>
        <v>pm</v>
      </c>
      <c r="G14" s="448" t="s">
        <v>324</v>
      </c>
      <c r="H14" s="448" t="s">
        <v>299</v>
      </c>
      <c r="I14" s="448" t="s">
        <v>325</v>
      </c>
      <c r="J14" s="449" t="s">
        <v>21</v>
      </c>
      <c r="K14" s="450">
        <f t="shared" si="5"/>
        <v>1601.107366554467</v>
      </c>
      <c r="L14" s="448"/>
      <c r="M14" s="450">
        <v>1533.3333333333333</v>
      </c>
      <c r="O14" s="450">
        <v>1601.107366554467</v>
      </c>
      <c r="P14" s="450"/>
      <c r="Q14" s="450"/>
      <c r="R14" s="450"/>
      <c r="S14" s="450"/>
      <c r="T14" s="450"/>
      <c r="U14" s="450"/>
      <c r="V14" s="450"/>
      <c r="W14" s="450"/>
      <c r="X14" s="450"/>
      <c r="Y14" s="450"/>
      <c r="Z14" s="450"/>
      <c r="AA14" s="450"/>
      <c r="AB14" s="450"/>
      <c r="AC14" s="450"/>
      <c r="AD14" s="450"/>
      <c r="AE14" s="450"/>
      <c r="AF14" s="450"/>
      <c r="AG14" s="450"/>
    </row>
    <row r="15" spans="1:35" x14ac:dyDescent="0.25">
      <c r="A15" s="448">
        <v>5</v>
      </c>
      <c r="B15" s="448"/>
      <c r="C15" s="448">
        <f t="shared" si="1"/>
        <v>11</v>
      </c>
      <c r="D15" s="448">
        <f t="shared" si="2"/>
        <v>11</v>
      </c>
      <c r="E15" s="448">
        <f t="shared" si="3"/>
        <v>12</v>
      </c>
      <c r="F15" s="448" t="str">
        <f t="shared" si="4"/>
        <v>pm</v>
      </c>
      <c r="G15" s="448" t="s">
        <v>326</v>
      </c>
      <c r="H15" s="448" t="s">
        <v>327</v>
      </c>
      <c r="I15" s="448" t="s">
        <v>328</v>
      </c>
      <c r="J15" s="449" t="s">
        <v>21</v>
      </c>
      <c r="K15" s="450">
        <f t="shared" si="5"/>
        <v>1426.951274684269</v>
      </c>
      <c r="L15" s="448"/>
      <c r="M15" s="450">
        <v>1520</v>
      </c>
      <c r="O15" s="450">
        <v>1522.1891036154591</v>
      </c>
      <c r="P15" s="450"/>
      <c r="Q15" s="450"/>
      <c r="R15" s="450"/>
      <c r="S15" s="450">
        <v>1449.5507700226187</v>
      </c>
      <c r="T15" s="450"/>
      <c r="U15" s="450"/>
      <c r="V15" s="450"/>
      <c r="W15" s="450">
        <v>1426.951274684269</v>
      </c>
      <c r="X15" s="450"/>
      <c r="Y15" s="450"/>
      <c r="Z15" s="450"/>
      <c r="AA15" s="450"/>
      <c r="AB15" s="450"/>
      <c r="AC15" s="450"/>
      <c r="AD15" s="450"/>
      <c r="AE15" s="450"/>
      <c r="AF15" s="450"/>
      <c r="AG15" s="450"/>
    </row>
    <row r="16" spans="1:35" x14ac:dyDescent="0.25">
      <c r="A16" s="448">
        <v>4</v>
      </c>
      <c r="B16" s="448"/>
      <c r="C16" s="448">
        <f t="shared" si="1"/>
        <v>12</v>
      </c>
      <c r="D16" s="448">
        <f t="shared" si="2"/>
        <v>12</v>
      </c>
      <c r="E16" s="448">
        <f t="shared" si="3"/>
        <v>12</v>
      </c>
      <c r="F16" s="448" t="str">
        <f t="shared" si="4"/>
        <v>pm</v>
      </c>
      <c r="G16" s="448" t="s">
        <v>329</v>
      </c>
      <c r="H16" s="448" t="s">
        <v>330</v>
      </c>
      <c r="I16" s="448" t="s">
        <v>331</v>
      </c>
      <c r="J16" s="449" t="s">
        <v>21</v>
      </c>
      <c r="K16" s="450">
        <f t="shared" si="5"/>
        <v>1579.837673206011</v>
      </c>
      <c r="L16" s="448"/>
      <c r="M16" s="450">
        <v>1500</v>
      </c>
      <c r="O16" s="450"/>
      <c r="P16" s="450">
        <v>1529.0989384029981</v>
      </c>
      <c r="Q16" s="450"/>
      <c r="R16" s="450">
        <v>1587.0203486316693</v>
      </c>
      <c r="S16" s="450">
        <v>1579.837673206011</v>
      </c>
      <c r="T16" s="450"/>
      <c r="U16" s="450"/>
      <c r="V16" s="450"/>
      <c r="W16" s="450"/>
      <c r="X16" s="450"/>
      <c r="Y16" s="450"/>
      <c r="Z16" s="450"/>
      <c r="AA16" s="450"/>
      <c r="AB16" s="450"/>
      <c r="AC16" s="450"/>
      <c r="AD16" s="450"/>
      <c r="AE16" s="450"/>
      <c r="AF16" s="450"/>
      <c r="AG16" s="450"/>
    </row>
    <row r="17" spans="1:35" s="450" customFormat="1" x14ac:dyDescent="0.25">
      <c r="A17" s="448">
        <v>4</v>
      </c>
      <c r="B17" s="448"/>
      <c r="C17" s="448">
        <f t="shared" si="1"/>
        <v>13</v>
      </c>
      <c r="D17" s="448">
        <f t="shared" si="2"/>
        <v>12</v>
      </c>
      <c r="E17" s="448">
        <f t="shared" si="3"/>
        <v>12</v>
      </c>
      <c r="F17" s="448" t="str">
        <f t="shared" si="4"/>
        <v>pm</v>
      </c>
      <c r="G17" s="448" t="s">
        <v>332</v>
      </c>
      <c r="H17" s="448" t="s">
        <v>319</v>
      </c>
      <c r="I17" s="448" t="s">
        <v>333</v>
      </c>
      <c r="J17" s="449" t="s">
        <v>21</v>
      </c>
      <c r="K17" s="450">
        <f t="shared" si="5"/>
        <v>1445.0590104301564</v>
      </c>
      <c r="L17" s="448"/>
      <c r="M17" s="450">
        <v>1500</v>
      </c>
      <c r="O17" s="450">
        <v>1497.2124647290968</v>
      </c>
      <c r="S17" s="450">
        <v>1545.8627202771247</v>
      </c>
      <c r="T17" s="450">
        <v>1445.0590104301564</v>
      </c>
      <c r="AH17"/>
      <c r="AI17"/>
    </row>
    <row r="18" spans="1:35" s="450" customFormat="1" x14ac:dyDescent="0.25">
      <c r="A18" s="448">
        <v>2</v>
      </c>
      <c r="B18" s="448"/>
      <c r="C18" s="448">
        <f t="shared" si="1"/>
        <v>14</v>
      </c>
      <c r="D18" s="448">
        <f t="shared" si="2"/>
        <v>12</v>
      </c>
      <c r="E18" s="448">
        <f t="shared" si="3"/>
        <v>12</v>
      </c>
      <c r="F18" s="448" t="str">
        <f t="shared" si="4"/>
        <v>pm</v>
      </c>
      <c r="G18" s="448" t="s">
        <v>334</v>
      </c>
      <c r="H18" s="448" t="s">
        <v>335</v>
      </c>
      <c r="I18" s="448" t="s">
        <v>336</v>
      </c>
      <c r="J18" s="449" t="s">
        <v>21</v>
      </c>
      <c r="K18" s="450">
        <f t="shared" si="5"/>
        <v>1495.1518906606425</v>
      </c>
      <c r="L18" s="448"/>
      <c r="M18" s="450">
        <v>1500</v>
      </c>
      <c r="R18" s="450">
        <v>1495.1518906606425</v>
      </c>
      <c r="AH18"/>
      <c r="AI18"/>
    </row>
    <row r="19" spans="1:35" s="450" customFormat="1" x14ac:dyDescent="0.25">
      <c r="A19" s="448">
        <v>6</v>
      </c>
      <c r="B19" s="448"/>
      <c r="C19" s="448">
        <f t="shared" si="1"/>
        <v>15</v>
      </c>
      <c r="D19" s="448">
        <f t="shared" si="2"/>
        <v>15</v>
      </c>
      <c r="E19" s="448">
        <f t="shared" si="3"/>
        <v>12</v>
      </c>
      <c r="F19" s="448" t="str">
        <f t="shared" si="4"/>
        <v>pm</v>
      </c>
      <c r="G19" s="448" t="s">
        <v>337</v>
      </c>
      <c r="H19" s="448" t="s">
        <v>338</v>
      </c>
      <c r="I19" s="448" t="s">
        <v>339</v>
      </c>
      <c r="J19" s="449" t="s">
        <v>20</v>
      </c>
      <c r="K19" s="450">
        <f t="shared" si="5"/>
        <v>1495.9470417104681</v>
      </c>
      <c r="L19" s="448"/>
      <c r="M19" s="450">
        <v>1466.6666666666667</v>
      </c>
      <c r="R19" s="450">
        <v>1393.502057373001</v>
      </c>
      <c r="T19" s="450">
        <v>1425.664964424519</v>
      </c>
      <c r="W19" s="450">
        <v>1495.9470417104681</v>
      </c>
      <c r="AH19"/>
      <c r="AI19"/>
    </row>
    <row r="20" spans="1:35" s="450" customFormat="1" x14ac:dyDescent="0.25">
      <c r="A20" s="448">
        <v>4</v>
      </c>
      <c r="B20" s="448"/>
      <c r="C20" s="448">
        <f t="shared" si="1"/>
        <v>16</v>
      </c>
      <c r="D20" s="448">
        <f t="shared" si="2"/>
        <v>16</v>
      </c>
      <c r="E20" s="448">
        <f t="shared" si="3"/>
        <v>12</v>
      </c>
      <c r="F20" s="448" t="str">
        <f t="shared" si="4"/>
        <v>pm</v>
      </c>
      <c r="G20" s="448" t="s">
        <v>340</v>
      </c>
      <c r="H20" s="448" t="s">
        <v>341</v>
      </c>
      <c r="I20" s="448" t="s">
        <v>342</v>
      </c>
      <c r="J20" s="449" t="s">
        <v>20</v>
      </c>
      <c r="K20" s="450">
        <f t="shared" si="5"/>
        <v>1305.2213636020242</v>
      </c>
      <c r="L20" s="448"/>
      <c r="M20" s="450">
        <v>1450</v>
      </c>
      <c r="Q20" s="450">
        <v>1426.4507672949526</v>
      </c>
      <c r="T20" s="450">
        <v>1354.9820024523272</v>
      </c>
      <c r="V20" s="450">
        <v>1305.2213636020242</v>
      </c>
      <c r="AH20"/>
      <c r="AI20"/>
    </row>
    <row r="21" spans="1:35" s="450" customFormat="1" x14ac:dyDescent="0.25">
      <c r="A21" s="448">
        <v>3</v>
      </c>
      <c r="B21" s="448"/>
      <c r="C21" s="448">
        <f t="shared" si="1"/>
        <v>17</v>
      </c>
      <c r="D21" s="448">
        <f t="shared" si="2"/>
        <v>17</v>
      </c>
      <c r="E21" s="448">
        <f t="shared" si="3"/>
        <v>12</v>
      </c>
      <c r="F21" s="448" t="str">
        <f t="shared" si="4"/>
        <v>pm</v>
      </c>
      <c r="G21" s="448" t="s">
        <v>343</v>
      </c>
      <c r="H21" s="448" t="s">
        <v>296</v>
      </c>
      <c r="I21" s="448" t="s">
        <v>344</v>
      </c>
      <c r="J21" s="449" t="s">
        <v>20</v>
      </c>
      <c r="K21" s="450">
        <f t="shared" si="5"/>
        <v>1441.797756397913</v>
      </c>
      <c r="L21" s="448"/>
      <c r="M21" s="450">
        <v>1400</v>
      </c>
      <c r="P21" s="450">
        <v>1354.5958072424739</v>
      </c>
      <c r="R21" s="450">
        <v>1441.797756397913</v>
      </c>
      <c r="AH21"/>
      <c r="AI21"/>
    </row>
    <row r="22" spans="1:35" s="450" customFormat="1" x14ac:dyDescent="0.25">
      <c r="A22" s="448">
        <v>3</v>
      </c>
      <c r="B22" s="448"/>
      <c r="C22" s="448">
        <f t="shared" si="1"/>
        <v>18</v>
      </c>
      <c r="D22" s="448">
        <f t="shared" si="2"/>
        <v>17</v>
      </c>
      <c r="E22" s="448">
        <f t="shared" si="3"/>
        <v>12</v>
      </c>
      <c r="F22" s="448" t="str">
        <f t="shared" si="4"/>
        <v>pm</v>
      </c>
      <c r="G22" s="448" t="s">
        <v>345</v>
      </c>
      <c r="H22" s="448" t="s">
        <v>296</v>
      </c>
      <c r="I22" s="448" t="s">
        <v>346</v>
      </c>
      <c r="J22" s="449" t="s">
        <v>20</v>
      </c>
      <c r="K22" s="450">
        <f t="shared" si="5"/>
        <v>1396.2512544527322</v>
      </c>
      <c r="L22" s="448"/>
      <c r="M22" s="450">
        <v>1400</v>
      </c>
      <c r="R22" s="450">
        <v>1396.2512544527322</v>
      </c>
      <c r="AH22"/>
      <c r="AI22"/>
    </row>
    <row r="23" spans="1:35" s="450" customFormat="1" x14ac:dyDescent="0.25">
      <c r="A23" s="448">
        <v>3</v>
      </c>
      <c r="B23" s="448"/>
      <c r="C23" s="448">
        <f t="shared" si="1"/>
        <v>19</v>
      </c>
      <c r="D23" s="448">
        <f t="shared" si="2"/>
        <v>17</v>
      </c>
      <c r="E23" s="448">
        <f t="shared" si="3"/>
        <v>12</v>
      </c>
      <c r="F23" s="448" t="str">
        <f t="shared" si="4"/>
        <v>pm</v>
      </c>
      <c r="G23" s="448" t="s">
        <v>347</v>
      </c>
      <c r="H23" s="448" t="s">
        <v>296</v>
      </c>
      <c r="I23" s="448" t="s">
        <v>348</v>
      </c>
      <c r="J23" s="449" t="s">
        <v>20</v>
      </c>
      <c r="K23" s="450">
        <f t="shared" si="5"/>
        <v>1441.0927735916528</v>
      </c>
      <c r="L23" s="448"/>
      <c r="M23" s="450">
        <v>1400</v>
      </c>
      <c r="R23" s="450">
        <v>1441.0927735916528</v>
      </c>
      <c r="AH23"/>
      <c r="AI23"/>
    </row>
    <row r="24" spans="1:35" s="450" customFormat="1" x14ac:dyDescent="0.25">
      <c r="A24" s="448">
        <v>4</v>
      </c>
      <c r="B24" s="448"/>
      <c r="C24" s="448">
        <f t="shared" si="1"/>
        <v>20</v>
      </c>
      <c r="D24" s="448">
        <f t="shared" si="2"/>
        <v>17</v>
      </c>
      <c r="E24" s="448">
        <f t="shared" si="3"/>
        <v>12</v>
      </c>
      <c r="F24" s="448" t="str">
        <f t="shared" si="4"/>
        <v>pm</v>
      </c>
      <c r="G24" s="448" t="s">
        <v>349</v>
      </c>
      <c r="H24" s="448" t="s">
        <v>350</v>
      </c>
      <c r="I24" s="448" t="s">
        <v>351</v>
      </c>
      <c r="J24" s="449" t="s">
        <v>20</v>
      </c>
      <c r="K24" s="450">
        <f t="shared" si="5"/>
        <v>1463.1894432027352</v>
      </c>
      <c r="L24" s="448"/>
      <c r="M24" s="450">
        <v>1400</v>
      </c>
      <c r="R24" s="450">
        <v>1400.1815869502536</v>
      </c>
      <c r="T24" s="450">
        <v>1498.9080818919695</v>
      </c>
      <c r="V24" s="450">
        <v>1463.1894432027352</v>
      </c>
      <c r="AH24"/>
      <c r="AI24"/>
    </row>
    <row r="25" spans="1:35" s="450" customFormat="1" x14ac:dyDescent="0.25">
      <c r="A25" s="448">
        <v>6</v>
      </c>
      <c r="B25" s="448"/>
      <c r="C25" s="448">
        <f t="shared" si="1"/>
        <v>21</v>
      </c>
      <c r="D25" s="448">
        <f t="shared" si="2"/>
        <v>17</v>
      </c>
      <c r="E25" s="448">
        <f t="shared" si="3"/>
        <v>12</v>
      </c>
      <c r="F25" s="448" t="str">
        <f t="shared" si="4"/>
        <v>pm</v>
      </c>
      <c r="G25" s="448" t="s">
        <v>352</v>
      </c>
      <c r="H25" s="448" t="s">
        <v>353</v>
      </c>
      <c r="I25" s="448" t="s">
        <v>354</v>
      </c>
      <c r="J25" s="449" t="s">
        <v>20</v>
      </c>
      <c r="K25" s="450">
        <f t="shared" si="5"/>
        <v>1537.7382146778934</v>
      </c>
      <c r="L25" s="448"/>
      <c r="M25" s="450">
        <v>1400</v>
      </c>
      <c r="R25" s="450">
        <v>1417.7394943703641</v>
      </c>
      <c r="T25" s="450">
        <v>1516.8809749614643</v>
      </c>
      <c r="V25" s="450">
        <v>1537.7382146778934</v>
      </c>
      <c r="AH25"/>
      <c r="AI25"/>
    </row>
    <row r="26" spans="1:35" s="450" customFormat="1" x14ac:dyDescent="0.25">
      <c r="A26" s="448">
        <v>6</v>
      </c>
      <c r="B26" s="448"/>
      <c r="C26" s="448">
        <f t="shared" si="1"/>
        <v>22</v>
      </c>
      <c r="D26" s="448">
        <f t="shared" si="2"/>
        <v>17</v>
      </c>
      <c r="E26" s="448">
        <f t="shared" si="3"/>
        <v>12</v>
      </c>
      <c r="F26" s="448" t="str">
        <f t="shared" si="4"/>
        <v>pm</v>
      </c>
      <c r="G26" s="448" t="s">
        <v>355</v>
      </c>
      <c r="H26" s="448" t="s">
        <v>353</v>
      </c>
      <c r="I26" s="448" t="s">
        <v>356</v>
      </c>
      <c r="J26" s="449" t="s">
        <v>20</v>
      </c>
      <c r="K26" s="450">
        <f t="shared" si="5"/>
        <v>1279.6658022562799</v>
      </c>
      <c r="L26" s="448"/>
      <c r="M26" s="450">
        <v>1400</v>
      </c>
      <c r="R26" s="450">
        <v>1373.7743082657332</v>
      </c>
      <c r="T26" s="450">
        <v>1288.8770288740386</v>
      </c>
      <c r="V26" s="450">
        <v>1279.6658022562799</v>
      </c>
      <c r="AH26"/>
      <c r="AI26"/>
    </row>
    <row r="27" spans="1:35" s="450" customFormat="1" x14ac:dyDescent="0.25">
      <c r="A27" s="448">
        <v>6</v>
      </c>
      <c r="B27" s="448"/>
      <c r="C27" s="448">
        <f t="shared" si="1"/>
        <v>23</v>
      </c>
      <c r="D27" s="448">
        <f t="shared" si="2"/>
        <v>17</v>
      </c>
      <c r="E27" s="448">
        <f t="shared" si="3"/>
        <v>12</v>
      </c>
      <c r="F27" s="448" t="str">
        <f t="shared" si="4"/>
        <v>pm</v>
      </c>
      <c r="G27" s="448" t="s">
        <v>357</v>
      </c>
      <c r="H27" s="448" t="s">
        <v>358</v>
      </c>
      <c r="I27" s="448" t="s">
        <v>359</v>
      </c>
      <c r="J27" s="449" t="s">
        <v>20</v>
      </c>
      <c r="K27" s="450">
        <f t="shared" si="5"/>
        <v>1474.4556011761406</v>
      </c>
      <c r="L27" s="448"/>
      <c r="M27" s="450">
        <v>1400</v>
      </c>
      <c r="R27" s="450">
        <v>1375.6647897871101</v>
      </c>
      <c r="T27" s="450">
        <v>1421.4642724843534</v>
      </c>
      <c r="V27" s="450">
        <v>1474.4556011761406</v>
      </c>
      <c r="AH27"/>
      <c r="AI27"/>
    </row>
    <row r="28" spans="1:35" s="450" customFormat="1" x14ac:dyDescent="0.25">
      <c r="A28" s="448">
        <v>6</v>
      </c>
      <c r="B28" s="448"/>
      <c r="C28" s="448">
        <f t="shared" si="1"/>
        <v>24</v>
      </c>
      <c r="D28" s="448">
        <f t="shared" si="2"/>
        <v>17</v>
      </c>
      <c r="E28" s="448">
        <f t="shared" si="3"/>
        <v>12</v>
      </c>
      <c r="F28" s="448" t="str">
        <f t="shared" si="4"/>
        <v>pm</v>
      </c>
      <c r="G28" s="448" t="s">
        <v>360</v>
      </c>
      <c r="H28" s="448" t="s">
        <v>358</v>
      </c>
      <c r="I28" s="448" t="s">
        <v>361</v>
      </c>
      <c r="J28" s="449" t="s">
        <v>20</v>
      </c>
      <c r="K28" s="450">
        <f t="shared" si="5"/>
        <v>1341.5862543706771</v>
      </c>
      <c r="L28" s="448"/>
      <c r="M28" s="450">
        <v>1400</v>
      </c>
      <c r="R28" s="450">
        <v>1418.8311236422678</v>
      </c>
      <c r="T28" s="450">
        <v>1400.8863763371542</v>
      </c>
      <c r="V28" s="450">
        <v>1341.5862543706771</v>
      </c>
      <c r="AH28"/>
      <c r="AI28"/>
    </row>
    <row r="29" spans="1:35" s="450" customFormat="1" x14ac:dyDescent="0.25">
      <c r="A29" s="448">
        <v>4</v>
      </c>
      <c r="B29" s="448"/>
      <c r="C29" s="448">
        <f t="shared" si="1"/>
        <v>25</v>
      </c>
      <c r="D29" s="448">
        <f t="shared" si="2"/>
        <v>17</v>
      </c>
      <c r="E29" s="448">
        <f t="shared" si="3"/>
        <v>12</v>
      </c>
      <c r="F29" s="448" t="str">
        <f t="shared" si="4"/>
        <v>pm</v>
      </c>
      <c r="G29" s="448" t="s">
        <v>362</v>
      </c>
      <c r="H29" s="448" t="s">
        <v>299</v>
      </c>
      <c r="I29" s="448" t="s">
        <v>363</v>
      </c>
      <c r="J29" s="449" t="s">
        <v>20</v>
      </c>
      <c r="K29" s="450">
        <f t="shared" si="5"/>
        <v>1367.9021761426804</v>
      </c>
      <c r="L29" s="448"/>
      <c r="M29" s="450">
        <v>1400</v>
      </c>
      <c r="P29" s="450">
        <v>1375.0523383535012</v>
      </c>
      <c r="R29" s="450">
        <v>1318.2541648485399</v>
      </c>
      <c r="V29" s="450">
        <v>1367.9021761426804</v>
      </c>
      <c r="AH29"/>
      <c r="AI29"/>
    </row>
    <row r="30" spans="1:35" s="450" customFormat="1" x14ac:dyDescent="0.25">
      <c r="A30" s="448">
        <v>4</v>
      </c>
      <c r="B30" s="448"/>
      <c r="C30" s="448">
        <f t="shared" si="1"/>
        <v>26</v>
      </c>
      <c r="D30" s="448">
        <f t="shared" si="2"/>
        <v>17</v>
      </c>
      <c r="E30" s="448">
        <f t="shared" si="3"/>
        <v>12</v>
      </c>
      <c r="F30" s="448" t="str">
        <f t="shared" si="4"/>
        <v>pm</v>
      </c>
      <c r="G30" s="448" t="s">
        <v>364</v>
      </c>
      <c r="H30" s="448" t="s">
        <v>365</v>
      </c>
      <c r="I30" s="448" t="s">
        <v>366</v>
      </c>
      <c r="J30" s="449" t="s">
        <v>20</v>
      </c>
      <c r="K30" s="450">
        <f t="shared" si="5"/>
        <v>1497.1340685933187</v>
      </c>
      <c r="L30" s="448"/>
      <c r="M30" s="450">
        <v>1400</v>
      </c>
      <c r="P30" s="450">
        <v>1437.3487614330793</v>
      </c>
      <c r="R30" s="450">
        <v>1497.5998860297041</v>
      </c>
      <c r="V30" s="450">
        <v>1497.1340685933187</v>
      </c>
      <c r="AH30"/>
      <c r="AI30"/>
    </row>
    <row r="31" spans="1:35" s="450" customFormat="1" x14ac:dyDescent="0.25">
      <c r="A31" s="448">
        <v>3</v>
      </c>
      <c r="B31" s="448"/>
      <c r="C31" s="448">
        <f t="shared" si="1"/>
        <v>27</v>
      </c>
      <c r="D31" s="448">
        <f t="shared" si="2"/>
        <v>17</v>
      </c>
      <c r="E31" s="448">
        <f t="shared" si="3"/>
        <v>12</v>
      </c>
      <c r="F31" s="448" t="str">
        <f t="shared" si="4"/>
        <v>pm</v>
      </c>
      <c r="G31" s="448" t="s">
        <v>367</v>
      </c>
      <c r="H31" s="448" t="s">
        <v>368</v>
      </c>
      <c r="I31" s="448" t="s">
        <v>369</v>
      </c>
      <c r="J31" s="449" t="s">
        <v>20</v>
      </c>
      <c r="K31" s="450">
        <f t="shared" si="5"/>
        <v>1460.4507880808455</v>
      </c>
      <c r="L31" s="448"/>
      <c r="M31" s="450">
        <v>1400</v>
      </c>
      <c r="T31" s="450">
        <v>1460.4507880808455</v>
      </c>
      <c r="AH31"/>
      <c r="AI31"/>
    </row>
    <row r="32" spans="1:35" s="450" customFormat="1" x14ac:dyDescent="0.25">
      <c r="A32" s="448">
        <v>1</v>
      </c>
      <c r="B32" s="448"/>
      <c r="C32" s="448">
        <f t="shared" si="1"/>
        <v>28</v>
      </c>
      <c r="D32" s="448">
        <f t="shared" si="2"/>
        <v>17</v>
      </c>
      <c r="E32" s="448">
        <f t="shared" si="3"/>
        <v>12</v>
      </c>
      <c r="F32" s="448" t="str">
        <f t="shared" si="4"/>
        <v>pmx</v>
      </c>
      <c r="G32" s="448" t="s">
        <v>370</v>
      </c>
      <c r="H32" s="448" t="s">
        <v>371</v>
      </c>
      <c r="I32" s="448" t="s">
        <v>372</v>
      </c>
      <c r="J32" s="449" t="s">
        <v>20</v>
      </c>
      <c r="K32" s="450">
        <f t="shared" si="5"/>
        <v>1491.818053534166</v>
      </c>
      <c r="L32" s="448"/>
      <c r="M32" s="450">
        <v>1400</v>
      </c>
      <c r="P32" s="450">
        <v>1491.818053534166</v>
      </c>
      <c r="AH32"/>
      <c r="AI32"/>
    </row>
    <row r="33" spans="1:35" s="450" customFormat="1" x14ac:dyDescent="0.25">
      <c r="A33" s="448">
        <v>6</v>
      </c>
      <c r="B33" s="448"/>
      <c r="C33" s="448">
        <f t="shared" si="1"/>
        <v>29</v>
      </c>
      <c r="D33" s="448">
        <f t="shared" si="2"/>
        <v>17</v>
      </c>
      <c r="E33" s="448">
        <f t="shared" si="3"/>
        <v>12</v>
      </c>
      <c r="F33" s="448" t="str">
        <f t="shared" si="4"/>
        <v>pm</v>
      </c>
      <c r="G33" s="448" t="s">
        <v>373</v>
      </c>
      <c r="H33" s="448" t="s">
        <v>374</v>
      </c>
      <c r="I33" s="448" t="s">
        <v>375</v>
      </c>
      <c r="J33" s="449" t="s">
        <v>20</v>
      </c>
      <c r="K33" s="450">
        <f t="shared" si="5"/>
        <v>1407.4123000681666</v>
      </c>
      <c r="L33" s="448"/>
      <c r="M33" s="450">
        <v>1400</v>
      </c>
      <c r="R33" s="450">
        <v>1368.3041030693962</v>
      </c>
      <c r="T33" s="450">
        <v>1389.3253833869005</v>
      </c>
      <c r="V33" s="450">
        <v>1407.4123000681666</v>
      </c>
      <c r="AH33"/>
      <c r="AI33"/>
    </row>
    <row r="34" spans="1:35" s="450" customFormat="1" x14ac:dyDescent="0.25">
      <c r="A34" s="448">
        <v>6</v>
      </c>
      <c r="B34" s="448"/>
      <c r="C34" s="448">
        <f t="shared" si="1"/>
        <v>30</v>
      </c>
      <c r="D34" s="448">
        <f t="shared" si="2"/>
        <v>17</v>
      </c>
      <c r="E34" s="448">
        <f t="shared" si="3"/>
        <v>12</v>
      </c>
      <c r="F34" s="448" t="str">
        <f t="shared" si="4"/>
        <v>pm</v>
      </c>
      <c r="G34" s="448" t="s">
        <v>376</v>
      </c>
      <c r="H34" s="448" t="s">
        <v>374</v>
      </c>
      <c r="I34" s="448" t="s">
        <v>377</v>
      </c>
      <c r="J34" s="449" t="s">
        <v>20</v>
      </c>
      <c r="K34" s="450">
        <f t="shared" si="5"/>
        <v>1443.7437121655691</v>
      </c>
      <c r="L34" s="448"/>
      <c r="M34" s="450">
        <v>1400</v>
      </c>
      <c r="R34" s="450">
        <v>1443.6793957766529</v>
      </c>
      <c r="T34" s="450">
        <v>1361.4639314907565</v>
      </c>
      <c r="V34" s="450">
        <v>1443.7437121655691</v>
      </c>
      <c r="AH34"/>
      <c r="AI34"/>
    </row>
    <row r="35" spans="1:35" s="450" customFormat="1" x14ac:dyDescent="0.25">
      <c r="A35" s="448">
        <v>4</v>
      </c>
      <c r="B35" s="448"/>
      <c r="C35" s="448">
        <f t="shared" si="1"/>
        <v>31</v>
      </c>
      <c r="D35" s="448">
        <f t="shared" si="2"/>
        <v>17</v>
      </c>
      <c r="E35" s="448">
        <f t="shared" si="3"/>
        <v>12</v>
      </c>
      <c r="F35" s="448" t="str">
        <f t="shared" si="4"/>
        <v>pm</v>
      </c>
      <c r="G35" s="448" t="s">
        <v>378</v>
      </c>
      <c r="H35" s="448" t="s">
        <v>306</v>
      </c>
      <c r="I35" s="448" t="s">
        <v>379</v>
      </c>
      <c r="J35" s="449" t="s">
        <v>20</v>
      </c>
      <c r="K35" s="450">
        <f t="shared" si="5"/>
        <v>1289.6307267867726</v>
      </c>
      <c r="L35" s="448"/>
      <c r="M35" s="450">
        <v>1400</v>
      </c>
      <c r="T35" s="450">
        <v>1289.6307267867726</v>
      </c>
      <c r="AH35"/>
      <c r="AI35"/>
    </row>
    <row r="36" spans="1:35" s="450" customFormat="1" x14ac:dyDescent="0.25">
      <c r="A36" s="448">
        <v>3</v>
      </c>
      <c r="B36" s="448"/>
      <c r="C36" s="448">
        <f t="shared" si="1"/>
        <v>32</v>
      </c>
      <c r="D36" s="448">
        <f t="shared" si="2"/>
        <v>17</v>
      </c>
      <c r="E36" s="448">
        <f t="shared" si="3"/>
        <v>12</v>
      </c>
      <c r="F36" s="448" t="str">
        <f t="shared" si="4"/>
        <v>pm</v>
      </c>
      <c r="G36" s="448" t="s">
        <v>380</v>
      </c>
      <c r="H36" s="448" t="s">
        <v>330</v>
      </c>
      <c r="I36" s="448" t="s">
        <v>381</v>
      </c>
      <c r="J36" s="449" t="s">
        <v>20</v>
      </c>
      <c r="K36" s="450">
        <f t="shared" si="5"/>
        <v>1557.6316958008827</v>
      </c>
      <c r="L36" s="448"/>
      <c r="M36" s="450">
        <v>1400</v>
      </c>
      <c r="R36" s="450">
        <v>1503.5614357480144</v>
      </c>
      <c r="V36" s="450">
        <v>1557.6316958008827</v>
      </c>
      <c r="AH36"/>
      <c r="AI36"/>
    </row>
    <row r="37" spans="1:35" s="450" customFormat="1" x14ac:dyDescent="0.25">
      <c r="A37" s="448">
        <v>2</v>
      </c>
      <c r="B37" s="448"/>
      <c r="C37" s="448">
        <f t="shared" si="1"/>
        <v>33</v>
      </c>
      <c r="D37" s="448">
        <f t="shared" si="2"/>
        <v>17</v>
      </c>
      <c r="E37" s="448">
        <f t="shared" si="3"/>
        <v>12</v>
      </c>
      <c r="F37" s="448" t="str">
        <f t="shared" si="4"/>
        <v>pm</v>
      </c>
      <c r="G37" s="448" t="s">
        <v>382</v>
      </c>
      <c r="H37" s="448" t="s">
        <v>330</v>
      </c>
      <c r="I37" s="448" t="s">
        <v>383</v>
      </c>
      <c r="J37" s="449" t="s">
        <v>20</v>
      </c>
      <c r="K37" s="450">
        <f t="shared" si="5"/>
        <v>1339.761735911097</v>
      </c>
      <c r="L37" s="448"/>
      <c r="M37" s="450">
        <v>1400</v>
      </c>
      <c r="R37" s="450">
        <v>1339.761735911097</v>
      </c>
      <c r="AH37"/>
      <c r="AI37"/>
    </row>
    <row r="38" spans="1:35" s="450" customFormat="1" x14ac:dyDescent="0.25">
      <c r="A38" s="448">
        <v>2</v>
      </c>
      <c r="B38" s="448"/>
      <c r="C38" s="448">
        <f t="shared" si="1"/>
        <v>34</v>
      </c>
      <c r="D38" s="448">
        <f t="shared" si="2"/>
        <v>17</v>
      </c>
      <c r="E38" s="448">
        <f t="shared" si="3"/>
        <v>12</v>
      </c>
      <c r="F38" s="448" t="str">
        <f t="shared" si="4"/>
        <v>pm</v>
      </c>
      <c r="G38" s="448" t="s">
        <v>384</v>
      </c>
      <c r="H38" s="448" t="s">
        <v>330</v>
      </c>
      <c r="I38" s="448" t="s">
        <v>385</v>
      </c>
      <c r="J38" s="449" t="s">
        <v>20</v>
      </c>
      <c r="K38" s="450">
        <f t="shared" si="5"/>
        <v>1279.5314323800401</v>
      </c>
      <c r="L38" s="448"/>
      <c r="M38" s="450">
        <v>1400</v>
      </c>
      <c r="R38" s="450">
        <v>1279.5314323800401</v>
      </c>
      <c r="AH38"/>
      <c r="AI38"/>
    </row>
    <row r="39" spans="1:35" s="450" customFormat="1" x14ac:dyDescent="0.25">
      <c r="A39" s="448">
        <v>3</v>
      </c>
      <c r="B39" s="448"/>
      <c r="C39" s="448">
        <f t="shared" si="1"/>
        <v>35</v>
      </c>
      <c r="D39" s="448">
        <f t="shared" si="2"/>
        <v>17</v>
      </c>
      <c r="E39" s="448">
        <f t="shared" si="3"/>
        <v>12</v>
      </c>
      <c r="F39" s="448" t="str">
        <f t="shared" si="4"/>
        <v>pm</v>
      </c>
      <c r="G39" s="448" t="s">
        <v>386</v>
      </c>
      <c r="H39" s="448" t="s">
        <v>330</v>
      </c>
      <c r="I39" s="448" t="s">
        <v>387</v>
      </c>
      <c r="J39" s="449" t="s">
        <v>20</v>
      </c>
      <c r="K39" s="450">
        <f t="shared" si="5"/>
        <v>1260.9158287077748</v>
      </c>
      <c r="L39" s="448"/>
      <c r="M39" s="450">
        <v>1400</v>
      </c>
      <c r="R39" s="450">
        <v>1371.0061506271329</v>
      </c>
      <c r="V39" s="450">
        <v>1260.9158287077748</v>
      </c>
      <c r="AH39"/>
      <c r="AI39"/>
    </row>
    <row r="40" spans="1:35" s="450" customFormat="1" x14ac:dyDescent="0.25">
      <c r="A40" s="448">
        <v>6</v>
      </c>
      <c r="B40" s="448"/>
      <c r="C40" s="448">
        <f t="shared" si="1"/>
        <v>36</v>
      </c>
      <c r="D40" s="448">
        <f t="shared" si="2"/>
        <v>17</v>
      </c>
      <c r="E40" s="448">
        <f t="shared" si="3"/>
        <v>12</v>
      </c>
      <c r="F40" s="448" t="str">
        <f t="shared" si="4"/>
        <v>pm</v>
      </c>
      <c r="G40" s="448" t="s">
        <v>388</v>
      </c>
      <c r="H40" s="448" t="s">
        <v>338</v>
      </c>
      <c r="I40" s="448" t="s">
        <v>389</v>
      </c>
      <c r="J40" s="449" t="s">
        <v>20</v>
      </c>
      <c r="K40" s="450">
        <f t="shared" si="5"/>
        <v>1291.4848792296757</v>
      </c>
      <c r="L40" s="448"/>
      <c r="M40" s="450">
        <v>1400</v>
      </c>
      <c r="R40" s="450">
        <v>1321.2738836240517</v>
      </c>
      <c r="T40" s="450">
        <v>1307.0130824494734</v>
      </c>
      <c r="V40" s="450">
        <v>1291.4848792296757</v>
      </c>
      <c r="AH40"/>
      <c r="AI40"/>
    </row>
    <row r="41" spans="1:35" s="450" customFormat="1" x14ac:dyDescent="0.25">
      <c r="A41" s="448">
        <v>5</v>
      </c>
      <c r="B41" s="448"/>
      <c r="C41" s="448">
        <f t="shared" si="1"/>
        <v>37</v>
      </c>
      <c r="D41" s="448">
        <f t="shared" si="2"/>
        <v>17</v>
      </c>
      <c r="E41" s="448">
        <f t="shared" si="3"/>
        <v>12</v>
      </c>
      <c r="F41" s="448" t="str">
        <f t="shared" si="4"/>
        <v>pm</v>
      </c>
      <c r="G41" s="448" t="s">
        <v>390</v>
      </c>
      <c r="H41" s="448" t="s">
        <v>391</v>
      </c>
      <c r="I41" s="448" t="s">
        <v>392</v>
      </c>
      <c r="J41" s="449" t="s">
        <v>20</v>
      </c>
      <c r="K41" s="450">
        <f t="shared" si="5"/>
        <v>1500.3554410797956</v>
      </c>
      <c r="L41" s="448"/>
      <c r="M41" s="450">
        <v>1400</v>
      </c>
      <c r="R41" s="450">
        <v>1450.7912672511281</v>
      </c>
      <c r="T41" s="450">
        <v>1453.397960125621</v>
      </c>
      <c r="V41" s="450">
        <v>1500.3554410797956</v>
      </c>
      <c r="AH41"/>
      <c r="AI41"/>
    </row>
    <row r="42" spans="1:35" s="450" customFormat="1" x14ac:dyDescent="0.25">
      <c r="A42" s="448">
        <v>7</v>
      </c>
      <c r="B42" s="448"/>
      <c r="C42" s="448">
        <f t="shared" si="1"/>
        <v>38</v>
      </c>
      <c r="D42" s="448">
        <f t="shared" si="2"/>
        <v>38</v>
      </c>
      <c r="E42" s="448">
        <f t="shared" si="3"/>
        <v>12</v>
      </c>
      <c r="F42" s="448" t="str">
        <f t="shared" si="4"/>
        <v>pm</v>
      </c>
      <c r="G42" s="448" t="s">
        <v>393</v>
      </c>
      <c r="H42" s="448" t="s">
        <v>374</v>
      </c>
      <c r="I42" s="448" t="s">
        <v>394</v>
      </c>
      <c r="J42" s="449" t="s">
        <v>20</v>
      </c>
      <c r="K42" s="450">
        <f t="shared" si="5"/>
        <v>1312.1560854954805</v>
      </c>
      <c r="L42" s="448"/>
      <c r="M42" s="450">
        <v>1371.4285714285713</v>
      </c>
      <c r="R42" s="450">
        <v>1345.1281772310635</v>
      </c>
      <c r="T42" s="450">
        <v>1391.547816818643</v>
      </c>
      <c r="V42" s="450">
        <v>1312.1560854954805</v>
      </c>
      <c r="AH42"/>
      <c r="AI42"/>
    </row>
    <row r="43" spans="1:35" s="450" customFormat="1" x14ac:dyDescent="0.25">
      <c r="A43" s="448">
        <v>4</v>
      </c>
      <c r="B43" s="448"/>
      <c r="C43" s="448">
        <f t="shared" si="1"/>
        <v>39</v>
      </c>
      <c r="D43" s="448">
        <f t="shared" si="2"/>
        <v>39</v>
      </c>
      <c r="E43" s="448">
        <f t="shared" si="3"/>
        <v>12</v>
      </c>
      <c r="F43" s="448" t="str">
        <f t="shared" si="4"/>
        <v>pm</v>
      </c>
      <c r="G43" s="448" t="s">
        <v>395</v>
      </c>
      <c r="H43" s="448" t="s">
        <v>396</v>
      </c>
      <c r="I43" s="448" t="s">
        <v>397</v>
      </c>
      <c r="J43" s="449" t="s">
        <v>20</v>
      </c>
      <c r="K43" s="450">
        <f t="shared" si="5"/>
        <v>1178.6422198857679</v>
      </c>
      <c r="L43" s="448"/>
      <c r="M43" s="450">
        <v>1350</v>
      </c>
      <c r="P43" s="450">
        <v>1262.0861010337815</v>
      </c>
      <c r="R43" s="450">
        <v>1212.6460682694362</v>
      </c>
      <c r="T43" s="450">
        <v>1178.6422198857679</v>
      </c>
      <c r="AH43"/>
      <c r="AI43"/>
    </row>
    <row r="44" spans="1:35" s="450" customFormat="1" x14ac:dyDescent="0.25">
      <c r="A44" s="448">
        <v>6</v>
      </c>
      <c r="B44" s="448"/>
      <c r="C44" s="448">
        <f t="shared" si="1"/>
        <v>40</v>
      </c>
      <c r="D44" s="448">
        <f t="shared" si="2"/>
        <v>40</v>
      </c>
      <c r="E44" s="448">
        <f t="shared" si="3"/>
        <v>12</v>
      </c>
      <c r="F44" s="448" t="str">
        <f t="shared" si="4"/>
        <v>pm</v>
      </c>
      <c r="G44" s="448" t="s">
        <v>398</v>
      </c>
      <c r="H44" s="448" t="s">
        <v>338</v>
      </c>
      <c r="I44" s="448" t="s">
        <v>399</v>
      </c>
      <c r="J44" s="449" t="s">
        <v>20</v>
      </c>
      <c r="K44" s="450">
        <f t="shared" si="5"/>
        <v>1541.7446072243681</v>
      </c>
      <c r="L44" s="448"/>
      <c r="M44" s="450">
        <v>1333.3333333333333</v>
      </c>
      <c r="R44" s="450">
        <v>1456.291164140775</v>
      </c>
      <c r="T44" s="450">
        <v>1541.7446072243681</v>
      </c>
      <c r="AH44"/>
      <c r="AI44"/>
    </row>
    <row r="45" spans="1:35" s="450" customFormat="1" x14ac:dyDescent="0.25">
      <c r="A45" s="448">
        <v>2</v>
      </c>
      <c r="B45" s="448"/>
      <c r="C45" s="448">
        <f t="shared" si="1"/>
        <v>41</v>
      </c>
      <c r="D45" s="448">
        <f t="shared" si="2"/>
        <v>41</v>
      </c>
      <c r="E45" s="448">
        <f t="shared" si="3"/>
        <v>12</v>
      </c>
      <c r="F45" s="448" t="str">
        <f t="shared" si="4"/>
        <v>pm</v>
      </c>
      <c r="G45" s="448" t="s">
        <v>400</v>
      </c>
      <c r="H45" s="448" t="s">
        <v>335</v>
      </c>
      <c r="I45" s="448" t="s">
        <v>401</v>
      </c>
      <c r="J45" s="449" t="s">
        <v>20</v>
      </c>
      <c r="K45" s="450">
        <f t="shared" si="5"/>
        <v>1293.619933628122</v>
      </c>
      <c r="L45" s="448"/>
      <c r="M45" s="450">
        <v>1300</v>
      </c>
      <c r="R45" s="450">
        <v>1293.619933628122</v>
      </c>
      <c r="AH45"/>
      <c r="AI45"/>
    </row>
    <row r="46" spans="1:35" s="450" customFormat="1" x14ac:dyDescent="0.25">
      <c r="A46" s="448">
        <v>3</v>
      </c>
      <c r="B46" s="448"/>
      <c r="C46" s="448">
        <f t="shared" si="1"/>
        <v>42</v>
      </c>
      <c r="D46" s="448">
        <f t="shared" si="2"/>
        <v>42</v>
      </c>
      <c r="E46" s="448">
        <f t="shared" si="3"/>
        <v>12</v>
      </c>
      <c r="F46" s="448" t="str">
        <f t="shared" si="4"/>
        <v>pm</v>
      </c>
      <c r="G46" s="448" t="s">
        <v>402</v>
      </c>
      <c r="H46" s="448" t="s">
        <v>296</v>
      </c>
      <c r="I46" s="448" t="s">
        <v>403</v>
      </c>
      <c r="J46" s="449" t="s">
        <v>301</v>
      </c>
      <c r="K46" s="450">
        <f t="shared" si="5"/>
        <v>1167.1631014180109</v>
      </c>
      <c r="L46" s="448"/>
      <c r="M46" s="450">
        <v>1200</v>
      </c>
      <c r="R46" s="450">
        <v>1208.4683851329539</v>
      </c>
      <c r="V46" s="450">
        <v>1167.1631014180109</v>
      </c>
      <c r="AH46"/>
      <c r="AI46"/>
    </row>
    <row r="47" spans="1:35" s="450" customFormat="1" x14ac:dyDescent="0.25">
      <c r="A47" s="448">
        <v>3</v>
      </c>
      <c r="B47" s="448"/>
      <c r="C47" s="448">
        <f t="shared" si="1"/>
        <v>43</v>
      </c>
      <c r="D47" s="448">
        <f t="shared" si="2"/>
        <v>42</v>
      </c>
      <c r="E47" s="448">
        <f t="shared" si="3"/>
        <v>12</v>
      </c>
      <c r="F47" s="448" t="str">
        <f t="shared" si="4"/>
        <v>pm</v>
      </c>
      <c r="G47" s="448" t="s">
        <v>404</v>
      </c>
      <c r="H47" s="448" t="s">
        <v>296</v>
      </c>
      <c r="I47" s="448" t="s">
        <v>405</v>
      </c>
      <c r="J47" s="449" t="s">
        <v>301</v>
      </c>
      <c r="K47" s="450">
        <f t="shared" si="5"/>
        <v>1259.4640372039044</v>
      </c>
      <c r="L47" s="448"/>
      <c r="M47" s="450">
        <v>1200</v>
      </c>
      <c r="R47" s="450">
        <v>1292.6373253209092</v>
      </c>
      <c r="V47" s="450">
        <v>1259.4640372039044</v>
      </c>
      <c r="AH47"/>
      <c r="AI47"/>
    </row>
    <row r="48" spans="1:35" s="450" customFormat="1" x14ac:dyDescent="0.25">
      <c r="A48" s="448">
        <v>3</v>
      </c>
      <c r="B48" s="448"/>
      <c r="C48" s="448">
        <f t="shared" si="1"/>
        <v>44</v>
      </c>
      <c r="D48" s="448">
        <f t="shared" si="2"/>
        <v>42</v>
      </c>
      <c r="E48" s="448">
        <f t="shared" si="3"/>
        <v>12</v>
      </c>
      <c r="F48" s="448" t="str">
        <f t="shared" si="4"/>
        <v>pm</v>
      </c>
      <c r="G48" s="448" t="s">
        <v>406</v>
      </c>
      <c r="H48" s="448" t="s">
        <v>296</v>
      </c>
      <c r="I48" s="448" t="s">
        <v>407</v>
      </c>
      <c r="J48" s="449" t="s">
        <v>301</v>
      </c>
      <c r="K48" s="450">
        <f t="shared" si="5"/>
        <v>1235.3295353093363</v>
      </c>
      <c r="L48" s="448"/>
      <c r="M48" s="450">
        <v>1200</v>
      </c>
      <c r="R48" s="450">
        <v>1233.1715808383456</v>
      </c>
      <c r="V48" s="450">
        <v>1235.3295353093363</v>
      </c>
      <c r="AH48"/>
      <c r="AI48"/>
    </row>
    <row r="49" spans="1:35" s="450" customFormat="1" x14ac:dyDescent="0.25">
      <c r="A49" s="448">
        <v>4</v>
      </c>
      <c r="B49" s="448"/>
      <c r="C49" s="448">
        <f t="shared" si="1"/>
        <v>45</v>
      </c>
      <c r="D49" s="448">
        <f t="shared" si="2"/>
        <v>42</v>
      </c>
      <c r="E49" s="448">
        <f t="shared" si="3"/>
        <v>12</v>
      </c>
      <c r="F49" s="448" t="str">
        <f t="shared" si="4"/>
        <v>pm</v>
      </c>
      <c r="G49" s="448" t="s">
        <v>408</v>
      </c>
      <c r="H49" s="448" t="s">
        <v>409</v>
      </c>
      <c r="I49" s="448" t="s">
        <v>410</v>
      </c>
      <c r="J49" s="449" t="s">
        <v>301</v>
      </c>
      <c r="K49" s="450">
        <f t="shared" si="5"/>
        <v>1349.0901439792528</v>
      </c>
      <c r="L49" s="448"/>
      <c r="M49" s="450">
        <v>1200</v>
      </c>
      <c r="R49" s="450">
        <v>1274.9503770355423</v>
      </c>
      <c r="T49" s="450">
        <v>1314.5144620222545</v>
      </c>
      <c r="V49" s="450">
        <v>1349.0901439792528</v>
      </c>
      <c r="AH49"/>
      <c r="AI49"/>
    </row>
    <row r="50" spans="1:35" s="450" customFormat="1" x14ac:dyDescent="0.25">
      <c r="A50" s="448">
        <v>4</v>
      </c>
      <c r="B50" s="448"/>
      <c r="C50" s="448">
        <f t="shared" si="1"/>
        <v>46</v>
      </c>
      <c r="D50" s="448">
        <f t="shared" si="2"/>
        <v>42</v>
      </c>
      <c r="E50" s="448">
        <f t="shared" si="3"/>
        <v>12</v>
      </c>
      <c r="F50" s="448" t="str">
        <f t="shared" si="4"/>
        <v>pm</v>
      </c>
      <c r="G50" s="448" t="s">
        <v>411</v>
      </c>
      <c r="H50" s="448" t="s">
        <v>365</v>
      </c>
      <c r="I50" s="448" t="s">
        <v>412</v>
      </c>
      <c r="J50" s="449" t="s">
        <v>301</v>
      </c>
      <c r="K50" s="450">
        <f t="shared" si="5"/>
        <v>1037.6144600253788</v>
      </c>
      <c r="L50" s="448"/>
      <c r="M50" s="450">
        <v>1200</v>
      </c>
      <c r="R50" s="450">
        <v>1157.9314597187015</v>
      </c>
      <c r="T50" s="450">
        <v>1129.3970315328922</v>
      </c>
      <c r="V50" s="450">
        <v>1037.6144600253788</v>
      </c>
      <c r="AH50"/>
      <c r="AI50"/>
    </row>
    <row r="51" spans="1:35" s="450" customFormat="1" x14ac:dyDescent="0.25">
      <c r="A51" s="448">
        <v>4</v>
      </c>
      <c r="B51" s="448"/>
      <c r="C51" s="448">
        <f t="shared" si="1"/>
        <v>47</v>
      </c>
      <c r="D51" s="448">
        <f t="shared" si="2"/>
        <v>42</v>
      </c>
      <c r="E51" s="448">
        <f t="shared" si="3"/>
        <v>12</v>
      </c>
      <c r="F51" s="448" t="str">
        <f t="shared" si="4"/>
        <v>pm</v>
      </c>
      <c r="G51" s="448" t="s">
        <v>413</v>
      </c>
      <c r="H51" s="448" t="s">
        <v>365</v>
      </c>
      <c r="I51" s="448" t="s">
        <v>414</v>
      </c>
      <c r="J51" s="449" t="s">
        <v>301</v>
      </c>
      <c r="K51" s="450">
        <f t="shared" si="5"/>
        <v>1291.6672494374643</v>
      </c>
      <c r="L51" s="448"/>
      <c r="M51" s="450">
        <v>1200</v>
      </c>
      <c r="R51" s="450">
        <v>1202.1576214335375</v>
      </c>
      <c r="T51" s="450">
        <v>1237.8733435233182</v>
      </c>
      <c r="V51" s="450">
        <v>1291.6672494374643</v>
      </c>
      <c r="AH51"/>
      <c r="AI51"/>
    </row>
    <row r="52" spans="1:35" s="450" customFormat="1" x14ac:dyDescent="0.25">
      <c r="A52" s="448">
        <v>4</v>
      </c>
      <c r="B52" s="448"/>
      <c r="C52" s="448">
        <f t="shared" si="1"/>
        <v>48</v>
      </c>
      <c r="D52" s="448">
        <f t="shared" si="2"/>
        <v>42</v>
      </c>
      <c r="E52" s="448">
        <f t="shared" si="3"/>
        <v>12</v>
      </c>
      <c r="F52" s="448" t="str">
        <f t="shared" si="4"/>
        <v>pm</v>
      </c>
      <c r="G52" s="448" t="s">
        <v>415</v>
      </c>
      <c r="H52" s="448" t="s">
        <v>365</v>
      </c>
      <c r="I52" s="448" t="s">
        <v>416</v>
      </c>
      <c r="J52" s="449" t="s">
        <v>301</v>
      </c>
      <c r="K52" s="450">
        <f t="shared" si="5"/>
        <v>1277.1888079106297</v>
      </c>
      <c r="L52" s="448"/>
      <c r="M52" s="450">
        <v>1200</v>
      </c>
      <c r="R52" s="450">
        <v>1203.1411394635875</v>
      </c>
      <c r="T52" s="450">
        <v>1225.2301659580562</v>
      </c>
      <c r="V52" s="450">
        <v>1277.1888079106297</v>
      </c>
      <c r="AH52"/>
      <c r="AI52"/>
    </row>
    <row r="53" spans="1:35" s="450" customFormat="1" x14ac:dyDescent="0.25">
      <c r="A53" s="448">
        <v>3</v>
      </c>
      <c r="B53" s="448"/>
      <c r="C53" s="448">
        <f t="shared" si="1"/>
        <v>49</v>
      </c>
      <c r="D53" s="448">
        <f t="shared" si="2"/>
        <v>42</v>
      </c>
      <c r="E53" s="448">
        <f t="shared" si="3"/>
        <v>12</v>
      </c>
      <c r="F53" s="448" t="str">
        <f t="shared" si="4"/>
        <v>pm</v>
      </c>
      <c r="G53" s="448" t="s">
        <v>417</v>
      </c>
      <c r="H53" s="448" t="s">
        <v>374</v>
      </c>
      <c r="I53" s="448" t="s">
        <v>418</v>
      </c>
      <c r="J53" s="449" t="s">
        <v>301</v>
      </c>
      <c r="K53" s="450">
        <f t="shared" si="5"/>
        <v>1238.2996717476778</v>
      </c>
      <c r="L53" s="448"/>
      <c r="M53" s="450">
        <v>1200</v>
      </c>
      <c r="R53" s="450">
        <v>1238.5911205484977</v>
      </c>
      <c r="T53" s="450">
        <v>1254.0220353337193</v>
      </c>
      <c r="V53" s="450">
        <v>1238.2996717476778</v>
      </c>
      <c r="AH53"/>
      <c r="AI53"/>
    </row>
    <row r="54" spans="1:35" s="450" customFormat="1" x14ac:dyDescent="0.25">
      <c r="A54" s="448">
        <v>3</v>
      </c>
      <c r="B54" s="448"/>
      <c r="C54" s="448">
        <f t="shared" si="1"/>
        <v>50</v>
      </c>
      <c r="D54" s="448">
        <f t="shared" si="2"/>
        <v>42</v>
      </c>
      <c r="E54" s="448">
        <f t="shared" si="3"/>
        <v>12</v>
      </c>
      <c r="F54" s="448" t="str">
        <f t="shared" si="4"/>
        <v>pm</v>
      </c>
      <c r="G54" s="448" t="s">
        <v>419</v>
      </c>
      <c r="H54" s="448" t="s">
        <v>374</v>
      </c>
      <c r="I54" s="448" t="s">
        <v>420</v>
      </c>
      <c r="J54" s="449" t="s">
        <v>301</v>
      </c>
      <c r="K54" s="450">
        <f t="shared" si="5"/>
        <v>1198.7779068321081</v>
      </c>
      <c r="L54" s="448"/>
      <c r="M54" s="450">
        <v>1200</v>
      </c>
      <c r="R54" s="450">
        <v>1110.6532770275439</v>
      </c>
      <c r="T54" s="450">
        <v>1156.9377403644455</v>
      </c>
      <c r="V54" s="450">
        <v>1198.7779068321081</v>
      </c>
      <c r="AH54"/>
      <c r="AI54"/>
    </row>
    <row r="55" spans="1:35" s="450" customFormat="1" x14ac:dyDescent="0.25">
      <c r="A55" s="448">
        <v>2</v>
      </c>
      <c r="B55" s="448"/>
      <c r="C55" s="448">
        <f t="shared" si="1"/>
        <v>51</v>
      </c>
      <c r="D55" s="448">
        <f t="shared" si="2"/>
        <v>42</v>
      </c>
      <c r="E55" s="448">
        <f t="shared" si="3"/>
        <v>12</v>
      </c>
      <c r="F55" s="448" t="str">
        <f t="shared" si="4"/>
        <v>pm</v>
      </c>
      <c r="G55" s="448" t="s">
        <v>421</v>
      </c>
      <c r="H55" s="448" t="s">
        <v>306</v>
      </c>
      <c r="I55" s="448" t="s">
        <v>422</v>
      </c>
      <c r="J55" s="449" t="s">
        <v>301</v>
      </c>
      <c r="K55" s="450">
        <f t="shared" si="5"/>
        <v>1190.2613111223468</v>
      </c>
      <c r="L55" s="448"/>
      <c r="M55" s="450">
        <v>1200</v>
      </c>
      <c r="T55" s="450">
        <v>1190.2613111223468</v>
      </c>
      <c r="AH55"/>
      <c r="AI55"/>
    </row>
    <row r="56" spans="1:35" s="450" customFormat="1" x14ac:dyDescent="0.25">
      <c r="A56" s="448">
        <v>2</v>
      </c>
      <c r="B56" s="448"/>
      <c r="C56" s="448">
        <f t="shared" si="1"/>
        <v>52</v>
      </c>
      <c r="D56" s="448">
        <f t="shared" si="2"/>
        <v>42</v>
      </c>
      <c r="E56" s="448">
        <f t="shared" si="3"/>
        <v>12</v>
      </c>
      <c r="F56" s="448" t="str">
        <f t="shared" si="4"/>
        <v>pm</v>
      </c>
      <c r="G56" s="448" t="s">
        <v>423</v>
      </c>
      <c r="H56" s="448" t="s">
        <v>306</v>
      </c>
      <c r="I56" s="448" t="s">
        <v>424</v>
      </c>
      <c r="J56" s="449" t="s">
        <v>301</v>
      </c>
      <c r="K56" s="450">
        <f t="shared" si="5"/>
        <v>1104.9764908703403</v>
      </c>
      <c r="L56" s="448"/>
      <c r="M56" s="450">
        <v>1200</v>
      </c>
      <c r="T56" s="450">
        <v>1104.9764908703403</v>
      </c>
      <c r="AH56"/>
      <c r="AI56"/>
    </row>
    <row r="57" spans="1:35" s="450" customFormat="1" x14ac:dyDescent="0.25">
      <c r="A57" s="448">
        <v>1</v>
      </c>
      <c r="B57" s="448"/>
      <c r="C57" s="448">
        <f t="shared" si="1"/>
        <v>53</v>
      </c>
      <c r="D57" s="448">
        <f t="shared" si="2"/>
        <v>42</v>
      </c>
      <c r="E57" s="448">
        <f t="shared" si="3"/>
        <v>12</v>
      </c>
      <c r="F57" s="448" t="str">
        <f t="shared" si="4"/>
        <v>pmx</v>
      </c>
      <c r="G57" s="448" t="s">
        <v>425</v>
      </c>
      <c r="H57" s="448" t="s">
        <v>426</v>
      </c>
      <c r="I57" s="448" t="s">
        <v>427</v>
      </c>
      <c r="J57" s="449" t="s">
        <v>301</v>
      </c>
      <c r="K57" s="450">
        <f t="shared" si="5"/>
        <v>1200</v>
      </c>
      <c r="L57" s="448"/>
      <c r="M57" s="450">
        <v>1200</v>
      </c>
      <c r="AH57"/>
      <c r="AI57"/>
    </row>
    <row r="58" spans="1:35" s="450" customFormat="1" x14ac:dyDescent="0.25">
      <c r="A58" s="448">
        <v>1</v>
      </c>
      <c r="B58" s="448"/>
      <c r="C58" s="448">
        <f t="shared" si="1"/>
        <v>54</v>
      </c>
      <c r="D58" s="448">
        <f t="shared" si="2"/>
        <v>42</v>
      </c>
      <c r="E58" s="448">
        <f t="shared" si="3"/>
        <v>12</v>
      </c>
      <c r="F58" s="448" t="str">
        <f t="shared" si="4"/>
        <v>pmx</v>
      </c>
      <c r="G58" s="448" t="s">
        <v>428</v>
      </c>
      <c r="H58" s="448" t="s">
        <v>330</v>
      </c>
      <c r="I58" s="448" t="s">
        <v>429</v>
      </c>
      <c r="J58" s="449" t="s">
        <v>301</v>
      </c>
      <c r="K58" s="450">
        <f t="shared" si="5"/>
        <v>1140.5868344378484</v>
      </c>
      <c r="L58" s="448"/>
      <c r="M58" s="450">
        <v>1200</v>
      </c>
      <c r="R58" s="450">
        <v>1158.7524498540417</v>
      </c>
      <c r="T58" s="450">
        <v>1193.6457795917684</v>
      </c>
      <c r="V58" s="450">
        <v>1140.5868344378484</v>
      </c>
      <c r="AH58"/>
      <c r="AI58"/>
    </row>
    <row r="59" spans="1:35" s="450" customFormat="1" x14ac:dyDescent="0.25">
      <c r="A59" s="448">
        <v>3</v>
      </c>
      <c r="B59" s="448"/>
      <c r="C59" s="448">
        <f t="shared" si="1"/>
        <v>55</v>
      </c>
      <c r="D59" s="448">
        <f t="shared" si="2"/>
        <v>42</v>
      </c>
      <c r="E59" s="448">
        <f t="shared" si="3"/>
        <v>12</v>
      </c>
      <c r="F59" s="448" t="str">
        <f t="shared" si="4"/>
        <v>pm</v>
      </c>
      <c r="G59" s="448" t="s">
        <v>430</v>
      </c>
      <c r="H59" s="448" t="s">
        <v>431</v>
      </c>
      <c r="I59" s="448" t="s">
        <v>432</v>
      </c>
      <c r="J59" s="449" t="s">
        <v>301</v>
      </c>
      <c r="K59" s="450">
        <f t="shared" si="5"/>
        <v>1225.5441183253949</v>
      </c>
      <c r="L59" s="448"/>
      <c r="M59" s="450">
        <v>1200</v>
      </c>
      <c r="R59" s="450">
        <v>1231.5000238061393</v>
      </c>
      <c r="V59" s="450">
        <v>1225.5441183253949</v>
      </c>
      <c r="AH59"/>
      <c r="AI59"/>
    </row>
    <row r="60" spans="1:35" s="450" customFormat="1" x14ac:dyDescent="0.25">
      <c r="A60" s="448">
        <v>5</v>
      </c>
      <c r="B60" s="448"/>
      <c r="C60" s="448">
        <f t="shared" si="1"/>
        <v>56</v>
      </c>
      <c r="D60" s="448">
        <f t="shared" si="2"/>
        <v>42</v>
      </c>
      <c r="E60" s="448">
        <f t="shared" si="3"/>
        <v>12</v>
      </c>
      <c r="F60" s="448" t="str">
        <f t="shared" si="4"/>
        <v>pm</v>
      </c>
      <c r="G60" s="448" t="s">
        <v>433</v>
      </c>
      <c r="H60" s="448" t="s">
        <v>338</v>
      </c>
      <c r="I60" s="448" t="s">
        <v>434</v>
      </c>
      <c r="J60" s="449" t="s">
        <v>301</v>
      </c>
      <c r="K60" s="450">
        <f t="shared" si="5"/>
        <v>1174.2782340237165</v>
      </c>
      <c r="L60" s="448"/>
      <c r="M60" s="450">
        <v>1200</v>
      </c>
      <c r="R60" s="450">
        <v>1166.1154316050067</v>
      </c>
      <c r="T60" s="450">
        <v>1124.1168813812924</v>
      </c>
      <c r="V60" s="450">
        <v>1174.2782340237165</v>
      </c>
      <c r="AH60"/>
      <c r="AI60"/>
    </row>
    <row r="61" spans="1:35" s="450" customFormat="1" x14ac:dyDescent="0.25">
      <c r="A61" s="448">
        <v>5</v>
      </c>
      <c r="B61" s="448"/>
      <c r="C61" s="448">
        <f t="shared" si="1"/>
        <v>57</v>
      </c>
      <c r="D61" s="448">
        <f t="shared" si="2"/>
        <v>42</v>
      </c>
      <c r="E61" s="448">
        <f t="shared" si="3"/>
        <v>12</v>
      </c>
      <c r="F61" s="448" t="str">
        <f t="shared" si="4"/>
        <v>pm</v>
      </c>
      <c r="G61" s="448" t="s">
        <v>435</v>
      </c>
      <c r="H61" s="448" t="s">
        <v>338</v>
      </c>
      <c r="I61" s="448" t="s">
        <v>436</v>
      </c>
      <c r="J61" s="449" t="s">
        <v>301</v>
      </c>
      <c r="K61" s="450">
        <f t="shared" si="5"/>
        <v>1138.9992153970975</v>
      </c>
      <c r="L61" s="448"/>
      <c r="M61" s="450">
        <v>1200</v>
      </c>
      <c r="R61" s="450">
        <v>1166.3348618337313</v>
      </c>
      <c r="T61" s="450">
        <v>1160.1293279867637</v>
      </c>
      <c r="V61" s="450">
        <v>1138.9992153970975</v>
      </c>
      <c r="AH61"/>
      <c r="AI61"/>
    </row>
    <row r="62" spans="1:35" s="450" customFormat="1" x14ac:dyDescent="0.25">
      <c r="A62" s="448">
        <v>3</v>
      </c>
      <c r="B62" s="448"/>
      <c r="C62" s="448">
        <f t="shared" si="1"/>
        <v>1</v>
      </c>
      <c r="D62" s="448">
        <f t="shared" si="2"/>
        <v>1</v>
      </c>
      <c r="E62" s="448">
        <f t="shared" si="3"/>
        <v>13</v>
      </c>
      <c r="F62" s="448" t="str">
        <f t="shared" si="4"/>
        <v>pm</v>
      </c>
      <c r="G62" s="448" t="s">
        <v>47</v>
      </c>
      <c r="H62" s="448" t="s">
        <v>437</v>
      </c>
      <c r="I62" s="448" t="s">
        <v>46</v>
      </c>
      <c r="J62" s="449" t="s">
        <v>21</v>
      </c>
      <c r="K62" s="450">
        <f t="shared" si="5"/>
        <v>1873.3196550996381</v>
      </c>
      <c r="L62" s="448"/>
      <c r="M62" s="450">
        <v>2000</v>
      </c>
      <c r="O62" s="450">
        <v>1937.4919528089513</v>
      </c>
      <c r="W62" s="450">
        <v>1873.3196550996381</v>
      </c>
      <c r="AH62"/>
      <c r="AI62"/>
    </row>
    <row r="63" spans="1:35" s="450" customFormat="1" x14ac:dyDescent="0.25">
      <c r="A63" s="448">
        <v>3</v>
      </c>
      <c r="B63" s="448"/>
      <c r="C63" s="448">
        <f t="shared" si="1"/>
        <v>2</v>
      </c>
      <c r="D63" s="448">
        <f t="shared" si="2"/>
        <v>1</v>
      </c>
      <c r="E63" s="448">
        <f t="shared" si="3"/>
        <v>13</v>
      </c>
      <c r="F63" s="448" t="str">
        <f t="shared" si="4"/>
        <v>pm</v>
      </c>
      <c r="G63" s="448" t="s">
        <v>438</v>
      </c>
      <c r="H63" s="448" t="s">
        <v>296</v>
      </c>
      <c r="I63" s="448" t="s">
        <v>439</v>
      </c>
      <c r="J63" s="449" t="s">
        <v>21</v>
      </c>
      <c r="K63" s="450">
        <f t="shared" si="5"/>
        <v>2263.6995845511233</v>
      </c>
      <c r="L63" s="448"/>
      <c r="M63" s="450">
        <v>2000</v>
      </c>
      <c r="O63" s="450">
        <v>2152.6882339125423</v>
      </c>
      <c r="U63" s="450">
        <v>2263.6995845511233</v>
      </c>
      <c r="AH63"/>
      <c r="AI63"/>
    </row>
    <row r="64" spans="1:35" s="450" customFormat="1" x14ac:dyDescent="0.25">
      <c r="A64" s="448">
        <v>4</v>
      </c>
      <c r="B64" s="448"/>
      <c r="C64" s="448">
        <f t="shared" si="1"/>
        <v>3</v>
      </c>
      <c r="D64" s="448">
        <f t="shared" si="2"/>
        <v>1</v>
      </c>
      <c r="E64" s="448">
        <f t="shared" si="3"/>
        <v>13</v>
      </c>
      <c r="F64" s="448" t="str">
        <f t="shared" si="4"/>
        <v>pm</v>
      </c>
      <c r="G64" s="448" t="s">
        <v>38</v>
      </c>
      <c r="H64" s="448" t="s">
        <v>296</v>
      </c>
      <c r="I64" s="448" t="s">
        <v>37</v>
      </c>
      <c r="J64" s="449" t="s">
        <v>21</v>
      </c>
      <c r="K64" s="450">
        <f t="shared" si="5"/>
        <v>1987.3050777336375</v>
      </c>
      <c r="L64" s="448"/>
      <c r="M64" s="450">
        <v>2000</v>
      </c>
      <c r="O64" s="450">
        <v>1942.7428613495103</v>
      </c>
      <c r="U64" s="450">
        <v>1978.9631245417181</v>
      </c>
      <c r="W64" s="450">
        <v>1987.3050777336375</v>
      </c>
      <c r="AH64"/>
      <c r="AI64"/>
    </row>
    <row r="65" spans="1:35" s="450" customFormat="1" x14ac:dyDescent="0.25">
      <c r="A65" s="448">
        <v>5</v>
      </c>
      <c r="B65" s="448"/>
      <c r="C65" s="448">
        <f t="shared" si="1"/>
        <v>4</v>
      </c>
      <c r="D65" s="448">
        <f t="shared" si="2"/>
        <v>1</v>
      </c>
      <c r="E65" s="448">
        <f t="shared" si="3"/>
        <v>13</v>
      </c>
      <c r="F65" s="448" t="str">
        <f t="shared" si="4"/>
        <v>pm</v>
      </c>
      <c r="G65" s="448" t="s">
        <v>23</v>
      </c>
      <c r="H65" s="448" t="s">
        <v>350</v>
      </c>
      <c r="I65" s="448" t="s">
        <v>22</v>
      </c>
      <c r="J65" s="449" t="s">
        <v>21</v>
      </c>
      <c r="K65" s="450">
        <f t="shared" si="5"/>
        <v>2214.4906569405434</v>
      </c>
      <c r="L65" s="448"/>
      <c r="M65" s="450">
        <v>2000</v>
      </c>
      <c r="O65" s="450">
        <v>2090.0660361022765</v>
      </c>
      <c r="U65" s="450">
        <v>2157.74321750217</v>
      </c>
      <c r="W65" s="450">
        <v>2214.4906569405434</v>
      </c>
      <c r="AH65"/>
      <c r="AI65"/>
    </row>
    <row r="66" spans="1:35" s="450" customFormat="1" x14ac:dyDescent="0.25">
      <c r="A66" s="448">
        <v>7</v>
      </c>
      <c r="B66" s="448"/>
      <c r="C66" s="448">
        <f t="shared" ref="C66:C129" si="6">IF(E66=E65,C65+1,1)</f>
        <v>5</v>
      </c>
      <c r="D66" s="448">
        <f t="shared" ref="D66:D129" si="7">IF(M66=M65,D65,C66)</f>
        <v>1</v>
      </c>
      <c r="E66" s="448">
        <f t="shared" ref="E66:E129" si="8">10+VALUE(RIGHT(LEFT(G66,3),1))</f>
        <v>13</v>
      </c>
      <c r="F66" s="448" t="str">
        <f t="shared" ref="F66:F129" si="9">RIGHT(G66,2) &amp; IF(A66&lt;2,"x","")</f>
        <v>pm</v>
      </c>
      <c r="G66" s="448" t="s">
        <v>30</v>
      </c>
      <c r="H66" s="448" t="s">
        <v>353</v>
      </c>
      <c r="I66" s="448" t="s">
        <v>29</v>
      </c>
      <c r="J66" s="449" t="s">
        <v>21</v>
      </c>
      <c r="K66" s="450">
        <f t="shared" ref="K66:K129" si="10">LOOKUP(1E+100,M66:AC66)</f>
        <v>2017.703291174091</v>
      </c>
      <c r="L66" s="448"/>
      <c r="M66" s="450">
        <v>2000</v>
      </c>
      <c r="O66" s="450">
        <v>1943.416124532403</v>
      </c>
      <c r="Q66" s="450">
        <v>1966.1656268304903</v>
      </c>
      <c r="S66" s="450">
        <v>1958.1634755038049</v>
      </c>
      <c r="U66" s="450">
        <v>1991.6720830602626</v>
      </c>
      <c r="W66" s="450">
        <v>2017.703291174091</v>
      </c>
      <c r="AH66"/>
      <c r="AI66"/>
    </row>
    <row r="67" spans="1:35" s="450" customFormat="1" x14ac:dyDescent="0.25">
      <c r="A67" s="448">
        <v>4</v>
      </c>
      <c r="B67" s="448"/>
      <c r="C67" s="448">
        <f t="shared" si="6"/>
        <v>6</v>
      </c>
      <c r="D67" s="448">
        <f t="shared" si="7"/>
        <v>1</v>
      </c>
      <c r="E67" s="448">
        <f t="shared" si="8"/>
        <v>13</v>
      </c>
      <c r="F67" s="448" t="str">
        <f t="shared" si="9"/>
        <v>pm</v>
      </c>
      <c r="G67" s="448" t="s">
        <v>33</v>
      </c>
      <c r="H67" s="448" t="s">
        <v>374</v>
      </c>
      <c r="I67" s="448" t="s">
        <v>32</v>
      </c>
      <c r="J67" s="449" t="s">
        <v>21</v>
      </c>
      <c r="K67" s="450">
        <f t="shared" si="10"/>
        <v>1976.9474327790549</v>
      </c>
      <c r="L67" s="448"/>
      <c r="M67" s="450">
        <v>2000</v>
      </c>
      <c r="U67" s="450">
        <v>1985.6455041357583</v>
      </c>
      <c r="W67" s="450">
        <v>1976.9474327790549</v>
      </c>
      <c r="AH67"/>
      <c r="AI67"/>
    </row>
    <row r="68" spans="1:35" s="450" customFormat="1" x14ac:dyDescent="0.25">
      <c r="A68" s="448">
        <v>1</v>
      </c>
      <c r="B68" s="448"/>
      <c r="C68" s="448">
        <f t="shared" si="6"/>
        <v>7</v>
      </c>
      <c r="D68" s="448">
        <f t="shared" si="7"/>
        <v>1</v>
      </c>
      <c r="E68" s="448">
        <f t="shared" si="8"/>
        <v>13</v>
      </c>
      <c r="F68" s="448" t="str">
        <f t="shared" si="9"/>
        <v>pmx</v>
      </c>
      <c r="G68" s="448" t="s">
        <v>440</v>
      </c>
      <c r="H68" s="448" t="s">
        <v>330</v>
      </c>
      <c r="I68" s="448" t="s">
        <v>441</v>
      </c>
      <c r="J68" s="449" t="s">
        <v>21</v>
      </c>
      <c r="K68" s="450">
        <f t="shared" si="10"/>
        <v>2047.5215589916952</v>
      </c>
      <c r="L68" s="448"/>
      <c r="M68" s="450">
        <v>2000</v>
      </c>
      <c r="S68" s="450">
        <v>2047.5215589916952</v>
      </c>
      <c r="AH68"/>
      <c r="AI68"/>
    </row>
    <row r="69" spans="1:35" s="450" customFormat="1" x14ac:dyDescent="0.25">
      <c r="A69" s="448">
        <v>1</v>
      </c>
      <c r="B69" s="448"/>
      <c r="C69" s="448">
        <f t="shared" si="6"/>
        <v>8</v>
      </c>
      <c r="D69" s="448">
        <f t="shared" si="7"/>
        <v>1</v>
      </c>
      <c r="E69" s="448">
        <f t="shared" si="8"/>
        <v>13</v>
      </c>
      <c r="F69" s="448" t="str">
        <f t="shared" si="9"/>
        <v>pmx</v>
      </c>
      <c r="G69" s="448" t="s">
        <v>442</v>
      </c>
      <c r="H69" s="448" t="s">
        <v>293</v>
      </c>
      <c r="I69" s="448" t="s">
        <v>443</v>
      </c>
      <c r="J69" s="449" t="s">
        <v>21</v>
      </c>
      <c r="K69" s="450">
        <f t="shared" si="10"/>
        <v>2000</v>
      </c>
      <c r="L69" s="448"/>
      <c r="M69" s="450">
        <v>2000</v>
      </c>
      <c r="AH69"/>
      <c r="AI69"/>
    </row>
    <row r="70" spans="1:35" s="450" customFormat="1" x14ac:dyDescent="0.25">
      <c r="A70" s="448">
        <v>1</v>
      </c>
      <c r="B70" s="448"/>
      <c r="C70" s="448">
        <f t="shared" si="6"/>
        <v>9</v>
      </c>
      <c r="D70" s="448">
        <f t="shared" si="7"/>
        <v>1</v>
      </c>
      <c r="E70" s="448">
        <f t="shared" si="8"/>
        <v>13</v>
      </c>
      <c r="F70" s="448" t="str">
        <f t="shared" si="9"/>
        <v>pmx</v>
      </c>
      <c r="G70" s="448" t="s">
        <v>444</v>
      </c>
      <c r="H70" s="448" t="s">
        <v>293</v>
      </c>
      <c r="I70" s="448" t="s">
        <v>445</v>
      </c>
      <c r="J70" s="449" t="s">
        <v>21</v>
      </c>
      <c r="K70" s="450">
        <f t="shared" si="10"/>
        <v>2000</v>
      </c>
      <c r="L70" s="448"/>
      <c r="M70" s="450">
        <v>2000</v>
      </c>
      <c r="AH70"/>
      <c r="AI70"/>
    </row>
    <row r="71" spans="1:35" s="450" customFormat="1" x14ac:dyDescent="0.25">
      <c r="A71" s="448">
        <v>3</v>
      </c>
      <c r="B71" s="448"/>
      <c r="C71" s="448">
        <f t="shared" si="6"/>
        <v>10</v>
      </c>
      <c r="D71" s="448">
        <f t="shared" si="7"/>
        <v>1</v>
      </c>
      <c r="E71" s="448">
        <f t="shared" si="8"/>
        <v>13</v>
      </c>
      <c r="F71" s="448" t="str">
        <f t="shared" si="9"/>
        <v>pm</v>
      </c>
      <c r="G71" s="448" t="s">
        <v>446</v>
      </c>
      <c r="H71" s="448" t="s">
        <v>293</v>
      </c>
      <c r="I71" s="448" t="s">
        <v>447</v>
      </c>
      <c r="J71" s="449" t="s">
        <v>21</v>
      </c>
      <c r="K71" s="450">
        <f t="shared" si="10"/>
        <v>1821.6037506813182</v>
      </c>
      <c r="L71" s="448"/>
      <c r="M71" s="450">
        <v>2000</v>
      </c>
      <c r="O71" s="450">
        <v>1915.8645173769876</v>
      </c>
      <c r="S71" s="450">
        <v>1821.6037506813182</v>
      </c>
      <c r="AH71"/>
      <c r="AI71"/>
    </row>
    <row r="72" spans="1:35" s="450" customFormat="1" x14ac:dyDescent="0.25">
      <c r="A72" s="448">
        <v>3</v>
      </c>
      <c r="B72" s="448"/>
      <c r="C72" s="448">
        <f t="shared" si="6"/>
        <v>11</v>
      </c>
      <c r="D72" s="448">
        <f t="shared" si="7"/>
        <v>1</v>
      </c>
      <c r="E72" s="448">
        <f t="shared" si="8"/>
        <v>13</v>
      </c>
      <c r="F72" s="448" t="str">
        <f t="shared" si="9"/>
        <v>pm</v>
      </c>
      <c r="G72" s="448" t="s">
        <v>448</v>
      </c>
      <c r="H72" s="448" t="s">
        <v>319</v>
      </c>
      <c r="I72" s="448" t="s">
        <v>449</v>
      </c>
      <c r="J72" s="449" t="s">
        <v>21</v>
      </c>
      <c r="K72" s="450">
        <f t="shared" si="10"/>
        <v>2100.0545135197281</v>
      </c>
      <c r="L72" s="448"/>
      <c r="M72" s="450">
        <v>2000</v>
      </c>
      <c r="O72" s="450">
        <v>2039.0534480015622</v>
      </c>
      <c r="S72" s="450">
        <v>2100.0545135197281</v>
      </c>
      <c r="AH72"/>
      <c r="AI72"/>
    </row>
    <row r="73" spans="1:35" s="450" customFormat="1" x14ac:dyDescent="0.25">
      <c r="A73" s="448">
        <v>2</v>
      </c>
      <c r="B73" s="448"/>
      <c r="C73" s="448">
        <f t="shared" si="6"/>
        <v>12</v>
      </c>
      <c r="D73" s="448">
        <f t="shared" si="7"/>
        <v>1</v>
      </c>
      <c r="E73" s="448">
        <f t="shared" si="8"/>
        <v>13</v>
      </c>
      <c r="F73" s="448" t="str">
        <f t="shared" si="9"/>
        <v>pm</v>
      </c>
      <c r="G73" s="448" t="s">
        <v>450</v>
      </c>
      <c r="H73" s="448" t="s">
        <v>316</v>
      </c>
      <c r="I73" s="448" t="s">
        <v>451</v>
      </c>
      <c r="J73" s="449" t="s">
        <v>21</v>
      </c>
      <c r="K73" s="450">
        <f t="shared" si="10"/>
        <v>2033.2515181332528</v>
      </c>
      <c r="L73" s="448"/>
      <c r="M73" s="450">
        <v>2000</v>
      </c>
      <c r="S73" s="450">
        <v>2033.2515181332528</v>
      </c>
      <c r="AH73"/>
      <c r="AI73"/>
    </row>
    <row r="74" spans="1:35" s="450" customFormat="1" x14ac:dyDescent="0.25">
      <c r="A74" s="448">
        <v>7</v>
      </c>
      <c r="B74" s="448"/>
      <c r="C74" s="448">
        <f t="shared" si="6"/>
        <v>13</v>
      </c>
      <c r="D74" s="448">
        <f t="shared" si="7"/>
        <v>13</v>
      </c>
      <c r="E74" s="448">
        <f t="shared" si="8"/>
        <v>13</v>
      </c>
      <c r="F74" s="448" t="str">
        <f t="shared" si="9"/>
        <v>pm</v>
      </c>
      <c r="G74" s="448" t="s">
        <v>50</v>
      </c>
      <c r="H74" s="448" t="s">
        <v>338</v>
      </c>
      <c r="I74" s="448" t="s">
        <v>49</v>
      </c>
      <c r="J74" s="449" t="s">
        <v>21</v>
      </c>
      <c r="K74" s="450">
        <f t="shared" si="10"/>
        <v>1857.267256722582</v>
      </c>
      <c r="L74" s="448"/>
      <c r="M74" s="450">
        <v>1942.8571428571429</v>
      </c>
      <c r="Q74" s="450">
        <v>1852.3713067755587</v>
      </c>
      <c r="S74" s="450">
        <v>1873.5532472996633</v>
      </c>
      <c r="U74" s="450">
        <v>1856.0832418209029</v>
      </c>
      <c r="W74" s="450">
        <v>1857.267256722582</v>
      </c>
      <c r="AH74"/>
      <c r="AI74"/>
    </row>
    <row r="75" spans="1:35" s="450" customFormat="1" x14ac:dyDescent="0.25">
      <c r="A75" s="448">
        <v>4</v>
      </c>
      <c r="B75" s="448"/>
      <c r="C75" s="448">
        <f t="shared" si="6"/>
        <v>14</v>
      </c>
      <c r="D75" s="448">
        <f t="shared" si="7"/>
        <v>14</v>
      </c>
      <c r="E75" s="448">
        <f t="shared" si="8"/>
        <v>13</v>
      </c>
      <c r="F75" s="448" t="str">
        <f t="shared" si="9"/>
        <v>pm</v>
      </c>
      <c r="G75" s="448" t="s">
        <v>452</v>
      </c>
      <c r="H75" s="448" t="s">
        <v>319</v>
      </c>
      <c r="I75" s="448" t="s">
        <v>453</v>
      </c>
      <c r="J75" s="449" t="s">
        <v>21</v>
      </c>
      <c r="K75" s="450">
        <f t="shared" si="10"/>
        <v>1896.502812306353</v>
      </c>
      <c r="L75" s="448"/>
      <c r="M75" s="450">
        <v>1900</v>
      </c>
      <c r="O75" s="450">
        <v>1896.502812306353</v>
      </c>
      <c r="AH75"/>
      <c r="AI75"/>
    </row>
    <row r="76" spans="1:35" s="450" customFormat="1" x14ac:dyDescent="0.25">
      <c r="A76" s="448">
        <v>3</v>
      </c>
      <c r="B76" s="448"/>
      <c r="C76" s="448">
        <f t="shared" si="6"/>
        <v>15</v>
      </c>
      <c r="D76" s="448">
        <f t="shared" si="7"/>
        <v>15</v>
      </c>
      <c r="E76" s="448">
        <f t="shared" si="8"/>
        <v>13</v>
      </c>
      <c r="F76" s="448" t="str">
        <f t="shared" si="9"/>
        <v>pm</v>
      </c>
      <c r="G76" s="448" t="s">
        <v>454</v>
      </c>
      <c r="H76" s="448" t="s">
        <v>330</v>
      </c>
      <c r="I76" s="448" t="s">
        <v>455</v>
      </c>
      <c r="J76" s="449" t="s">
        <v>20</v>
      </c>
      <c r="K76" s="450">
        <f t="shared" si="10"/>
        <v>1581.2933664625068</v>
      </c>
      <c r="L76" s="448"/>
      <c r="M76" s="450">
        <v>1733.3333333333333</v>
      </c>
      <c r="R76" s="450">
        <v>1596.5625330002313</v>
      </c>
      <c r="S76" s="450">
        <v>1581.2933664625068</v>
      </c>
      <c r="AH76"/>
      <c r="AI76"/>
    </row>
    <row r="77" spans="1:35" s="450" customFormat="1" x14ac:dyDescent="0.25">
      <c r="A77" s="448">
        <v>3</v>
      </c>
      <c r="B77" s="448"/>
      <c r="C77" s="448">
        <f t="shared" si="6"/>
        <v>16</v>
      </c>
      <c r="D77" s="448">
        <f t="shared" si="7"/>
        <v>15</v>
      </c>
      <c r="E77" s="448">
        <f t="shared" si="8"/>
        <v>13</v>
      </c>
      <c r="F77" s="448" t="str">
        <f t="shared" si="9"/>
        <v>pm</v>
      </c>
      <c r="G77" s="448" t="s">
        <v>456</v>
      </c>
      <c r="H77" s="448" t="s">
        <v>316</v>
      </c>
      <c r="I77" s="448" t="s">
        <v>457</v>
      </c>
      <c r="J77" s="449" t="s">
        <v>20</v>
      </c>
      <c r="K77" s="450">
        <f t="shared" si="10"/>
        <v>1889.9786980074723</v>
      </c>
      <c r="L77" s="448"/>
      <c r="M77" s="450">
        <v>1733.3333333333333</v>
      </c>
      <c r="O77" s="450">
        <v>1854.2018399827273</v>
      </c>
      <c r="R77" s="450">
        <v>1889.9786980074723</v>
      </c>
      <c r="AH77"/>
      <c r="AI77"/>
    </row>
    <row r="78" spans="1:35" s="450" customFormat="1" x14ac:dyDescent="0.25">
      <c r="A78" s="448">
        <v>4</v>
      </c>
      <c r="B78" s="448"/>
      <c r="C78" s="448">
        <f t="shared" si="6"/>
        <v>17</v>
      </c>
      <c r="D78" s="448">
        <f t="shared" si="7"/>
        <v>17</v>
      </c>
      <c r="E78" s="448">
        <f t="shared" si="8"/>
        <v>13</v>
      </c>
      <c r="F78" s="448" t="str">
        <f t="shared" si="9"/>
        <v>pm</v>
      </c>
      <c r="G78" s="448" t="s">
        <v>458</v>
      </c>
      <c r="H78" s="448" t="s">
        <v>319</v>
      </c>
      <c r="I78" s="448" t="s">
        <v>459</v>
      </c>
      <c r="J78" s="449" t="s">
        <v>20</v>
      </c>
      <c r="K78" s="450">
        <f t="shared" si="10"/>
        <v>1669.2299346493558</v>
      </c>
      <c r="L78" s="448"/>
      <c r="M78" s="450">
        <v>1700</v>
      </c>
      <c r="O78" s="450">
        <v>1693.6375418300127</v>
      </c>
      <c r="R78" s="450">
        <v>1657.3872938785414</v>
      </c>
      <c r="T78" s="450">
        <v>1669.2299346493558</v>
      </c>
      <c r="AH78"/>
      <c r="AI78"/>
    </row>
    <row r="79" spans="1:35" s="450" customFormat="1" x14ac:dyDescent="0.25">
      <c r="A79" s="448">
        <v>6</v>
      </c>
      <c r="B79" s="448"/>
      <c r="C79" s="448">
        <f t="shared" si="6"/>
        <v>18</v>
      </c>
      <c r="D79" s="448">
        <f t="shared" si="7"/>
        <v>18</v>
      </c>
      <c r="E79" s="448">
        <f t="shared" si="8"/>
        <v>13</v>
      </c>
      <c r="F79" s="448" t="str">
        <f t="shared" si="9"/>
        <v>pm</v>
      </c>
      <c r="G79" s="448" t="s">
        <v>460</v>
      </c>
      <c r="H79" s="448" t="s">
        <v>437</v>
      </c>
      <c r="I79" s="448" t="s">
        <v>461</v>
      </c>
      <c r="J79" s="449" t="s">
        <v>20</v>
      </c>
      <c r="K79" s="450">
        <f t="shared" si="10"/>
        <v>1677.2690977446232</v>
      </c>
      <c r="L79" s="448"/>
      <c r="M79" s="450">
        <v>1666.6666666666667</v>
      </c>
      <c r="O79" s="450">
        <v>1693.5789788646412</v>
      </c>
      <c r="R79" s="450">
        <v>1641.6440767325234</v>
      </c>
      <c r="T79" s="450">
        <v>1623.8204049929316</v>
      </c>
      <c r="V79" s="450">
        <v>1677.2690977446232</v>
      </c>
      <c r="AH79"/>
      <c r="AI79"/>
    </row>
    <row r="80" spans="1:35" s="450" customFormat="1" x14ac:dyDescent="0.25">
      <c r="A80" s="448">
        <v>6</v>
      </c>
      <c r="B80" s="448"/>
      <c r="C80" s="448">
        <f t="shared" si="6"/>
        <v>19</v>
      </c>
      <c r="D80" s="448">
        <f t="shared" si="7"/>
        <v>18</v>
      </c>
      <c r="E80" s="448">
        <f t="shared" si="8"/>
        <v>13</v>
      </c>
      <c r="F80" s="448" t="str">
        <f t="shared" si="9"/>
        <v>pm</v>
      </c>
      <c r="G80" s="448" t="s">
        <v>462</v>
      </c>
      <c r="H80" s="448" t="s">
        <v>368</v>
      </c>
      <c r="I80" s="448" t="s">
        <v>463</v>
      </c>
      <c r="J80" s="449" t="s">
        <v>20</v>
      </c>
      <c r="K80" s="450">
        <f t="shared" si="10"/>
        <v>1853.9788599591745</v>
      </c>
      <c r="L80" s="448"/>
      <c r="M80" s="450">
        <v>1666.6666666666667</v>
      </c>
      <c r="P80" s="450">
        <v>1728.1310461413079</v>
      </c>
      <c r="T80" s="450">
        <v>1804.7578750763826</v>
      </c>
      <c r="V80" s="450">
        <v>1853.9788599591745</v>
      </c>
      <c r="AH80"/>
      <c r="AI80"/>
    </row>
    <row r="81" spans="1:35" s="450" customFormat="1" x14ac:dyDescent="0.25">
      <c r="A81" s="448">
        <v>3</v>
      </c>
      <c r="B81" s="448"/>
      <c r="C81" s="448">
        <f t="shared" si="6"/>
        <v>20</v>
      </c>
      <c r="D81" s="448">
        <f t="shared" si="7"/>
        <v>20</v>
      </c>
      <c r="E81" s="448">
        <f t="shared" si="8"/>
        <v>13</v>
      </c>
      <c r="F81" s="448" t="str">
        <f t="shared" si="9"/>
        <v>pm</v>
      </c>
      <c r="G81" s="448" t="s">
        <v>464</v>
      </c>
      <c r="H81" s="448" t="s">
        <v>296</v>
      </c>
      <c r="I81" s="448" t="s">
        <v>465</v>
      </c>
      <c r="J81" s="449" t="s">
        <v>20</v>
      </c>
      <c r="K81" s="450">
        <f t="shared" si="10"/>
        <v>1684.9021174510051</v>
      </c>
      <c r="L81" s="448"/>
      <c r="M81" s="450">
        <v>1600</v>
      </c>
      <c r="P81" s="450">
        <v>1559.7550744981997</v>
      </c>
      <c r="R81" s="450">
        <v>1684.9021174510051</v>
      </c>
      <c r="AH81"/>
      <c r="AI81"/>
    </row>
    <row r="82" spans="1:35" s="450" customFormat="1" x14ac:dyDescent="0.25">
      <c r="A82" s="448">
        <v>3</v>
      </c>
      <c r="B82" s="448"/>
      <c r="C82" s="448">
        <f t="shared" si="6"/>
        <v>21</v>
      </c>
      <c r="D82" s="448">
        <f t="shared" si="7"/>
        <v>20</v>
      </c>
      <c r="E82" s="448">
        <f t="shared" si="8"/>
        <v>13</v>
      </c>
      <c r="F82" s="448" t="str">
        <f t="shared" si="9"/>
        <v>pm</v>
      </c>
      <c r="G82" s="448" t="s">
        <v>466</v>
      </c>
      <c r="H82" s="448" t="s">
        <v>296</v>
      </c>
      <c r="I82" s="448" t="s">
        <v>467</v>
      </c>
      <c r="J82" s="449" t="s">
        <v>20</v>
      </c>
      <c r="K82" s="450">
        <f t="shared" si="10"/>
        <v>1663.7820960089477</v>
      </c>
      <c r="L82" s="448"/>
      <c r="M82" s="450">
        <v>1600</v>
      </c>
      <c r="P82" s="450">
        <v>1590.1315477575743</v>
      </c>
      <c r="R82" s="450">
        <v>1663.7820960089477</v>
      </c>
      <c r="AH82"/>
      <c r="AI82"/>
    </row>
    <row r="83" spans="1:35" s="450" customFormat="1" x14ac:dyDescent="0.25">
      <c r="A83" s="448">
        <v>3</v>
      </c>
      <c r="B83" s="448"/>
      <c r="C83" s="448">
        <f t="shared" si="6"/>
        <v>22</v>
      </c>
      <c r="D83" s="448">
        <f t="shared" si="7"/>
        <v>20</v>
      </c>
      <c r="E83" s="448">
        <f t="shared" si="8"/>
        <v>13</v>
      </c>
      <c r="F83" s="448" t="str">
        <f t="shared" si="9"/>
        <v>pm</v>
      </c>
      <c r="G83" s="448" t="s">
        <v>468</v>
      </c>
      <c r="H83" s="448" t="s">
        <v>296</v>
      </c>
      <c r="I83" s="448" t="s">
        <v>469</v>
      </c>
      <c r="J83" s="449" t="s">
        <v>20</v>
      </c>
      <c r="K83" s="450">
        <f t="shared" si="10"/>
        <v>1602.913856020094</v>
      </c>
      <c r="L83" s="448"/>
      <c r="M83" s="450">
        <v>1600</v>
      </c>
      <c r="R83" s="450">
        <v>1602.913856020094</v>
      </c>
      <c r="AH83"/>
      <c r="AI83"/>
    </row>
    <row r="84" spans="1:35" s="450" customFormat="1" x14ac:dyDescent="0.25">
      <c r="A84" s="448">
        <v>5</v>
      </c>
      <c r="B84" s="448"/>
      <c r="C84" s="448">
        <f t="shared" si="6"/>
        <v>23</v>
      </c>
      <c r="D84" s="448">
        <f t="shared" si="7"/>
        <v>20</v>
      </c>
      <c r="E84" s="448">
        <f t="shared" si="8"/>
        <v>13</v>
      </c>
      <c r="F84" s="448" t="str">
        <f t="shared" si="9"/>
        <v>pm</v>
      </c>
      <c r="G84" s="448" t="s">
        <v>470</v>
      </c>
      <c r="H84" s="448" t="s">
        <v>350</v>
      </c>
      <c r="I84" s="448" t="s">
        <v>471</v>
      </c>
      <c r="J84" s="449" t="s">
        <v>20</v>
      </c>
      <c r="K84" s="450">
        <f t="shared" si="10"/>
        <v>1700.7528131422339</v>
      </c>
      <c r="L84" s="448"/>
      <c r="M84" s="450">
        <v>1600</v>
      </c>
      <c r="P84" s="450">
        <v>1633.9324219018492</v>
      </c>
      <c r="R84" s="450">
        <v>1640.1661561444348</v>
      </c>
      <c r="V84" s="450">
        <v>1700.7528131422339</v>
      </c>
      <c r="AH84"/>
      <c r="AI84"/>
    </row>
    <row r="85" spans="1:35" s="450" customFormat="1" x14ac:dyDescent="0.25">
      <c r="A85" s="448">
        <v>6</v>
      </c>
      <c r="B85" s="448"/>
      <c r="C85" s="448">
        <f t="shared" si="6"/>
        <v>24</v>
      </c>
      <c r="D85" s="448">
        <f t="shared" si="7"/>
        <v>20</v>
      </c>
      <c r="E85" s="448">
        <f t="shared" si="8"/>
        <v>13</v>
      </c>
      <c r="F85" s="448" t="str">
        <f t="shared" si="9"/>
        <v>pm</v>
      </c>
      <c r="G85" s="448" t="s">
        <v>472</v>
      </c>
      <c r="H85" s="448" t="s">
        <v>353</v>
      </c>
      <c r="I85" s="448" t="s">
        <v>473</v>
      </c>
      <c r="J85" s="449" t="s">
        <v>20</v>
      </c>
      <c r="K85" s="450">
        <f t="shared" si="10"/>
        <v>1585.6650654510097</v>
      </c>
      <c r="L85" s="448"/>
      <c r="M85" s="450">
        <v>1600</v>
      </c>
      <c r="R85" s="450">
        <v>1568.2233091455873</v>
      </c>
      <c r="T85" s="450">
        <v>1509.7586404382946</v>
      </c>
      <c r="V85" s="450">
        <v>1585.6650654510097</v>
      </c>
      <c r="AH85"/>
      <c r="AI85"/>
    </row>
    <row r="86" spans="1:35" s="450" customFormat="1" x14ac:dyDescent="0.25">
      <c r="A86" s="448">
        <v>4</v>
      </c>
      <c r="B86" s="448"/>
      <c r="C86" s="448">
        <f t="shared" si="6"/>
        <v>25</v>
      </c>
      <c r="D86" s="448">
        <f t="shared" si="7"/>
        <v>20</v>
      </c>
      <c r="E86" s="448">
        <f t="shared" si="8"/>
        <v>13</v>
      </c>
      <c r="F86" s="448" t="str">
        <f t="shared" si="9"/>
        <v>pm</v>
      </c>
      <c r="G86" s="448" t="s">
        <v>474</v>
      </c>
      <c r="H86" s="448" t="s">
        <v>365</v>
      </c>
      <c r="I86" s="448" t="s">
        <v>475</v>
      </c>
      <c r="J86" s="449" t="s">
        <v>20</v>
      </c>
      <c r="K86" s="450">
        <f t="shared" si="10"/>
        <v>1583.1178074464576</v>
      </c>
      <c r="L86" s="448"/>
      <c r="M86" s="450">
        <v>1600</v>
      </c>
      <c r="P86" s="450">
        <v>1552.9187728513743</v>
      </c>
      <c r="R86" s="450">
        <v>1638.9168688111979</v>
      </c>
      <c r="V86" s="450">
        <v>1583.1178074464576</v>
      </c>
      <c r="AH86"/>
      <c r="AI86"/>
    </row>
    <row r="87" spans="1:35" s="450" customFormat="1" x14ac:dyDescent="0.25">
      <c r="A87" s="448">
        <v>5</v>
      </c>
      <c r="B87" s="448"/>
      <c r="C87" s="448">
        <f t="shared" si="6"/>
        <v>26</v>
      </c>
      <c r="D87" s="448">
        <f t="shared" si="7"/>
        <v>20</v>
      </c>
      <c r="E87" s="448">
        <f t="shared" si="8"/>
        <v>13</v>
      </c>
      <c r="F87" s="448" t="str">
        <f t="shared" si="9"/>
        <v>pm</v>
      </c>
      <c r="G87" s="448" t="s">
        <v>53</v>
      </c>
      <c r="H87" s="448" t="s">
        <v>368</v>
      </c>
      <c r="I87" s="448" t="s">
        <v>52</v>
      </c>
      <c r="J87" s="449" t="s">
        <v>20</v>
      </c>
      <c r="K87" s="450">
        <f t="shared" si="10"/>
        <v>1841.4291853599461</v>
      </c>
      <c r="L87" s="448"/>
      <c r="M87" s="450">
        <v>1600</v>
      </c>
      <c r="P87" s="450">
        <v>1715.7263580857598</v>
      </c>
      <c r="R87" s="450">
        <v>1789.2595678161492</v>
      </c>
      <c r="T87" s="450">
        <v>1846.0824249958619</v>
      </c>
      <c r="W87" s="450">
        <v>1841.4291853599461</v>
      </c>
      <c r="AH87"/>
      <c r="AI87"/>
    </row>
    <row r="88" spans="1:35" s="450" customFormat="1" x14ac:dyDescent="0.25">
      <c r="A88" s="448">
        <v>6</v>
      </c>
      <c r="B88" s="448"/>
      <c r="C88" s="448">
        <f t="shared" si="6"/>
        <v>27</v>
      </c>
      <c r="D88" s="448">
        <f t="shared" si="7"/>
        <v>20</v>
      </c>
      <c r="E88" s="448">
        <f t="shared" si="8"/>
        <v>13</v>
      </c>
      <c r="F88" s="448" t="str">
        <f t="shared" si="9"/>
        <v>pm</v>
      </c>
      <c r="G88" s="448" t="s">
        <v>476</v>
      </c>
      <c r="H88" s="448" t="s">
        <v>374</v>
      </c>
      <c r="I88" s="448" t="s">
        <v>477</v>
      </c>
      <c r="J88" s="449" t="s">
        <v>20</v>
      </c>
      <c r="K88" s="450">
        <f t="shared" si="10"/>
        <v>1635.5777991113016</v>
      </c>
      <c r="L88" s="448"/>
      <c r="M88" s="450">
        <v>1600</v>
      </c>
      <c r="R88" s="450">
        <v>1568.3090521625732</v>
      </c>
      <c r="T88" s="450">
        <v>1616.1193355748426</v>
      </c>
      <c r="V88" s="450">
        <v>1635.5777991113016</v>
      </c>
      <c r="AH88"/>
      <c r="AI88"/>
    </row>
    <row r="89" spans="1:35" s="450" customFormat="1" x14ac:dyDescent="0.25">
      <c r="A89" s="448">
        <v>6</v>
      </c>
      <c r="B89" s="448"/>
      <c r="C89" s="448">
        <f t="shared" si="6"/>
        <v>28</v>
      </c>
      <c r="D89" s="448">
        <f t="shared" si="7"/>
        <v>20</v>
      </c>
      <c r="E89" s="448">
        <f t="shared" si="8"/>
        <v>13</v>
      </c>
      <c r="F89" s="448" t="str">
        <f t="shared" si="9"/>
        <v>pm</v>
      </c>
      <c r="G89" s="448" t="s">
        <v>478</v>
      </c>
      <c r="H89" s="448" t="s">
        <v>374</v>
      </c>
      <c r="I89" s="448" t="s">
        <v>479</v>
      </c>
      <c r="J89" s="449" t="s">
        <v>20</v>
      </c>
      <c r="K89" s="450">
        <f t="shared" si="10"/>
        <v>1347.213525205284</v>
      </c>
      <c r="L89" s="448"/>
      <c r="M89" s="450">
        <v>1600</v>
      </c>
      <c r="R89" s="450">
        <v>1475.1822078119806</v>
      </c>
      <c r="T89" s="450">
        <v>1401.235994520837</v>
      </c>
      <c r="V89" s="450">
        <v>1347.213525205284</v>
      </c>
      <c r="AH89"/>
      <c r="AI89"/>
    </row>
    <row r="90" spans="1:35" s="450" customFormat="1" x14ac:dyDescent="0.25">
      <c r="A90" s="448">
        <v>6</v>
      </c>
      <c r="B90" s="448"/>
      <c r="C90" s="448">
        <f t="shared" si="6"/>
        <v>29</v>
      </c>
      <c r="D90" s="448">
        <f t="shared" si="7"/>
        <v>20</v>
      </c>
      <c r="E90" s="448">
        <f t="shared" si="8"/>
        <v>13</v>
      </c>
      <c r="F90" s="448" t="str">
        <f t="shared" si="9"/>
        <v>pm</v>
      </c>
      <c r="G90" s="448" t="s">
        <v>480</v>
      </c>
      <c r="H90" s="448" t="s">
        <v>374</v>
      </c>
      <c r="I90" s="448" t="s">
        <v>481</v>
      </c>
      <c r="J90" s="449" t="s">
        <v>20</v>
      </c>
      <c r="K90" s="450">
        <f t="shared" si="10"/>
        <v>1507.6966129179052</v>
      </c>
      <c r="L90" s="448"/>
      <c r="M90" s="450">
        <v>1600</v>
      </c>
      <c r="R90" s="450">
        <v>1624.823853549269</v>
      </c>
      <c r="T90" s="450">
        <v>1520.7107114660023</v>
      </c>
      <c r="V90" s="450">
        <v>1507.6966129179052</v>
      </c>
      <c r="AH90"/>
      <c r="AI90"/>
    </row>
    <row r="91" spans="1:35" s="450" customFormat="1" x14ac:dyDescent="0.25">
      <c r="A91" s="448">
        <v>4</v>
      </c>
      <c r="B91" s="448"/>
      <c r="C91" s="448">
        <f t="shared" si="6"/>
        <v>30</v>
      </c>
      <c r="D91" s="448">
        <f t="shared" si="7"/>
        <v>20</v>
      </c>
      <c r="E91" s="448">
        <f t="shared" si="8"/>
        <v>13</v>
      </c>
      <c r="F91" s="448" t="str">
        <f t="shared" si="9"/>
        <v>pm</v>
      </c>
      <c r="G91" s="448" t="s">
        <v>482</v>
      </c>
      <c r="H91" s="448" t="s">
        <v>306</v>
      </c>
      <c r="I91" s="448" t="s">
        <v>483</v>
      </c>
      <c r="J91" s="449" t="s">
        <v>20</v>
      </c>
      <c r="K91" s="450">
        <f t="shared" si="10"/>
        <v>1570.670589341255</v>
      </c>
      <c r="L91" s="448"/>
      <c r="M91" s="450">
        <v>1600</v>
      </c>
      <c r="T91" s="450">
        <v>1611.1186992330199</v>
      </c>
      <c r="V91" s="450">
        <v>1570.670589341255</v>
      </c>
      <c r="AH91"/>
      <c r="AI91"/>
    </row>
    <row r="92" spans="1:35" s="450" customFormat="1" x14ac:dyDescent="0.25">
      <c r="A92" s="448">
        <v>5</v>
      </c>
      <c r="B92" s="448"/>
      <c r="C92" s="448">
        <f t="shared" si="6"/>
        <v>31</v>
      </c>
      <c r="D92" s="448">
        <f t="shared" si="7"/>
        <v>20</v>
      </c>
      <c r="E92" s="448">
        <f t="shared" si="8"/>
        <v>13</v>
      </c>
      <c r="F92" s="448" t="str">
        <f t="shared" si="9"/>
        <v>pm</v>
      </c>
      <c r="G92" s="448" t="s">
        <v>484</v>
      </c>
      <c r="H92" s="448" t="s">
        <v>485</v>
      </c>
      <c r="I92" s="448" t="s">
        <v>486</v>
      </c>
      <c r="J92" s="449" t="s">
        <v>20</v>
      </c>
      <c r="K92" s="450">
        <f t="shared" si="10"/>
        <v>1482.1099170701641</v>
      </c>
      <c r="L92" s="448"/>
      <c r="M92" s="450">
        <v>1600</v>
      </c>
      <c r="R92" s="450">
        <v>1540.9289312215133</v>
      </c>
      <c r="T92" s="450">
        <v>1471.7276842658753</v>
      </c>
      <c r="V92" s="450">
        <v>1482.1099170701641</v>
      </c>
      <c r="AH92"/>
      <c r="AI92"/>
    </row>
    <row r="93" spans="1:35" s="450" customFormat="1" x14ac:dyDescent="0.25">
      <c r="A93" s="448">
        <v>5</v>
      </c>
      <c r="B93" s="448"/>
      <c r="C93" s="448">
        <f t="shared" si="6"/>
        <v>32</v>
      </c>
      <c r="D93" s="448">
        <f t="shared" si="7"/>
        <v>20</v>
      </c>
      <c r="E93" s="448">
        <f t="shared" si="8"/>
        <v>13</v>
      </c>
      <c r="F93" s="448" t="str">
        <f t="shared" si="9"/>
        <v>pm</v>
      </c>
      <c r="G93" s="448" t="s">
        <v>487</v>
      </c>
      <c r="H93" s="448" t="s">
        <v>485</v>
      </c>
      <c r="I93" s="448" t="s">
        <v>488</v>
      </c>
      <c r="J93" s="449" t="s">
        <v>20</v>
      </c>
      <c r="K93" s="450">
        <f t="shared" si="10"/>
        <v>1624.3375045624421</v>
      </c>
      <c r="L93" s="448"/>
      <c r="M93" s="450">
        <v>1600</v>
      </c>
      <c r="R93" s="450">
        <v>1624.3375045624421</v>
      </c>
      <c r="AH93"/>
      <c r="AI93"/>
    </row>
    <row r="94" spans="1:35" s="450" customFormat="1" x14ac:dyDescent="0.25">
      <c r="A94" s="448">
        <v>7</v>
      </c>
      <c r="B94" s="448"/>
      <c r="C94" s="448">
        <f t="shared" si="6"/>
        <v>33</v>
      </c>
      <c r="D94" s="448">
        <f t="shared" si="7"/>
        <v>20</v>
      </c>
      <c r="E94" s="448">
        <f t="shared" si="8"/>
        <v>13</v>
      </c>
      <c r="F94" s="448" t="str">
        <f t="shared" si="9"/>
        <v>pm</v>
      </c>
      <c r="G94" s="448" t="s">
        <v>489</v>
      </c>
      <c r="H94" s="448" t="s">
        <v>490</v>
      </c>
      <c r="I94" s="448" t="s">
        <v>491</v>
      </c>
      <c r="J94" s="449" t="s">
        <v>20</v>
      </c>
      <c r="K94" s="450">
        <f t="shared" si="10"/>
        <v>1593.8895537160881</v>
      </c>
      <c r="L94" s="448"/>
      <c r="M94" s="450">
        <v>1600</v>
      </c>
      <c r="P94" s="450">
        <v>1540.0355769325172</v>
      </c>
      <c r="R94" s="450">
        <v>1576.7047718940707</v>
      </c>
      <c r="T94" s="450">
        <v>1622.9329591490934</v>
      </c>
      <c r="V94" s="450">
        <v>1593.8895537160881</v>
      </c>
      <c r="AH94"/>
      <c r="AI94"/>
    </row>
    <row r="95" spans="1:35" s="450" customFormat="1" x14ac:dyDescent="0.25">
      <c r="A95" s="448">
        <v>3</v>
      </c>
      <c r="B95" s="448"/>
      <c r="C95" s="448">
        <f t="shared" si="6"/>
        <v>34</v>
      </c>
      <c r="D95" s="448">
        <f t="shared" si="7"/>
        <v>20</v>
      </c>
      <c r="E95" s="448">
        <f t="shared" si="8"/>
        <v>13</v>
      </c>
      <c r="F95" s="448" t="str">
        <f t="shared" si="9"/>
        <v>pm</v>
      </c>
      <c r="G95" s="448" t="s">
        <v>492</v>
      </c>
      <c r="H95" s="448" t="s">
        <v>431</v>
      </c>
      <c r="I95" s="448" t="s">
        <v>493</v>
      </c>
      <c r="J95" s="449" t="s">
        <v>20</v>
      </c>
      <c r="K95" s="450">
        <f t="shared" si="10"/>
        <v>1590.7069587238871</v>
      </c>
      <c r="L95" s="448"/>
      <c r="M95" s="450">
        <v>1600</v>
      </c>
      <c r="R95" s="450">
        <v>1590.7069587238871</v>
      </c>
      <c r="AH95"/>
      <c r="AI95"/>
    </row>
    <row r="96" spans="1:35" s="450" customFormat="1" x14ac:dyDescent="0.25">
      <c r="A96" s="448">
        <v>4</v>
      </c>
      <c r="B96" s="448"/>
      <c r="C96" s="448">
        <f t="shared" si="6"/>
        <v>35</v>
      </c>
      <c r="D96" s="448">
        <f t="shared" si="7"/>
        <v>20</v>
      </c>
      <c r="E96" s="448">
        <f t="shared" si="8"/>
        <v>13</v>
      </c>
      <c r="F96" s="448" t="str">
        <f t="shared" si="9"/>
        <v>pm</v>
      </c>
      <c r="G96" s="448" t="s">
        <v>494</v>
      </c>
      <c r="H96" s="448" t="s">
        <v>495</v>
      </c>
      <c r="I96" s="448" t="s">
        <v>496</v>
      </c>
      <c r="J96" s="449" t="s">
        <v>20</v>
      </c>
      <c r="K96" s="450">
        <f t="shared" si="10"/>
        <v>1543.1249027046999</v>
      </c>
      <c r="L96" s="448"/>
      <c r="M96" s="450">
        <v>1600</v>
      </c>
      <c r="P96" s="450">
        <v>1546.0358684980845</v>
      </c>
      <c r="T96" s="450">
        <v>1543.1249027046999</v>
      </c>
      <c r="AH96"/>
      <c r="AI96"/>
    </row>
    <row r="97" spans="1:35" s="450" customFormat="1" x14ac:dyDescent="0.25">
      <c r="A97" s="448">
        <v>6</v>
      </c>
      <c r="B97" s="448"/>
      <c r="C97" s="448">
        <f t="shared" si="6"/>
        <v>36</v>
      </c>
      <c r="D97" s="448">
        <f t="shared" si="7"/>
        <v>20</v>
      </c>
      <c r="E97" s="448">
        <f t="shared" si="8"/>
        <v>13</v>
      </c>
      <c r="F97" s="448" t="str">
        <f t="shared" si="9"/>
        <v>pm</v>
      </c>
      <c r="G97" s="448" t="s">
        <v>497</v>
      </c>
      <c r="H97" s="448" t="s">
        <v>338</v>
      </c>
      <c r="I97" s="448" t="s">
        <v>498</v>
      </c>
      <c r="J97" s="449" t="s">
        <v>20</v>
      </c>
      <c r="K97" s="450">
        <f t="shared" si="10"/>
        <v>1634.3041815697231</v>
      </c>
      <c r="L97" s="448"/>
      <c r="M97" s="450">
        <v>1600</v>
      </c>
      <c r="R97" s="450">
        <v>1616.8234096527883</v>
      </c>
      <c r="T97" s="450">
        <v>1595.6889931925523</v>
      </c>
      <c r="V97" s="450">
        <v>1634.3041815697231</v>
      </c>
      <c r="AH97"/>
      <c r="AI97"/>
    </row>
    <row r="98" spans="1:35" s="450" customFormat="1" x14ac:dyDescent="0.25">
      <c r="A98" s="448">
        <v>6</v>
      </c>
      <c r="B98" s="448"/>
      <c r="C98" s="448">
        <f t="shared" si="6"/>
        <v>37</v>
      </c>
      <c r="D98" s="448">
        <f t="shared" si="7"/>
        <v>20</v>
      </c>
      <c r="E98" s="448">
        <f t="shared" si="8"/>
        <v>13</v>
      </c>
      <c r="F98" s="448" t="str">
        <f t="shared" si="9"/>
        <v>pm</v>
      </c>
      <c r="G98" s="448" t="s">
        <v>499</v>
      </c>
      <c r="H98" s="448" t="s">
        <v>338</v>
      </c>
      <c r="I98" s="448" t="s">
        <v>500</v>
      </c>
      <c r="J98" s="449" t="s">
        <v>20</v>
      </c>
      <c r="K98" s="450">
        <f t="shared" si="10"/>
        <v>1424.539517337709</v>
      </c>
      <c r="L98" s="448"/>
      <c r="M98" s="450">
        <v>1600</v>
      </c>
      <c r="R98" s="450">
        <v>1511.9591340892896</v>
      </c>
      <c r="T98" s="450">
        <v>1466.8482393616123</v>
      </c>
      <c r="V98" s="450">
        <v>1424.539517337709</v>
      </c>
      <c r="AH98"/>
      <c r="AI98"/>
    </row>
    <row r="99" spans="1:35" s="450" customFormat="1" x14ac:dyDescent="0.25">
      <c r="A99" s="448">
        <v>5</v>
      </c>
      <c r="B99" s="448"/>
      <c r="C99" s="448">
        <f t="shared" si="6"/>
        <v>38</v>
      </c>
      <c r="D99" s="448">
        <f t="shared" si="7"/>
        <v>20</v>
      </c>
      <c r="E99" s="448">
        <f t="shared" si="8"/>
        <v>13</v>
      </c>
      <c r="F99" s="448" t="str">
        <f t="shared" si="9"/>
        <v>pm</v>
      </c>
      <c r="G99" s="448" t="s">
        <v>501</v>
      </c>
      <c r="H99" s="448" t="s">
        <v>391</v>
      </c>
      <c r="I99" s="448" t="s">
        <v>502</v>
      </c>
      <c r="J99" s="449" t="s">
        <v>20</v>
      </c>
      <c r="K99" s="450">
        <f t="shared" si="10"/>
        <v>1753.9958516551837</v>
      </c>
      <c r="L99" s="448"/>
      <c r="M99" s="450">
        <v>1600</v>
      </c>
      <c r="R99" s="450">
        <v>1647.4740230165003</v>
      </c>
      <c r="T99" s="450">
        <v>1726.3713626144149</v>
      </c>
      <c r="V99" s="450">
        <v>1753.9958516551837</v>
      </c>
      <c r="AH99"/>
      <c r="AI99"/>
    </row>
    <row r="100" spans="1:35" s="450" customFormat="1" x14ac:dyDescent="0.25">
      <c r="A100" s="448">
        <v>5</v>
      </c>
      <c r="B100" s="448"/>
      <c r="C100" s="448">
        <f t="shared" si="6"/>
        <v>39</v>
      </c>
      <c r="D100" s="448">
        <f t="shared" si="7"/>
        <v>20</v>
      </c>
      <c r="E100" s="448">
        <f t="shared" si="8"/>
        <v>13</v>
      </c>
      <c r="F100" s="448" t="str">
        <f t="shared" si="9"/>
        <v>pm</v>
      </c>
      <c r="G100" s="448" t="s">
        <v>503</v>
      </c>
      <c r="H100" s="448" t="s">
        <v>504</v>
      </c>
      <c r="I100" s="448" t="s">
        <v>505</v>
      </c>
      <c r="J100" s="449" t="s">
        <v>20</v>
      </c>
      <c r="K100" s="450">
        <f t="shared" si="10"/>
        <v>1585.9506762402145</v>
      </c>
      <c r="L100" s="448"/>
      <c r="M100" s="450">
        <v>1600</v>
      </c>
      <c r="R100" s="450">
        <v>1639.4730821157075</v>
      </c>
      <c r="T100" s="450">
        <v>1613.0329052350071</v>
      </c>
      <c r="V100" s="450">
        <v>1585.9506762402145</v>
      </c>
      <c r="AH100"/>
      <c r="AI100"/>
    </row>
    <row r="101" spans="1:35" s="450" customFormat="1" x14ac:dyDescent="0.25">
      <c r="A101" s="448">
        <v>3</v>
      </c>
      <c r="B101" s="448"/>
      <c r="C101" s="448">
        <f t="shared" si="6"/>
        <v>40</v>
      </c>
      <c r="D101" s="448">
        <f t="shared" si="7"/>
        <v>20</v>
      </c>
      <c r="E101" s="448">
        <f t="shared" si="8"/>
        <v>13</v>
      </c>
      <c r="F101" s="448" t="str">
        <f t="shared" si="9"/>
        <v>pm</v>
      </c>
      <c r="G101" s="448" t="s">
        <v>506</v>
      </c>
      <c r="H101" s="448" t="s">
        <v>335</v>
      </c>
      <c r="I101" s="448" t="s">
        <v>507</v>
      </c>
      <c r="J101" s="449" t="s">
        <v>20</v>
      </c>
      <c r="K101" s="450">
        <f t="shared" si="10"/>
        <v>1519.2343150248782</v>
      </c>
      <c r="L101" s="448"/>
      <c r="M101" s="450">
        <v>1600</v>
      </c>
      <c r="V101" s="450">
        <v>1519.2343150248782</v>
      </c>
      <c r="AH101"/>
      <c r="AI101"/>
    </row>
    <row r="102" spans="1:35" s="450" customFormat="1" x14ac:dyDescent="0.25">
      <c r="A102" s="448">
        <v>3</v>
      </c>
      <c r="B102" s="448"/>
      <c r="C102" s="448">
        <f t="shared" si="6"/>
        <v>41</v>
      </c>
      <c r="D102" s="448">
        <f t="shared" si="7"/>
        <v>41</v>
      </c>
      <c r="E102" s="448">
        <f t="shared" si="8"/>
        <v>13</v>
      </c>
      <c r="F102" s="448" t="str">
        <f t="shared" si="9"/>
        <v>pm</v>
      </c>
      <c r="G102" s="448" t="s">
        <v>508</v>
      </c>
      <c r="H102" s="448" t="s">
        <v>365</v>
      </c>
      <c r="I102" s="448" t="s">
        <v>509</v>
      </c>
      <c r="J102" s="449" t="s">
        <v>301</v>
      </c>
      <c r="K102" s="450">
        <f t="shared" si="10"/>
        <v>1261.8357619275132</v>
      </c>
      <c r="L102" s="448"/>
      <c r="M102" s="450">
        <v>1200</v>
      </c>
      <c r="R102" s="450">
        <v>1251.7655011857189</v>
      </c>
      <c r="T102" s="450">
        <v>1278.4897521966338</v>
      </c>
      <c r="V102" s="450">
        <v>1261.8357619275132</v>
      </c>
      <c r="AH102"/>
      <c r="AI102"/>
    </row>
    <row r="103" spans="1:35" s="450" customFormat="1" x14ac:dyDescent="0.25">
      <c r="A103" s="448">
        <v>2</v>
      </c>
      <c r="B103" s="448"/>
      <c r="C103" s="448">
        <f t="shared" si="6"/>
        <v>1</v>
      </c>
      <c r="D103" s="448">
        <f t="shared" si="7"/>
        <v>1</v>
      </c>
      <c r="E103" s="448">
        <f t="shared" si="8"/>
        <v>14</v>
      </c>
      <c r="F103" s="448" t="str">
        <f t="shared" si="9"/>
        <v>pm</v>
      </c>
      <c r="G103" s="448" t="s">
        <v>510</v>
      </c>
      <c r="H103" s="448" t="s">
        <v>303</v>
      </c>
      <c r="I103" s="448" t="s">
        <v>511</v>
      </c>
      <c r="J103" s="449" t="s">
        <v>21</v>
      </c>
      <c r="K103" s="450">
        <f t="shared" si="10"/>
        <v>2398.996097103628</v>
      </c>
      <c r="L103" s="448"/>
      <c r="M103" s="450">
        <v>2200</v>
      </c>
      <c r="S103" s="450">
        <v>2311.0807161779258</v>
      </c>
      <c r="U103" s="450">
        <v>2398.996097103628</v>
      </c>
      <c r="AH103"/>
      <c r="AI103"/>
    </row>
    <row r="104" spans="1:35" s="450" customFormat="1" x14ac:dyDescent="0.25">
      <c r="A104" s="448">
        <v>3</v>
      </c>
      <c r="B104" s="448"/>
      <c r="C104" s="448">
        <f t="shared" si="6"/>
        <v>2</v>
      </c>
      <c r="D104" s="448">
        <f t="shared" si="7"/>
        <v>1</v>
      </c>
      <c r="E104" s="448">
        <f t="shared" si="8"/>
        <v>14</v>
      </c>
      <c r="F104" s="448" t="str">
        <f t="shared" si="9"/>
        <v>pm</v>
      </c>
      <c r="G104" s="448" t="s">
        <v>512</v>
      </c>
      <c r="H104" s="448" t="s">
        <v>303</v>
      </c>
      <c r="I104" s="448" t="s">
        <v>513</v>
      </c>
      <c r="J104" s="449" t="s">
        <v>21</v>
      </c>
      <c r="K104" s="450">
        <f t="shared" si="10"/>
        <v>2019.8522816770092</v>
      </c>
      <c r="L104" s="448"/>
      <c r="M104" s="450">
        <v>2200</v>
      </c>
      <c r="S104" s="450">
        <v>2092.2750042388857</v>
      </c>
      <c r="U104" s="450">
        <v>2019.8522816770092</v>
      </c>
      <c r="AH104"/>
      <c r="AI104"/>
    </row>
    <row r="105" spans="1:35" s="450" customFormat="1" x14ac:dyDescent="0.25">
      <c r="A105" s="448">
        <v>2</v>
      </c>
      <c r="B105" s="448"/>
      <c r="C105" s="448">
        <f t="shared" si="6"/>
        <v>3</v>
      </c>
      <c r="D105" s="448">
        <f t="shared" si="7"/>
        <v>1</v>
      </c>
      <c r="E105" s="448">
        <f t="shared" si="8"/>
        <v>14</v>
      </c>
      <c r="F105" s="448" t="str">
        <f t="shared" si="9"/>
        <v>pm</v>
      </c>
      <c r="G105" s="448" t="s">
        <v>186</v>
      </c>
      <c r="H105" s="448" t="s">
        <v>437</v>
      </c>
      <c r="I105" s="448" t="s">
        <v>185</v>
      </c>
      <c r="J105" s="449" t="s">
        <v>21</v>
      </c>
      <c r="K105" s="450">
        <f t="shared" si="10"/>
        <v>2196.0325393983621</v>
      </c>
      <c r="L105" s="448"/>
      <c r="M105" s="450">
        <v>2200</v>
      </c>
      <c r="O105" s="450">
        <v>2120.4974639095253</v>
      </c>
      <c r="W105" s="450">
        <v>2196.0325393983621</v>
      </c>
      <c r="AH105"/>
      <c r="AI105"/>
    </row>
    <row r="106" spans="1:35" s="450" customFormat="1" x14ac:dyDescent="0.25">
      <c r="A106" s="448">
        <v>3</v>
      </c>
      <c r="B106" s="448"/>
      <c r="C106" s="448">
        <f t="shared" si="6"/>
        <v>4</v>
      </c>
      <c r="D106" s="448">
        <f t="shared" si="7"/>
        <v>1</v>
      </c>
      <c r="E106" s="448">
        <f t="shared" si="8"/>
        <v>14</v>
      </c>
      <c r="F106" s="448" t="str">
        <f t="shared" si="9"/>
        <v>pm</v>
      </c>
      <c r="G106" s="448" t="s">
        <v>514</v>
      </c>
      <c r="H106" s="448" t="s">
        <v>296</v>
      </c>
      <c r="I106" s="448" t="s">
        <v>515</v>
      </c>
      <c r="J106" s="449" t="s">
        <v>21</v>
      </c>
      <c r="K106" s="450">
        <f t="shared" si="10"/>
        <v>2315.2483412329166</v>
      </c>
      <c r="L106" s="448"/>
      <c r="M106" s="450">
        <v>2200</v>
      </c>
      <c r="O106" s="450">
        <v>2257.1292784787197</v>
      </c>
      <c r="U106" s="450">
        <v>2315.2483412329166</v>
      </c>
      <c r="AH106"/>
      <c r="AI106"/>
    </row>
    <row r="107" spans="1:35" s="450" customFormat="1" x14ac:dyDescent="0.25">
      <c r="A107" s="448">
        <v>4</v>
      </c>
      <c r="B107" s="448"/>
      <c r="C107" s="448">
        <f t="shared" si="6"/>
        <v>5</v>
      </c>
      <c r="D107" s="448">
        <f t="shared" si="7"/>
        <v>1</v>
      </c>
      <c r="E107" s="448">
        <f t="shared" si="8"/>
        <v>14</v>
      </c>
      <c r="F107" s="448" t="str">
        <f t="shared" si="9"/>
        <v>pm</v>
      </c>
      <c r="G107" s="448" t="s">
        <v>180</v>
      </c>
      <c r="H107" s="448" t="s">
        <v>296</v>
      </c>
      <c r="I107" s="448" t="s">
        <v>179</v>
      </c>
      <c r="J107" s="449" t="s">
        <v>21</v>
      </c>
      <c r="K107" s="450">
        <f t="shared" si="10"/>
        <v>2173.2017572431046</v>
      </c>
      <c r="L107" s="448"/>
      <c r="M107" s="450">
        <v>2200</v>
      </c>
      <c r="O107" s="450">
        <v>2175.0809426337946</v>
      </c>
      <c r="U107" s="450">
        <v>2169.631559284067</v>
      </c>
      <c r="W107" s="450">
        <v>2173.2017572431046</v>
      </c>
      <c r="AH107"/>
      <c r="AI107"/>
    </row>
    <row r="108" spans="1:35" s="450" customFormat="1" x14ac:dyDescent="0.25">
      <c r="A108" s="448">
        <v>5</v>
      </c>
      <c r="B108" s="448"/>
      <c r="C108" s="448">
        <f t="shared" si="6"/>
        <v>6</v>
      </c>
      <c r="D108" s="448">
        <f t="shared" si="7"/>
        <v>1</v>
      </c>
      <c r="E108" s="448">
        <f t="shared" si="8"/>
        <v>14</v>
      </c>
      <c r="F108" s="448" t="str">
        <f t="shared" si="9"/>
        <v>pm</v>
      </c>
      <c r="G108" s="448" t="s">
        <v>172</v>
      </c>
      <c r="H108" s="448" t="s">
        <v>350</v>
      </c>
      <c r="I108" s="448" t="s">
        <v>171</v>
      </c>
      <c r="J108" s="449" t="s">
        <v>21</v>
      </c>
      <c r="K108" s="450">
        <f t="shared" si="10"/>
        <v>2184.2316563500076</v>
      </c>
      <c r="L108" s="448"/>
      <c r="M108" s="450">
        <v>2200</v>
      </c>
      <c r="O108" s="450">
        <v>2166.7823153530389</v>
      </c>
      <c r="U108" s="450">
        <v>2197.2309027352453</v>
      </c>
      <c r="W108" s="450">
        <v>2184.2316563500076</v>
      </c>
      <c r="AH108"/>
      <c r="AI108"/>
    </row>
    <row r="109" spans="1:35" s="450" customFormat="1" x14ac:dyDescent="0.25">
      <c r="A109" s="448">
        <v>5</v>
      </c>
      <c r="B109" s="448"/>
      <c r="C109" s="448">
        <f t="shared" si="6"/>
        <v>7</v>
      </c>
      <c r="D109" s="448">
        <f t="shared" si="7"/>
        <v>1</v>
      </c>
      <c r="E109" s="448">
        <f t="shared" si="8"/>
        <v>14</v>
      </c>
      <c r="F109" s="448" t="str">
        <f t="shared" si="9"/>
        <v>pm</v>
      </c>
      <c r="G109" s="448" t="s">
        <v>516</v>
      </c>
      <c r="H109" s="448" t="s">
        <v>353</v>
      </c>
      <c r="I109" s="448" t="s">
        <v>517</v>
      </c>
      <c r="J109" s="449" t="s">
        <v>21</v>
      </c>
      <c r="K109" s="450">
        <f t="shared" si="10"/>
        <v>2377.0953269100501</v>
      </c>
      <c r="L109" s="448"/>
      <c r="M109" s="450">
        <v>2200</v>
      </c>
      <c r="O109" s="450">
        <v>2180.5987194531212</v>
      </c>
      <c r="S109" s="450">
        <v>2250.3476060341486</v>
      </c>
      <c r="U109" s="450">
        <v>2316.2969734080621</v>
      </c>
      <c r="W109" s="450">
        <v>2377.0953269100501</v>
      </c>
      <c r="AH109"/>
      <c r="AI109"/>
    </row>
    <row r="110" spans="1:35" s="450" customFormat="1" x14ac:dyDescent="0.25">
      <c r="A110" s="448">
        <v>6</v>
      </c>
      <c r="B110" s="448"/>
      <c r="C110" s="448">
        <f t="shared" si="6"/>
        <v>8</v>
      </c>
      <c r="D110" s="448">
        <f t="shared" si="7"/>
        <v>1</v>
      </c>
      <c r="E110" s="448">
        <f t="shared" si="8"/>
        <v>14</v>
      </c>
      <c r="F110" s="448" t="str">
        <f t="shared" si="9"/>
        <v>pm</v>
      </c>
      <c r="G110" s="448" t="s">
        <v>188</v>
      </c>
      <c r="H110" s="448" t="s">
        <v>353</v>
      </c>
      <c r="I110" s="448" t="s">
        <v>187</v>
      </c>
      <c r="J110" s="449" t="s">
        <v>21</v>
      </c>
      <c r="K110" s="450">
        <f t="shared" si="10"/>
        <v>2110.9821884141811</v>
      </c>
      <c r="L110" s="448"/>
      <c r="M110" s="450">
        <v>2200</v>
      </c>
      <c r="O110" s="450">
        <v>2136.9547286873108</v>
      </c>
      <c r="Q110" s="450">
        <v>2208.3131101752324</v>
      </c>
      <c r="S110" s="450">
        <v>2195.9003251665326</v>
      </c>
      <c r="U110" s="450">
        <v>2118.0809304980062</v>
      </c>
      <c r="W110" s="450">
        <v>2110.9821884141811</v>
      </c>
      <c r="AH110"/>
      <c r="AI110"/>
    </row>
    <row r="111" spans="1:35" s="450" customFormat="1" x14ac:dyDescent="0.25">
      <c r="A111" s="448">
        <v>1</v>
      </c>
      <c r="B111" s="448"/>
      <c r="C111" s="448">
        <f t="shared" si="6"/>
        <v>9</v>
      </c>
      <c r="D111" s="448">
        <f t="shared" si="7"/>
        <v>1</v>
      </c>
      <c r="E111" s="448">
        <f t="shared" si="8"/>
        <v>14</v>
      </c>
      <c r="F111" s="448" t="str">
        <f t="shared" si="9"/>
        <v>pmx</v>
      </c>
      <c r="G111" s="448" t="s">
        <v>518</v>
      </c>
      <c r="H111" s="448" t="s">
        <v>371</v>
      </c>
      <c r="I111" s="448" t="s">
        <v>519</v>
      </c>
      <c r="J111" s="449" t="s">
        <v>21</v>
      </c>
      <c r="K111" s="450">
        <f t="shared" si="10"/>
        <v>2234.7732834134567</v>
      </c>
      <c r="L111" s="448"/>
      <c r="M111" s="450">
        <v>2200</v>
      </c>
      <c r="U111" s="450">
        <v>2234.7732834134567</v>
      </c>
      <c r="AH111"/>
      <c r="AI111"/>
    </row>
    <row r="112" spans="1:35" s="450" customFormat="1" x14ac:dyDescent="0.25">
      <c r="A112" s="448">
        <v>2</v>
      </c>
      <c r="B112" s="448"/>
      <c r="C112" s="448">
        <f t="shared" si="6"/>
        <v>10</v>
      </c>
      <c r="D112" s="448">
        <f t="shared" si="7"/>
        <v>1</v>
      </c>
      <c r="E112" s="448">
        <f t="shared" si="8"/>
        <v>14</v>
      </c>
      <c r="F112" s="448" t="str">
        <f t="shared" si="9"/>
        <v>pm</v>
      </c>
      <c r="G112" s="448" t="s">
        <v>520</v>
      </c>
      <c r="H112" s="448" t="s">
        <v>371</v>
      </c>
      <c r="I112" s="448" t="s">
        <v>521</v>
      </c>
      <c r="J112" s="449" t="s">
        <v>21</v>
      </c>
      <c r="K112" s="450">
        <f t="shared" si="10"/>
        <v>2075.0837694627789</v>
      </c>
      <c r="L112" s="448"/>
      <c r="M112" s="450">
        <v>2200</v>
      </c>
      <c r="O112" s="450">
        <v>2104.8159469865618</v>
      </c>
      <c r="U112" s="450">
        <v>2075.0837694627789</v>
      </c>
      <c r="AH112"/>
      <c r="AI112"/>
    </row>
    <row r="113" spans="1:35" s="450" customFormat="1" x14ac:dyDescent="0.25">
      <c r="A113" s="448">
        <v>5</v>
      </c>
      <c r="B113" s="448"/>
      <c r="C113" s="448">
        <f t="shared" si="6"/>
        <v>11</v>
      </c>
      <c r="D113" s="448">
        <f t="shared" si="7"/>
        <v>1</v>
      </c>
      <c r="E113" s="448">
        <f t="shared" si="8"/>
        <v>14</v>
      </c>
      <c r="F113" s="448" t="str">
        <f t="shared" si="9"/>
        <v>pm</v>
      </c>
      <c r="G113" s="448" t="s">
        <v>174</v>
      </c>
      <c r="H113" s="448" t="s">
        <v>374</v>
      </c>
      <c r="I113" s="448" t="s">
        <v>173</v>
      </c>
      <c r="J113" s="449" t="s">
        <v>21</v>
      </c>
      <c r="K113" s="450">
        <f t="shared" si="10"/>
        <v>2146.3221088039863</v>
      </c>
      <c r="L113" s="448"/>
      <c r="M113" s="450">
        <v>2200</v>
      </c>
      <c r="O113" s="450">
        <v>2192.5369343564885</v>
      </c>
      <c r="W113" s="450">
        <v>2146.3221088039863</v>
      </c>
      <c r="AH113"/>
      <c r="AI113"/>
    </row>
    <row r="114" spans="1:35" s="450" customFormat="1" x14ac:dyDescent="0.25">
      <c r="A114" s="448">
        <v>4</v>
      </c>
      <c r="B114" s="448"/>
      <c r="C114" s="448">
        <f t="shared" si="6"/>
        <v>12</v>
      </c>
      <c r="D114" s="448">
        <f t="shared" si="7"/>
        <v>1</v>
      </c>
      <c r="E114" s="448">
        <f t="shared" si="8"/>
        <v>14</v>
      </c>
      <c r="F114" s="448" t="str">
        <f t="shared" si="9"/>
        <v>pm</v>
      </c>
      <c r="G114" s="448" t="s">
        <v>176</v>
      </c>
      <c r="H114" s="448" t="s">
        <v>374</v>
      </c>
      <c r="I114" s="448" t="s">
        <v>175</v>
      </c>
      <c r="J114" s="449" t="s">
        <v>21</v>
      </c>
      <c r="K114" s="450">
        <f t="shared" si="10"/>
        <v>2107.8946708286217</v>
      </c>
      <c r="L114" s="448"/>
      <c r="M114" s="450">
        <v>2200</v>
      </c>
      <c r="U114" s="450">
        <v>2186.8300605333634</v>
      </c>
      <c r="W114" s="450">
        <v>2107.8946708286217</v>
      </c>
      <c r="AH114"/>
      <c r="AI114"/>
    </row>
    <row r="115" spans="1:35" s="450" customFormat="1" x14ac:dyDescent="0.25">
      <c r="A115" s="448">
        <v>6</v>
      </c>
      <c r="B115" s="448"/>
      <c r="C115" s="448">
        <f t="shared" si="6"/>
        <v>13</v>
      </c>
      <c r="D115" s="448">
        <f t="shared" si="7"/>
        <v>1</v>
      </c>
      <c r="E115" s="448">
        <f t="shared" si="8"/>
        <v>14</v>
      </c>
      <c r="F115" s="448" t="str">
        <f t="shared" si="9"/>
        <v>pm</v>
      </c>
      <c r="G115" s="448" t="s">
        <v>194</v>
      </c>
      <c r="H115" s="448" t="s">
        <v>374</v>
      </c>
      <c r="I115" s="448" t="s">
        <v>193</v>
      </c>
      <c r="J115" s="449" t="s">
        <v>21</v>
      </c>
      <c r="K115" s="450">
        <f t="shared" si="10"/>
        <v>1999.2074170421029</v>
      </c>
      <c r="L115" s="448"/>
      <c r="M115" s="450">
        <v>2200</v>
      </c>
      <c r="Q115" s="450">
        <v>2163.7344821514484</v>
      </c>
      <c r="S115" s="450">
        <v>2076.1154229393692</v>
      </c>
      <c r="U115" s="450">
        <v>2047.8105361849766</v>
      </c>
      <c r="W115" s="450">
        <v>1999.2074170421029</v>
      </c>
      <c r="AH115"/>
      <c r="AI115"/>
    </row>
    <row r="116" spans="1:35" s="450" customFormat="1" x14ac:dyDescent="0.25">
      <c r="A116" s="448">
        <v>6</v>
      </c>
      <c r="B116" s="448"/>
      <c r="C116" s="448">
        <f t="shared" si="6"/>
        <v>14</v>
      </c>
      <c r="D116" s="448">
        <f t="shared" si="7"/>
        <v>1</v>
      </c>
      <c r="E116" s="448">
        <f t="shared" si="8"/>
        <v>14</v>
      </c>
      <c r="F116" s="448" t="str">
        <f t="shared" si="9"/>
        <v>pm</v>
      </c>
      <c r="G116" s="448" t="s">
        <v>199</v>
      </c>
      <c r="H116" s="448" t="s">
        <v>374</v>
      </c>
      <c r="I116" s="448" t="s">
        <v>198</v>
      </c>
      <c r="J116" s="449" t="s">
        <v>21</v>
      </c>
      <c r="K116" s="450">
        <f t="shared" si="10"/>
        <v>1833.752728897409</v>
      </c>
      <c r="L116" s="448"/>
      <c r="M116" s="450">
        <v>2200</v>
      </c>
      <c r="Q116" s="450">
        <v>2088.3530041259473</v>
      </c>
      <c r="S116" s="450">
        <v>1955.6661733617088</v>
      </c>
      <c r="U116" s="450">
        <v>1875.9252781891223</v>
      </c>
      <c r="W116" s="450">
        <v>1833.752728897409</v>
      </c>
      <c r="AH116"/>
      <c r="AI116"/>
    </row>
    <row r="117" spans="1:35" s="450" customFormat="1" x14ac:dyDescent="0.25">
      <c r="A117" s="448">
        <v>4</v>
      </c>
      <c r="B117" s="448"/>
      <c r="C117" s="448">
        <f t="shared" si="6"/>
        <v>15</v>
      </c>
      <c r="D117" s="448">
        <f t="shared" si="7"/>
        <v>1</v>
      </c>
      <c r="E117" s="448">
        <f t="shared" si="8"/>
        <v>14</v>
      </c>
      <c r="F117" s="448" t="str">
        <f t="shared" si="9"/>
        <v>pm</v>
      </c>
      <c r="G117" s="448" t="s">
        <v>178</v>
      </c>
      <c r="H117" s="448" t="s">
        <v>374</v>
      </c>
      <c r="I117" s="448" t="s">
        <v>177</v>
      </c>
      <c r="J117" s="449" t="s">
        <v>21</v>
      </c>
      <c r="K117" s="450">
        <f t="shared" si="10"/>
        <v>2225.1716306926123</v>
      </c>
      <c r="L117" s="448"/>
      <c r="M117" s="450">
        <v>2200</v>
      </c>
      <c r="U117" s="450">
        <v>2183.6636711289457</v>
      </c>
      <c r="W117" s="450">
        <v>2225.1716306926123</v>
      </c>
      <c r="AH117"/>
      <c r="AI117"/>
    </row>
    <row r="118" spans="1:35" s="450" customFormat="1" x14ac:dyDescent="0.25">
      <c r="A118" s="448">
        <v>4</v>
      </c>
      <c r="B118" s="448"/>
      <c r="C118" s="448">
        <f t="shared" si="6"/>
        <v>16</v>
      </c>
      <c r="D118" s="448">
        <f t="shared" si="7"/>
        <v>1</v>
      </c>
      <c r="E118" s="448">
        <f t="shared" si="8"/>
        <v>14</v>
      </c>
      <c r="F118" s="448" t="str">
        <f t="shared" si="9"/>
        <v>pm</v>
      </c>
      <c r="G118" s="448" t="s">
        <v>182</v>
      </c>
      <c r="H118" s="448" t="s">
        <v>306</v>
      </c>
      <c r="I118" s="448" t="s">
        <v>181</v>
      </c>
      <c r="J118" s="449" t="s">
        <v>21</v>
      </c>
      <c r="K118" s="450">
        <f t="shared" si="10"/>
        <v>2171.9219347845096</v>
      </c>
      <c r="L118" s="448"/>
      <c r="M118" s="450">
        <v>2200</v>
      </c>
      <c r="U118" s="450">
        <v>2134.1731065083045</v>
      </c>
      <c r="W118" s="450">
        <v>2171.9219347845096</v>
      </c>
      <c r="AH118"/>
      <c r="AI118"/>
    </row>
    <row r="119" spans="1:35" s="450" customFormat="1" x14ac:dyDescent="0.25">
      <c r="A119" s="448">
        <v>3</v>
      </c>
      <c r="B119" s="448"/>
      <c r="C119" s="448">
        <f t="shared" si="6"/>
        <v>17</v>
      </c>
      <c r="D119" s="448">
        <f t="shared" si="7"/>
        <v>1</v>
      </c>
      <c r="E119" s="448">
        <f t="shared" si="8"/>
        <v>14</v>
      </c>
      <c r="F119" s="448" t="str">
        <f t="shared" si="9"/>
        <v>pm</v>
      </c>
      <c r="G119" s="448" t="s">
        <v>522</v>
      </c>
      <c r="H119" s="448" t="s">
        <v>523</v>
      </c>
      <c r="I119" s="448" t="s">
        <v>524</v>
      </c>
      <c r="J119" s="449" t="s">
        <v>21</v>
      </c>
      <c r="K119" s="450">
        <f t="shared" si="10"/>
        <v>2156.2324864205407</v>
      </c>
      <c r="L119" s="448"/>
      <c r="M119" s="450">
        <v>2200</v>
      </c>
      <c r="O119" s="450">
        <v>2156.2324864205407</v>
      </c>
      <c r="AH119"/>
      <c r="AI119"/>
    </row>
    <row r="120" spans="1:35" s="450" customFormat="1" x14ac:dyDescent="0.25">
      <c r="A120" s="448">
        <v>3</v>
      </c>
      <c r="B120" s="448"/>
      <c r="C120" s="448">
        <f t="shared" si="6"/>
        <v>18</v>
      </c>
      <c r="D120" s="448">
        <f t="shared" si="7"/>
        <v>1</v>
      </c>
      <c r="E120" s="448">
        <f t="shared" si="8"/>
        <v>14</v>
      </c>
      <c r="F120" s="448" t="str">
        <f t="shared" si="9"/>
        <v>pm</v>
      </c>
      <c r="G120" s="448" t="s">
        <v>525</v>
      </c>
      <c r="H120" s="448" t="s">
        <v>523</v>
      </c>
      <c r="I120" s="448" t="s">
        <v>526</v>
      </c>
      <c r="J120" s="449" t="s">
        <v>21</v>
      </c>
      <c r="K120" s="450">
        <f t="shared" si="10"/>
        <v>2202.1728034434786</v>
      </c>
      <c r="L120" s="448"/>
      <c r="M120" s="450">
        <v>2200</v>
      </c>
      <c r="O120" s="450">
        <v>2202.1728034434786</v>
      </c>
      <c r="AH120"/>
      <c r="AI120"/>
    </row>
    <row r="121" spans="1:35" s="450" customFormat="1" x14ac:dyDescent="0.25">
      <c r="A121" s="448">
        <v>1</v>
      </c>
      <c r="B121" s="448"/>
      <c r="C121" s="448">
        <f t="shared" si="6"/>
        <v>19</v>
      </c>
      <c r="D121" s="448">
        <f t="shared" si="7"/>
        <v>1</v>
      </c>
      <c r="E121" s="448">
        <f t="shared" si="8"/>
        <v>14</v>
      </c>
      <c r="F121" s="448" t="str">
        <f t="shared" si="9"/>
        <v>pmx</v>
      </c>
      <c r="G121" s="448" t="s">
        <v>527</v>
      </c>
      <c r="H121" s="448" t="s">
        <v>330</v>
      </c>
      <c r="I121" s="448" t="s">
        <v>528</v>
      </c>
      <c r="J121" s="449" t="s">
        <v>21</v>
      </c>
      <c r="K121" s="450">
        <f t="shared" si="10"/>
        <v>2306.8327545238444</v>
      </c>
      <c r="L121" s="448"/>
      <c r="M121" s="450">
        <v>2200</v>
      </c>
      <c r="S121" s="450">
        <v>2306.8327545238444</v>
      </c>
      <c r="AH121"/>
      <c r="AI121"/>
    </row>
    <row r="122" spans="1:35" s="450" customFormat="1" x14ac:dyDescent="0.25">
      <c r="A122" s="448">
        <v>2</v>
      </c>
      <c r="B122" s="448"/>
      <c r="C122" s="448">
        <f t="shared" si="6"/>
        <v>20</v>
      </c>
      <c r="D122" s="448">
        <f t="shared" si="7"/>
        <v>1</v>
      </c>
      <c r="E122" s="448">
        <f t="shared" si="8"/>
        <v>14</v>
      </c>
      <c r="F122" s="448" t="str">
        <f t="shared" si="9"/>
        <v>pm</v>
      </c>
      <c r="G122" s="448" t="s">
        <v>168</v>
      </c>
      <c r="H122" s="448" t="s">
        <v>330</v>
      </c>
      <c r="I122" s="448" t="s">
        <v>167</v>
      </c>
      <c r="J122" s="449" t="s">
        <v>21</v>
      </c>
      <c r="K122" s="450">
        <f t="shared" si="10"/>
        <v>2289.1242881784647</v>
      </c>
      <c r="L122" s="448"/>
      <c r="M122" s="450">
        <v>2200</v>
      </c>
      <c r="S122" s="450">
        <v>2267.1704673081986</v>
      </c>
      <c r="W122" s="450">
        <v>2289.1242881784647</v>
      </c>
      <c r="AH122"/>
      <c r="AI122"/>
    </row>
    <row r="123" spans="1:35" s="450" customFormat="1" x14ac:dyDescent="0.25">
      <c r="A123" s="448">
        <v>3</v>
      </c>
      <c r="B123" s="448"/>
      <c r="C123" s="448">
        <f t="shared" si="6"/>
        <v>21</v>
      </c>
      <c r="D123" s="448">
        <f t="shared" si="7"/>
        <v>1</v>
      </c>
      <c r="E123" s="448">
        <f t="shared" si="8"/>
        <v>14</v>
      </c>
      <c r="F123" s="448" t="str">
        <f t="shared" si="9"/>
        <v>pm</v>
      </c>
      <c r="G123" s="448" t="s">
        <v>170</v>
      </c>
      <c r="H123" s="448" t="s">
        <v>330</v>
      </c>
      <c r="I123" s="448" t="s">
        <v>169</v>
      </c>
      <c r="J123" s="449" t="s">
        <v>21</v>
      </c>
      <c r="K123" s="450">
        <f t="shared" si="10"/>
        <v>2251.8869834915113</v>
      </c>
      <c r="L123" s="448"/>
      <c r="M123" s="450">
        <v>2200</v>
      </c>
      <c r="S123" s="450">
        <v>2229.3799913634903</v>
      </c>
      <c r="V123" s="450">
        <v>2220.2025999969192</v>
      </c>
      <c r="W123" s="450">
        <v>2251.8869834915113</v>
      </c>
      <c r="AH123"/>
      <c r="AI123"/>
    </row>
    <row r="124" spans="1:35" s="450" customFormat="1" x14ac:dyDescent="0.25">
      <c r="A124" s="448">
        <v>1</v>
      </c>
      <c r="B124" s="448"/>
      <c r="C124" s="448">
        <f t="shared" si="6"/>
        <v>22</v>
      </c>
      <c r="D124" s="448">
        <f t="shared" si="7"/>
        <v>1</v>
      </c>
      <c r="E124" s="448">
        <f t="shared" si="8"/>
        <v>14</v>
      </c>
      <c r="F124" s="448" t="str">
        <f t="shared" si="9"/>
        <v>pmx</v>
      </c>
      <c r="G124" s="448" t="s">
        <v>529</v>
      </c>
      <c r="H124" s="448" t="s">
        <v>293</v>
      </c>
      <c r="I124" s="448" t="s">
        <v>530</v>
      </c>
      <c r="J124" s="449" t="s">
        <v>21</v>
      </c>
      <c r="K124" s="450">
        <f t="shared" si="10"/>
        <v>2200</v>
      </c>
      <c r="L124" s="448"/>
      <c r="M124" s="450">
        <v>2200</v>
      </c>
      <c r="AH124"/>
      <c r="AI124"/>
    </row>
    <row r="125" spans="1:35" s="450" customFormat="1" x14ac:dyDescent="0.25">
      <c r="A125" s="448">
        <v>4</v>
      </c>
      <c r="B125" s="448"/>
      <c r="C125" s="448">
        <f t="shared" si="6"/>
        <v>23</v>
      </c>
      <c r="D125" s="448">
        <f t="shared" si="7"/>
        <v>1</v>
      </c>
      <c r="E125" s="448">
        <f t="shared" si="8"/>
        <v>14</v>
      </c>
      <c r="F125" s="448" t="str">
        <f t="shared" si="9"/>
        <v>pm</v>
      </c>
      <c r="G125" s="448" t="s">
        <v>531</v>
      </c>
      <c r="H125" s="448" t="s">
        <v>319</v>
      </c>
      <c r="I125" s="448" t="s">
        <v>532</v>
      </c>
      <c r="J125" s="449" t="s">
        <v>21</v>
      </c>
      <c r="K125" s="450">
        <f t="shared" si="10"/>
        <v>2227.7056095642806</v>
      </c>
      <c r="L125" s="448"/>
      <c r="M125" s="450">
        <v>2200</v>
      </c>
      <c r="O125" s="450">
        <v>2237.4859062594396</v>
      </c>
      <c r="S125" s="450">
        <v>2234.6390291425291</v>
      </c>
      <c r="U125" s="450">
        <v>2227.7056095642806</v>
      </c>
      <c r="AH125"/>
      <c r="AI125"/>
    </row>
    <row r="126" spans="1:35" s="450" customFormat="1" x14ac:dyDescent="0.25">
      <c r="A126" s="448">
        <v>4</v>
      </c>
      <c r="B126" s="448"/>
      <c r="C126" s="448">
        <f t="shared" si="6"/>
        <v>24</v>
      </c>
      <c r="D126" s="448">
        <f t="shared" si="7"/>
        <v>1</v>
      </c>
      <c r="E126" s="448">
        <f t="shared" si="8"/>
        <v>14</v>
      </c>
      <c r="F126" s="448" t="str">
        <f t="shared" si="9"/>
        <v>pm</v>
      </c>
      <c r="G126" s="448" t="s">
        <v>533</v>
      </c>
      <c r="H126" s="448" t="s">
        <v>319</v>
      </c>
      <c r="I126" s="448" t="s">
        <v>534</v>
      </c>
      <c r="J126" s="449" t="s">
        <v>21</v>
      </c>
      <c r="K126" s="450">
        <f t="shared" si="10"/>
        <v>2181.6712479640219</v>
      </c>
      <c r="L126" s="448"/>
      <c r="M126" s="450">
        <v>2200</v>
      </c>
      <c r="O126" s="450">
        <v>2210.6639227494029</v>
      </c>
      <c r="S126" s="450">
        <v>2180.5396784301838</v>
      </c>
      <c r="U126" s="450">
        <v>2181.6712479640219</v>
      </c>
      <c r="AH126"/>
      <c r="AI126"/>
    </row>
    <row r="127" spans="1:35" s="450" customFormat="1" x14ac:dyDescent="0.25">
      <c r="A127" s="448">
        <v>5</v>
      </c>
      <c r="B127" s="448"/>
      <c r="C127" s="448">
        <f t="shared" si="6"/>
        <v>25</v>
      </c>
      <c r="D127" s="448">
        <f t="shared" si="7"/>
        <v>1</v>
      </c>
      <c r="E127" s="448">
        <f t="shared" si="8"/>
        <v>14</v>
      </c>
      <c r="F127" s="448" t="str">
        <f t="shared" si="9"/>
        <v>pm</v>
      </c>
      <c r="G127" s="448" t="s">
        <v>166</v>
      </c>
      <c r="H127" s="448" t="s">
        <v>338</v>
      </c>
      <c r="I127" s="448" t="s">
        <v>165</v>
      </c>
      <c r="J127" s="449" t="s">
        <v>21</v>
      </c>
      <c r="K127" s="450">
        <f t="shared" si="10"/>
        <v>2355.8674998817319</v>
      </c>
      <c r="L127" s="448"/>
      <c r="M127" s="450">
        <v>2200</v>
      </c>
      <c r="S127" s="450">
        <v>2214.1140087089798</v>
      </c>
      <c r="U127" s="450">
        <v>2278.9585369408887</v>
      </c>
      <c r="W127" s="450">
        <v>2355.8674998817319</v>
      </c>
      <c r="AH127"/>
      <c r="AI127"/>
    </row>
    <row r="128" spans="1:35" s="450" customFormat="1" x14ac:dyDescent="0.25">
      <c r="A128" s="448">
        <v>5</v>
      </c>
      <c r="B128" s="448"/>
      <c r="C128" s="448">
        <f t="shared" si="6"/>
        <v>26</v>
      </c>
      <c r="D128" s="448">
        <f t="shared" si="7"/>
        <v>1</v>
      </c>
      <c r="E128" s="448">
        <f t="shared" si="8"/>
        <v>14</v>
      </c>
      <c r="F128" s="448" t="str">
        <f t="shared" si="9"/>
        <v>pm</v>
      </c>
      <c r="G128" s="448" t="s">
        <v>197</v>
      </c>
      <c r="H128" s="448" t="s">
        <v>338</v>
      </c>
      <c r="I128" s="448" t="s">
        <v>196</v>
      </c>
      <c r="J128" s="449" t="s">
        <v>21</v>
      </c>
      <c r="K128" s="450">
        <f t="shared" si="10"/>
        <v>2014.1456827590919</v>
      </c>
      <c r="L128" s="448"/>
      <c r="M128" s="450">
        <v>2200</v>
      </c>
      <c r="S128" s="450">
        <v>2101.7123322867064</v>
      </c>
      <c r="U128" s="450">
        <v>2029.7385368406767</v>
      </c>
      <c r="W128" s="450">
        <v>2014.1456827590919</v>
      </c>
      <c r="AH128"/>
      <c r="AI128"/>
    </row>
    <row r="129" spans="1:35" s="450" customFormat="1" x14ac:dyDescent="0.25">
      <c r="A129" s="448">
        <v>2</v>
      </c>
      <c r="B129" s="448"/>
      <c r="C129" s="448">
        <f t="shared" si="6"/>
        <v>27</v>
      </c>
      <c r="D129" s="448">
        <f t="shared" si="7"/>
        <v>1</v>
      </c>
      <c r="E129" s="448">
        <f t="shared" si="8"/>
        <v>14</v>
      </c>
      <c r="F129" s="448" t="str">
        <f t="shared" si="9"/>
        <v>pm</v>
      </c>
      <c r="G129" s="448" t="s">
        <v>535</v>
      </c>
      <c r="H129" s="448" t="s">
        <v>316</v>
      </c>
      <c r="I129" s="448" t="s">
        <v>536</v>
      </c>
      <c r="J129" s="449" t="s">
        <v>21</v>
      </c>
      <c r="K129" s="450">
        <f t="shared" si="10"/>
        <v>2257.5203872558918</v>
      </c>
      <c r="L129" s="448"/>
      <c r="M129" s="450">
        <v>2200</v>
      </c>
      <c r="O129" s="450">
        <v>2257.5203872558918</v>
      </c>
      <c r="AH129"/>
      <c r="AI129"/>
    </row>
    <row r="130" spans="1:35" s="450" customFormat="1" x14ac:dyDescent="0.25">
      <c r="A130" s="448">
        <v>2</v>
      </c>
      <c r="B130" s="448"/>
      <c r="C130" s="448">
        <f t="shared" ref="C130:C193" si="11">IF(E130=E129,C129+1,1)</f>
        <v>28</v>
      </c>
      <c r="D130" s="448">
        <f t="shared" ref="D130:D193" si="12">IF(M130=M129,D129,C130)</f>
        <v>1</v>
      </c>
      <c r="E130" s="448">
        <f t="shared" ref="E130:E193" si="13">10+VALUE(RIGHT(LEFT(G130,3),1))</f>
        <v>14</v>
      </c>
      <c r="F130" s="448" t="str">
        <f t="shared" ref="F130:F193" si="14">RIGHT(G130,2) &amp; IF(A130&lt;2,"x","")</f>
        <v>pm</v>
      </c>
      <c r="G130" s="448" t="s">
        <v>537</v>
      </c>
      <c r="H130" s="448" t="s">
        <v>335</v>
      </c>
      <c r="I130" s="448" t="s">
        <v>538</v>
      </c>
      <c r="J130" s="449" t="s">
        <v>21</v>
      </c>
      <c r="K130" s="450">
        <f t="shared" ref="K130:K193" si="15">LOOKUP(1E+100,M130:AC130)</f>
        <v>2312.9812528642774</v>
      </c>
      <c r="L130" s="448"/>
      <c r="M130" s="450">
        <v>2200</v>
      </c>
      <c r="O130" s="450">
        <v>2312.9812528642774</v>
      </c>
      <c r="AH130"/>
      <c r="AI130"/>
    </row>
    <row r="131" spans="1:35" s="450" customFormat="1" x14ac:dyDescent="0.25">
      <c r="A131" s="448">
        <v>2</v>
      </c>
      <c r="B131" s="448"/>
      <c r="C131" s="448">
        <f t="shared" si="11"/>
        <v>29</v>
      </c>
      <c r="D131" s="448">
        <f t="shared" si="12"/>
        <v>1</v>
      </c>
      <c r="E131" s="448">
        <f t="shared" si="13"/>
        <v>14</v>
      </c>
      <c r="F131" s="448" t="str">
        <f t="shared" si="14"/>
        <v>pm</v>
      </c>
      <c r="G131" s="448" t="s">
        <v>539</v>
      </c>
      <c r="H131" s="448" t="s">
        <v>303</v>
      </c>
      <c r="I131" s="448" t="s">
        <v>540</v>
      </c>
      <c r="J131" s="449" t="s">
        <v>21</v>
      </c>
      <c r="K131" s="450">
        <f t="shared" si="15"/>
        <v>2164.4049745183374</v>
      </c>
      <c r="L131" s="448"/>
      <c r="M131" s="450">
        <v>2200</v>
      </c>
      <c r="O131" s="450">
        <v>2175.4488963954454</v>
      </c>
      <c r="U131" s="450">
        <v>2164.4049745183374</v>
      </c>
      <c r="AH131"/>
      <c r="AI131"/>
    </row>
    <row r="132" spans="1:35" s="450" customFormat="1" x14ac:dyDescent="0.25">
      <c r="A132" s="448"/>
      <c r="B132" s="448"/>
      <c r="C132" s="448">
        <f t="shared" si="11"/>
        <v>30</v>
      </c>
      <c r="D132" s="448">
        <f t="shared" si="12"/>
        <v>1</v>
      </c>
      <c r="E132" s="448">
        <f t="shared" si="13"/>
        <v>14</v>
      </c>
      <c r="F132" s="448" t="str">
        <f t="shared" si="14"/>
        <v>pmx</v>
      </c>
      <c r="G132" s="448" t="s">
        <v>539</v>
      </c>
      <c r="H132" s="448"/>
      <c r="I132" s="448" t="s">
        <v>541</v>
      </c>
      <c r="J132" s="449" t="s">
        <v>21</v>
      </c>
      <c r="K132" s="450">
        <f t="shared" si="15"/>
        <v>2200</v>
      </c>
      <c r="L132" s="448"/>
      <c r="M132" s="450">
        <v>2200</v>
      </c>
      <c r="O132" s="451"/>
      <c r="P132" s="451"/>
      <c r="Q132" s="451"/>
      <c r="R132" s="451"/>
      <c r="S132" s="451"/>
      <c r="T132" s="451"/>
      <c r="U132" s="451"/>
      <c r="V132" s="451"/>
      <c r="W132" s="451"/>
      <c r="X132" s="451"/>
      <c r="Y132" s="451"/>
      <c r="Z132" s="451"/>
      <c r="AA132" s="451"/>
      <c r="AB132" s="451"/>
      <c r="AC132" s="451"/>
      <c r="AD132" s="451"/>
      <c r="AE132" s="451"/>
      <c r="AF132" s="451"/>
      <c r="AG132" s="451"/>
      <c r="AH132"/>
      <c r="AI132"/>
    </row>
    <row r="133" spans="1:35" s="450" customFormat="1" x14ac:dyDescent="0.25">
      <c r="A133" s="448">
        <v>4</v>
      </c>
      <c r="B133" s="448"/>
      <c r="C133" s="448">
        <f t="shared" si="11"/>
        <v>31</v>
      </c>
      <c r="D133" s="448">
        <f t="shared" si="12"/>
        <v>31</v>
      </c>
      <c r="E133" s="448">
        <f t="shared" si="13"/>
        <v>14</v>
      </c>
      <c r="F133" s="448" t="str">
        <f t="shared" si="14"/>
        <v>pm</v>
      </c>
      <c r="G133" s="448" t="s">
        <v>190</v>
      </c>
      <c r="H133" s="448" t="s">
        <v>335</v>
      </c>
      <c r="I133" s="448" t="s">
        <v>189</v>
      </c>
      <c r="J133" s="449" t="s">
        <v>21</v>
      </c>
      <c r="K133" s="450">
        <f t="shared" si="15"/>
        <v>2142.9156187872968</v>
      </c>
      <c r="L133" s="448"/>
      <c r="M133" s="450">
        <v>2150</v>
      </c>
      <c r="S133" s="450">
        <v>2111.5716033290137</v>
      </c>
      <c r="W133" s="450">
        <v>2142.9156187872968</v>
      </c>
      <c r="AH133"/>
      <c r="AI133"/>
    </row>
    <row r="134" spans="1:35" s="450" customFormat="1" x14ac:dyDescent="0.25">
      <c r="A134" s="448">
        <v>4</v>
      </c>
      <c r="B134" s="448"/>
      <c r="C134" s="448">
        <f t="shared" si="11"/>
        <v>32</v>
      </c>
      <c r="D134" s="448">
        <f t="shared" si="12"/>
        <v>32</v>
      </c>
      <c r="E134" s="448">
        <f t="shared" si="13"/>
        <v>14</v>
      </c>
      <c r="F134" s="448" t="str">
        <f t="shared" si="14"/>
        <v>pm</v>
      </c>
      <c r="G134" s="448" t="s">
        <v>542</v>
      </c>
      <c r="H134" s="448" t="s">
        <v>543</v>
      </c>
      <c r="I134" s="448" t="s">
        <v>544</v>
      </c>
      <c r="J134" s="449" t="s">
        <v>21</v>
      </c>
      <c r="K134" s="450">
        <f t="shared" si="15"/>
        <v>2043.0775176055329</v>
      </c>
      <c r="L134" s="448"/>
      <c r="M134" s="450">
        <v>2100</v>
      </c>
      <c r="U134" s="450">
        <v>2043.0775176055329</v>
      </c>
      <c r="AH134"/>
      <c r="AI134"/>
    </row>
    <row r="135" spans="1:35" s="450" customFormat="1" x14ac:dyDescent="0.25">
      <c r="A135" s="448">
        <v>2</v>
      </c>
      <c r="B135" s="448"/>
      <c r="C135" s="448">
        <f t="shared" si="11"/>
        <v>33</v>
      </c>
      <c r="D135" s="448">
        <f t="shared" si="12"/>
        <v>32</v>
      </c>
      <c r="E135" s="448">
        <f t="shared" si="13"/>
        <v>14</v>
      </c>
      <c r="F135" s="448" t="str">
        <f t="shared" si="14"/>
        <v>pm</v>
      </c>
      <c r="G135" s="448" t="s">
        <v>545</v>
      </c>
      <c r="H135" s="448" t="s">
        <v>431</v>
      </c>
      <c r="I135" s="448" t="s">
        <v>546</v>
      </c>
      <c r="J135" s="449" t="s">
        <v>21</v>
      </c>
      <c r="K135" s="450">
        <f t="shared" si="15"/>
        <v>2113.396842419188</v>
      </c>
      <c r="L135" s="448"/>
      <c r="M135" s="450">
        <v>2100</v>
      </c>
      <c r="O135" s="450">
        <v>2113.396842419188</v>
      </c>
      <c r="AH135"/>
      <c r="AI135"/>
    </row>
    <row r="136" spans="1:35" s="450" customFormat="1" x14ac:dyDescent="0.25">
      <c r="A136" s="448">
        <v>3</v>
      </c>
      <c r="B136" s="448"/>
      <c r="C136" s="448">
        <f t="shared" si="11"/>
        <v>34</v>
      </c>
      <c r="D136" s="448">
        <f t="shared" si="12"/>
        <v>34</v>
      </c>
      <c r="E136" s="448">
        <f t="shared" si="13"/>
        <v>14</v>
      </c>
      <c r="F136" s="448" t="str">
        <f t="shared" si="14"/>
        <v>pm</v>
      </c>
      <c r="G136" s="448" t="s">
        <v>547</v>
      </c>
      <c r="H136" s="448" t="s">
        <v>316</v>
      </c>
      <c r="I136" s="448" t="s">
        <v>548</v>
      </c>
      <c r="J136" s="449" t="s">
        <v>21</v>
      </c>
      <c r="K136" s="450">
        <f t="shared" si="15"/>
        <v>2201.9753930179209</v>
      </c>
      <c r="L136" s="448"/>
      <c r="M136" s="450">
        <v>2066.6666666666665</v>
      </c>
      <c r="O136" s="450">
        <v>2201.9753930179209</v>
      </c>
      <c r="AH136"/>
      <c r="AI136"/>
    </row>
    <row r="137" spans="1:35" s="450" customFormat="1" x14ac:dyDescent="0.25">
      <c r="A137" s="448">
        <v>5</v>
      </c>
      <c r="B137" s="448"/>
      <c r="C137" s="448">
        <f t="shared" si="11"/>
        <v>35</v>
      </c>
      <c r="D137" s="448">
        <f t="shared" si="12"/>
        <v>35</v>
      </c>
      <c r="E137" s="448">
        <f t="shared" si="13"/>
        <v>14</v>
      </c>
      <c r="F137" s="448" t="str">
        <f t="shared" si="14"/>
        <v>pm</v>
      </c>
      <c r="G137" s="448" t="s">
        <v>192</v>
      </c>
      <c r="H137" s="448" t="s">
        <v>327</v>
      </c>
      <c r="I137" s="448" t="s">
        <v>191</v>
      </c>
      <c r="J137" s="449" t="s">
        <v>21</v>
      </c>
      <c r="K137" s="450">
        <f t="shared" si="15"/>
        <v>2082.1425556197441</v>
      </c>
      <c r="L137" s="448"/>
      <c r="M137" s="450">
        <v>2040</v>
      </c>
      <c r="O137" s="450">
        <v>2039.2796529523846</v>
      </c>
      <c r="S137" s="450">
        <v>2065.5934655640858</v>
      </c>
      <c r="W137" s="450">
        <v>2082.1425556197441</v>
      </c>
      <c r="AH137"/>
      <c r="AI137"/>
    </row>
    <row r="138" spans="1:35" s="450" customFormat="1" x14ac:dyDescent="0.25">
      <c r="A138" s="448">
        <v>5</v>
      </c>
      <c r="B138" s="448"/>
      <c r="C138" s="448">
        <f t="shared" si="11"/>
        <v>36</v>
      </c>
      <c r="D138" s="448">
        <f t="shared" si="12"/>
        <v>35</v>
      </c>
      <c r="E138" s="448">
        <f t="shared" si="13"/>
        <v>14</v>
      </c>
      <c r="F138" s="448" t="str">
        <f t="shared" si="14"/>
        <v>pm</v>
      </c>
      <c r="G138" s="448" t="s">
        <v>201</v>
      </c>
      <c r="H138" s="448" t="s">
        <v>327</v>
      </c>
      <c r="I138" s="448" t="s">
        <v>200</v>
      </c>
      <c r="J138" s="449" t="s">
        <v>21</v>
      </c>
      <c r="K138" s="450">
        <f t="shared" si="15"/>
        <v>1847.3911239226065</v>
      </c>
      <c r="L138" s="448"/>
      <c r="M138" s="450">
        <v>2040</v>
      </c>
      <c r="O138" s="450">
        <v>1896.3415220391612</v>
      </c>
      <c r="S138" s="450">
        <v>1894.2272816119016</v>
      </c>
      <c r="W138" s="450">
        <v>1847.3911239226065</v>
      </c>
      <c r="AH138"/>
      <c r="AI138"/>
    </row>
    <row r="139" spans="1:35" s="450" customFormat="1" x14ac:dyDescent="0.25">
      <c r="A139" s="448">
        <v>6</v>
      </c>
      <c r="B139" s="448"/>
      <c r="C139" s="448">
        <f t="shared" si="11"/>
        <v>37</v>
      </c>
      <c r="D139" s="448">
        <f t="shared" si="12"/>
        <v>37</v>
      </c>
      <c r="E139" s="448">
        <f t="shared" si="13"/>
        <v>14</v>
      </c>
      <c r="F139" s="448" t="str">
        <f t="shared" si="14"/>
        <v>pm</v>
      </c>
      <c r="G139" s="448" t="s">
        <v>549</v>
      </c>
      <c r="H139" s="448" t="s">
        <v>396</v>
      </c>
      <c r="I139" s="448" t="s">
        <v>550</v>
      </c>
      <c r="J139" s="449" t="s">
        <v>20</v>
      </c>
      <c r="K139" s="450">
        <f t="shared" si="15"/>
        <v>1882.1510640657773</v>
      </c>
      <c r="L139" s="448"/>
      <c r="M139" s="450">
        <v>2000</v>
      </c>
      <c r="P139" s="450">
        <v>1895.6498384460454</v>
      </c>
      <c r="S139" s="450">
        <v>1878.2752759660921</v>
      </c>
      <c r="U139" s="450">
        <v>1841.279855537357</v>
      </c>
      <c r="V139" s="450">
        <v>1882.1510640657773</v>
      </c>
      <c r="AH139"/>
      <c r="AI139"/>
    </row>
    <row r="140" spans="1:35" s="450" customFormat="1" x14ac:dyDescent="0.25">
      <c r="A140" s="448">
        <v>6</v>
      </c>
      <c r="B140" s="448"/>
      <c r="C140" s="448">
        <f t="shared" si="11"/>
        <v>38</v>
      </c>
      <c r="D140" s="448">
        <f t="shared" si="12"/>
        <v>37</v>
      </c>
      <c r="E140" s="448">
        <f t="shared" si="13"/>
        <v>14</v>
      </c>
      <c r="F140" s="448" t="str">
        <f t="shared" si="14"/>
        <v>pm</v>
      </c>
      <c r="G140" s="448" t="s">
        <v>184</v>
      </c>
      <c r="H140" s="448" t="s">
        <v>368</v>
      </c>
      <c r="I140" s="448" t="s">
        <v>183</v>
      </c>
      <c r="J140" s="449" t="s">
        <v>20</v>
      </c>
      <c r="K140" s="450">
        <f t="shared" si="15"/>
        <v>2138.4450849967739</v>
      </c>
      <c r="L140" s="448"/>
      <c r="M140" s="450">
        <v>2000</v>
      </c>
      <c r="P140" s="450">
        <v>2046.5213833507919</v>
      </c>
      <c r="R140" s="450">
        <v>2056.3147376237139</v>
      </c>
      <c r="T140" s="450">
        <v>2125.9014593645511</v>
      </c>
      <c r="W140" s="450">
        <v>2138.4450849967739</v>
      </c>
      <c r="AH140"/>
      <c r="AI140"/>
    </row>
    <row r="141" spans="1:35" s="450" customFormat="1" x14ac:dyDescent="0.25">
      <c r="A141" s="448">
        <v>4</v>
      </c>
      <c r="B141" s="448"/>
      <c r="C141" s="448">
        <f t="shared" si="11"/>
        <v>39</v>
      </c>
      <c r="D141" s="448">
        <f t="shared" si="12"/>
        <v>37</v>
      </c>
      <c r="E141" s="448">
        <f t="shared" si="13"/>
        <v>14</v>
      </c>
      <c r="F141" s="448" t="str">
        <f t="shared" si="14"/>
        <v>pm</v>
      </c>
      <c r="G141" s="448" t="s">
        <v>551</v>
      </c>
      <c r="H141" s="448" t="s">
        <v>319</v>
      </c>
      <c r="I141" s="448" t="s">
        <v>552</v>
      </c>
      <c r="J141" s="449" t="s">
        <v>20</v>
      </c>
      <c r="K141" s="450">
        <f t="shared" si="15"/>
        <v>1890.3332168465452</v>
      </c>
      <c r="L141" s="448"/>
      <c r="M141" s="450">
        <v>2000</v>
      </c>
      <c r="O141" s="450">
        <v>1987.3948411288115</v>
      </c>
      <c r="R141" s="450">
        <v>1890.3332168465452</v>
      </c>
      <c r="AH141"/>
      <c r="AI141"/>
    </row>
    <row r="142" spans="1:35" s="450" customFormat="1" x14ac:dyDescent="0.25">
      <c r="A142" s="448">
        <v>3</v>
      </c>
      <c r="B142" s="448"/>
      <c r="C142" s="448">
        <f t="shared" si="11"/>
        <v>40</v>
      </c>
      <c r="D142" s="448">
        <f t="shared" si="12"/>
        <v>40</v>
      </c>
      <c r="E142" s="448">
        <f t="shared" si="13"/>
        <v>14</v>
      </c>
      <c r="F142" s="448" t="str">
        <f t="shared" si="14"/>
        <v>pm</v>
      </c>
      <c r="G142" s="448" t="s">
        <v>553</v>
      </c>
      <c r="H142" s="448" t="s">
        <v>554</v>
      </c>
      <c r="I142" s="448" t="s">
        <v>555</v>
      </c>
      <c r="J142" s="449" t="s">
        <v>20</v>
      </c>
      <c r="K142" s="450">
        <f t="shared" si="15"/>
        <v>1879.2335628365884</v>
      </c>
      <c r="L142" s="448"/>
      <c r="M142" s="450">
        <v>1933.3333333333333</v>
      </c>
      <c r="O142" s="451"/>
      <c r="P142" s="451"/>
      <c r="Q142" s="451">
        <v>1916.9532749111102</v>
      </c>
      <c r="R142" s="451"/>
      <c r="S142" s="451"/>
      <c r="T142" s="451"/>
      <c r="U142" s="451"/>
      <c r="V142" s="451">
        <v>1879.2335628365884</v>
      </c>
      <c r="W142" s="451"/>
      <c r="X142" s="451"/>
      <c r="Y142" s="451"/>
      <c r="Z142" s="451"/>
      <c r="AA142" s="451"/>
      <c r="AB142" s="451"/>
      <c r="AC142" s="451"/>
      <c r="AD142" s="451"/>
      <c r="AE142" s="451"/>
      <c r="AF142" s="451"/>
      <c r="AG142" s="451"/>
      <c r="AH142"/>
      <c r="AI142"/>
    </row>
    <row r="143" spans="1:35" s="450" customFormat="1" x14ac:dyDescent="0.25">
      <c r="A143" s="448">
        <v>3</v>
      </c>
      <c r="B143" s="448"/>
      <c r="C143" s="448">
        <f t="shared" si="11"/>
        <v>41</v>
      </c>
      <c r="D143" s="448">
        <f t="shared" si="12"/>
        <v>40</v>
      </c>
      <c r="E143" s="448">
        <f t="shared" si="13"/>
        <v>14</v>
      </c>
      <c r="F143" s="448" t="str">
        <f t="shared" si="14"/>
        <v>pm</v>
      </c>
      <c r="G143" s="448" t="s">
        <v>556</v>
      </c>
      <c r="H143" s="448" t="s">
        <v>437</v>
      </c>
      <c r="I143" s="448" t="s">
        <v>557</v>
      </c>
      <c r="J143" s="449" t="s">
        <v>20</v>
      </c>
      <c r="K143" s="450">
        <f t="shared" si="15"/>
        <v>1759.1551334434296</v>
      </c>
      <c r="L143" s="448"/>
      <c r="M143" s="450">
        <v>1933.3333333333333</v>
      </c>
      <c r="O143" s="450">
        <v>1895.4654161275282</v>
      </c>
      <c r="T143" s="450">
        <v>1819.6878315091337</v>
      </c>
      <c r="V143" s="450">
        <v>1759.1551334434296</v>
      </c>
      <c r="AH143"/>
      <c r="AI143"/>
    </row>
    <row r="144" spans="1:35" s="450" customFormat="1" x14ac:dyDescent="0.25">
      <c r="A144" s="448">
        <v>3</v>
      </c>
      <c r="B144" s="448"/>
      <c r="C144" s="448">
        <f t="shared" si="11"/>
        <v>42</v>
      </c>
      <c r="D144" s="448">
        <f t="shared" si="12"/>
        <v>40</v>
      </c>
      <c r="E144" s="448">
        <f t="shared" si="13"/>
        <v>14</v>
      </c>
      <c r="F144" s="448" t="str">
        <f t="shared" si="14"/>
        <v>pm</v>
      </c>
      <c r="G144" s="448" t="s">
        <v>203</v>
      </c>
      <c r="H144" s="448" t="s">
        <v>558</v>
      </c>
      <c r="I144" s="448" t="s">
        <v>202</v>
      </c>
      <c r="J144" s="449" t="s">
        <v>20</v>
      </c>
      <c r="K144" s="450">
        <f t="shared" si="15"/>
        <v>1878.4980070891529</v>
      </c>
      <c r="L144" s="448"/>
      <c r="M144" s="450">
        <v>1933.3333333333333</v>
      </c>
      <c r="P144" s="450">
        <v>1921.8901473006756</v>
      </c>
      <c r="T144" s="450">
        <v>1929.3910828969913</v>
      </c>
      <c r="W144" s="450">
        <v>1878.4980070891529</v>
      </c>
      <c r="AH144"/>
      <c r="AI144"/>
    </row>
    <row r="145" spans="1:35" s="450" customFormat="1" x14ac:dyDescent="0.25">
      <c r="A145" s="448">
        <v>4</v>
      </c>
      <c r="B145" s="448"/>
      <c r="C145" s="448">
        <f t="shared" si="11"/>
        <v>43</v>
      </c>
      <c r="D145" s="448">
        <f t="shared" si="12"/>
        <v>43</v>
      </c>
      <c r="E145" s="448">
        <f t="shared" si="13"/>
        <v>14</v>
      </c>
      <c r="F145" s="448" t="str">
        <f t="shared" si="14"/>
        <v>pm</v>
      </c>
      <c r="G145" s="448" t="s">
        <v>559</v>
      </c>
      <c r="H145" s="448" t="s">
        <v>341</v>
      </c>
      <c r="I145" s="448" t="s">
        <v>560</v>
      </c>
      <c r="J145" s="449" t="s">
        <v>20</v>
      </c>
      <c r="K145" s="450">
        <f t="shared" si="15"/>
        <v>1692.4696826543368</v>
      </c>
      <c r="L145" s="448"/>
      <c r="M145" s="450">
        <v>1900</v>
      </c>
      <c r="Q145" s="450">
        <v>1885.2929818149187</v>
      </c>
      <c r="T145" s="450">
        <v>1780.8711874278245</v>
      </c>
      <c r="V145" s="450">
        <v>1692.4696826543368</v>
      </c>
      <c r="AH145"/>
      <c r="AI145"/>
    </row>
    <row r="146" spans="1:35" s="450" customFormat="1" x14ac:dyDescent="0.25">
      <c r="A146" s="448">
        <v>5</v>
      </c>
      <c r="B146" s="448"/>
      <c r="C146" s="448">
        <f t="shared" si="11"/>
        <v>44</v>
      </c>
      <c r="D146" s="448">
        <f t="shared" si="12"/>
        <v>44</v>
      </c>
      <c r="E146" s="448">
        <f t="shared" si="13"/>
        <v>14</v>
      </c>
      <c r="F146" s="448" t="str">
        <f t="shared" si="14"/>
        <v>pm</v>
      </c>
      <c r="G146" s="448" t="s">
        <v>561</v>
      </c>
      <c r="H146" s="448" t="s">
        <v>485</v>
      </c>
      <c r="I146" s="448" t="s">
        <v>562</v>
      </c>
      <c r="J146" s="449" t="s">
        <v>20</v>
      </c>
      <c r="K146" s="450">
        <f t="shared" si="15"/>
        <v>1869.2345247091835</v>
      </c>
      <c r="L146" s="448"/>
      <c r="M146" s="450">
        <v>1880</v>
      </c>
      <c r="S146" s="450">
        <v>1918.746719402327</v>
      </c>
      <c r="T146" s="450">
        <v>1928.6532904156654</v>
      </c>
      <c r="V146" s="450">
        <v>1869.2345247091835</v>
      </c>
      <c r="AH146"/>
      <c r="AI146"/>
    </row>
    <row r="147" spans="1:35" s="450" customFormat="1" x14ac:dyDescent="0.25">
      <c r="A147" s="448">
        <v>6</v>
      </c>
      <c r="B147" s="448"/>
      <c r="C147" s="448">
        <f t="shared" si="11"/>
        <v>45</v>
      </c>
      <c r="D147" s="448">
        <f t="shared" si="12"/>
        <v>45</v>
      </c>
      <c r="E147" s="448">
        <f t="shared" si="13"/>
        <v>14</v>
      </c>
      <c r="F147" s="448" t="str">
        <f t="shared" si="14"/>
        <v>pm</v>
      </c>
      <c r="G147" s="448" t="s">
        <v>563</v>
      </c>
      <c r="H147" s="448" t="s">
        <v>490</v>
      </c>
      <c r="I147" s="448" t="s">
        <v>564</v>
      </c>
      <c r="J147" s="449" t="s">
        <v>20</v>
      </c>
      <c r="K147" s="450">
        <f t="shared" si="15"/>
        <v>2303.7999889493012</v>
      </c>
      <c r="L147" s="450">
        <v>1866.6666666666667</v>
      </c>
      <c r="M147" s="450">
        <v>2200</v>
      </c>
      <c r="P147" s="450">
        <v>2232.5282669272556</v>
      </c>
      <c r="T147" s="450">
        <v>2259.1775396240569</v>
      </c>
      <c r="U147" s="450">
        <v>2303.7999889493012</v>
      </c>
      <c r="AH147"/>
      <c r="AI147"/>
    </row>
    <row r="148" spans="1:35" s="450" customFormat="1" x14ac:dyDescent="0.25">
      <c r="A148" s="448">
        <v>4</v>
      </c>
      <c r="B148" s="448"/>
      <c r="C148" s="448">
        <f t="shared" si="11"/>
        <v>46</v>
      </c>
      <c r="D148" s="448">
        <f t="shared" si="12"/>
        <v>46</v>
      </c>
      <c r="E148" s="448">
        <f t="shared" si="13"/>
        <v>14</v>
      </c>
      <c r="F148" s="448" t="str">
        <f t="shared" si="14"/>
        <v>pm</v>
      </c>
      <c r="G148" s="448" t="s">
        <v>565</v>
      </c>
      <c r="H148" s="448" t="s">
        <v>396</v>
      </c>
      <c r="I148" s="448" t="s">
        <v>566</v>
      </c>
      <c r="J148" s="449" t="s">
        <v>20</v>
      </c>
      <c r="K148" s="450">
        <f t="shared" si="15"/>
        <v>1712.2144655286952</v>
      </c>
      <c r="L148" s="448"/>
      <c r="M148" s="450">
        <v>1800</v>
      </c>
      <c r="P148" s="450">
        <v>1733.1802264513806</v>
      </c>
      <c r="T148" s="450">
        <v>1654.9795718834444</v>
      </c>
      <c r="V148" s="450">
        <v>1712.2144655286952</v>
      </c>
      <c r="AH148"/>
      <c r="AI148"/>
    </row>
    <row r="149" spans="1:35" s="450" customFormat="1" x14ac:dyDescent="0.25">
      <c r="A149" s="448">
        <v>6</v>
      </c>
      <c r="B149" s="448"/>
      <c r="C149" s="448">
        <f t="shared" si="11"/>
        <v>47</v>
      </c>
      <c r="D149" s="448">
        <f t="shared" si="12"/>
        <v>46</v>
      </c>
      <c r="E149" s="448">
        <f t="shared" si="13"/>
        <v>14</v>
      </c>
      <c r="F149" s="448" t="str">
        <f t="shared" si="14"/>
        <v>pm</v>
      </c>
      <c r="G149" s="448" t="s">
        <v>567</v>
      </c>
      <c r="H149" s="448" t="s">
        <v>568</v>
      </c>
      <c r="I149" s="448" t="s">
        <v>569</v>
      </c>
      <c r="J149" s="449" t="s">
        <v>20</v>
      </c>
      <c r="K149" s="450">
        <f t="shared" si="15"/>
        <v>1737.9169156030787</v>
      </c>
      <c r="L149" s="448"/>
      <c r="M149" s="450">
        <v>1800</v>
      </c>
      <c r="P149" s="450">
        <v>1729.4670159274219</v>
      </c>
      <c r="R149" s="450">
        <v>1809.1480647862352</v>
      </c>
      <c r="T149" s="450">
        <v>1780.5921122747741</v>
      </c>
      <c r="V149" s="450">
        <v>1737.9169156030787</v>
      </c>
      <c r="AH149"/>
      <c r="AI149"/>
    </row>
    <row r="150" spans="1:35" s="450" customFormat="1" x14ac:dyDescent="0.25">
      <c r="A150" s="448">
        <v>3</v>
      </c>
      <c r="B150" s="448"/>
      <c r="C150" s="448">
        <f t="shared" si="11"/>
        <v>48</v>
      </c>
      <c r="D150" s="448">
        <f t="shared" si="12"/>
        <v>46</v>
      </c>
      <c r="E150" s="448">
        <f t="shared" si="13"/>
        <v>14</v>
      </c>
      <c r="F150" s="448" t="str">
        <f t="shared" si="14"/>
        <v>pm</v>
      </c>
      <c r="G150" s="448" t="s">
        <v>570</v>
      </c>
      <c r="H150" s="448" t="s">
        <v>296</v>
      </c>
      <c r="I150" s="448" t="s">
        <v>571</v>
      </c>
      <c r="J150" s="449" t="s">
        <v>20</v>
      </c>
      <c r="K150" s="450">
        <f t="shared" si="15"/>
        <v>1862.9777228164949</v>
      </c>
      <c r="L150" s="448"/>
      <c r="M150" s="450">
        <v>1800</v>
      </c>
      <c r="P150" s="450">
        <v>1841.8890710091171</v>
      </c>
      <c r="R150" s="450">
        <v>1862.9777228164949</v>
      </c>
      <c r="AH150"/>
      <c r="AI150"/>
    </row>
    <row r="151" spans="1:35" s="450" customFormat="1" x14ac:dyDescent="0.25">
      <c r="A151" s="448">
        <v>3</v>
      </c>
      <c r="B151" s="448"/>
      <c r="C151" s="448">
        <f t="shared" si="11"/>
        <v>49</v>
      </c>
      <c r="D151" s="448">
        <f t="shared" si="12"/>
        <v>46</v>
      </c>
      <c r="E151" s="448">
        <f t="shared" si="13"/>
        <v>14</v>
      </c>
      <c r="F151" s="448" t="str">
        <f t="shared" si="14"/>
        <v>pm</v>
      </c>
      <c r="G151" s="448" t="s">
        <v>572</v>
      </c>
      <c r="H151" s="448" t="s">
        <v>296</v>
      </c>
      <c r="I151" s="448" t="s">
        <v>573</v>
      </c>
      <c r="J151" s="449" t="s">
        <v>20</v>
      </c>
      <c r="K151" s="450">
        <f t="shared" si="15"/>
        <v>1787.9889007294696</v>
      </c>
      <c r="L151" s="448"/>
      <c r="M151" s="450">
        <v>1800</v>
      </c>
      <c r="P151" s="450">
        <v>1836.7243012650156</v>
      </c>
      <c r="R151" s="450">
        <v>1787.9889007294696</v>
      </c>
      <c r="AH151"/>
      <c r="AI151"/>
    </row>
    <row r="152" spans="1:35" s="450" customFormat="1" x14ac:dyDescent="0.25">
      <c r="A152" s="448">
        <v>3</v>
      </c>
      <c r="B152" s="448"/>
      <c r="C152" s="448">
        <f t="shared" si="11"/>
        <v>50</v>
      </c>
      <c r="D152" s="448">
        <f t="shared" si="12"/>
        <v>46</v>
      </c>
      <c r="E152" s="448">
        <f t="shared" si="13"/>
        <v>14</v>
      </c>
      <c r="F152" s="448" t="str">
        <f t="shared" si="14"/>
        <v>pm</v>
      </c>
      <c r="G152" s="448" t="s">
        <v>574</v>
      </c>
      <c r="H152" s="448" t="s">
        <v>296</v>
      </c>
      <c r="I152" s="448" t="s">
        <v>575</v>
      </c>
      <c r="J152" s="449" t="s">
        <v>20</v>
      </c>
      <c r="K152" s="450">
        <f t="shared" si="15"/>
        <v>1890.6902473066109</v>
      </c>
      <c r="L152" s="448"/>
      <c r="M152" s="450">
        <v>1800</v>
      </c>
      <c r="R152" s="450">
        <v>1890.6902473066109</v>
      </c>
      <c r="AH152"/>
      <c r="AI152"/>
    </row>
    <row r="153" spans="1:35" s="450" customFormat="1" x14ac:dyDescent="0.25">
      <c r="A153" s="448">
        <v>5</v>
      </c>
      <c r="B153" s="448"/>
      <c r="C153" s="448">
        <f t="shared" si="11"/>
        <v>51</v>
      </c>
      <c r="D153" s="448">
        <f t="shared" si="12"/>
        <v>46</v>
      </c>
      <c r="E153" s="448">
        <f t="shared" si="13"/>
        <v>14</v>
      </c>
      <c r="F153" s="448" t="str">
        <f t="shared" si="14"/>
        <v>pm</v>
      </c>
      <c r="G153" s="448" t="s">
        <v>576</v>
      </c>
      <c r="H153" s="448" t="s">
        <v>350</v>
      </c>
      <c r="I153" s="448" t="s">
        <v>577</v>
      </c>
      <c r="J153" s="449" t="s">
        <v>20</v>
      </c>
      <c r="K153" s="450">
        <f t="shared" si="15"/>
        <v>1903.4201689696713</v>
      </c>
      <c r="L153" s="448"/>
      <c r="M153" s="450">
        <v>1800</v>
      </c>
      <c r="P153" s="450">
        <v>1853.5993664092457</v>
      </c>
      <c r="R153" s="450">
        <v>1866.2716900036432</v>
      </c>
      <c r="V153" s="450">
        <v>1903.4201689696713</v>
      </c>
      <c r="AH153"/>
      <c r="AI153"/>
    </row>
    <row r="154" spans="1:35" s="450" customFormat="1" x14ac:dyDescent="0.25">
      <c r="A154" s="448">
        <v>7</v>
      </c>
      <c r="B154" s="448"/>
      <c r="C154" s="448">
        <f t="shared" si="11"/>
        <v>52</v>
      </c>
      <c r="D154" s="448">
        <f t="shared" si="12"/>
        <v>46</v>
      </c>
      <c r="E154" s="448">
        <f t="shared" si="13"/>
        <v>14</v>
      </c>
      <c r="F154" s="448" t="str">
        <f t="shared" si="14"/>
        <v>pm</v>
      </c>
      <c r="G154" s="448" t="s">
        <v>578</v>
      </c>
      <c r="H154" s="448" t="s">
        <v>353</v>
      </c>
      <c r="I154" s="448" t="s">
        <v>579</v>
      </c>
      <c r="J154" s="449" t="s">
        <v>20</v>
      </c>
      <c r="K154" s="450">
        <f t="shared" si="15"/>
        <v>1869.0816372048744</v>
      </c>
      <c r="L154" s="448"/>
      <c r="M154" s="450">
        <v>1800</v>
      </c>
      <c r="P154" s="450">
        <v>1835.2847547112133</v>
      </c>
      <c r="R154" s="450">
        <v>1889.110814092702</v>
      </c>
      <c r="T154" s="450">
        <v>1852.5892192097544</v>
      </c>
      <c r="V154" s="450">
        <v>1883.8626441487413</v>
      </c>
      <c r="W154" s="450">
        <v>1869.0816372048744</v>
      </c>
      <c r="AH154"/>
      <c r="AI154"/>
    </row>
    <row r="155" spans="1:35" s="450" customFormat="1" x14ac:dyDescent="0.25">
      <c r="A155" s="448">
        <v>7</v>
      </c>
      <c r="B155" s="448"/>
      <c r="C155" s="448">
        <f t="shared" si="11"/>
        <v>53</v>
      </c>
      <c r="D155" s="448">
        <f t="shared" si="12"/>
        <v>46</v>
      </c>
      <c r="E155" s="448">
        <f t="shared" si="13"/>
        <v>14</v>
      </c>
      <c r="F155" s="448" t="str">
        <f t="shared" si="14"/>
        <v>pm</v>
      </c>
      <c r="G155" s="448" t="s">
        <v>580</v>
      </c>
      <c r="H155" s="448" t="s">
        <v>353</v>
      </c>
      <c r="I155" s="448" t="s">
        <v>581</v>
      </c>
      <c r="J155" s="449" t="s">
        <v>20</v>
      </c>
      <c r="K155" s="450">
        <f t="shared" si="15"/>
        <v>1568.0436579916152</v>
      </c>
      <c r="L155" s="448"/>
      <c r="M155" s="450">
        <v>1800</v>
      </c>
      <c r="P155" s="450">
        <v>1729.2404985207163</v>
      </c>
      <c r="R155" s="450">
        <v>1648.5261762534274</v>
      </c>
      <c r="T155" s="450">
        <v>1515.9353141743402</v>
      </c>
      <c r="V155" s="450">
        <v>1568.0436579916152</v>
      </c>
      <c r="AH155"/>
      <c r="AI155"/>
    </row>
    <row r="156" spans="1:35" s="450" customFormat="1" x14ac:dyDescent="0.25">
      <c r="A156" s="448">
        <v>4</v>
      </c>
      <c r="B156" s="448"/>
      <c r="C156" s="448">
        <f t="shared" si="11"/>
        <v>54</v>
      </c>
      <c r="D156" s="448">
        <f t="shared" si="12"/>
        <v>46</v>
      </c>
      <c r="E156" s="448">
        <f t="shared" si="13"/>
        <v>14</v>
      </c>
      <c r="F156" s="448" t="str">
        <f t="shared" si="14"/>
        <v>pm</v>
      </c>
      <c r="G156" s="448" t="s">
        <v>582</v>
      </c>
      <c r="H156" s="448" t="s">
        <v>353</v>
      </c>
      <c r="I156" s="448" t="s">
        <v>583</v>
      </c>
      <c r="J156" s="449" t="s">
        <v>20</v>
      </c>
      <c r="K156" s="450">
        <f t="shared" si="15"/>
        <v>1701.7743581563075</v>
      </c>
      <c r="L156" s="448"/>
      <c r="M156" s="450">
        <v>1800</v>
      </c>
      <c r="R156" s="450">
        <v>1748.8001298774316</v>
      </c>
      <c r="T156" s="450">
        <v>1685.4617602962937</v>
      </c>
      <c r="V156" s="450">
        <v>1701.7743581563075</v>
      </c>
      <c r="AH156"/>
      <c r="AI156"/>
    </row>
    <row r="157" spans="1:35" s="450" customFormat="1" x14ac:dyDescent="0.25">
      <c r="A157" s="448">
        <v>6</v>
      </c>
      <c r="B157" s="448"/>
      <c r="C157" s="448">
        <f t="shared" si="11"/>
        <v>55</v>
      </c>
      <c r="D157" s="448">
        <f t="shared" si="12"/>
        <v>46</v>
      </c>
      <c r="E157" s="448">
        <f t="shared" si="13"/>
        <v>14</v>
      </c>
      <c r="F157" s="448" t="str">
        <f t="shared" si="14"/>
        <v>pm</v>
      </c>
      <c r="G157" s="448" t="s">
        <v>584</v>
      </c>
      <c r="H157" s="448" t="s">
        <v>358</v>
      </c>
      <c r="I157" s="448" t="s">
        <v>585</v>
      </c>
      <c r="J157" s="449" t="s">
        <v>20</v>
      </c>
      <c r="K157" s="450">
        <f t="shared" si="15"/>
        <v>1840.5251094339849</v>
      </c>
      <c r="L157" s="448"/>
      <c r="M157" s="450">
        <v>1800</v>
      </c>
      <c r="R157" s="450">
        <v>1729.7293688033053</v>
      </c>
      <c r="T157" s="450">
        <v>1791.8211586686618</v>
      </c>
      <c r="V157" s="450">
        <v>1840.5251094339849</v>
      </c>
      <c r="AH157"/>
      <c r="AI157"/>
    </row>
    <row r="158" spans="1:35" s="450" customFormat="1" x14ac:dyDescent="0.25">
      <c r="A158" s="448">
        <v>6</v>
      </c>
      <c r="B158" s="448"/>
      <c r="C158" s="448">
        <f t="shared" si="11"/>
        <v>56</v>
      </c>
      <c r="D158" s="448">
        <f t="shared" si="12"/>
        <v>46</v>
      </c>
      <c r="E158" s="448">
        <f t="shared" si="13"/>
        <v>14</v>
      </c>
      <c r="F158" s="448" t="str">
        <f t="shared" si="14"/>
        <v>pm</v>
      </c>
      <c r="G158" s="448" t="s">
        <v>586</v>
      </c>
      <c r="H158" s="448" t="s">
        <v>358</v>
      </c>
      <c r="I158" s="448" t="s">
        <v>587</v>
      </c>
      <c r="J158" s="449" t="s">
        <v>20</v>
      </c>
      <c r="K158" s="450">
        <f t="shared" si="15"/>
        <v>1648.153322818715</v>
      </c>
      <c r="L158" s="448"/>
      <c r="M158" s="450">
        <v>1800</v>
      </c>
      <c r="R158" s="450">
        <v>1773.2758988569869</v>
      </c>
      <c r="T158" s="450">
        <v>1696.7559274545094</v>
      </c>
      <c r="V158" s="450">
        <v>1648.153322818715</v>
      </c>
      <c r="AH158"/>
      <c r="AI158"/>
    </row>
    <row r="159" spans="1:35" s="450" customFormat="1" x14ac:dyDescent="0.25">
      <c r="A159" s="448">
        <v>4</v>
      </c>
      <c r="B159" s="448"/>
      <c r="C159" s="448">
        <f t="shared" si="11"/>
        <v>57</v>
      </c>
      <c r="D159" s="448">
        <f t="shared" si="12"/>
        <v>46</v>
      </c>
      <c r="E159" s="448">
        <f t="shared" si="13"/>
        <v>14</v>
      </c>
      <c r="F159" s="448" t="str">
        <f t="shared" si="14"/>
        <v>pm</v>
      </c>
      <c r="G159" s="448" t="s">
        <v>588</v>
      </c>
      <c r="H159" s="448" t="s">
        <v>365</v>
      </c>
      <c r="I159" s="448" t="s">
        <v>589</v>
      </c>
      <c r="J159" s="449" t="s">
        <v>20</v>
      </c>
      <c r="K159" s="450">
        <f t="shared" si="15"/>
        <v>1896.3579642330565</v>
      </c>
      <c r="L159" s="448"/>
      <c r="M159" s="450">
        <v>1800</v>
      </c>
      <c r="P159" s="450">
        <v>1819.9309139814898</v>
      </c>
      <c r="R159" s="450">
        <v>1851.9753031841728</v>
      </c>
      <c r="V159" s="450">
        <v>1896.3579642330565</v>
      </c>
      <c r="AH159"/>
      <c r="AI159"/>
    </row>
    <row r="160" spans="1:35" s="450" customFormat="1" x14ac:dyDescent="0.25">
      <c r="A160" s="448">
        <v>6</v>
      </c>
      <c r="B160" s="448"/>
      <c r="C160" s="448">
        <f t="shared" si="11"/>
        <v>58</v>
      </c>
      <c r="D160" s="448">
        <f t="shared" si="12"/>
        <v>46</v>
      </c>
      <c r="E160" s="448">
        <f t="shared" si="13"/>
        <v>14</v>
      </c>
      <c r="F160" s="448" t="str">
        <f t="shared" si="14"/>
        <v>pm</v>
      </c>
      <c r="G160" s="448" t="s">
        <v>590</v>
      </c>
      <c r="H160" s="448" t="s">
        <v>374</v>
      </c>
      <c r="I160" s="448" t="s">
        <v>591</v>
      </c>
      <c r="J160" s="449" t="s">
        <v>20</v>
      </c>
      <c r="K160" s="450">
        <f t="shared" si="15"/>
        <v>1668.0341830996538</v>
      </c>
      <c r="L160" s="448"/>
      <c r="M160" s="450">
        <v>1800</v>
      </c>
      <c r="R160" s="450">
        <v>1746.3122871137466</v>
      </c>
      <c r="T160" s="450">
        <v>1746.2697448355425</v>
      </c>
      <c r="V160" s="450">
        <v>1668.0341830996538</v>
      </c>
      <c r="AH160"/>
      <c r="AI160"/>
    </row>
    <row r="161" spans="1:35" s="450" customFormat="1" x14ac:dyDescent="0.25">
      <c r="A161" s="448">
        <v>2</v>
      </c>
      <c r="B161" s="448"/>
      <c r="C161" s="448">
        <f t="shared" si="11"/>
        <v>59</v>
      </c>
      <c r="D161" s="448">
        <f t="shared" si="12"/>
        <v>46</v>
      </c>
      <c r="E161" s="448">
        <f t="shared" si="13"/>
        <v>14</v>
      </c>
      <c r="F161" s="448" t="str">
        <f t="shared" si="14"/>
        <v>pm</v>
      </c>
      <c r="G161" s="448" t="s">
        <v>592</v>
      </c>
      <c r="H161" s="448" t="s">
        <v>426</v>
      </c>
      <c r="I161" s="448" t="s">
        <v>593</v>
      </c>
      <c r="J161" s="449" t="s">
        <v>20</v>
      </c>
      <c r="K161" s="450">
        <f t="shared" si="15"/>
        <v>1891.4062864972918</v>
      </c>
      <c r="L161" s="448"/>
      <c r="M161" s="450">
        <v>1800</v>
      </c>
      <c r="V161" s="450">
        <v>1891.4062864972918</v>
      </c>
      <c r="AH161"/>
      <c r="AI161"/>
    </row>
    <row r="162" spans="1:35" s="450" customFormat="1" x14ac:dyDescent="0.25">
      <c r="A162" s="448">
        <v>6</v>
      </c>
      <c r="B162" s="448"/>
      <c r="C162" s="448">
        <f t="shared" si="11"/>
        <v>60</v>
      </c>
      <c r="D162" s="448">
        <f t="shared" si="12"/>
        <v>46</v>
      </c>
      <c r="E162" s="448">
        <f t="shared" si="13"/>
        <v>14</v>
      </c>
      <c r="F162" s="448" t="str">
        <f t="shared" si="14"/>
        <v>pm</v>
      </c>
      <c r="G162" s="448" t="s">
        <v>594</v>
      </c>
      <c r="H162" s="448" t="s">
        <v>309</v>
      </c>
      <c r="I162" s="448" t="s">
        <v>595</v>
      </c>
      <c r="J162" s="449" t="s">
        <v>20</v>
      </c>
      <c r="K162" s="450">
        <f t="shared" si="15"/>
        <v>2071.7297456703855</v>
      </c>
      <c r="L162" s="448"/>
      <c r="M162" s="450">
        <v>1800</v>
      </c>
      <c r="P162" s="450">
        <v>1884.515075674077</v>
      </c>
      <c r="R162" s="450">
        <v>1952.1722411424284</v>
      </c>
      <c r="T162" s="450">
        <v>2033.1069131537579</v>
      </c>
      <c r="V162" s="450">
        <v>2071.7297456703855</v>
      </c>
      <c r="AH162"/>
      <c r="AI162"/>
    </row>
    <row r="163" spans="1:35" s="450" customFormat="1" x14ac:dyDescent="0.25">
      <c r="A163" s="448">
        <v>2</v>
      </c>
      <c r="B163" s="448"/>
      <c r="C163" s="448">
        <f t="shared" si="11"/>
        <v>61</v>
      </c>
      <c r="D163" s="448">
        <f t="shared" si="12"/>
        <v>46</v>
      </c>
      <c r="E163" s="448">
        <f t="shared" si="13"/>
        <v>14</v>
      </c>
      <c r="F163" s="448" t="str">
        <f t="shared" si="14"/>
        <v>pm</v>
      </c>
      <c r="G163" s="448" t="s">
        <v>596</v>
      </c>
      <c r="H163" s="448" t="s">
        <v>330</v>
      </c>
      <c r="I163" s="448" t="s">
        <v>597</v>
      </c>
      <c r="J163" s="449" t="s">
        <v>20</v>
      </c>
      <c r="K163" s="450">
        <f t="shared" si="15"/>
        <v>1772.6800095339315</v>
      </c>
      <c r="L163" s="448"/>
      <c r="M163" s="450">
        <v>1800</v>
      </c>
      <c r="R163" s="450">
        <v>1763.399773723718</v>
      </c>
      <c r="S163" s="450">
        <v>1772.6800095339315</v>
      </c>
      <c r="AH163"/>
      <c r="AI163"/>
    </row>
    <row r="164" spans="1:35" s="450" customFormat="1" x14ac:dyDescent="0.25">
      <c r="A164" s="448">
        <v>3</v>
      </c>
      <c r="B164" s="448"/>
      <c r="C164" s="448">
        <f t="shared" si="11"/>
        <v>62</v>
      </c>
      <c r="D164" s="448">
        <f t="shared" si="12"/>
        <v>46</v>
      </c>
      <c r="E164" s="448">
        <f t="shared" si="13"/>
        <v>14</v>
      </c>
      <c r="F164" s="448" t="str">
        <f t="shared" si="14"/>
        <v>pm</v>
      </c>
      <c r="G164" s="448" t="s">
        <v>598</v>
      </c>
      <c r="H164" s="448" t="s">
        <v>330</v>
      </c>
      <c r="I164" s="448" t="s">
        <v>599</v>
      </c>
      <c r="J164" s="449" t="s">
        <v>20</v>
      </c>
      <c r="K164" s="450">
        <f t="shared" si="15"/>
        <v>1887.0177572843741</v>
      </c>
      <c r="L164" s="448"/>
      <c r="M164" s="450">
        <v>1800</v>
      </c>
      <c r="R164" s="450">
        <v>1828.715389683282</v>
      </c>
      <c r="V164" s="450">
        <v>1887.0177572843741</v>
      </c>
      <c r="AH164"/>
      <c r="AI164"/>
    </row>
    <row r="165" spans="1:35" s="450" customFormat="1" x14ac:dyDescent="0.25">
      <c r="A165" s="448">
        <v>2</v>
      </c>
      <c r="B165" s="448"/>
      <c r="C165" s="448">
        <f t="shared" si="11"/>
        <v>63</v>
      </c>
      <c r="D165" s="448">
        <f t="shared" si="12"/>
        <v>46</v>
      </c>
      <c r="E165" s="448">
        <f t="shared" si="13"/>
        <v>14</v>
      </c>
      <c r="F165" s="448" t="str">
        <f t="shared" si="14"/>
        <v>pm</v>
      </c>
      <c r="G165" s="448" t="s">
        <v>600</v>
      </c>
      <c r="H165" s="448" t="s">
        <v>330</v>
      </c>
      <c r="I165" s="448" t="s">
        <v>601</v>
      </c>
      <c r="J165" s="449" t="s">
        <v>20</v>
      </c>
      <c r="K165" s="450">
        <f t="shared" si="15"/>
        <v>1883.6554537840855</v>
      </c>
      <c r="L165" s="448"/>
      <c r="M165" s="450">
        <v>1800</v>
      </c>
      <c r="R165" s="450">
        <v>1883.6554537840855</v>
      </c>
      <c r="AH165"/>
      <c r="AI165"/>
    </row>
    <row r="166" spans="1:35" s="450" customFormat="1" x14ac:dyDescent="0.25">
      <c r="A166" s="448">
        <v>5</v>
      </c>
      <c r="B166" s="448"/>
      <c r="C166" s="448">
        <f t="shared" si="11"/>
        <v>64</v>
      </c>
      <c r="D166" s="448">
        <f t="shared" si="12"/>
        <v>46</v>
      </c>
      <c r="E166" s="448">
        <f t="shared" si="13"/>
        <v>14</v>
      </c>
      <c r="F166" s="448" t="str">
        <f t="shared" si="14"/>
        <v>pm</v>
      </c>
      <c r="G166" s="448" t="s">
        <v>602</v>
      </c>
      <c r="H166" s="448" t="s">
        <v>495</v>
      </c>
      <c r="I166" s="448" t="s">
        <v>603</v>
      </c>
      <c r="J166" s="449" t="s">
        <v>20</v>
      </c>
      <c r="K166" s="450">
        <f t="shared" si="15"/>
        <v>1792.2971263265672</v>
      </c>
      <c r="L166" s="448"/>
      <c r="M166" s="450">
        <v>1800</v>
      </c>
      <c r="P166" s="450">
        <v>1772.9124733588862</v>
      </c>
      <c r="R166" s="450">
        <v>1792.2971263265672</v>
      </c>
      <c r="AH166"/>
      <c r="AI166"/>
    </row>
    <row r="167" spans="1:35" s="450" customFormat="1" x14ac:dyDescent="0.25">
      <c r="A167" s="448">
        <v>6</v>
      </c>
      <c r="B167" s="448"/>
      <c r="C167" s="448">
        <f t="shared" si="11"/>
        <v>65</v>
      </c>
      <c r="D167" s="448">
        <f t="shared" si="12"/>
        <v>46</v>
      </c>
      <c r="E167" s="448">
        <f t="shared" si="13"/>
        <v>14</v>
      </c>
      <c r="F167" s="448" t="str">
        <f t="shared" si="14"/>
        <v>pm</v>
      </c>
      <c r="G167" s="448" t="s">
        <v>604</v>
      </c>
      <c r="H167" s="448" t="s">
        <v>338</v>
      </c>
      <c r="I167" s="448" t="s">
        <v>605</v>
      </c>
      <c r="J167" s="449" t="s">
        <v>20</v>
      </c>
      <c r="K167" s="450">
        <f t="shared" si="15"/>
        <v>1814.1018016892203</v>
      </c>
      <c r="L167" s="448"/>
      <c r="M167" s="450">
        <v>1800</v>
      </c>
      <c r="R167" s="450">
        <v>1805.8700188425732</v>
      </c>
      <c r="T167" s="450">
        <v>1811.9546724182255</v>
      </c>
      <c r="V167" s="450">
        <v>1814.1018016892203</v>
      </c>
      <c r="AH167"/>
      <c r="AI167"/>
    </row>
    <row r="168" spans="1:35" s="450" customFormat="1" x14ac:dyDescent="0.25">
      <c r="A168" s="448">
        <v>6</v>
      </c>
      <c r="B168" s="448"/>
      <c r="C168" s="448">
        <f t="shared" si="11"/>
        <v>66</v>
      </c>
      <c r="D168" s="448">
        <f t="shared" si="12"/>
        <v>46</v>
      </c>
      <c r="E168" s="448">
        <f t="shared" si="13"/>
        <v>14</v>
      </c>
      <c r="F168" s="448" t="str">
        <f t="shared" si="14"/>
        <v>pm</v>
      </c>
      <c r="G168" s="448" t="s">
        <v>606</v>
      </c>
      <c r="H168" s="448" t="s">
        <v>338</v>
      </c>
      <c r="I168" s="448" t="s">
        <v>607</v>
      </c>
      <c r="J168" s="449" t="s">
        <v>20</v>
      </c>
      <c r="K168" s="450">
        <f t="shared" si="15"/>
        <v>1624.4440390626207</v>
      </c>
      <c r="L168" s="448"/>
      <c r="M168" s="450">
        <v>1800</v>
      </c>
      <c r="R168" s="450">
        <v>1694.4816920998894</v>
      </c>
      <c r="T168" s="450">
        <v>1737.4411214731022</v>
      </c>
      <c r="V168" s="450">
        <v>1624.4440390626207</v>
      </c>
      <c r="AH168"/>
      <c r="AI168"/>
    </row>
    <row r="169" spans="1:35" s="450" customFormat="1" x14ac:dyDescent="0.25">
      <c r="A169" s="448">
        <v>5</v>
      </c>
      <c r="B169" s="448"/>
      <c r="C169" s="448">
        <f t="shared" si="11"/>
        <v>67</v>
      </c>
      <c r="D169" s="448">
        <f t="shared" si="12"/>
        <v>46</v>
      </c>
      <c r="E169" s="448">
        <f t="shared" si="13"/>
        <v>14</v>
      </c>
      <c r="F169" s="448" t="str">
        <f t="shared" si="14"/>
        <v>pm</v>
      </c>
      <c r="G169" s="448" t="s">
        <v>608</v>
      </c>
      <c r="H169" s="448" t="s">
        <v>391</v>
      </c>
      <c r="I169" s="448" t="s">
        <v>609</v>
      </c>
      <c r="J169" s="449" t="s">
        <v>20</v>
      </c>
      <c r="K169" s="450">
        <f t="shared" si="15"/>
        <v>1948.6460425066778</v>
      </c>
      <c r="L169" s="448"/>
      <c r="M169" s="450">
        <v>1800</v>
      </c>
      <c r="R169" s="450">
        <v>1876.31367263991</v>
      </c>
      <c r="T169" s="450">
        <v>1947.5770451023341</v>
      </c>
      <c r="V169" s="450">
        <v>1948.6460425066778</v>
      </c>
      <c r="AH169"/>
      <c r="AI169"/>
    </row>
    <row r="170" spans="1:35" s="450" customFormat="1" x14ac:dyDescent="0.25">
      <c r="A170" s="448">
        <v>5</v>
      </c>
      <c r="B170" s="448"/>
      <c r="C170" s="448">
        <f t="shared" si="11"/>
        <v>68</v>
      </c>
      <c r="D170" s="448">
        <f t="shared" si="12"/>
        <v>46</v>
      </c>
      <c r="E170" s="448">
        <f t="shared" si="13"/>
        <v>14</v>
      </c>
      <c r="F170" s="448" t="str">
        <f t="shared" si="14"/>
        <v>pm</v>
      </c>
      <c r="G170" s="448" t="s">
        <v>610</v>
      </c>
      <c r="H170" s="448" t="s">
        <v>391</v>
      </c>
      <c r="I170" s="448" t="s">
        <v>611</v>
      </c>
      <c r="J170" s="449" t="s">
        <v>20</v>
      </c>
      <c r="K170" s="450">
        <f t="shared" si="15"/>
        <v>1863.7825780060989</v>
      </c>
      <c r="L170" s="448"/>
      <c r="M170" s="450">
        <v>1800</v>
      </c>
      <c r="O170" s="451"/>
      <c r="P170" s="451"/>
      <c r="Q170" s="451"/>
      <c r="R170" s="451">
        <v>1809.8475028761886</v>
      </c>
      <c r="S170" s="451"/>
      <c r="T170" s="451">
        <v>1842.3261282509975</v>
      </c>
      <c r="U170" s="451"/>
      <c r="V170" s="451">
        <v>1863.7825780060989</v>
      </c>
      <c r="W170" s="451"/>
      <c r="X170" s="451"/>
      <c r="Y170" s="451"/>
      <c r="Z170" s="451"/>
      <c r="AA170" s="451"/>
      <c r="AB170" s="451"/>
      <c r="AC170" s="451"/>
      <c r="AH170"/>
      <c r="AI170"/>
    </row>
    <row r="171" spans="1:35" s="450" customFormat="1" x14ac:dyDescent="0.25">
      <c r="A171" s="448">
        <v>5</v>
      </c>
      <c r="B171" s="448"/>
      <c r="C171" s="448">
        <f t="shared" si="11"/>
        <v>69</v>
      </c>
      <c r="D171" s="448">
        <f t="shared" si="12"/>
        <v>46</v>
      </c>
      <c r="E171" s="448">
        <f t="shared" si="13"/>
        <v>14</v>
      </c>
      <c r="F171" s="448" t="str">
        <f t="shared" si="14"/>
        <v>pm</v>
      </c>
      <c r="G171" s="448" t="s">
        <v>612</v>
      </c>
      <c r="H171" s="448" t="s">
        <v>504</v>
      </c>
      <c r="I171" s="448" t="s">
        <v>613</v>
      </c>
      <c r="J171" s="449" t="s">
        <v>20</v>
      </c>
      <c r="K171" s="450">
        <f t="shared" si="15"/>
        <v>1624.9148650715144</v>
      </c>
      <c r="L171" s="448"/>
      <c r="M171" s="450">
        <v>1800</v>
      </c>
      <c r="R171" s="450">
        <v>1705.4420103544176</v>
      </c>
      <c r="T171" s="450">
        <v>1614.0203729802658</v>
      </c>
      <c r="V171" s="450">
        <v>1624.9148650715144</v>
      </c>
      <c r="AH171"/>
      <c r="AI171"/>
    </row>
    <row r="172" spans="1:35" s="450" customFormat="1" x14ac:dyDescent="0.25">
      <c r="A172" s="448">
        <v>6</v>
      </c>
      <c r="B172" s="448"/>
      <c r="C172" s="448">
        <f t="shared" si="11"/>
        <v>1</v>
      </c>
      <c r="D172" s="448">
        <f t="shared" si="12"/>
        <v>1</v>
      </c>
      <c r="E172" s="448">
        <f t="shared" si="13"/>
        <v>15</v>
      </c>
      <c r="F172" s="448" t="str">
        <f t="shared" si="14"/>
        <v>pm</v>
      </c>
      <c r="G172" s="448" t="s">
        <v>614</v>
      </c>
      <c r="H172" s="448" t="s">
        <v>615</v>
      </c>
      <c r="I172" s="448" t="s">
        <v>616</v>
      </c>
      <c r="J172" s="449" t="s">
        <v>21</v>
      </c>
      <c r="K172" s="450">
        <f t="shared" si="15"/>
        <v>2377.208136429545</v>
      </c>
      <c r="L172" s="448"/>
      <c r="M172" s="450">
        <v>2400</v>
      </c>
      <c r="O172" s="451"/>
      <c r="P172" s="451">
        <v>2387.4256160710393</v>
      </c>
      <c r="Q172" s="451"/>
      <c r="R172" s="451"/>
      <c r="S172" s="451">
        <v>2352.5527648259167</v>
      </c>
      <c r="T172" s="451"/>
      <c r="U172" s="451">
        <v>2366.7411744211154</v>
      </c>
      <c r="V172" s="451"/>
      <c r="W172" s="451">
        <v>2377.208136429545</v>
      </c>
      <c r="X172" s="451"/>
      <c r="Y172" s="451"/>
      <c r="Z172" s="451"/>
      <c r="AA172" s="451"/>
      <c r="AB172" s="451"/>
      <c r="AC172" s="451"/>
      <c r="AD172" s="451"/>
      <c r="AE172" s="451"/>
      <c r="AF172" s="451"/>
      <c r="AG172" s="451"/>
      <c r="AH172"/>
      <c r="AI172"/>
    </row>
    <row r="173" spans="1:35" s="450" customFormat="1" x14ac:dyDescent="0.25">
      <c r="A173" s="448">
        <v>6</v>
      </c>
      <c r="B173" s="448"/>
      <c r="C173" s="448">
        <f t="shared" si="11"/>
        <v>2</v>
      </c>
      <c r="D173" s="448">
        <f t="shared" si="12"/>
        <v>1</v>
      </c>
      <c r="E173" s="448">
        <f t="shared" si="13"/>
        <v>15</v>
      </c>
      <c r="F173" s="448" t="str">
        <f t="shared" si="14"/>
        <v>pm</v>
      </c>
      <c r="G173" s="448" t="s">
        <v>617</v>
      </c>
      <c r="H173" s="448" t="s">
        <v>615</v>
      </c>
      <c r="I173" s="448" t="s">
        <v>618</v>
      </c>
      <c r="J173" s="449" t="s">
        <v>21</v>
      </c>
      <c r="K173" s="450">
        <f t="shared" si="15"/>
        <v>2343.2031299867836</v>
      </c>
      <c r="L173" s="448"/>
      <c r="M173" s="450">
        <v>2400</v>
      </c>
      <c r="O173" s="451"/>
      <c r="P173" s="451">
        <v>2419.8355804183434</v>
      </c>
      <c r="Q173" s="451"/>
      <c r="R173" s="451"/>
      <c r="S173" s="451">
        <v>2299.6632275953884</v>
      </c>
      <c r="T173" s="451"/>
      <c r="U173" s="451">
        <v>2357.6838122545587</v>
      </c>
      <c r="V173" s="451"/>
      <c r="W173" s="451">
        <v>2343.2031299867836</v>
      </c>
      <c r="X173" s="451"/>
      <c r="Y173" s="451"/>
      <c r="Z173" s="451"/>
      <c r="AA173" s="451"/>
      <c r="AB173" s="451"/>
      <c r="AC173" s="451"/>
      <c r="AD173" s="451"/>
      <c r="AE173" s="451"/>
      <c r="AF173" s="451"/>
      <c r="AG173" s="451"/>
      <c r="AH173"/>
      <c r="AI173"/>
    </row>
    <row r="174" spans="1:35" s="450" customFormat="1" x14ac:dyDescent="0.25">
      <c r="A174" s="448">
        <v>2</v>
      </c>
      <c r="B174" s="448"/>
      <c r="C174" s="448">
        <f t="shared" si="11"/>
        <v>3</v>
      </c>
      <c r="D174" s="448">
        <f t="shared" si="12"/>
        <v>1</v>
      </c>
      <c r="E174" s="448">
        <f t="shared" si="13"/>
        <v>15</v>
      </c>
      <c r="F174" s="448" t="str">
        <f t="shared" si="14"/>
        <v>pm</v>
      </c>
      <c r="G174" s="448" t="s">
        <v>619</v>
      </c>
      <c r="H174" s="448" t="s">
        <v>303</v>
      </c>
      <c r="I174" s="448" t="s">
        <v>620</v>
      </c>
      <c r="J174" s="449" t="s">
        <v>21</v>
      </c>
      <c r="K174" s="450">
        <f t="shared" si="15"/>
        <v>2611.7481368551003</v>
      </c>
      <c r="L174" s="448"/>
      <c r="M174" s="450">
        <v>2400</v>
      </c>
      <c r="S174" s="450">
        <v>2517.9197773041974</v>
      </c>
      <c r="U174" s="450">
        <v>2611.7481368551003</v>
      </c>
      <c r="AH174"/>
      <c r="AI174"/>
    </row>
    <row r="175" spans="1:35" s="450" customFormat="1" x14ac:dyDescent="0.25">
      <c r="A175" s="448">
        <v>3</v>
      </c>
      <c r="B175" s="448"/>
      <c r="C175" s="448">
        <f t="shared" si="11"/>
        <v>4</v>
      </c>
      <c r="D175" s="448">
        <f t="shared" si="12"/>
        <v>1</v>
      </c>
      <c r="E175" s="448">
        <f t="shared" si="13"/>
        <v>15</v>
      </c>
      <c r="F175" s="448" t="str">
        <f t="shared" si="14"/>
        <v>pm</v>
      </c>
      <c r="G175" s="448" t="s">
        <v>621</v>
      </c>
      <c r="H175" s="448" t="s">
        <v>303</v>
      </c>
      <c r="I175" s="448" t="s">
        <v>622</v>
      </c>
      <c r="J175" s="449" t="s">
        <v>21</v>
      </c>
      <c r="K175" s="450">
        <f t="shared" si="15"/>
        <v>2346.8553201545369</v>
      </c>
      <c r="L175" s="448"/>
      <c r="M175" s="450">
        <v>2400</v>
      </c>
      <c r="S175" s="450">
        <v>2295.1033399345392</v>
      </c>
      <c r="U175" s="450">
        <v>2346.8553201545369</v>
      </c>
      <c r="AH175"/>
      <c r="AI175"/>
    </row>
    <row r="176" spans="1:35" s="450" customFormat="1" x14ac:dyDescent="0.25">
      <c r="A176" s="448">
        <v>1</v>
      </c>
      <c r="B176" s="448"/>
      <c r="C176" s="448">
        <f t="shared" si="11"/>
        <v>5</v>
      </c>
      <c r="D176" s="448">
        <f t="shared" si="12"/>
        <v>1</v>
      </c>
      <c r="E176" s="448">
        <f t="shared" si="13"/>
        <v>15</v>
      </c>
      <c r="F176" s="448" t="str">
        <f t="shared" si="14"/>
        <v>pmx</v>
      </c>
      <c r="G176" s="448" t="s">
        <v>623</v>
      </c>
      <c r="H176" s="448" t="s">
        <v>437</v>
      </c>
      <c r="I176" s="448" t="s">
        <v>624</v>
      </c>
      <c r="J176" s="449" t="s">
        <v>21</v>
      </c>
      <c r="K176" s="450">
        <f t="shared" si="15"/>
        <v>2580.6479326604422</v>
      </c>
      <c r="L176" s="448"/>
      <c r="M176" s="450">
        <v>2400</v>
      </c>
      <c r="P176" s="450">
        <v>2580.6479326604422</v>
      </c>
      <c r="AH176"/>
      <c r="AI176"/>
    </row>
    <row r="177" spans="1:35" s="450" customFormat="1" x14ac:dyDescent="0.25">
      <c r="A177" s="448">
        <v>3</v>
      </c>
      <c r="B177" s="448"/>
      <c r="C177" s="448">
        <f t="shared" si="11"/>
        <v>6</v>
      </c>
      <c r="D177" s="448">
        <f t="shared" si="12"/>
        <v>1</v>
      </c>
      <c r="E177" s="448">
        <f t="shared" si="13"/>
        <v>15</v>
      </c>
      <c r="F177" s="448" t="str">
        <f t="shared" si="14"/>
        <v>pm</v>
      </c>
      <c r="G177" s="448" t="s">
        <v>625</v>
      </c>
      <c r="H177" s="448" t="s">
        <v>437</v>
      </c>
      <c r="I177" s="448" t="s">
        <v>626</v>
      </c>
      <c r="J177" s="449" t="s">
        <v>21</v>
      </c>
      <c r="K177" s="450">
        <f t="shared" si="15"/>
        <v>2432.4965464774205</v>
      </c>
      <c r="L177" s="448"/>
      <c r="M177" s="450">
        <v>2400</v>
      </c>
      <c r="P177" s="450">
        <v>2411.3980889405284</v>
      </c>
      <c r="W177" s="450">
        <v>2432.4965464774205</v>
      </c>
      <c r="AH177"/>
      <c r="AI177"/>
    </row>
    <row r="178" spans="1:35" s="450" customFormat="1" x14ac:dyDescent="0.25">
      <c r="A178" s="448"/>
      <c r="B178" s="448"/>
      <c r="C178" s="448">
        <f t="shared" si="11"/>
        <v>7</v>
      </c>
      <c r="D178" s="448">
        <f t="shared" si="12"/>
        <v>1</v>
      </c>
      <c r="E178" s="448">
        <f t="shared" si="13"/>
        <v>15</v>
      </c>
      <c r="F178" s="448" t="str">
        <f t="shared" si="14"/>
        <v>crx</v>
      </c>
      <c r="G178" s="448" t="s">
        <v>627</v>
      </c>
      <c r="H178" s="448"/>
      <c r="I178" s="448" t="s">
        <v>628</v>
      </c>
      <c r="J178" s="449" t="s">
        <v>21</v>
      </c>
      <c r="K178" s="450">
        <f t="shared" si="15"/>
        <v>2414.995302339873</v>
      </c>
      <c r="L178" s="448"/>
      <c r="M178" s="450">
        <v>2400</v>
      </c>
      <c r="O178" s="451"/>
      <c r="P178" s="451">
        <v>2414.995302339873</v>
      </c>
      <c r="Q178" s="451"/>
      <c r="R178" s="451"/>
      <c r="S178" s="451"/>
      <c r="T178" s="451"/>
      <c r="U178" s="451"/>
      <c r="V178" s="451"/>
      <c r="W178" s="451"/>
      <c r="X178" s="451"/>
      <c r="Y178" s="451"/>
      <c r="Z178" s="451"/>
      <c r="AA178" s="451"/>
      <c r="AB178" s="451"/>
      <c r="AC178" s="451"/>
      <c r="AH178"/>
      <c r="AI178"/>
    </row>
    <row r="179" spans="1:35" s="450" customFormat="1" x14ac:dyDescent="0.25">
      <c r="A179" s="448"/>
      <c r="B179" s="448"/>
      <c r="C179" s="448">
        <f t="shared" si="11"/>
        <v>8</v>
      </c>
      <c r="D179" s="448">
        <f t="shared" si="12"/>
        <v>1</v>
      </c>
      <c r="E179" s="448">
        <f t="shared" si="13"/>
        <v>15</v>
      </c>
      <c r="F179" s="448" t="str">
        <f t="shared" si="14"/>
        <v>crx</v>
      </c>
      <c r="G179" s="448" t="s">
        <v>629</v>
      </c>
      <c r="H179" s="448"/>
      <c r="I179" s="448" t="s">
        <v>630</v>
      </c>
      <c r="J179" s="449" t="s">
        <v>21</v>
      </c>
      <c r="K179" s="450">
        <f t="shared" si="15"/>
        <v>2364.2186562525962</v>
      </c>
      <c r="L179" s="448"/>
      <c r="M179" s="450">
        <v>2400</v>
      </c>
      <c r="O179" s="451"/>
      <c r="P179" s="451">
        <v>2364.2186562525962</v>
      </c>
      <c r="Q179" s="451"/>
      <c r="R179" s="451"/>
      <c r="S179" s="451"/>
      <c r="T179" s="451"/>
      <c r="U179" s="451"/>
      <c r="V179" s="451"/>
      <c r="W179" s="451"/>
      <c r="X179" s="451"/>
      <c r="Y179" s="451"/>
      <c r="Z179" s="451"/>
      <c r="AA179" s="451"/>
      <c r="AB179" s="451"/>
      <c r="AC179" s="451"/>
      <c r="AH179"/>
      <c r="AI179"/>
    </row>
    <row r="180" spans="1:35" s="450" customFormat="1" x14ac:dyDescent="0.25">
      <c r="A180" s="448">
        <v>3</v>
      </c>
      <c r="B180" s="448"/>
      <c r="C180" s="448">
        <f t="shared" si="11"/>
        <v>9</v>
      </c>
      <c r="D180" s="448">
        <f t="shared" si="12"/>
        <v>1</v>
      </c>
      <c r="E180" s="448">
        <f t="shared" si="13"/>
        <v>15</v>
      </c>
      <c r="F180" s="448" t="str">
        <f t="shared" si="14"/>
        <v>pm</v>
      </c>
      <c r="G180" s="448" t="s">
        <v>631</v>
      </c>
      <c r="H180" s="448" t="s">
        <v>296</v>
      </c>
      <c r="I180" s="448" t="s">
        <v>632</v>
      </c>
      <c r="J180" s="449" t="s">
        <v>21</v>
      </c>
      <c r="K180" s="450">
        <f t="shared" si="15"/>
        <v>2602.4800707292979</v>
      </c>
      <c r="L180" s="448"/>
      <c r="M180" s="450">
        <v>2400</v>
      </c>
      <c r="P180" s="450">
        <v>2529.806341942141</v>
      </c>
      <c r="S180" s="450">
        <v>2602.4800707292979</v>
      </c>
      <c r="AH180"/>
      <c r="AI180"/>
    </row>
    <row r="181" spans="1:35" s="450" customFormat="1" x14ac:dyDescent="0.25">
      <c r="A181" s="448">
        <v>4</v>
      </c>
      <c r="B181" s="448"/>
      <c r="C181" s="448">
        <f t="shared" si="11"/>
        <v>10</v>
      </c>
      <c r="D181" s="448">
        <f t="shared" si="12"/>
        <v>1</v>
      </c>
      <c r="E181" s="448">
        <f t="shared" si="13"/>
        <v>15</v>
      </c>
      <c r="F181" s="448" t="str">
        <f t="shared" si="14"/>
        <v>pm</v>
      </c>
      <c r="G181" s="448" t="s">
        <v>633</v>
      </c>
      <c r="H181" s="448" t="s">
        <v>296</v>
      </c>
      <c r="I181" s="448" t="s">
        <v>634</v>
      </c>
      <c r="J181" s="449" t="s">
        <v>21</v>
      </c>
      <c r="K181" s="450">
        <f t="shared" si="15"/>
        <v>2494.7652302568054</v>
      </c>
      <c r="L181" s="448"/>
      <c r="M181" s="450">
        <v>2400</v>
      </c>
      <c r="P181" s="450">
        <v>2495.8609490903345</v>
      </c>
      <c r="U181" s="450">
        <v>2537.8748707914665</v>
      </c>
      <c r="W181" s="450">
        <v>2494.7652302568054</v>
      </c>
      <c r="AH181"/>
      <c r="AI181"/>
    </row>
    <row r="182" spans="1:35" s="450" customFormat="1" x14ac:dyDescent="0.25">
      <c r="A182" s="448">
        <v>4</v>
      </c>
      <c r="B182" s="448"/>
      <c r="C182" s="448">
        <f t="shared" si="11"/>
        <v>11</v>
      </c>
      <c r="D182" s="448">
        <f t="shared" si="12"/>
        <v>1</v>
      </c>
      <c r="E182" s="448">
        <f t="shared" si="13"/>
        <v>15</v>
      </c>
      <c r="F182" s="448" t="str">
        <f t="shared" si="14"/>
        <v>pm</v>
      </c>
      <c r="G182" s="448" t="s">
        <v>635</v>
      </c>
      <c r="H182" s="448" t="s">
        <v>296</v>
      </c>
      <c r="I182" s="448" t="s">
        <v>636</v>
      </c>
      <c r="J182" s="449" t="s">
        <v>21</v>
      </c>
      <c r="K182" s="450">
        <f t="shared" si="15"/>
        <v>2391.8112657680576</v>
      </c>
      <c r="L182" s="448"/>
      <c r="M182" s="450">
        <v>2400</v>
      </c>
      <c r="P182" s="450">
        <v>2419.8800474739714</v>
      </c>
      <c r="U182" s="450">
        <v>2340.9367997858221</v>
      </c>
      <c r="W182" s="450">
        <v>2391.8112657680576</v>
      </c>
      <c r="AH182"/>
      <c r="AI182"/>
    </row>
    <row r="183" spans="1:35" s="450" customFormat="1" x14ac:dyDescent="0.25">
      <c r="A183" s="448">
        <v>3</v>
      </c>
      <c r="B183" s="448"/>
      <c r="C183" s="448">
        <f t="shared" si="11"/>
        <v>12</v>
      </c>
      <c r="D183" s="448">
        <f t="shared" si="12"/>
        <v>1</v>
      </c>
      <c r="E183" s="448">
        <f t="shared" si="13"/>
        <v>15</v>
      </c>
      <c r="F183" s="448" t="str">
        <f t="shared" si="14"/>
        <v>pm</v>
      </c>
      <c r="G183" s="448" t="s">
        <v>637</v>
      </c>
      <c r="H183" s="448" t="s">
        <v>296</v>
      </c>
      <c r="I183" s="448" t="s">
        <v>638</v>
      </c>
      <c r="J183" s="449" t="s">
        <v>21</v>
      </c>
      <c r="K183" s="450">
        <f t="shared" si="15"/>
        <v>2275.7602767241924</v>
      </c>
      <c r="L183" s="448"/>
      <c r="M183" s="450">
        <v>2400</v>
      </c>
      <c r="U183" s="450">
        <v>2319.1430928811537</v>
      </c>
      <c r="W183" s="450">
        <v>2275.7602767241924</v>
      </c>
      <c r="AH183"/>
      <c r="AI183"/>
    </row>
    <row r="184" spans="1:35" s="450" customFormat="1" x14ac:dyDescent="0.25">
      <c r="A184" s="448">
        <v>5</v>
      </c>
      <c r="B184" s="448"/>
      <c r="C184" s="448">
        <f t="shared" si="11"/>
        <v>13</v>
      </c>
      <c r="D184" s="448">
        <f t="shared" si="12"/>
        <v>1</v>
      </c>
      <c r="E184" s="448">
        <f t="shared" si="13"/>
        <v>15</v>
      </c>
      <c r="F184" s="448" t="str">
        <f t="shared" si="14"/>
        <v>pm</v>
      </c>
      <c r="G184" s="448" t="s">
        <v>639</v>
      </c>
      <c r="H184" s="448" t="s">
        <v>353</v>
      </c>
      <c r="I184" s="448" t="s">
        <v>640</v>
      </c>
      <c r="J184" s="449" t="s">
        <v>21</v>
      </c>
      <c r="K184" s="450">
        <f t="shared" si="15"/>
        <v>2576.6895575813751</v>
      </c>
      <c r="L184" s="448"/>
      <c r="M184" s="450">
        <v>2400</v>
      </c>
      <c r="P184" s="450">
        <v>2490.4866358168492</v>
      </c>
      <c r="S184" s="450">
        <v>2537.3268804369459</v>
      </c>
      <c r="U184" s="450">
        <v>2521.1020498080788</v>
      </c>
      <c r="W184" s="450">
        <v>2576.6895575813751</v>
      </c>
      <c r="AH184"/>
      <c r="AI184"/>
    </row>
    <row r="185" spans="1:35" s="450" customFormat="1" x14ac:dyDescent="0.25">
      <c r="A185" s="448">
        <v>6</v>
      </c>
      <c r="B185" s="448"/>
      <c r="C185" s="448">
        <f t="shared" si="11"/>
        <v>14</v>
      </c>
      <c r="D185" s="448">
        <f t="shared" si="12"/>
        <v>1</v>
      </c>
      <c r="E185" s="448">
        <f t="shared" si="13"/>
        <v>15</v>
      </c>
      <c r="F185" s="448" t="str">
        <f t="shared" si="14"/>
        <v>pm</v>
      </c>
      <c r="G185" s="448" t="s">
        <v>641</v>
      </c>
      <c r="H185" s="448" t="s">
        <v>358</v>
      </c>
      <c r="I185" s="448" t="s">
        <v>642</v>
      </c>
      <c r="J185" s="449" t="s">
        <v>21</v>
      </c>
      <c r="K185" s="450">
        <f t="shared" si="15"/>
        <v>2373.4332491326863</v>
      </c>
      <c r="L185" s="448"/>
      <c r="M185" s="450">
        <v>2400</v>
      </c>
      <c r="Q185" s="450">
        <v>2298.3524972797049</v>
      </c>
      <c r="S185" s="450">
        <v>2360.1998147700406</v>
      </c>
      <c r="U185" s="450">
        <v>2345.1430549012343</v>
      </c>
      <c r="W185" s="450">
        <v>2373.4332491326863</v>
      </c>
      <c r="AH185"/>
      <c r="AI185"/>
    </row>
    <row r="186" spans="1:35" s="450" customFormat="1" x14ac:dyDescent="0.25">
      <c r="A186" s="448">
        <v>2</v>
      </c>
      <c r="B186" s="448"/>
      <c r="C186" s="448">
        <f t="shared" si="11"/>
        <v>15</v>
      </c>
      <c r="D186" s="448">
        <f t="shared" si="12"/>
        <v>1</v>
      </c>
      <c r="E186" s="448">
        <f t="shared" si="13"/>
        <v>15</v>
      </c>
      <c r="F186" s="448" t="str">
        <f t="shared" si="14"/>
        <v>pm</v>
      </c>
      <c r="G186" s="448" t="s">
        <v>643</v>
      </c>
      <c r="H186" s="448" t="s">
        <v>299</v>
      </c>
      <c r="I186" s="448" t="s">
        <v>644</v>
      </c>
      <c r="J186" s="449" t="s">
        <v>21</v>
      </c>
      <c r="K186" s="450">
        <f t="shared" si="15"/>
        <v>2505.020862099786</v>
      </c>
      <c r="L186" s="448"/>
      <c r="M186" s="450">
        <v>2400</v>
      </c>
      <c r="P186" s="450">
        <v>2505.020862099786</v>
      </c>
      <c r="AH186"/>
      <c r="AI186"/>
    </row>
    <row r="187" spans="1:35" s="450" customFormat="1" x14ac:dyDescent="0.25">
      <c r="A187" s="448">
        <v>1</v>
      </c>
      <c r="B187" s="448"/>
      <c r="C187" s="448">
        <f t="shared" si="11"/>
        <v>16</v>
      </c>
      <c r="D187" s="448">
        <f t="shared" si="12"/>
        <v>1</v>
      </c>
      <c r="E187" s="448">
        <f t="shared" si="13"/>
        <v>15</v>
      </c>
      <c r="F187" s="448" t="str">
        <f t="shared" si="14"/>
        <v>pmx</v>
      </c>
      <c r="G187" s="448" t="s">
        <v>645</v>
      </c>
      <c r="H187" s="448" t="s">
        <v>371</v>
      </c>
      <c r="I187" s="448" t="s">
        <v>646</v>
      </c>
      <c r="J187" s="449" t="s">
        <v>21</v>
      </c>
      <c r="K187" s="450">
        <f t="shared" si="15"/>
        <v>2490.9058560635362</v>
      </c>
      <c r="L187" s="448"/>
      <c r="M187" s="450">
        <v>2400</v>
      </c>
      <c r="U187" s="450">
        <v>2490.9058560635362</v>
      </c>
      <c r="AH187"/>
      <c r="AI187"/>
    </row>
    <row r="188" spans="1:35" s="450" customFormat="1" x14ac:dyDescent="0.25">
      <c r="A188" s="448">
        <v>5</v>
      </c>
      <c r="B188" s="448"/>
      <c r="C188" s="448">
        <f t="shared" si="11"/>
        <v>17</v>
      </c>
      <c r="D188" s="448">
        <f t="shared" si="12"/>
        <v>1</v>
      </c>
      <c r="E188" s="448">
        <f t="shared" si="13"/>
        <v>15</v>
      </c>
      <c r="F188" s="448" t="str">
        <f t="shared" si="14"/>
        <v>pm</v>
      </c>
      <c r="G188" s="448" t="s">
        <v>257</v>
      </c>
      <c r="H188" s="448" t="s">
        <v>374</v>
      </c>
      <c r="I188" s="448" t="s">
        <v>256</v>
      </c>
      <c r="J188" s="449" t="s">
        <v>21</v>
      </c>
      <c r="K188" s="450">
        <f t="shared" si="15"/>
        <v>2548.7547222982257</v>
      </c>
      <c r="L188" s="448"/>
      <c r="M188" s="450">
        <v>2400</v>
      </c>
      <c r="P188" s="450">
        <v>2532.8046893748628</v>
      </c>
      <c r="W188" s="450">
        <v>2548.7547222982257</v>
      </c>
      <c r="AH188"/>
      <c r="AI188"/>
    </row>
    <row r="189" spans="1:35" s="450" customFormat="1" x14ac:dyDescent="0.25">
      <c r="A189" s="448">
        <v>4</v>
      </c>
      <c r="B189" s="448"/>
      <c r="C189" s="448">
        <f t="shared" si="11"/>
        <v>18</v>
      </c>
      <c r="D189" s="448">
        <f t="shared" si="12"/>
        <v>1</v>
      </c>
      <c r="E189" s="448">
        <f t="shared" si="13"/>
        <v>15</v>
      </c>
      <c r="F189" s="448" t="str">
        <f t="shared" si="14"/>
        <v>pm</v>
      </c>
      <c r="G189" s="448" t="s">
        <v>647</v>
      </c>
      <c r="H189" s="448" t="s">
        <v>374</v>
      </c>
      <c r="I189" s="448" t="s">
        <v>648</v>
      </c>
      <c r="J189" s="449" t="s">
        <v>21</v>
      </c>
      <c r="K189" s="450">
        <f t="shared" si="15"/>
        <v>2407.1159789073695</v>
      </c>
      <c r="L189" s="448"/>
      <c r="M189" s="450">
        <v>2400</v>
      </c>
      <c r="U189" s="450">
        <v>2413.5003812693762</v>
      </c>
      <c r="W189" s="450">
        <v>2407.1159789073695</v>
      </c>
      <c r="AH189"/>
      <c r="AI189"/>
    </row>
    <row r="190" spans="1:35" s="450" customFormat="1" x14ac:dyDescent="0.25">
      <c r="A190" s="448">
        <v>4</v>
      </c>
      <c r="B190" s="448"/>
      <c r="C190" s="448">
        <f t="shared" si="11"/>
        <v>19</v>
      </c>
      <c r="D190" s="448">
        <f t="shared" si="12"/>
        <v>1</v>
      </c>
      <c r="E190" s="448">
        <f t="shared" si="13"/>
        <v>15</v>
      </c>
      <c r="F190" s="448" t="str">
        <f t="shared" si="14"/>
        <v>pm</v>
      </c>
      <c r="G190" s="448" t="s">
        <v>649</v>
      </c>
      <c r="H190" s="448" t="s">
        <v>374</v>
      </c>
      <c r="I190" s="448" t="s">
        <v>650</v>
      </c>
      <c r="J190" s="449" t="s">
        <v>21</v>
      </c>
      <c r="K190" s="450">
        <f t="shared" si="15"/>
        <v>2278.973434353381</v>
      </c>
      <c r="L190" s="448"/>
      <c r="M190" s="450">
        <v>2400</v>
      </c>
      <c r="U190" s="450">
        <v>2316.272580612786</v>
      </c>
      <c r="W190" s="450">
        <v>2278.973434353381</v>
      </c>
      <c r="AH190"/>
      <c r="AI190"/>
    </row>
    <row r="191" spans="1:35" s="450" customFormat="1" x14ac:dyDescent="0.25">
      <c r="A191" s="448">
        <v>4</v>
      </c>
      <c r="B191" s="448"/>
      <c r="C191" s="448">
        <f t="shared" si="11"/>
        <v>20</v>
      </c>
      <c r="D191" s="448">
        <f t="shared" si="12"/>
        <v>1</v>
      </c>
      <c r="E191" s="448">
        <f t="shared" si="13"/>
        <v>15</v>
      </c>
      <c r="F191" s="448" t="str">
        <f t="shared" si="14"/>
        <v>pm</v>
      </c>
      <c r="G191" s="448" t="s">
        <v>651</v>
      </c>
      <c r="H191" s="448" t="s">
        <v>306</v>
      </c>
      <c r="I191" s="448" t="s">
        <v>652</v>
      </c>
      <c r="J191" s="449" t="s">
        <v>21</v>
      </c>
      <c r="K191" s="450">
        <f t="shared" si="15"/>
        <v>2311.8485055913134</v>
      </c>
      <c r="L191" s="448"/>
      <c r="M191" s="450">
        <v>2400</v>
      </c>
      <c r="U191" s="450">
        <v>2375.053097155987</v>
      </c>
      <c r="W191" s="450">
        <v>2311.8485055913134</v>
      </c>
      <c r="AH191"/>
      <c r="AI191"/>
    </row>
    <row r="192" spans="1:35" s="450" customFormat="1" x14ac:dyDescent="0.25">
      <c r="A192" s="448">
        <v>7</v>
      </c>
      <c r="B192" s="448"/>
      <c r="C192" s="448">
        <f t="shared" si="11"/>
        <v>21</v>
      </c>
      <c r="D192" s="448">
        <f t="shared" si="12"/>
        <v>1</v>
      </c>
      <c r="E192" s="448">
        <f t="shared" si="13"/>
        <v>15</v>
      </c>
      <c r="F192" s="448" t="str">
        <f t="shared" si="14"/>
        <v>pm</v>
      </c>
      <c r="G192" s="448" t="s">
        <v>653</v>
      </c>
      <c r="H192" s="448" t="s">
        <v>309</v>
      </c>
      <c r="I192" s="448" t="s">
        <v>654</v>
      </c>
      <c r="J192" s="449" t="s">
        <v>21</v>
      </c>
      <c r="K192" s="450">
        <f t="shared" si="15"/>
        <v>2423.6846092676101</v>
      </c>
      <c r="L192" s="448"/>
      <c r="M192" s="450">
        <v>2400</v>
      </c>
      <c r="P192" s="450">
        <v>2433.8983579853784</v>
      </c>
      <c r="Q192" s="450">
        <v>2431.8105354897539</v>
      </c>
      <c r="S192" s="450">
        <v>2390.4386500342198</v>
      </c>
      <c r="U192" s="450">
        <v>2413.7157394938272</v>
      </c>
      <c r="W192" s="450">
        <v>2423.6846092676101</v>
      </c>
      <c r="AH192"/>
      <c r="AI192"/>
    </row>
    <row r="193" spans="1:35" s="450" customFormat="1" x14ac:dyDescent="0.25">
      <c r="A193" s="448">
        <v>2</v>
      </c>
      <c r="B193" s="448"/>
      <c r="C193" s="448">
        <f t="shared" si="11"/>
        <v>22</v>
      </c>
      <c r="D193" s="448">
        <f t="shared" si="12"/>
        <v>1</v>
      </c>
      <c r="E193" s="448">
        <f t="shared" si="13"/>
        <v>15</v>
      </c>
      <c r="F193" s="448" t="str">
        <f t="shared" si="14"/>
        <v>pm</v>
      </c>
      <c r="G193" s="448" t="s">
        <v>655</v>
      </c>
      <c r="H193" s="448" t="s">
        <v>330</v>
      </c>
      <c r="I193" s="448" t="s">
        <v>656</v>
      </c>
      <c r="J193" s="449" t="s">
        <v>21</v>
      </c>
      <c r="K193" s="450">
        <f t="shared" si="15"/>
        <v>2510.3988721585351</v>
      </c>
      <c r="L193" s="448"/>
      <c r="M193" s="450">
        <v>2400</v>
      </c>
      <c r="S193" s="450">
        <v>2510.3988721585351</v>
      </c>
      <c r="AH193"/>
      <c r="AI193"/>
    </row>
    <row r="194" spans="1:35" s="450" customFormat="1" x14ac:dyDescent="0.25">
      <c r="A194" s="448">
        <v>2</v>
      </c>
      <c r="B194" s="448"/>
      <c r="C194" s="448">
        <f t="shared" ref="C194:C257" si="16">IF(E194=E193,C193+1,1)</f>
        <v>23</v>
      </c>
      <c r="D194" s="448">
        <f t="shared" ref="D194:D257" si="17">IF(M194=M193,D193,C194)</f>
        <v>1</v>
      </c>
      <c r="E194" s="448">
        <f t="shared" ref="E194:E257" si="18">10+VALUE(RIGHT(LEFT(G194,3),1))</f>
        <v>15</v>
      </c>
      <c r="F194" s="448" t="str">
        <f t="shared" ref="F194:F257" si="19">RIGHT(G194,2) &amp; IF(A194&lt;2,"x","")</f>
        <v>pm</v>
      </c>
      <c r="G194" s="448" t="s">
        <v>657</v>
      </c>
      <c r="H194" s="448" t="s">
        <v>330</v>
      </c>
      <c r="I194" s="448" t="s">
        <v>658</v>
      </c>
      <c r="J194" s="449" t="s">
        <v>21</v>
      </c>
      <c r="K194" s="450">
        <f t="shared" ref="K194:K257" si="20">LOOKUP(1E+100,M194:AC194)</f>
        <v>2424.3251569122449</v>
      </c>
      <c r="L194" s="448"/>
      <c r="M194" s="450">
        <v>2400</v>
      </c>
      <c r="S194" s="450">
        <v>2373.4548553972368</v>
      </c>
      <c r="W194" s="450">
        <v>2424.3251569122449</v>
      </c>
      <c r="AH194"/>
      <c r="AI194"/>
    </row>
    <row r="195" spans="1:35" s="450" customFormat="1" x14ac:dyDescent="0.25">
      <c r="A195" s="448">
        <v>2</v>
      </c>
      <c r="B195" s="448"/>
      <c r="C195" s="448">
        <f t="shared" si="16"/>
        <v>24</v>
      </c>
      <c r="D195" s="448">
        <f t="shared" si="17"/>
        <v>1</v>
      </c>
      <c r="E195" s="448">
        <f t="shared" si="18"/>
        <v>15</v>
      </c>
      <c r="F195" s="448" t="str">
        <f t="shared" si="19"/>
        <v>pm</v>
      </c>
      <c r="G195" s="448" t="s">
        <v>659</v>
      </c>
      <c r="H195" s="448" t="s">
        <v>431</v>
      </c>
      <c r="I195" s="448" t="s">
        <v>660</v>
      </c>
      <c r="J195" s="449" t="s">
        <v>21</v>
      </c>
      <c r="K195" s="450">
        <f t="shared" si="20"/>
        <v>2358.6895672074957</v>
      </c>
      <c r="L195" s="448"/>
      <c r="M195" s="450">
        <v>2400</v>
      </c>
      <c r="P195" s="450">
        <v>2358.6895672074957</v>
      </c>
      <c r="AH195"/>
      <c r="AI195"/>
    </row>
    <row r="196" spans="1:35" s="450" customFormat="1" x14ac:dyDescent="0.25">
      <c r="A196" s="448">
        <v>4</v>
      </c>
      <c r="B196" s="448"/>
      <c r="C196" s="448">
        <f t="shared" si="16"/>
        <v>25</v>
      </c>
      <c r="D196" s="448">
        <f t="shared" si="17"/>
        <v>1</v>
      </c>
      <c r="E196" s="448">
        <f t="shared" si="18"/>
        <v>15</v>
      </c>
      <c r="F196" s="448" t="str">
        <f t="shared" si="19"/>
        <v>pm</v>
      </c>
      <c r="G196" s="448" t="s">
        <v>661</v>
      </c>
      <c r="H196" s="448" t="s">
        <v>319</v>
      </c>
      <c r="I196" s="448" t="s">
        <v>662</v>
      </c>
      <c r="J196" s="449" t="s">
        <v>21</v>
      </c>
      <c r="K196" s="450">
        <f t="shared" si="20"/>
        <v>2522.4227199343727</v>
      </c>
      <c r="L196" s="448"/>
      <c r="M196" s="450">
        <v>2400</v>
      </c>
      <c r="P196" s="450">
        <v>2433.9655474743449</v>
      </c>
      <c r="S196" s="450">
        <v>2478.3685552215939</v>
      </c>
      <c r="U196" s="450">
        <v>2522.4227199343727</v>
      </c>
      <c r="AH196"/>
      <c r="AI196"/>
    </row>
    <row r="197" spans="1:35" s="450" customFormat="1" x14ac:dyDescent="0.25">
      <c r="A197" s="448">
        <v>5</v>
      </c>
      <c r="B197" s="448"/>
      <c r="C197" s="448">
        <f t="shared" si="16"/>
        <v>26</v>
      </c>
      <c r="D197" s="448">
        <f t="shared" si="17"/>
        <v>1</v>
      </c>
      <c r="E197" s="448">
        <f t="shared" si="18"/>
        <v>15</v>
      </c>
      <c r="F197" s="448" t="str">
        <f t="shared" si="19"/>
        <v>pm</v>
      </c>
      <c r="G197" s="448" t="s">
        <v>255</v>
      </c>
      <c r="H197" s="448" t="s">
        <v>338</v>
      </c>
      <c r="I197" s="448" t="s">
        <v>254</v>
      </c>
      <c r="J197" s="449" t="s">
        <v>21</v>
      </c>
      <c r="K197" s="450">
        <f t="shared" si="20"/>
        <v>2605.0099691087071</v>
      </c>
      <c r="L197" s="448"/>
      <c r="M197" s="450">
        <v>2400</v>
      </c>
      <c r="S197" s="450">
        <v>2498.4629299605249</v>
      </c>
      <c r="U197" s="450">
        <v>2535.7339513621905</v>
      </c>
      <c r="W197" s="450">
        <v>2605.0099691087071</v>
      </c>
      <c r="AH197"/>
      <c r="AI197"/>
    </row>
    <row r="198" spans="1:35" s="450" customFormat="1" x14ac:dyDescent="0.25">
      <c r="A198" s="448">
        <v>5</v>
      </c>
      <c r="B198" s="448"/>
      <c r="C198" s="448">
        <f t="shared" si="16"/>
        <v>27</v>
      </c>
      <c r="D198" s="448">
        <f t="shared" si="17"/>
        <v>1</v>
      </c>
      <c r="E198" s="448">
        <f t="shared" si="18"/>
        <v>15</v>
      </c>
      <c r="F198" s="448" t="str">
        <f t="shared" si="19"/>
        <v>pm</v>
      </c>
      <c r="G198" s="448" t="s">
        <v>663</v>
      </c>
      <c r="H198" s="448" t="s">
        <v>338</v>
      </c>
      <c r="I198" s="448" t="s">
        <v>664</v>
      </c>
      <c r="J198" s="449" t="s">
        <v>21</v>
      </c>
      <c r="K198" s="450">
        <f t="shared" si="20"/>
        <v>2175.1561813868898</v>
      </c>
      <c r="L198" s="448"/>
      <c r="M198" s="450">
        <v>2400</v>
      </c>
      <c r="S198" s="450">
        <v>2304.2233246789406</v>
      </c>
      <c r="U198" s="450">
        <v>2215.5305281096694</v>
      </c>
      <c r="W198" s="450">
        <v>2175.1561813868898</v>
      </c>
      <c r="AH198"/>
      <c r="AI198"/>
    </row>
    <row r="199" spans="1:35" s="450" customFormat="1" x14ac:dyDescent="0.25">
      <c r="A199" s="448"/>
      <c r="B199" s="448"/>
      <c r="C199" s="448">
        <f t="shared" si="16"/>
        <v>28</v>
      </c>
      <c r="D199" s="448">
        <f t="shared" si="17"/>
        <v>1</v>
      </c>
      <c r="E199" s="448">
        <f t="shared" si="18"/>
        <v>15</v>
      </c>
      <c r="F199" s="448" t="str">
        <f t="shared" si="19"/>
        <v>crx</v>
      </c>
      <c r="G199" s="448" t="s">
        <v>665</v>
      </c>
      <c r="H199" s="448"/>
      <c r="I199" s="448" t="s">
        <v>666</v>
      </c>
      <c r="J199" s="449" t="s">
        <v>21</v>
      </c>
      <c r="K199" s="450">
        <f t="shared" si="20"/>
        <v>2425.9832095434467</v>
      </c>
      <c r="L199" s="448"/>
      <c r="M199" s="450">
        <v>2400</v>
      </c>
      <c r="O199" s="451"/>
      <c r="P199" s="451">
        <v>2425.9832095434467</v>
      </c>
      <c r="Q199" s="451"/>
      <c r="R199" s="451"/>
      <c r="S199" s="451"/>
      <c r="T199" s="451"/>
      <c r="U199" s="451"/>
      <c r="V199" s="451"/>
      <c r="W199" s="451"/>
      <c r="X199" s="451"/>
      <c r="Y199" s="451"/>
      <c r="Z199" s="451"/>
      <c r="AA199" s="451"/>
      <c r="AB199" s="451"/>
      <c r="AC199" s="451"/>
      <c r="AH199"/>
      <c r="AI199"/>
    </row>
    <row r="200" spans="1:35" s="450" customFormat="1" x14ac:dyDescent="0.25">
      <c r="A200" s="448">
        <v>3</v>
      </c>
      <c r="B200" s="448"/>
      <c r="C200" s="448">
        <f t="shared" si="16"/>
        <v>29</v>
      </c>
      <c r="D200" s="448">
        <f t="shared" si="17"/>
        <v>1</v>
      </c>
      <c r="E200" s="448">
        <f t="shared" si="18"/>
        <v>15</v>
      </c>
      <c r="F200" s="448" t="str">
        <f t="shared" si="19"/>
        <v>pm</v>
      </c>
      <c r="G200" s="448" t="s">
        <v>667</v>
      </c>
      <c r="H200" s="448" t="s">
        <v>668</v>
      </c>
      <c r="I200" s="448" t="s">
        <v>669</v>
      </c>
      <c r="J200" s="449" t="s">
        <v>21</v>
      </c>
      <c r="K200" s="450">
        <f t="shared" si="20"/>
        <v>2306.3856604839848</v>
      </c>
      <c r="L200" s="448"/>
      <c r="M200" s="450">
        <v>2400</v>
      </c>
      <c r="P200" s="450">
        <v>2333.7938394280536</v>
      </c>
      <c r="U200" s="450">
        <v>2306.3856604839848</v>
      </c>
      <c r="AH200"/>
      <c r="AI200"/>
    </row>
    <row r="201" spans="1:35" s="450" customFormat="1" x14ac:dyDescent="0.25">
      <c r="A201" s="448">
        <v>6</v>
      </c>
      <c r="B201" s="448"/>
      <c r="C201" s="448">
        <f t="shared" si="16"/>
        <v>30</v>
      </c>
      <c r="D201" s="448">
        <f t="shared" si="17"/>
        <v>30</v>
      </c>
      <c r="E201" s="448">
        <f t="shared" si="18"/>
        <v>15</v>
      </c>
      <c r="F201" s="448" t="str">
        <f t="shared" si="19"/>
        <v>pm</v>
      </c>
      <c r="G201" s="448" t="s">
        <v>670</v>
      </c>
      <c r="H201" s="448" t="s">
        <v>353</v>
      </c>
      <c r="I201" s="448" t="s">
        <v>671</v>
      </c>
      <c r="J201" s="449" t="s">
        <v>21</v>
      </c>
      <c r="K201" s="450">
        <f t="shared" si="20"/>
        <v>2155.1630464559048</v>
      </c>
      <c r="L201" s="448"/>
      <c r="M201" s="450">
        <v>2333.3333333333335</v>
      </c>
      <c r="P201" s="450">
        <v>2254.874844323052</v>
      </c>
      <c r="R201" s="450">
        <v>2271.1608850477701</v>
      </c>
      <c r="S201" s="450">
        <v>2266.0282548789673</v>
      </c>
      <c r="U201" s="450">
        <v>2194.8825329107262</v>
      </c>
      <c r="W201" s="450">
        <v>2155.1630464559048</v>
      </c>
      <c r="AH201"/>
      <c r="AI201"/>
    </row>
    <row r="202" spans="1:35" s="450" customFormat="1" x14ac:dyDescent="0.25">
      <c r="A202" s="448">
        <v>2</v>
      </c>
      <c r="B202" s="448"/>
      <c r="C202" s="448">
        <f t="shared" si="16"/>
        <v>31</v>
      </c>
      <c r="D202" s="448">
        <f t="shared" si="17"/>
        <v>31</v>
      </c>
      <c r="E202" s="448">
        <f t="shared" si="18"/>
        <v>15</v>
      </c>
      <c r="F202" s="448" t="str">
        <f t="shared" si="19"/>
        <v>pm</v>
      </c>
      <c r="G202" s="448" t="s">
        <v>672</v>
      </c>
      <c r="H202" s="448" t="s">
        <v>316</v>
      </c>
      <c r="I202" s="448" t="s">
        <v>673</v>
      </c>
      <c r="J202" s="449" t="s">
        <v>21</v>
      </c>
      <c r="K202" s="450">
        <f t="shared" si="20"/>
        <v>2402.1626892749932</v>
      </c>
      <c r="L202" s="448"/>
      <c r="M202" s="450">
        <v>2200</v>
      </c>
      <c r="T202" s="450">
        <v>2402.1626892749932</v>
      </c>
      <c r="AH202"/>
      <c r="AI202"/>
    </row>
    <row r="203" spans="1:35" s="450" customFormat="1" x14ac:dyDescent="0.25">
      <c r="A203" s="448">
        <v>2</v>
      </c>
      <c r="B203" s="448"/>
      <c r="C203" s="448">
        <f t="shared" si="16"/>
        <v>32</v>
      </c>
      <c r="D203" s="448">
        <f t="shared" si="17"/>
        <v>31</v>
      </c>
      <c r="E203" s="448">
        <f t="shared" si="18"/>
        <v>15</v>
      </c>
      <c r="F203" s="448" t="str">
        <f t="shared" si="19"/>
        <v>pm</v>
      </c>
      <c r="G203" s="448" t="s">
        <v>674</v>
      </c>
      <c r="H203" s="448" t="s">
        <v>316</v>
      </c>
      <c r="I203" s="448" t="s">
        <v>675</v>
      </c>
      <c r="J203" s="449" t="s">
        <v>21</v>
      </c>
      <c r="K203" s="450">
        <f t="shared" si="20"/>
        <v>2375.211979799888</v>
      </c>
      <c r="L203" s="448"/>
      <c r="M203" s="450">
        <v>2200</v>
      </c>
      <c r="T203" s="450">
        <v>2375.211979799888</v>
      </c>
      <c r="AH203"/>
      <c r="AI203"/>
    </row>
    <row r="204" spans="1:35" s="450" customFormat="1" x14ac:dyDescent="0.25">
      <c r="A204" s="448">
        <v>2</v>
      </c>
      <c r="B204" s="448"/>
      <c r="C204" s="448">
        <f t="shared" si="16"/>
        <v>33</v>
      </c>
      <c r="D204" s="448">
        <f t="shared" si="17"/>
        <v>31</v>
      </c>
      <c r="E204" s="448">
        <f t="shared" si="18"/>
        <v>15</v>
      </c>
      <c r="F204" s="448" t="str">
        <f t="shared" si="19"/>
        <v>pm</v>
      </c>
      <c r="G204" s="448" t="s">
        <v>676</v>
      </c>
      <c r="H204" s="448" t="s">
        <v>316</v>
      </c>
      <c r="I204" s="448" t="s">
        <v>677</v>
      </c>
      <c r="J204" s="449" t="s">
        <v>21</v>
      </c>
      <c r="K204" s="450">
        <f t="shared" si="20"/>
        <v>2189.6243126686718</v>
      </c>
      <c r="L204" s="448"/>
      <c r="M204" s="450">
        <v>2200</v>
      </c>
      <c r="T204" s="450">
        <v>2189.6243126686718</v>
      </c>
      <c r="AH204"/>
      <c r="AI204"/>
    </row>
    <row r="205" spans="1:35" s="450" customFormat="1" x14ac:dyDescent="0.25">
      <c r="A205" s="448">
        <v>2</v>
      </c>
      <c r="B205" s="448"/>
      <c r="C205" s="448">
        <f t="shared" si="16"/>
        <v>34</v>
      </c>
      <c r="D205" s="448">
        <f t="shared" si="17"/>
        <v>31</v>
      </c>
      <c r="E205" s="448">
        <f t="shared" si="18"/>
        <v>15</v>
      </c>
      <c r="F205" s="448" t="str">
        <f t="shared" si="19"/>
        <v>pm</v>
      </c>
      <c r="G205" s="448" t="s">
        <v>678</v>
      </c>
      <c r="H205" s="448" t="s">
        <v>316</v>
      </c>
      <c r="I205" s="448" t="s">
        <v>679</v>
      </c>
      <c r="J205" s="449" t="s">
        <v>21</v>
      </c>
      <c r="K205" s="450">
        <f t="shared" si="20"/>
        <v>2242.6136983678898</v>
      </c>
      <c r="L205" s="448"/>
      <c r="M205" s="450">
        <v>2200</v>
      </c>
      <c r="T205" s="450">
        <v>2242.6136983678898</v>
      </c>
      <c r="AH205"/>
      <c r="AI205"/>
    </row>
    <row r="206" spans="1:35" s="450" customFormat="1" x14ac:dyDescent="0.25">
      <c r="A206" s="448">
        <v>3</v>
      </c>
      <c r="B206" s="448"/>
      <c r="C206" s="448">
        <f t="shared" si="16"/>
        <v>35</v>
      </c>
      <c r="D206" s="448">
        <f t="shared" si="17"/>
        <v>35</v>
      </c>
      <c r="E206" s="448">
        <f t="shared" si="18"/>
        <v>15</v>
      </c>
      <c r="F206" s="448" t="str">
        <f t="shared" si="19"/>
        <v>pm</v>
      </c>
      <c r="G206" s="448" t="s">
        <v>680</v>
      </c>
      <c r="H206" s="448" t="s">
        <v>554</v>
      </c>
      <c r="I206" s="448" t="s">
        <v>681</v>
      </c>
      <c r="J206" s="449" t="s">
        <v>20</v>
      </c>
      <c r="K206" s="450">
        <f t="shared" si="20"/>
        <v>2254.6696085386193</v>
      </c>
      <c r="L206" s="448"/>
      <c r="M206" s="450">
        <v>2133.3333333333335</v>
      </c>
      <c r="O206" s="451"/>
      <c r="P206" s="451">
        <v>2171.2364438273903</v>
      </c>
      <c r="Q206" s="451"/>
      <c r="R206" s="451"/>
      <c r="S206" s="451">
        <v>2218.9901714404259</v>
      </c>
      <c r="T206" s="451"/>
      <c r="U206" s="451"/>
      <c r="V206" s="451">
        <v>2254.6696085386193</v>
      </c>
      <c r="W206" s="451"/>
      <c r="X206" s="451"/>
      <c r="Y206" s="451"/>
      <c r="Z206" s="451"/>
      <c r="AA206" s="451"/>
      <c r="AB206" s="451"/>
      <c r="AC206" s="451"/>
      <c r="AD206" s="451"/>
      <c r="AE206" s="451"/>
      <c r="AF206" s="451"/>
      <c r="AG206" s="451"/>
      <c r="AH206"/>
      <c r="AI206"/>
    </row>
    <row r="207" spans="1:35" s="450" customFormat="1" x14ac:dyDescent="0.25">
      <c r="A207" s="448">
        <v>7</v>
      </c>
      <c r="B207" s="448"/>
      <c r="C207" s="448">
        <f t="shared" si="16"/>
        <v>36</v>
      </c>
      <c r="D207" s="448">
        <f t="shared" si="17"/>
        <v>36</v>
      </c>
      <c r="E207" s="448">
        <f t="shared" si="18"/>
        <v>15</v>
      </c>
      <c r="F207" s="448" t="str">
        <f t="shared" si="19"/>
        <v>pm</v>
      </c>
      <c r="G207" s="448" t="s">
        <v>682</v>
      </c>
      <c r="H207" s="448" t="s">
        <v>490</v>
      </c>
      <c r="I207" s="448" t="s">
        <v>683</v>
      </c>
      <c r="J207" s="449" t="s">
        <v>20</v>
      </c>
      <c r="K207" s="450">
        <f t="shared" si="20"/>
        <v>2285.1397758173989</v>
      </c>
      <c r="L207" s="448"/>
      <c r="M207" s="450">
        <v>2114.2857142857142</v>
      </c>
      <c r="P207" s="450">
        <v>2102.3245224321704</v>
      </c>
      <c r="Q207" s="450">
        <v>2203.6952157273317</v>
      </c>
      <c r="T207" s="450">
        <v>2182.5823517948334</v>
      </c>
      <c r="U207" s="450">
        <v>2285.1397758173989</v>
      </c>
      <c r="AH207"/>
      <c r="AI207"/>
    </row>
    <row r="208" spans="1:35" s="450" customFormat="1" x14ac:dyDescent="0.25">
      <c r="A208" s="448">
        <v>4</v>
      </c>
      <c r="B208" s="448"/>
      <c r="C208" s="448">
        <f t="shared" si="16"/>
        <v>37</v>
      </c>
      <c r="D208" s="448">
        <f t="shared" si="17"/>
        <v>37</v>
      </c>
      <c r="E208" s="448">
        <f t="shared" si="18"/>
        <v>15</v>
      </c>
      <c r="F208" s="448" t="str">
        <f t="shared" si="19"/>
        <v>pm</v>
      </c>
      <c r="G208" s="448" t="s">
        <v>684</v>
      </c>
      <c r="H208" s="448" t="s">
        <v>685</v>
      </c>
      <c r="I208" s="448" t="s">
        <v>686</v>
      </c>
      <c r="J208" s="449" t="s">
        <v>20</v>
      </c>
      <c r="K208" s="450">
        <f t="shared" si="20"/>
        <v>2246.9713787647379</v>
      </c>
      <c r="L208" s="448"/>
      <c r="M208" s="450">
        <v>2000</v>
      </c>
      <c r="P208" s="450">
        <v>2074.6603823800419</v>
      </c>
      <c r="R208" s="450">
        <v>2138.2377521954518</v>
      </c>
      <c r="T208" s="450">
        <v>2200.7724588064239</v>
      </c>
      <c r="V208" s="450">
        <v>2246.9713787647379</v>
      </c>
      <c r="AH208"/>
      <c r="AI208"/>
    </row>
    <row r="209" spans="1:35" s="450" customFormat="1" x14ac:dyDescent="0.25">
      <c r="A209" s="448">
        <v>6</v>
      </c>
      <c r="B209" s="448"/>
      <c r="C209" s="448">
        <f t="shared" si="16"/>
        <v>38</v>
      </c>
      <c r="D209" s="448">
        <f t="shared" si="17"/>
        <v>37</v>
      </c>
      <c r="E209" s="448">
        <f t="shared" si="18"/>
        <v>15</v>
      </c>
      <c r="F209" s="448" t="str">
        <f t="shared" si="19"/>
        <v>pm</v>
      </c>
      <c r="G209" s="448" t="s">
        <v>687</v>
      </c>
      <c r="H209" s="448" t="s">
        <v>688</v>
      </c>
      <c r="I209" s="448" t="s">
        <v>689</v>
      </c>
      <c r="J209" s="449" t="s">
        <v>20</v>
      </c>
      <c r="K209" s="450">
        <f t="shared" si="20"/>
        <v>1907.6867929069385</v>
      </c>
      <c r="L209" s="448"/>
      <c r="M209" s="450">
        <v>2000</v>
      </c>
      <c r="O209" s="451"/>
      <c r="P209" s="451">
        <v>1934.8260348820634</v>
      </c>
      <c r="Q209" s="451"/>
      <c r="R209" s="451">
        <v>1957.3259502278074</v>
      </c>
      <c r="S209" s="451"/>
      <c r="T209" s="451">
        <v>1968.7059582012987</v>
      </c>
      <c r="U209" s="451"/>
      <c r="V209" s="451">
        <v>1907.6867929069385</v>
      </c>
      <c r="W209" s="451"/>
      <c r="X209" s="451"/>
      <c r="Y209" s="451"/>
      <c r="Z209" s="451"/>
      <c r="AA209" s="451"/>
      <c r="AB209" s="451"/>
      <c r="AC209" s="451"/>
      <c r="AD209" s="451"/>
      <c r="AE209" s="451"/>
      <c r="AF209" s="451"/>
      <c r="AG209" s="451"/>
      <c r="AH209"/>
      <c r="AI209"/>
    </row>
    <row r="210" spans="1:35" s="450" customFormat="1" x14ac:dyDescent="0.25">
      <c r="A210" s="448">
        <v>3</v>
      </c>
      <c r="B210" s="448"/>
      <c r="C210" s="448">
        <f t="shared" si="16"/>
        <v>39</v>
      </c>
      <c r="D210" s="448">
        <f t="shared" si="17"/>
        <v>37</v>
      </c>
      <c r="E210" s="448">
        <f t="shared" si="18"/>
        <v>15</v>
      </c>
      <c r="F210" s="448" t="str">
        <f t="shared" si="19"/>
        <v>pm</v>
      </c>
      <c r="G210" s="448" t="s">
        <v>690</v>
      </c>
      <c r="H210" s="448" t="s">
        <v>296</v>
      </c>
      <c r="I210" s="448" t="s">
        <v>691</v>
      </c>
      <c r="J210" s="449" t="s">
        <v>20</v>
      </c>
      <c r="K210" s="450">
        <f t="shared" si="20"/>
        <v>1999.324379837778</v>
      </c>
      <c r="L210" s="448"/>
      <c r="M210" s="450">
        <v>2000</v>
      </c>
      <c r="P210" s="450">
        <v>1999.324379837778</v>
      </c>
      <c r="AH210"/>
      <c r="AI210"/>
    </row>
    <row r="211" spans="1:35" s="450" customFormat="1" x14ac:dyDescent="0.25">
      <c r="A211" s="448">
        <v>6</v>
      </c>
      <c r="B211" s="448"/>
      <c r="C211" s="448">
        <f t="shared" si="16"/>
        <v>40</v>
      </c>
      <c r="D211" s="448">
        <f t="shared" si="17"/>
        <v>37</v>
      </c>
      <c r="E211" s="448">
        <f t="shared" si="18"/>
        <v>15</v>
      </c>
      <c r="F211" s="448" t="str">
        <f t="shared" si="19"/>
        <v>pm</v>
      </c>
      <c r="G211" s="448" t="s">
        <v>692</v>
      </c>
      <c r="H211" s="448" t="s">
        <v>358</v>
      </c>
      <c r="I211" s="448" t="s">
        <v>693</v>
      </c>
      <c r="J211" s="449" t="s">
        <v>20</v>
      </c>
      <c r="K211" s="450">
        <f t="shared" si="20"/>
        <v>1912.685625058396</v>
      </c>
      <c r="L211" s="448"/>
      <c r="M211" s="450">
        <v>2000</v>
      </c>
      <c r="R211" s="450">
        <v>1923.1880111835867</v>
      </c>
      <c r="T211" s="450">
        <v>1943.949964380706</v>
      </c>
      <c r="V211" s="450">
        <v>1912.685625058396</v>
      </c>
      <c r="AH211"/>
      <c r="AI211"/>
    </row>
    <row r="212" spans="1:35" s="450" customFormat="1" x14ac:dyDescent="0.25">
      <c r="A212" s="448">
        <v>3</v>
      </c>
      <c r="B212" s="448"/>
      <c r="C212" s="448">
        <f t="shared" si="16"/>
        <v>41</v>
      </c>
      <c r="D212" s="448">
        <f t="shared" si="17"/>
        <v>37</v>
      </c>
      <c r="E212" s="448">
        <f t="shared" si="18"/>
        <v>15</v>
      </c>
      <c r="F212" s="448" t="str">
        <f t="shared" si="19"/>
        <v>pm</v>
      </c>
      <c r="G212" s="448" t="s">
        <v>694</v>
      </c>
      <c r="H212" s="448" t="s">
        <v>365</v>
      </c>
      <c r="I212" s="448" t="s">
        <v>695</v>
      </c>
      <c r="J212" s="449" t="s">
        <v>20</v>
      </c>
      <c r="K212" s="450">
        <f t="shared" si="20"/>
        <v>2085.6500846779581</v>
      </c>
      <c r="L212" s="448"/>
      <c r="M212" s="450">
        <v>2000</v>
      </c>
      <c r="P212" s="450">
        <v>2091.2559564984886</v>
      </c>
      <c r="V212" s="450">
        <v>2085.6500846779581</v>
      </c>
      <c r="AH212"/>
      <c r="AI212"/>
    </row>
    <row r="213" spans="1:35" s="450" customFormat="1" x14ac:dyDescent="0.25">
      <c r="A213" s="448">
        <v>7</v>
      </c>
      <c r="B213" s="448"/>
      <c r="C213" s="448">
        <f t="shared" si="16"/>
        <v>42</v>
      </c>
      <c r="D213" s="448">
        <f t="shared" si="17"/>
        <v>37</v>
      </c>
      <c r="E213" s="448">
        <f t="shared" si="18"/>
        <v>15</v>
      </c>
      <c r="F213" s="448" t="str">
        <f t="shared" si="19"/>
        <v>pm</v>
      </c>
      <c r="G213" s="448" t="s">
        <v>696</v>
      </c>
      <c r="H213" s="448" t="s">
        <v>697</v>
      </c>
      <c r="I213" s="448" t="s">
        <v>698</v>
      </c>
      <c r="J213" s="449" t="s">
        <v>20</v>
      </c>
      <c r="K213" s="450">
        <f t="shared" si="20"/>
        <v>1756.71457334665</v>
      </c>
      <c r="L213" s="448"/>
      <c r="M213" s="450">
        <v>2000</v>
      </c>
      <c r="P213" s="450">
        <v>1902.9009970891748</v>
      </c>
      <c r="R213" s="450">
        <v>1825.171036313171</v>
      </c>
      <c r="T213" s="450">
        <v>1772.824914836184</v>
      </c>
      <c r="V213" s="450">
        <v>1756.71457334665</v>
      </c>
      <c r="AH213"/>
      <c r="AI213"/>
    </row>
    <row r="214" spans="1:35" s="450" customFormat="1" x14ac:dyDescent="0.25">
      <c r="A214" s="448">
        <v>4</v>
      </c>
      <c r="B214" s="448"/>
      <c r="C214" s="448">
        <f t="shared" si="16"/>
        <v>43</v>
      </c>
      <c r="D214" s="448">
        <f t="shared" si="17"/>
        <v>37</v>
      </c>
      <c r="E214" s="448">
        <f t="shared" si="18"/>
        <v>15</v>
      </c>
      <c r="F214" s="448" t="str">
        <f t="shared" si="19"/>
        <v>pm</v>
      </c>
      <c r="G214" s="448" t="s">
        <v>699</v>
      </c>
      <c r="H214" s="448" t="s">
        <v>700</v>
      </c>
      <c r="I214" s="448" t="s">
        <v>701</v>
      </c>
      <c r="J214" s="449" t="s">
        <v>20</v>
      </c>
      <c r="K214" s="450">
        <f t="shared" si="20"/>
        <v>2102.5489256142664</v>
      </c>
      <c r="L214" s="448"/>
      <c r="M214" s="450">
        <v>2000</v>
      </c>
      <c r="R214" s="450">
        <v>2000.3203057553364</v>
      </c>
      <c r="T214" s="450">
        <v>2102.5489256142664</v>
      </c>
      <c r="AH214"/>
      <c r="AI214"/>
    </row>
    <row r="215" spans="1:35" s="450" customFormat="1" x14ac:dyDescent="0.25">
      <c r="A215" s="448">
        <v>6</v>
      </c>
      <c r="B215" s="448"/>
      <c r="C215" s="448">
        <f t="shared" si="16"/>
        <v>44</v>
      </c>
      <c r="D215" s="448">
        <f t="shared" si="17"/>
        <v>37</v>
      </c>
      <c r="E215" s="448">
        <f t="shared" si="18"/>
        <v>15</v>
      </c>
      <c r="F215" s="448" t="str">
        <f t="shared" si="19"/>
        <v>pm</v>
      </c>
      <c r="G215" s="448" t="s">
        <v>702</v>
      </c>
      <c r="H215" s="448" t="s">
        <v>309</v>
      </c>
      <c r="I215" s="448" t="s">
        <v>703</v>
      </c>
      <c r="J215" s="449" t="s">
        <v>20</v>
      </c>
      <c r="K215" s="450">
        <f t="shared" si="20"/>
        <v>2010.7641444062388</v>
      </c>
      <c r="L215" s="448"/>
      <c r="M215" s="450">
        <v>2000</v>
      </c>
      <c r="P215" s="450">
        <v>1958.3689992097629</v>
      </c>
      <c r="R215" s="450">
        <v>1965.4518951526236</v>
      </c>
      <c r="T215" s="450">
        <v>1924.5920646598336</v>
      </c>
      <c r="V215" s="450">
        <v>2010.7641444062388</v>
      </c>
      <c r="AH215"/>
      <c r="AI215"/>
    </row>
    <row r="216" spans="1:35" s="450" customFormat="1" x14ac:dyDescent="0.25">
      <c r="A216" s="448">
        <v>2</v>
      </c>
      <c r="B216" s="448"/>
      <c r="C216" s="448">
        <f t="shared" si="16"/>
        <v>45</v>
      </c>
      <c r="D216" s="448">
        <f t="shared" si="17"/>
        <v>37</v>
      </c>
      <c r="E216" s="448">
        <f t="shared" si="18"/>
        <v>15</v>
      </c>
      <c r="F216" s="448" t="str">
        <f t="shared" si="19"/>
        <v>pm</v>
      </c>
      <c r="G216" s="448" t="s">
        <v>704</v>
      </c>
      <c r="H216" s="448" t="s">
        <v>330</v>
      </c>
      <c r="I216" s="448" t="s">
        <v>705</v>
      </c>
      <c r="J216" s="449" t="s">
        <v>20</v>
      </c>
      <c r="K216" s="450">
        <f t="shared" si="20"/>
        <v>2156.7248903018326</v>
      </c>
      <c r="L216" s="448"/>
      <c r="M216" s="450">
        <v>2000</v>
      </c>
      <c r="R216" s="450">
        <v>2102.6797261517463</v>
      </c>
      <c r="S216" s="450">
        <v>2156.7248903018326</v>
      </c>
      <c r="AH216"/>
      <c r="AI216"/>
    </row>
    <row r="217" spans="1:35" s="450" customFormat="1" x14ac:dyDescent="0.25">
      <c r="A217" s="448">
        <v>3</v>
      </c>
      <c r="B217" s="448"/>
      <c r="C217" s="448">
        <f t="shared" si="16"/>
        <v>46</v>
      </c>
      <c r="D217" s="448">
        <f t="shared" si="17"/>
        <v>37</v>
      </c>
      <c r="E217" s="448">
        <f t="shared" si="18"/>
        <v>15</v>
      </c>
      <c r="F217" s="448" t="str">
        <f t="shared" si="19"/>
        <v>pm</v>
      </c>
      <c r="G217" s="448" t="s">
        <v>706</v>
      </c>
      <c r="H217" s="448" t="s">
        <v>330</v>
      </c>
      <c r="I217" s="448" t="s">
        <v>707</v>
      </c>
      <c r="J217" s="449" t="s">
        <v>20</v>
      </c>
      <c r="K217" s="450">
        <f t="shared" si="20"/>
        <v>2179.6252843404914</v>
      </c>
      <c r="L217" s="448"/>
      <c r="M217" s="450">
        <v>2000</v>
      </c>
      <c r="R217" s="450">
        <v>2029.398054141124</v>
      </c>
      <c r="S217" s="450">
        <v>2100.8963883194469</v>
      </c>
      <c r="V217" s="450">
        <v>2179.6252843404914</v>
      </c>
      <c r="AH217"/>
      <c r="AI217"/>
    </row>
    <row r="218" spans="1:35" s="450" customFormat="1" x14ac:dyDescent="0.25">
      <c r="A218" s="448">
        <v>3</v>
      </c>
      <c r="B218" s="448"/>
      <c r="C218" s="448">
        <f t="shared" si="16"/>
        <v>47</v>
      </c>
      <c r="D218" s="448">
        <f t="shared" si="17"/>
        <v>37</v>
      </c>
      <c r="E218" s="448">
        <f t="shared" si="18"/>
        <v>15</v>
      </c>
      <c r="F218" s="448" t="str">
        <f t="shared" si="19"/>
        <v>pm</v>
      </c>
      <c r="G218" s="448" t="s">
        <v>708</v>
      </c>
      <c r="H218" s="448" t="s">
        <v>319</v>
      </c>
      <c r="I218" s="448" t="s">
        <v>709</v>
      </c>
      <c r="J218" s="449" t="s">
        <v>20</v>
      </c>
      <c r="K218" s="450">
        <f t="shared" si="20"/>
        <v>2159.2866173179591</v>
      </c>
      <c r="L218" s="448"/>
      <c r="M218" s="450">
        <v>2000</v>
      </c>
      <c r="P218" s="450">
        <v>2084.4158112051268</v>
      </c>
      <c r="R218" s="450">
        <v>2159.2866173179591</v>
      </c>
      <c r="AH218"/>
      <c r="AI218"/>
    </row>
    <row r="219" spans="1:35" s="450" customFormat="1" x14ac:dyDescent="0.25">
      <c r="A219" s="448">
        <v>5</v>
      </c>
      <c r="B219" s="448"/>
      <c r="C219" s="448">
        <f t="shared" si="16"/>
        <v>48</v>
      </c>
      <c r="D219" s="448">
        <f t="shared" si="17"/>
        <v>37</v>
      </c>
      <c r="E219" s="448">
        <f t="shared" si="18"/>
        <v>15</v>
      </c>
      <c r="F219" s="448" t="str">
        <f t="shared" si="19"/>
        <v>pm</v>
      </c>
      <c r="G219" s="448" t="s">
        <v>710</v>
      </c>
      <c r="H219" s="448" t="s">
        <v>711</v>
      </c>
      <c r="I219" s="448" t="s">
        <v>712</v>
      </c>
      <c r="J219" s="449" t="s">
        <v>20</v>
      </c>
      <c r="K219" s="450">
        <f t="shared" si="20"/>
        <v>1992.322558141371</v>
      </c>
      <c r="L219" s="448"/>
      <c r="M219" s="450">
        <v>2000</v>
      </c>
      <c r="P219" s="450">
        <v>1949.6387452744243</v>
      </c>
      <c r="R219" s="450">
        <v>2028.7969395901496</v>
      </c>
      <c r="V219" s="450">
        <v>1992.322558141371</v>
      </c>
      <c r="AH219"/>
      <c r="AI219"/>
    </row>
    <row r="220" spans="1:35" s="450" customFormat="1" x14ac:dyDescent="0.25">
      <c r="A220" s="448">
        <v>6</v>
      </c>
      <c r="B220" s="448"/>
      <c r="C220" s="448">
        <f t="shared" si="16"/>
        <v>49</v>
      </c>
      <c r="D220" s="448">
        <f t="shared" si="17"/>
        <v>37</v>
      </c>
      <c r="E220" s="448">
        <f t="shared" si="18"/>
        <v>15</v>
      </c>
      <c r="F220" s="448" t="str">
        <f t="shared" si="19"/>
        <v>pm</v>
      </c>
      <c r="G220" s="448" t="s">
        <v>713</v>
      </c>
      <c r="H220" s="448" t="s">
        <v>338</v>
      </c>
      <c r="I220" s="448" t="s">
        <v>714</v>
      </c>
      <c r="J220" s="449" t="s">
        <v>20</v>
      </c>
      <c r="K220" s="450">
        <f t="shared" si="20"/>
        <v>1861.0288344086302</v>
      </c>
      <c r="L220" s="448"/>
      <c r="M220" s="450">
        <v>2000</v>
      </c>
      <c r="R220" s="450">
        <v>1918.5906334054932</v>
      </c>
      <c r="T220" s="450">
        <v>1876.833717072167</v>
      </c>
      <c r="V220" s="450">
        <v>1861.0288344086302</v>
      </c>
      <c r="AH220"/>
      <c r="AI220"/>
    </row>
    <row r="221" spans="1:35" s="450" customFormat="1" x14ac:dyDescent="0.25">
      <c r="A221" s="448">
        <v>6</v>
      </c>
      <c r="B221" s="448"/>
      <c r="C221" s="448">
        <f t="shared" si="16"/>
        <v>50</v>
      </c>
      <c r="D221" s="448">
        <f t="shared" si="17"/>
        <v>37</v>
      </c>
      <c r="E221" s="448">
        <f t="shared" si="18"/>
        <v>15</v>
      </c>
      <c r="F221" s="448" t="str">
        <f t="shared" si="19"/>
        <v>pm</v>
      </c>
      <c r="G221" s="448" t="s">
        <v>715</v>
      </c>
      <c r="H221" s="448" t="s">
        <v>338</v>
      </c>
      <c r="I221" s="448" t="s">
        <v>716</v>
      </c>
      <c r="J221" s="449" t="s">
        <v>20</v>
      </c>
      <c r="K221" s="450">
        <f t="shared" si="20"/>
        <v>1832.2961388061581</v>
      </c>
      <c r="L221" s="448"/>
      <c r="M221" s="450">
        <v>2000</v>
      </c>
      <c r="R221" s="450">
        <v>1909.4303022328752</v>
      </c>
      <c r="T221" s="450">
        <v>1849.9734355569628</v>
      </c>
      <c r="V221" s="450">
        <v>1832.2961388061581</v>
      </c>
      <c r="AH221"/>
      <c r="AI221"/>
    </row>
    <row r="222" spans="1:35" s="450" customFormat="1" x14ac:dyDescent="0.25">
      <c r="A222" s="448">
        <v>5</v>
      </c>
      <c r="B222" s="448"/>
      <c r="C222" s="448">
        <f t="shared" si="16"/>
        <v>51</v>
      </c>
      <c r="D222" s="448">
        <f t="shared" si="17"/>
        <v>37</v>
      </c>
      <c r="E222" s="448">
        <f t="shared" si="18"/>
        <v>15</v>
      </c>
      <c r="F222" s="448" t="str">
        <f t="shared" si="19"/>
        <v>pm</v>
      </c>
      <c r="G222" s="448" t="s">
        <v>717</v>
      </c>
      <c r="H222" s="448" t="s">
        <v>504</v>
      </c>
      <c r="I222" s="448" t="s">
        <v>718</v>
      </c>
      <c r="J222" s="449" t="s">
        <v>20</v>
      </c>
      <c r="K222" s="450">
        <f t="shared" si="20"/>
        <v>1958.5320992058159</v>
      </c>
      <c r="L222" s="448"/>
      <c r="M222" s="450">
        <v>2000</v>
      </c>
      <c r="R222" s="450">
        <v>1930.6477056485521</v>
      </c>
      <c r="T222" s="450">
        <v>2019.7195191341993</v>
      </c>
      <c r="V222" s="450">
        <v>1958.5320992058159</v>
      </c>
      <c r="AH222"/>
      <c r="AI222"/>
    </row>
    <row r="223" spans="1:35" s="450" customFormat="1" x14ac:dyDescent="0.25">
      <c r="A223" s="448">
        <v>3</v>
      </c>
      <c r="B223" s="448"/>
      <c r="C223" s="448">
        <f t="shared" si="16"/>
        <v>52</v>
      </c>
      <c r="D223" s="448">
        <f t="shared" si="17"/>
        <v>37</v>
      </c>
      <c r="E223" s="448">
        <f t="shared" si="18"/>
        <v>15</v>
      </c>
      <c r="F223" s="448" t="str">
        <f t="shared" si="19"/>
        <v>pm</v>
      </c>
      <c r="G223" s="448" t="s">
        <v>719</v>
      </c>
      <c r="H223" s="448" t="s">
        <v>668</v>
      </c>
      <c r="I223" s="448" t="s">
        <v>720</v>
      </c>
      <c r="J223" s="449" t="s">
        <v>20</v>
      </c>
      <c r="K223" s="450">
        <f t="shared" si="20"/>
        <v>1996.7557391443099</v>
      </c>
      <c r="L223" s="448"/>
      <c r="M223" s="450">
        <v>2000</v>
      </c>
      <c r="P223" s="450">
        <v>2014.4481187300305</v>
      </c>
      <c r="T223" s="450">
        <v>1996.7557391443099</v>
      </c>
      <c r="AH223"/>
      <c r="AI223"/>
    </row>
    <row r="224" spans="1:35" s="450" customFormat="1" x14ac:dyDescent="0.25">
      <c r="A224" s="448">
        <v>3</v>
      </c>
      <c r="B224" s="448"/>
      <c r="C224" s="448">
        <f t="shared" si="16"/>
        <v>53</v>
      </c>
      <c r="D224" s="448">
        <f t="shared" si="17"/>
        <v>37</v>
      </c>
      <c r="E224" s="448">
        <f t="shared" si="18"/>
        <v>15</v>
      </c>
      <c r="F224" s="448" t="str">
        <f t="shared" si="19"/>
        <v>pm</v>
      </c>
      <c r="G224" s="448" t="s">
        <v>721</v>
      </c>
      <c r="H224" s="448" t="s">
        <v>335</v>
      </c>
      <c r="I224" s="448" t="s">
        <v>722</v>
      </c>
      <c r="J224" s="449" t="s">
        <v>20</v>
      </c>
      <c r="K224" s="450">
        <f t="shared" si="20"/>
        <v>2035.8705974944417</v>
      </c>
      <c r="L224" s="448"/>
      <c r="M224" s="450">
        <v>2000</v>
      </c>
      <c r="V224" s="450">
        <v>2035.8705974944417</v>
      </c>
      <c r="AH224"/>
      <c r="AI224"/>
    </row>
    <row r="225" spans="1:35" s="450" customFormat="1" x14ac:dyDescent="0.25">
      <c r="A225" s="448">
        <v>2</v>
      </c>
      <c r="B225" s="448"/>
      <c r="C225" s="448">
        <f t="shared" si="16"/>
        <v>1</v>
      </c>
      <c r="D225" s="448">
        <f t="shared" si="17"/>
        <v>1</v>
      </c>
      <c r="E225" s="448">
        <f t="shared" si="18"/>
        <v>16</v>
      </c>
      <c r="F225" s="448" t="str">
        <f t="shared" si="19"/>
        <v>pm</v>
      </c>
      <c r="G225" s="448" t="s">
        <v>723</v>
      </c>
      <c r="H225" s="448" t="s">
        <v>437</v>
      </c>
      <c r="I225" s="448" t="s">
        <v>724</v>
      </c>
      <c r="J225" s="449" t="s">
        <v>21</v>
      </c>
      <c r="K225" s="450">
        <f t="shared" si="20"/>
        <v>2631.6664736634525</v>
      </c>
      <c r="L225" s="448"/>
      <c r="M225" s="450">
        <v>2600</v>
      </c>
      <c r="P225" s="450">
        <v>2588.4978348912359</v>
      </c>
      <c r="S225" s="450">
        <v>2631.6664736634525</v>
      </c>
      <c r="AH225"/>
      <c r="AI225"/>
    </row>
    <row r="226" spans="1:35" s="450" customFormat="1" x14ac:dyDescent="0.25">
      <c r="A226" s="448"/>
      <c r="B226" s="448"/>
      <c r="C226" s="448">
        <f t="shared" si="16"/>
        <v>2</v>
      </c>
      <c r="D226" s="448">
        <f t="shared" si="17"/>
        <v>1</v>
      </c>
      <c r="E226" s="448">
        <f t="shared" si="18"/>
        <v>16</v>
      </c>
      <c r="F226" s="448" t="str">
        <f t="shared" si="19"/>
        <v>crx</v>
      </c>
      <c r="G226" s="448" t="s">
        <v>725</v>
      </c>
      <c r="H226" s="448"/>
      <c r="I226" s="448" t="s">
        <v>726</v>
      </c>
      <c r="J226" s="449" t="s">
        <v>21</v>
      </c>
      <c r="K226" s="450">
        <f t="shared" si="20"/>
        <v>2590.6949709264486</v>
      </c>
      <c r="L226" s="448"/>
      <c r="M226" s="450">
        <v>2600</v>
      </c>
      <c r="O226" s="451"/>
      <c r="P226" s="451">
        <v>2590.6949709264486</v>
      </c>
      <c r="Q226" s="451"/>
      <c r="R226" s="451"/>
      <c r="S226" s="451"/>
      <c r="T226" s="451"/>
      <c r="U226" s="451"/>
      <c r="V226" s="451"/>
      <c r="W226" s="451"/>
      <c r="X226" s="451"/>
      <c r="Y226" s="451"/>
      <c r="Z226" s="451"/>
      <c r="AA226" s="451"/>
      <c r="AB226" s="451"/>
      <c r="AC226" s="451"/>
      <c r="AH226"/>
      <c r="AI226"/>
    </row>
    <row r="227" spans="1:35" s="450" customFormat="1" x14ac:dyDescent="0.25">
      <c r="A227" s="448"/>
      <c r="B227" s="448"/>
      <c r="C227" s="448">
        <f t="shared" si="16"/>
        <v>3</v>
      </c>
      <c r="D227" s="448">
        <f t="shared" si="17"/>
        <v>1</v>
      </c>
      <c r="E227" s="448">
        <f t="shared" si="18"/>
        <v>16</v>
      </c>
      <c r="F227" s="448" t="str">
        <f t="shared" si="19"/>
        <v>crx</v>
      </c>
      <c r="G227" s="448" t="s">
        <v>727</v>
      </c>
      <c r="H227" s="448"/>
      <c r="I227" s="448" t="s">
        <v>728</v>
      </c>
      <c r="J227" s="449" t="s">
        <v>21</v>
      </c>
      <c r="K227" s="450">
        <f t="shared" si="20"/>
        <v>2481.8073132539971</v>
      </c>
      <c r="L227" s="448"/>
      <c r="M227" s="450">
        <v>2600</v>
      </c>
      <c r="O227" s="451"/>
      <c r="P227" s="451">
        <v>2494.0367535342011</v>
      </c>
      <c r="Q227" s="451"/>
      <c r="R227" s="451"/>
      <c r="S227" s="451"/>
      <c r="T227" s="451"/>
      <c r="U227" s="451"/>
      <c r="V227" s="451">
        <v>2481.8073132539971</v>
      </c>
      <c r="W227" s="451"/>
      <c r="X227" s="451"/>
      <c r="Y227" s="451"/>
      <c r="Z227" s="451"/>
      <c r="AA227" s="451"/>
      <c r="AB227" s="451"/>
      <c r="AC227" s="451"/>
      <c r="AH227"/>
      <c r="AI227"/>
    </row>
    <row r="228" spans="1:35" s="450" customFormat="1" x14ac:dyDescent="0.25">
      <c r="A228" s="448">
        <v>3</v>
      </c>
      <c r="B228" s="448"/>
      <c r="C228" s="448">
        <f t="shared" si="16"/>
        <v>4</v>
      </c>
      <c r="D228" s="448">
        <f t="shared" si="17"/>
        <v>1</v>
      </c>
      <c r="E228" s="448">
        <f t="shared" si="18"/>
        <v>16</v>
      </c>
      <c r="F228" s="448" t="str">
        <f t="shared" si="19"/>
        <v>pm</v>
      </c>
      <c r="G228" s="448" t="s">
        <v>729</v>
      </c>
      <c r="H228" s="448" t="s">
        <v>296</v>
      </c>
      <c r="I228" s="448" t="s">
        <v>730</v>
      </c>
      <c r="J228" s="449" t="s">
        <v>21</v>
      </c>
      <c r="K228" s="450">
        <f t="shared" si="20"/>
        <v>2737.8174694588593</v>
      </c>
      <c r="L228" s="448"/>
      <c r="M228" s="450">
        <v>2600</v>
      </c>
      <c r="P228" s="450">
        <v>2742.7064901130243</v>
      </c>
      <c r="S228" s="450">
        <v>2737.8174694588593</v>
      </c>
      <c r="AH228"/>
      <c r="AI228"/>
    </row>
    <row r="229" spans="1:35" s="450" customFormat="1" x14ac:dyDescent="0.25">
      <c r="A229" s="448">
        <v>3</v>
      </c>
      <c r="B229" s="448"/>
      <c r="C229" s="448">
        <f t="shared" si="16"/>
        <v>5</v>
      </c>
      <c r="D229" s="448">
        <f t="shared" si="17"/>
        <v>1</v>
      </c>
      <c r="E229" s="448">
        <f t="shared" si="18"/>
        <v>16</v>
      </c>
      <c r="F229" s="448" t="str">
        <f t="shared" si="19"/>
        <v>pm</v>
      </c>
      <c r="G229" s="448" t="s">
        <v>731</v>
      </c>
      <c r="H229" s="448" t="s">
        <v>296</v>
      </c>
      <c r="I229" s="448" t="s">
        <v>732</v>
      </c>
      <c r="J229" s="449" t="s">
        <v>21</v>
      </c>
      <c r="K229" s="450">
        <f t="shared" si="20"/>
        <v>2731.5589041023313</v>
      </c>
      <c r="L229" s="448"/>
      <c r="M229" s="450">
        <v>2600</v>
      </c>
      <c r="P229" s="450">
        <v>2667.1608520539512</v>
      </c>
      <c r="U229" s="450">
        <v>2731.5589041023313</v>
      </c>
      <c r="AH229"/>
      <c r="AI229"/>
    </row>
    <row r="230" spans="1:35" s="450" customFormat="1" x14ac:dyDescent="0.25">
      <c r="A230" s="448">
        <v>5</v>
      </c>
      <c r="B230" s="448"/>
      <c r="C230" s="448">
        <f t="shared" si="16"/>
        <v>6</v>
      </c>
      <c r="D230" s="448">
        <f t="shared" si="17"/>
        <v>1</v>
      </c>
      <c r="E230" s="448">
        <f t="shared" si="18"/>
        <v>16</v>
      </c>
      <c r="F230" s="448" t="str">
        <f t="shared" si="19"/>
        <v>pm</v>
      </c>
      <c r="G230" s="448" t="s">
        <v>273</v>
      </c>
      <c r="H230" s="448" t="s">
        <v>350</v>
      </c>
      <c r="I230" s="448" t="s">
        <v>272</v>
      </c>
      <c r="J230" s="449" t="s">
        <v>21</v>
      </c>
      <c r="K230" s="450">
        <f t="shared" si="20"/>
        <v>2382.5180283075724</v>
      </c>
      <c r="L230" s="448"/>
      <c r="M230" s="450">
        <v>2600</v>
      </c>
      <c r="P230" s="450">
        <v>2498.4008847697546</v>
      </c>
      <c r="U230" s="450">
        <v>2438.9560736569474</v>
      </c>
      <c r="W230" s="450">
        <v>2382.5180283075724</v>
      </c>
      <c r="AH230"/>
      <c r="AI230"/>
    </row>
    <row r="231" spans="1:35" s="450" customFormat="1" x14ac:dyDescent="0.25">
      <c r="A231" s="448">
        <v>5</v>
      </c>
      <c r="B231" s="448"/>
      <c r="C231" s="448">
        <f t="shared" si="16"/>
        <v>7</v>
      </c>
      <c r="D231" s="448">
        <f t="shared" si="17"/>
        <v>1</v>
      </c>
      <c r="E231" s="448">
        <f t="shared" si="18"/>
        <v>16</v>
      </c>
      <c r="F231" s="448" t="str">
        <f t="shared" si="19"/>
        <v>pm</v>
      </c>
      <c r="G231" s="448" t="s">
        <v>253</v>
      </c>
      <c r="H231" s="448" t="s">
        <v>353</v>
      </c>
      <c r="I231" s="448" t="s">
        <v>252</v>
      </c>
      <c r="J231" s="449" t="s">
        <v>21</v>
      </c>
      <c r="K231" s="450">
        <f t="shared" si="20"/>
        <v>2584.8540955907674</v>
      </c>
      <c r="L231" s="448"/>
      <c r="M231" s="450">
        <v>2600</v>
      </c>
      <c r="P231" s="450">
        <v>2536.3497914010086</v>
      </c>
      <c r="S231" s="450">
        <v>2522.8013817469564</v>
      </c>
      <c r="U231" s="450">
        <v>2551.571394209886</v>
      </c>
      <c r="W231" s="450">
        <v>2584.8540955907674</v>
      </c>
      <c r="AH231"/>
      <c r="AI231"/>
    </row>
    <row r="232" spans="1:35" s="450" customFormat="1" x14ac:dyDescent="0.25">
      <c r="A232" s="448">
        <v>1</v>
      </c>
      <c r="B232" s="448"/>
      <c r="C232" s="448">
        <f t="shared" si="16"/>
        <v>8</v>
      </c>
      <c r="D232" s="448">
        <f t="shared" si="17"/>
        <v>1</v>
      </c>
      <c r="E232" s="448">
        <f t="shared" si="18"/>
        <v>16</v>
      </c>
      <c r="F232" s="448" t="str">
        <f t="shared" si="19"/>
        <v>pmx</v>
      </c>
      <c r="G232" s="448" t="s">
        <v>733</v>
      </c>
      <c r="H232" s="448" t="s">
        <v>371</v>
      </c>
      <c r="I232" s="448" t="s">
        <v>734</v>
      </c>
      <c r="J232" s="449" t="s">
        <v>21</v>
      </c>
      <c r="K232" s="450">
        <f t="shared" si="20"/>
        <v>2691.5433576484666</v>
      </c>
      <c r="L232" s="448"/>
      <c r="M232" s="450">
        <v>2600</v>
      </c>
      <c r="U232" s="450">
        <v>2691.5433576484666</v>
      </c>
      <c r="AH232"/>
      <c r="AI232"/>
    </row>
    <row r="233" spans="1:35" s="450" customFormat="1" x14ac:dyDescent="0.25">
      <c r="A233" s="448">
        <v>2</v>
      </c>
      <c r="B233" s="448"/>
      <c r="C233" s="448">
        <f t="shared" si="16"/>
        <v>9</v>
      </c>
      <c r="D233" s="448">
        <f t="shared" si="17"/>
        <v>1</v>
      </c>
      <c r="E233" s="448">
        <f t="shared" si="18"/>
        <v>16</v>
      </c>
      <c r="F233" s="448" t="str">
        <f t="shared" si="19"/>
        <v>pm</v>
      </c>
      <c r="G233" s="448" t="s">
        <v>735</v>
      </c>
      <c r="H233" s="448" t="s">
        <v>371</v>
      </c>
      <c r="I233" s="448" t="s">
        <v>736</v>
      </c>
      <c r="J233" s="449" t="s">
        <v>21</v>
      </c>
      <c r="K233" s="450">
        <f t="shared" si="20"/>
        <v>2578.3043337541226</v>
      </c>
      <c r="L233" s="448"/>
      <c r="M233" s="450">
        <v>2600</v>
      </c>
      <c r="P233" s="450">
        <v>2529.9395928312915</v>
      </c>
      <c r="U233" s="450">
        <v>2578.3043337541226</v>
      </c>
      <c r="AH233"/>
      <c r="AI233"/>
    </row>
    <row r="234" spans="1:35" s="450" customFormat="1" x14ac:dyDescent="0.25">
      <c r="A234" s="448">
        <v>2</v>
      </c>
      <c r="B234" s="448"/>
      <c r="C234" s="448">
        <f t="shared" si="16"/>
        <v>10</v>
      </c>
      <c r="D234" s="448">
        <f t="shared" si="17"/>
        <v>1</v>
      </c>
      <c r="E234" s="448">
        <f t="shared" si="18"/>
        <v>16</v>
      </c>
      <c r="F234" s="448" t="str">
        <f t="shared" si="19"/>
        <v>pm</v>
      </c>
      <c r="G234" s="448" t="s">
        <v>737</v>
      </c>
      <c r="H234" s="448" t="s">
        <v>371</v>
      </c>
      <c r="I234" s="448" t="s">
        <v>738</v>
      </c>
      <c r="J234" s="449" t="s">
        <v>21</v>
      </c>
      <c r="K234" s="450">
        <f t="shared" si="20"/>
        <v>2428.3880185535127</v>
      </c>
      <c r="L234" s="448"/>
      <c r="M234" s="450">
        <v>2600</v>
      </c>
      <c r="P234" s="450">
        <v>2482.7077944451225</v>
      </c>
      <c r="U234" s="450">
        <v>2428.3880185535127</v>
      </c>
      <c r="AH234"/>
      <c r="AI234"/>
    </row>
    <row r="235" spans="1:35" s="450" customFormat="1" x14ac:dyDescent="0.25">
      <c r="A235" s="448">
        <v>7</v>
      </c>
      <c r="B235" s="448"/>
      <c r="C235" s="448">
        <f t="shared" si="16"/>
        <v>11</v>
      </c>
      <c r="D235" s="448">
        <f t="shared" si="17"/>
        <v>1</v>
      </c>
      <c r="E235" s="448">
        <f t="shared" si="18"/>
        <v>16</v>
      </c>
      <c r="F235" s="448" t="str">
        <f t="shared" si="19"/>
        <v>pm</v>
      </c>
      <c r="G235" s="448" t="s">
        <v>265</v>
      </c>
      <c r="H235" s="448" t="s">
        <v>697</v>
      </c>
      <c r="I235" s="448" t="s">
        <v>264</v>
      </c>
      <c r="J235" s="449" t="s">
        <v>21</v>
      </c>
      <c r="K235" s="450">
        <f t="shared" si="20"/>
        <v>2509.1248068497748</v>
      </c>
      <c r="L235" s="448"/>
      <c r="M235" s="450">
        <v>2600</v>
      </c>
      <c r="P235" s="450">
        <v>2535.1589990784814</v>
      </c>
      <c r="Q235" s="450">
        <v>2535.2536812939006</v>
      </c>
      <c r="S235" s="450">
        <v>2544.7969756063999</v>
      </c>
      <c r="U235" s="450">
        <v>2520.0583393752127</v>
      </c>
      <c r="W235" s="450">
        <v>2509.1248068497748</v>
      </c>
      <c r="AH235"/>
      <c r="AI235"/>
    </row>
    <row r="236" spans="1:35" s="450" customFormat="1" x14ac:dyDescent="0.25">
      <c r="A236" s="448">
        <v>5</v>
      </c>
      <c r="B236" s="448"/>
      <c r="C236" s="448">
        <f t="shared" si="16"/>
        <v>12</v>
      </c>
      <c r="D236" s="448">
        <f t="shared" si="17"/>
        <v>1</v>
      </c>
      <c r="E236" s="448">
        <f t="shared" si="18"/>
        <v>16</v>
      </c>
      <c r="F236" s="448" t="str">
        <f t="shared" si="19"/>
        <v>pm</v>
      </c>
      <c r="G236" s="448" t="s">
        <v>739</v>
      </c>
      <c r="H236" s="448" t="s">
        <v>374</v>
      </c>
      <c r="I236" s="448" t="s">
        <v>740</v>
      </c>
      <c r="J236" s="449" t="s">
        <v>21</v>
      </c>
      <c r="K236" s="450">
        <f t="shared" si="20"/>
        <v>2692.8251812873254</v>
      </c>
      <c r="L236" s="448"/>
      <c r="M236" s="450">
        <v>2600</v>
      </c>
      <c r="P236" s="450">
        <v>2628.2574952617479</v>
      </c>
      <c r="W236" s="450">
        <v>2692.8251812873254</v>
      </c>
      <c r="AH236"/>
      <c r="AI236"/>
    </row>
    <row r="237" spans="1:35" s="450" customFormat="1" x14ac:dyDescent="0.25">
      <c r="A237" s="448">
        <v>6</v>
      </c>
      <c r="B237" s="448"/>
      <c r="C237" s="448">
        <f t="shared" si="16"/>
        <v>13</v>
      </c>
      <c r="D237" s="448">
        <f t="shared" si="17"/>
        <v>1</v>
      </c>
      <c r="E237" s="448">
        <f t="shared" si="18"/>
        <v>16</v>
      </c>
      <c r="F237" s="448" t="str">
        <f t="shared" si="19"/>
        <v>pm</v>
      </c>
      <c r="G237" s="448" t="s">
        <v>275</v>
      </c>
      <c r="H237" s="448" t="s">
        <v>374</v>
      </c>
      <c r="I237" s="448" t="s">
        <v>274</v>
      </c>
      <c r="J237" s="449" t="s">
        <v>21</v>
      </c>
      <c r="K237" s="450">
        <f t="shared" si="20"/>
        <v>2453.8591054747999</v>
      </c>
      <c r="L237" s="448"/>
      <c r="M237" s="450">
        <v>2600</v>
      </c>
      <c r="Q237" s="450">
        <v>2453.989388007974</v>
      </c>
      <c r="S237" s="450">
        <v>2488.2982676302595</v>
      </c>
      <c r="U237" s="450">
        <v>2421.5536280299398</v>
      </c>
      <c r="W237" s="450">
        <v>2453.8591054747999</v>
      </c>
      <c r="AH237"/>
      <c r="AI237"/>
    </row>
    <row r="238" spans="1:35" s="450" customFormat="1" x14ac:dyDescent="0.25">
      <c r="A238" s="448">
        <v>4</v>
      </c>
      <c r="B238" s="448"/>
      <c r="C238" s="448">
        <f t="shared" si="16"/>
        <v>14</v>
      </c>
      <c r="D238" s="448">
        <f t="shared" si="17"/>
        <v>1</v>
      </c>
      <c r="E238" s="448">
        <f t="shared" si="18"/>
        <v>16</v>
      </c>
      <c r="F238" s="448" t="str">
        <f t="shared" si="19"/>
        <v>pm</v>
      </c>
      <c r="G238" s="448" t="s">
        <v>247</v>
      </c>
      <c r="H238" s="448" t="s">
        <v>374</v>
      </c>
      <c r="I238" s="448" t="s">
        <v>246</v>
      </c>
      <c r="J238" s="449" t="s">
        <v>21</v>
      </c>
      <c r="K238" s="450">
        <f t="shared" si="20"/>
        <v>2489.3402214348453</v>
      </c>
      <c r="L238" s="448"/>
      <c r="M238" s="450">
        <v>2600</v>
      </c>
      <c r="U238" s="450">
        <v>2566.2013148883184</v>
      </c>
      <c r="W238" s="450">
        <v>2489.3402214348453</v>
      </c>
      <c r="AH238"/>
      <c r="AI238"/>
    </row>
    <row r="239" spans="1:35" s="450" customFormat="1" x14ac:dyDescent="0.25">
      <c r="A239" s="448">
        <v>4</v>
      </c>
      <c r="B239" s="448"/>
      <c r="C239" s="448">
        <f t="shared" si="16"/>
        <v>15</v>
      </c>
      <c r="D239" s="448">
        <f t="shared" si="17"/>
        <v>1</v>
      </c>
      <c r="E239" s="448">
        <f t="shared" si="18"/>
        <v>16</v>
      </c>
      <c r="F239" s="448" t="str">
        <f t="shared" si="19"/>
        <v>pm</v>
      </c>
      <c r="G239" s="448" t="s">
        <v>241</v>
      </c>
      <c r="H239" s="448" t="s">
        <v>374</v>
      </c>
      <c r="I239" s="448" t="s">
        <v>240</v>
      </c>
      <c r="J239" s="449" t="s">
        <v>21</v>
      </c>
      <c r="K239" s="450">
        <f t="shared" si="20"/>
        <v>2628.6237730741791</v>
      </c>
      <c r="L239" s="448"/>
      <c r="M239" s="450">
        <v>2600</v>
      </c>
      <c r="U239" s="450">
        <v>2624.0258612014063</v>
      </c>
      <c r="W239" s="450">
        <v>2628.6237730741791</v>
      </c>
      <c r="AH239"/>
      <c r="AI239"/>
    </row>
    <row r="240" spans="1:35" s="450" customFormat="1" x14ac:dyDescent="0.25">
      <c r="A240" s="448">
        <v>1</v>
      </c>
      <c r="B240" s="448"/>
      <c r="C240" s="448">
        <f t="shared" si="16"/>
        <v>16</v>
      </c>
      <c r="D240" s="448">
        <f t="shared" si="17"/>
        <v>1</v>
      </c>
      <c r="E240" s="448">
        <f t="shared" si="18"/>
        <v>16</v>
      </c>
      <c r="F240" s="448" t="str">
        <f t="shared" si="19"/>
        <v>pmx</v>
      </c>
      <c r="G240" s="448" t="s">
        <v>741</v>
      </c>
      <c r="H240" s="448" t="s">
        <v>742</v>
      </c>
      <c r="I240" s="448" t="s">
        <v>743</v>
      </c>
      <c r="J240" s="449" t="s">
        <v>21</v>
      </c>
      <c r="K240" s="450">
        <f t="shared" si="20"/>
        <v>2600</v>
      </c>
      <c r="L240" s="448"/>
      <c r="M240" s="450">
        <v>2600</v>
      </c>
      <c r="O240" s="451"/>
      <c r="P240" s="451"/>
      <c r="Q240" s="451"/>
      <c r="R240" s="451"/>
      <c r="S240" s="451"/>
      <c r="T240" s="451"/>
      <c r="U240" s="451"/>
      <c r="V240" s="451"/>
      <c r="W240" s="451"/>
      <c r="X240" s="451"/>
      <c r="Y240" s="451"/>
      <c r="Z240" s="451"/>
      <c r="AA240" s="451"/>
      <c r="AB240" s="451"/>
      <c r="AC240" s="451"/>
      <c r="AH240"/>
      <c r="AI240"/>
    </row>
    <row r="241" spans="1:35" s="450" customFormat="1" x14ac:dyDescent="0.25">
      <c r="A241" s="448">
        <v>4</v>
      </c>
      <c r="B241" s="448"/>
      <c r="C241" s="448">
        <f t="shared" si="16"/>
        <v>17</v>
      </c>
      <c r="D241" s="448">
        <f t="shared" si="17"/>
        <v>1</v>
      </c>
      <c r="E241" s="448">
        <f t="shared" si="18"/>
        <v>16</v>
      </c>
      <c r="F241" s="448" t="str">
        <f t="shared" si="19"/>
        <v>pm</v>
      </c>
      <c r="G241" s="448" t="s">
        <v>249</v>
      </c>
      <c r="H241" s="448" t="s">
        <v>306</v>
      </c>
      <c r="I241" s="448" t="s">
        <v>248</v>
      </c>
      <c r="J241" s="449" t="s">
        <v>21</v>
      </c>
      <c r="K241" s="450">
        <f t="shared" si="20"/>
        <v>2481.3209735373598</v>
      </c>
      <c r="L241" s="448"/>
      <c r="M241" s="450">
        <v>2600</v>
      </c>
      <c r="U241" s="450">
        <v>2557.9878915283052</v>
      </c>
      <c r="W241" s="450">
        <v>2481.3209735373598</v>
      </c>
      <c r="AH241"/>
      <c r="AI241"/>
    </row>
    <row r="242" spans="1:35" s="450" customFormat="1" x14ac:dyDescent="0.25">
      <c r="A242" s="448">
        <v>7</v>
      </c>
      <c r="B242" s="448"/>
      <c r="C242" s="448">
        <f t="shared" si="16"/>
        <v>18</v>
      </c>
      <c r="D242" s="448">
        <f t="shared" si="17"/>
        <v>1</v>
      </c>
      <c r="E242" s="448">
        <f t="shared" si="18"/>
        <v>16</v>
      </c>
      <c r="F242" s="448" t="str">
        <f t="shared" si="19"/>
        <v>pm</v>
      </c>
      <c r="G242" s="448" t="s">
        <v>243</v>
      </c>
      <c r="H242" s="448" t="s">
        <v>309</v>
      </c>
      <c r="I242" s="448" t="s">
        <v>242</v>
      </c>
      <c r="J242" s="449" t="s">
        <v>21</v>
      </c>
      <c r="K242" s="450">
        <f t="shared" si="20"/>
        <v>2590.2182334242057</v>
      </c>
      <c r="L242" s="448"/>
      <c r="M242" s="450">
        <v>2600</v>
      </c>
      <c r="P242" s="450">
        <v>2586.1087425520964</v>
      </c>
      <c r="Q242" s="450">
        <v>2642.1061403984222</v>
      </c>
      <c r="S242" s="450">
        <v>2574.6020405067334</v>
      </c>
      <c r="U242" s="450">
        <v>2622.3839182783236</v>
      </c>
      <c r="W242" s="450">
        <v>2590.2182334242057</v>
      </c>
      <c r="AH242"/>
      <c r="AI242"/>
    </row>
    <row r="243" spans="1:35" s="450" customFormat="1" x14ac:dyDescent="0.25">
      <c r="A243" s="448">
        <v>5</v>
      </c>
      <c r="B243" s="448"/>
      <c r="C243" s="448">
        <f t="shared" si="16"/>
        <v>19</v>
      </c>
      <c r="D243" s="448">
        <f t="shared" si="17"/>
        <v>1</v>
      </c>
      <c r="E243" s="448">
        <f t="shared" si="18"/>
        <v>16</v>
      </c>
      <c r="F243" s="448" t="str">
        <f t="shared" si="19"/>
        <v>pm</v>
      </c>
      <c r="G243" s="448" t="s">
        <v>271</v>
      </c>
      <c r="H243" s="448" t="s">
        <v>523</v>
      </c>
      <c r="I243" s="448" t="s">
        <v>270</v>
      </c>
      <c r="J243" s="449" t="s">
        <v>21</v>
      </c>
      <c r="K243" s="450">
        <f t="shared" si="20"/>
        <v>2439.393995156976</v>
      </c>
      <c r="L243" s="448"/>
      <c r="M243" s="450">
        <v>2600</v>
      </c>
      <c r="P243" s="450">
        <v>2521.6112649182251</v>
      </c>
      <c r="U243" s="450">
        <v>2450.9074358683274</v>
      </c>
      <c r="W243" s="450">
        <v>2439.393995156976</v>
      </c>
      <c r="AH243"/>
      <c r="AI243"/>
    </row>
    <row r="244" spans="1:35" s="450" customFormat="1" x14ac:dyDescent="0.25">
      <c r="A244" s="448">
        <v>2</v>
      </c>
      <c r="B244" s="448"/>
      <c r="C244" s="448">
        <f t="shared" si="16"/>
        <v>20</v>
      </c>
      <c r="D244" s="448">
        <f t="shared" si="17"/>
        <v>1</v>
      </c>
      <c r="E244" s="448">
        <f t="shared" si="18"/>
        <v>16</v>
      </c>
      <c r="F244" s="448" t="str">
        <f t="shared" si="19"/>
        <v>pm</v>
      </c>
      <c r="G244" s="448" t="s">
        <v>744</v>
      </c>
      <c r="H244" s="448" t="s">
        <v>330</v>
      </c>
      <c r="I244" s="448" t="s">
        <v>745</v>
      </c>
      <c r="J244" s="449" t="s">
        <v>21</v>
      </c>
      <c r="K244" s="450">
        <f t="shared" si="20"/>
        <v>2674.7105106094182</v>
      </c>
      <c r="L244" s="448"/>
      <c r="M244" s="450">
        <v>2600</v>
      </c>
      <c r="S244" s="450">
        <v>2642.4197784613143</v>
      </c>
      <c r="W244" s="450">
        <v>2674.7105106094182</v>
      </c>
      <c r="AH244"/>
      <c r="AI244"/>
    </row>
    <row r="245" spans="1:35" s="450" customFormat="1" x14ac:dyDescent="0.25">
      <c r="A245" s="448">
        <v>3</v>
      </c>
      <c r="B245" s="448"/>
      <c r="C245" s="448">
        <f t="shared" si="16"/>
        <v>21</v>
      </c>
      <c r="D245" s="448">
        <f t="shared" si="17"/>
        <v>1</v>
      </c>
      <c r="E245" s="448">
        <f t="shared" si="18"/>
        <v>16</v>
      </c>
      <c r="F245" s="448" t="str">
        <f t="shared" si="19"/>
        <v>pm</v>
      </c>
      <c r="G245" s="448" t="s">
        <v>239</v>
      </c>
      <c r="H245" s="448" t="s">
        <v>330</v>
      </c>
      <c r="I245" s="448" t="s">
        <v>238</v>
      </c>
      <c r="J245" s="449" t="s">
        <v>21</v>
      </c>
      <c r="K245" s="450">
        <f t="shared" si="20"/>
        <v>2667.1933549809742</v>
      </c>
      <c r="L245" s="448"/>
      <c r="M245" s="450">
        <v>2600</v>
      </c>
      <c r="S245" s="450">
        <v>2624.1968354614924</v>
      </c>
      <c r="V245" s="450">
        <v>2646.8788938853718</v>
      </c>
      <c r="W245" s="450">
        <v>2667.1933549809742</v>
      </c>
      <c r="AH245"/>
      <c r="AI245"/>
    </row>
    <row r="246" spans="1:35" s="450" customFormat="1" x14ac:dyDescent="0.25">
      <c r="A246" s="448">
        <v>5</v>
      </c>
      <c r="B246" s="448"/>
      <c r="C246" s="448">
        <f t="shared" si="16"/>
        <v>22</v>
      </c>
      <c r="D246" s="448">
        <f t="shared" si="17"/>
        <v>1</v>
      </c>
      <c r="E246" s="448">
        <f t="shared" si="18"/>
        <v>16</v>
      </c>
      <c r="F246" s="448" t="str">
        <f t="shared" si="19"/>
        <v>pm</v>
      </c>
      <c r="G246" s="448" t="s">
        <v>267</v>
      </c>
      <c r="H246" s="448" t="s">
        <v>327</v>
      </c>
      <c r="I246" s="448" t="s">
        <v>266</v>
      </c>
      <c r="J246" s="449" t="s">
        <v>21</v>
      </c>
      <c r="K246" s="450">
        <f t="shared" si="20"/>
        <v>2497.6191281186948</v>
      </c>
      <c r="L246" s="448"/>
      <c r="M246" s="450">
        <v>2600</v>
      </c>
      <c r="P246" s="450">
        <v>2534.3306077253792</v>
      </c>
      <c r="S246" s="450">
        <v>2501.7317909930653</v>
      </c>
      <c r="W246" s="450">
        <v>2497.6191281186948</v>
      </c>
      <c r="AH246"/>
      <c r="AI246"/>
    </row>
    <row r="247" spans="1:35" s="450" customFormat="1" x14ac:dyDescent="0.25">
      <c r="A247" s="448">
        <v>5</v>
      </c>
      <c r="B247" s="448"/>
      <c r="C247" s="448">
        <f t="shared" si="16"/>
        <v>23</v>
      </c>
      <c r="D247" s="448">
        <f t="shared" si="17"/>
        <v>1</v>
      </c>
      <c r="E247" s="448">
        <f t="shared" si="18"/>
        <v>16</v>
      </c>
      <c r="F247" s="448" t="str">
        <f t="shared" si="19"/>
        <v>pm</v>
      </c>
      <c r="G247" s="448" t="s">
        <v>279</v>
      </c>
      <c r="H247" s="448" t="s">
        <v>327</v>
      </c>
      <c r="I247" s="448" t="s">
        <v>278</v>
      </c>
      <c r="J247" s="449" t="s">
        <v>21</v>
      </c>
      <c r="K247" s="450">
        <f t="shared" si="20"/>
        <v>2283.9386655222524</v>
      </c>
      <c r="L247" s="448"/>
      <c r="M247" s="450">
        <v>2600</v>
      </c>
      <c r="P247" s="450">
        <v>2430.3121523701575</v>
      </c>
      <c r="S247" s="450">
        <v>2334.1471641922385</v>
      </c>
      <c r="W247" s="450">
        <v>2283.9386655222524</v>
      </c>
      <c r="AH247"/>
      <c r="AI247"/>
    </row>
    <row r="248" spans="1:35" s="450" customFormat="1" x14ac:dyDescent="0.25">
      <c r="A248" s="448">
        <v>5</v>
      </c>
      <c r="B248" s="448"/>
      <c r="C248" s="448">
        <f t="shared" si="16"/>
        <v>24</v>
      </c>
      <c r="D248" s="448">
        <f t="shared" si="17"/>
        <v>1</v>
      </c>
      <c r="E248" s="448">
        <f t="shared" si="18"/>
        <v>16</v>
      </c>
      <c r="F248" s="448" t="str">
        <f t="shared" si="19"/>
        <v>pm</v>
      </c>
      <c r="G248" s="448" t="s">
        <v>251</v>
      </c>
      <c r="H248" s="448" t="s">
        <v>338</v>
      </c>
      <c r="I248" s="448" t="s">
        <v>250</v>
      </c>
      <c r="J248" s="449" t="s">
        <v>21</v>
      </c>
      <c r="K248" s="450">
        <f t="shared" si="20"/>
        <v>2645.4048474791375</v>
      </c>
      <c r="L248" s="448"/>
      <c r="M248" s="450">
        <v>2600</v>
      </c>
      <c r="S248" s="450">
        <v>2525.6392172060614</v>
      </c>
      <c r="U248" s="450">
        <v>2554.3553976514154</v>
      </c>
      <c r="W248" s="450">
        <v>2645.4048474791375</v>
      </c>
      <c r="AH248"/>
      <c r="AI248"/>
    </row>
    <row r="249" spans="1:35" s="450" customFormat="1" x14ac:dyDescent="0.25">
      <c r="A249" s="448">
        <v>5</v>
      </c>
      <c r="B249" s="448"/>
      <c r="C249" s="448">
        <f t="shared" si="16"/>
        <v>25</v>
      </c>
      <c r="D249" s="448">
        <f t="shared" si="17"/>
        <v>1</v>
      </c>
      <c r="E249" s="448">
        <f t="shared" si="18"/>
        <v>16</v>
      </c>
      <c r="F249" s="448" t="str">
        <f t="shared" si="19"/>
        <v>pm</v>
      </c>
      <c r="G249" s="448" t="s">
        <v>269</v>
      </c>
      <c r="H249" s="448" t="s">
        <v>338</v>
      </c>
      <c r="I249" s="448" t="s">
        <v>268</v>
      </c>
      <c r="J249" s="449" t="s">
        <v>21</v>
      </c>
      <c r="K249" s="450">
        <f t="shared" si="20"/>
        <v>2509.9978680140835</v>
      </c>
      <c r="L249" s="448"/>
      <c r="M249" s="450">
        <v>2600</v>
      </c>
      <c r="S249" s="450">
        <v>2522.040418704566</v>
      </c>
      <c r="U249" s="450">
        <v>2464.3992066653695</v>
      </c>
      <c r="W249" s="450">
        <v>2509.9978680140835</v>
      </c>
      <c r="AH249"/>
      <c r="AI249"/>
    </row>
    <row r="250" spans="1:35" s="450" customFormat="1" x14ac:dyDescent="0.25">
      <c r="A250" s="448"/>
      <c r="B250" s="448"/>
      <c r="C250" s="448">
        <f t="shared" si="16"/>
        <v>26</v>
      </c>
      <c r="D250" s="448">
        <f t="shared" si="17"/>
        <v>1</v>
      </c>
      <c r="E250" s="448">
        <f t="shared" si="18"/>
        <v>16</v>
      </c>
      <c r="F250" s="448" t="str">
        <f t="shared" si="19"/>
        <v>crx</v>
      </c>
      <c r="G250" s="448" t="s">
        <v>746</v>
      </c>
      <c r="H250" s="448"/>
      <c r="I250" s="448" t="s">
        <v>747</v>
      </c>
      <c r="J250" s="449" t="s">
        <v>21</v>
      </c>
      <c r="K250" s="450">
        <f t="shared" si="20"/>
        <v>2614.0741138246112</v>
      </c>
      <c r="L250" s="448"/>
      <c r="M250" s="450">
        <v>2600</v>
      </c>
      <c r="O250" s="451"/>
      <c r="P250" s="451">
        <v>2614.0741138246112</v>
      </c>
      <c r="Q250" s="451"/>
      <c r="R250" s="451"/>
      <c r="S250" s="451"/>
      <c r="T250" s="451"/>
      <c r="U250" s="451"/>
      <c r="V250" s="451"/>
      <c r="W250" s="451"/>
      <c r="X250" s="451"/>
      <c r="Y250" s="451"/>
      <c r="Z250" s="451"/>
      <c r="AA250" s="451"/>
      <c r="AB250" s="451"/>
      <c r="AC250" s="451"/>
      <c r="AH250"/>
      <c r="AI250"/>
    </row>
    <row r="251" spans="1:35" s="450" customFormat="1" x14ac:dyDescent="0.25">
      <c r="A251" s="448">
        <v>1</v>
      </c>
      <c r="B251" s="448"/>
      <c r="C251" s="448">
        <f t="shared" si="16"/>
        <v>27</v>
      </c>
      <c r="D251" s="448">
        <f t="shared" si="17"/>
        <v>1</v>
      </c>
      <c r="E251" s="448">
        <f t="shared" si="18"/>
        <v>16</v>
      </c>
      <c r="F251" s="448" t="str">
        <f t="shared" si="19"/>
        <v>pmx</v>
      </c>
      <c r="G251" s="448" t="s">
        <v>748</v>
      </c>
      <c r="H251" s="448" t="s">
        <v>316</v>
      </c>
      <c r="I251" s="448" t="s">
        <v>749</v>
      </c>
      <c r="J251" s="449" t="s">
        <v>21</v>
      </c>
      <c r="K251" s="450">
        <f t="shared" si="20"/>
        <v>2840.6890102224856</v>
      </c>
      <c r="L251" s="448"/>
      <c r="M251" s="450">
        <v>2600</v>
      </c>
      <c r="O251" s="450">
        <v>2840.6890102224856</v>
      </c>
      <c r="AH251"/>
      <c r="AI251"/>
    </row>
    <row r="252" spans="1:35" s="450" customFormat="1" x14ac:dyDescent="0.25">
      <c r="A252" s="448">
        <v>2</v>
      </c>
      <c r="B252" s="448"/>
      <c r="C252" s="448">
        <f t="shared" si="16"/>
        <v>28</v>
      </c>
      <c r="D252" s="448">
        <f t="shared" si="17"/>
        <v>1</v>
      </c>
      <c r="E252" s="448">
        <f t="shared" si="18"/>
        <v>16</v>
      </c>
      <c r="F252" s="448" t="str">
        <f t="shared" si="19"/>
        <v>pm</v>
      </c>
      <c r="G252" s="448" t="s">
        <v>750</v>
      </c>
      <c r="H252" s="448" t="s">
        <v>316</v>
      </c>
      <c r="I252" s="448" t="s">
        <v>751</v>
      </c>
      <c r="J252" s="449" t="s">
        <v>21</v>
      </c>
      <c r="K252" s="450">
        <f t="shared" si="20"/>
        <v>2668.4093745251066</v>
      </c>
      <c r="L252" s="448"/>
      <c r="M252" s="450">
        <v>2600</v>
      </c>
      <c r="S252" s="450">
        <v>2668.4093745251066</v>
      </c>
      <c r="AH252"/>
      <c r="AI252"/>
    </row>
    <row r="253" spans="1:35" s="450" customFormat="1" x14ac:dyDescent="0.25">
      <c r="A253" s="448">
        <v>5</v>
      </c>
      <c r="B253" s="448"/>
      <c r="C253" s="448">
        <f t="shared" si="16"/>
        <v>29</v>
      </c>
      <c r="D253" s="448">
        <f t="shared" si="17"/>
        <v>1</v>
      </c>
      <c r="E253" s="448">
        <f t="shared" si="18"/>
        <v>16</v>
      </c>
      <c r="F253" s="448" t="str">
        <f t="shared" si="19"/>
        <v>pm</v>
      </c>
      <c r="G253" s="448" t="s">
        <v>263</v>
      </c>
      <c r="H253" s="448" t="s">
        <v>335</v>
      </c>
      <c r="I253" s="448" t="s">
        <v>262</v>
      </c>
      <c r="J253" s="449" t="s">
        <v>21</v>
      </c>
      <c r="K253" s="450">
        <f t="shared" si="20"/>
        <v>2616.9676096987464</v>
      </c>
      <c r="L253" s="448"/>
      <c r="M253" s="450">
        <v>2600</v>
      </c>
      <c r="P253" s="450">
        <v>2550.7095999075605</v>
      </c>
      <c r="S253" s="450">
        <v>2531.9153909770039</v>
      </c>
      <c r="W253" s="450">
        <v>2616.9676096987464</v>
      </c>
      <c r="AH253"/>
      <c r="AI253"/>
    </row>
    <row r="254" spans="1:35" s="450" customFormat="1" x14ac:dyDescent="0.25">
      <c r="A254" s="448">
        <v>4</v>
      </c>
      <c r="B254" s="448"/>
      <c r="C254" s="448">
        <f t="shared" si="16"/>
        <v>30</v>
      </c>
      <c r="D254" s="448">
        <f t="shared" si="17"/>
        <v>30</v>
      </c>
      <c r="E254" s="448">
        <f t="shared" si="18"/>
        <v>16</v>
      </c>
      <c r="F254" s="448" t="str">
        <f t="shared" si="19"/>
        <v>pm</v>
      </c>
      <c r="G254" s="448" t="s">
        <v>752</v>
      </c>
      <c r="H254" s="448" t="s">
        <v>319</v>
      </c>
      <c r="I254" s="448" t="s">
        <v>753</v>
      </c>
      <c r="J254" s="449" t="s">
        <v>21</v>
      </c>
      <c r="K254" s="450">
        <f t="shared" si="20"/>
        <v>2812.5778657724013</v>
      </c>
      <c r="L254" s="448"/>
      <c r="M254" s="450">
        <v>2550</v>
      </c>
      <c r="O254" s="450">
        <v>2651.1345929277209</v>
      </c>
      <c r="S254" s="450">
        <v>2783.6188433078114</v>
      </c>
      <c r="U254" s="450">
        <v>2812.5778657724013</v>
      </c>
      <c r="AH254"/>
      <c r="AI254"/>
    </row>
    <row r="255" spans="1:35" s="450" customFormat="1" x14ac:dyDescent="0.25">
      <c r="A255" s="448">
        <v>6</v>
      </c>
      <c r="B255" s="448"/>
      <c r="C255" s="448">
        <f t="shared" si="16"/>
        <v>31</v>
      </c>
      <c r="D255" s="448">
        <f t="shared" si="17"/>
        <v>31</v>
      </c>
      <c r="E255" s="448">
        <f t="shared" si="18"/>
        <v>16</v>
      </c>
      <c r="F255" s="448" t="str">
        <f t="shared" si="19"/>
        <v>pm</v>
      </c>
      <c r="G255" s="448" t="s">
        <v>245</v>
      </c>
      <c r="H255" s="448" t="s">
        <v>615</v>
      </c>
      <c r="I255" s="448" t="s">
        <v>244</v>
      </c>
      <c r="J255" s="449" t="s">
        <v>21</v>
      </c>
      <c r="K255" s="450">
        <f t="shared" si="20"/>
        <v>2553.29021214473</v>
      </c>
      <c r="L255" s="448"/>
      <c r="M255" s="450">
        <v>2533.3333333333335</v>
      </c>
      <c r="O255" s="451"/>
      <c r="P255" s="451">
        <v>2604.4583365042622</v>
      </c>
      <c r="Q255" s="451"/>
      <c r="R255" s="451"/>
      <c r="S255" s="451">
        <v>2550.4882821127521</v>
      </c>
      <c r="T255" s="451">
        <v>2602.0670906930518</v>
      </c>
      <c r="U255" s="451"/>
      <c r="V255" s="451"/>
      <c r="W255" s="451">
        <v>2553.29021214473</v>
      </c>
      <c r="X255" s="451"/>
      <c r="Y255" s="451"/>
      <c r="Z255" s="451"/>
      <c r="AA255" s="451"/>
      <c r="AB255" s="451"/>
      <c r="AC255" s="451"/>
      <c r="AD255" s="451"/>
      <c r="AE255" s="451"/>
      <c r="AF255" s="451"/>
      <c r="AG255" s="451"/>
      <c r="AH255"/>
      <c r="AI255"/>
    </row>
    <row r="256" spans="1:35" s="450" customFormat="1" x14ac:dyDescent="0.25">
      <c r="A256" s="448">
        <v>6</v>
      </c>
      <c r="B256" s="448"/>
      <c r="C256" s="448">
        <f t="shared" si="16"/>
        <v>32</v>
      </c>
      <c r="D256" s="448">
        <f t="shared" si="17"/>
        <v>31</v>
      </c>
      <c r="E256" s="448">
        <f t="shared" si="18"/>
        <v>16</v>
      </c>
      <c r="F256" s="448" t="str">
        <f t="shared" si="19"/>
        <v>pm</v>
      </c>
      <c r="G256" s="448" t="s">
        <v>277</v>
      </c>
      <c r="H256" s="448" t="s">
        <v>353</v>
      </c>
      <c r="I256" s="448" t="s">
        <v>276</v>
      </c>
      <c r="J256" s="449" t="s">
        <v>21</v>
      </c>
      <c r="K256" s="450">
        <f t="shared" si="20"/>
        <v>2333.0102076788698</v>
      </c>
      <c r="L256" s="448"/>
      <c r="M256" s="450">
        <v>2533.3333333333335</v>
      </c>
      <c r="P256" s="450">
        <v>2435.1163107014972</v>
      </c>
      <c r="R256" s="450">
        <v>2430.7561370754192</v>
      </c>
      <c r="S256" s="450">
        <v>2350.7701139447186</v>
      </c>
      <c r="U256" s="450">
        <v>2376.4825129198039</v>
      </c>
      <c r="W256" s="450">
        <v>2333.0102076788698</v>
      </c>
      <c r="AH256"/>
      <c r="AI256"/>
    </row>
    <row r="257" spans="1:35" s="450" customFormat="1" x14ac:dyDescent="0.25">
      <c r="A257" s="448">
        <v>5</v>
      </c>
      <c r="B257" s="448"/>
      <c r="C257" s="448">
        <f t="shared" si="16"/>
        <v>33</v>
      </c>
      <c r="D257" s="448">
        <f t="shared" si="17"/>
        <v>33</v>
      </c>
      <c r="E257" s="448">
        <f t="shared" si="18"/>
        <v>16</v>
      </c>
      <c r="F257" s="448" t="str">
        <f t="shared" si="19"/>
        <v>pm</v>
      </c>
      <c r="G257" s="448" t="s">
        <v>281</v>
      </c>
      <c r="H257" s="448" t="s">
        <v>754</v>
      </c>
      <c r="I257" s="448" t="s">
        <v>280</v>
      </c>
      <c r="J257" s="449" t="s">
        <v>21</v>
      </c>
      <c r="K257" s="450">
        <f t="shared" si="20"/>
        <v>2345.9059653150157</v>
      </c>
      <c r="L257" s="448"/>
      <c r="M257" s="450">
        <v>2520</v>
      </c>
      <c r="P257" s="450">
        <v>2367.8687365373366</v>
      </c>
      <c r="S257" s="450">
        <v>2402.6393736189211</v>
      </c>
      <c r="U257" s="450">
        <v>2332.1838374588774</v>
      </c>
      <c r="W257" s="450">
        <v>2345.9059653150157</v>
      </c>
      <c r="AH257"/>
      <c r="AI257"/>
    </row>
    <row r="258" spans="1:35" s="450" customFormat="1" x14ac:dyDescent="0.25">
      <c r="A258" s="448">
        <v>2</v>
      </c>
      <c r="B258" s="448"/>
      <c r="C258" s="448">
        <f t="shared" ref="C258:C321" si="21">IF(E258=E257,C257+1,1)</f>
        <v>34</v>
      </c>
      <c r="D258" s="448">
        <f t="shared" ref="D258:D321" si="22">IF(M258=M257,D257,C258)</f>
        <v>34</v>
      </c>
      <c r="E258" s="448">
        <f t="shared" ref="E258:E321" si="23">10+VALUE(RIGHT(LEFT(G258,3),1))</f>
        <v>16</v>
      </c>
      <c r="F258" s="448" t="str">
        <f t="shared" ref="F258:F321" si="24">RIGHT(G258,2) &amp; IF(A258&lt;2,"x","")</f>
        <v>pm</v>
      </c>
      <c r="G258" s="448" t="s">
        <v>755</v>
      </c>
      <c r="H258" s="448" t="s">
        <v>554</v>
      </c>
      <c r="I258" s="448" t="s">
        <v>756</v>
      </c>
      <c r="J258" s="449" t="s">
        <v>21</v>
      </c>
      <c r="K258" s="450">
        <f t="shared" ref="K258:K321" si="25">LOOKUP(1E+100,M258:AC258)</f>
        <v>2353.8622370276739</v>
      </c>
      <c r="L258" s="448"/>
      <c r="M258" s="450">
        <v>2400</v>
      </c>
      <c r="O258" s="451"/>
      <c r="P258" s="451"/>
      <c r="Q258" s="451"/>
      <c r="R258" s="451"/>
      <c r="S258" s="451">
        <v>2353.7316539645976</v>
      </c>
      <c r="T258" s="451"/>
      <c r="U258" s="451"/>
      <c r="V258" s="451">
        <v>2353.8622370276739</v>
      </c>
      <c r="W258" s="451"/>
      <c r="X258" s="451"/>
      <c r="Y258" s="451"/>
      <c r="Z258" s="451"/>
      <c r="AA258" s="451"/>
      <c r="AB258" s="451"/>
      <c r="AC258" s="451"/>
      <c r="AD258" s="451"/>
      <c r="AE258" s="451"/>
      <c r="AF258" s="451"/>
      <c r="AG258" s="451"/>
      <c r="AH258"/>
      <c r="AI258"/>
    </row>
    <row r="259" spans="1:35" s="450" customFormat="1" x14ac:dyDescent="0.25">
      <c r="A259" s="448">
        <v>2</v>
      </c>
      <c r="B259" s="448"/>
      <c r="C259" s="448">
        <f t="shared" si="21"/>
        <v>35</v>
      </c>
      <c r="D259" s="448">
        <f t="shared" si="22"/>
        <v>34</v>
      </c>
      <c r="E259" s="448">
        <f t="shared" si="23"/>
        <v>16</v>
      </c>
      <c r="F259" s="448" t="str">
        <f t="shared" si="24"/>
        <v>pm</v>
      </c>
      <c r="G259" s="448" t="s">
        <v>757</v>
      </c>
      <c r="H259" s="448" t="s">
        <v>299</v>
      </c>
      <c r="I259" s="448" t="s">
        <v>758</v>
      </c>
      <c r="J259" s="449" t="s">
        <v>21</v>
      </c>
      <c r="K259" s="450">
        <f t="shared" si="25"/>
        <v>2402.8944222193199</v>
      </c>
      <c r="L259" s="448"/>
      <c r="M259" s="450">
        <v>2400</v>
      </c>
      <c r="P259" s="450">
        <v>2402.8944222193199</v>
      </c>
      <c r="AH259"/>
      <c r="AI259"/>
    </row>
    <row r="260" spans="1:35" s="450" customFormat="1" x14ac:dyDescent="0.25">
      <c r="A260" s="448">
        <v>4</v>
      </c>
      <c r="B260" s="448"/>
      <c r="C260" s="448">
        <f t="shared" si="21"/>
        <v>36</v>
      </c>
      <c r="D260" s="448">
        <f t="shared" si="22"/>
        <v>34</v>
      </c>
      <c r="E260" s="448">
        <f t="shared" si="23"/>
        <v>16</v>
      </c>
      <c r="F260" s="448" t="str">
        <f t="shared" si="24"/>
        <v>pm</v>
      </c>
      <c r="G260" s="448" t="s">
        <v>759</v>
      </c>
      <c r="H260" s="448" t="s">
        <v>426</v>
      </c>
      <c r="I260" s="448" t="s">
        <v>760</v>
      </c>
      <c r="J260" s="449" t="s">
        <v>21</v>
      </c>
      <c r="K260" s="450">
        <f t="shared" si="25"/>
        <v>2485.2280075007443</v>
      </c>
      <c r="L260" s="448"/>
      <c r="M260" s="450">
        <v>2400</v>
      </c>
      <c r="Q260" s="450">
        <v>2451.1169432151924</v>
      </c>
      <c r="S260" s="450">
        <v>2504.8525408531418</v>
      </c>
      <c r="T260" s="450">
        <v>2485.2280075007443</v>
      </c>
      <c r="AH260"/>
      <c r="AI260"/>
    </row>
    <row r="261" spans="1:35" s="450" customFormat="1" x14ac:dyDescent="0.25">
      <c r="A261" s="448">
        <v>4</v>
      </c>
      <c r="B261" s="448"/>
      <c r="C261" s="448">
        <f t="shared" si="21"/>
        <v>37</v>
      </c>
      <c r="D261" s="448">
        <f t="shared" si="22"/>
        <v>34</v>
      </c>
      <c r="E261" s="448">
        <f t="shared" si="23"/>
        <v>16</v>
      </c>
      <c r="F261" s="448" t="str">
        <f t="shared" si="24"/>
        <v>pm</v>
      </c>
      <c r="G261" s="448" t="s">
        <v>761</v>
      </c>
      <c r="H261" s="448" t="s">
        <v>319</v>
      </c>
      <c r="I261" s="448" t="s">
        <v>762</v>
      </c>
      <c r="J261" s="449" t="s">
        <v>21</v>
      </c>
      <c r="K261" s="450">
        <f t="shared" si="25"/>
        <v>2557.1804930217963</v>
      </c>
      <c r="L261" s="448"/>
      <c r="M261" s="450">
        <v>2400</v>
      </c>
      <c r="P261" s="450">
        <v>2480.5272461425175</v>
      </c>
      <c r="R261" s="450">
        <v>2511.732454820823</v>
      </c>
      <c r="U261" s="450">
        <v>2557.1804930217963</v>
      </c>
      <c r="AH261"/>
      <c r="AI261"/>
    </row>
    <row r="262" spans="1:35" s="450" customFormat="1" x14ac:dyDescent="0.25">
      <c r="A262" s="448">
        <v>2</v>
      </c>
      <c r="B262" s="448"/>
      <c r="C262" s="448">
        <f t="shared" si="21"/>
        <v>38</v>
      </c>
      <c r="D262" s="448">
        <f t="shared" si="22"/>
        <v>34</v>
      </c>
      <c r="E262" s="448">
        <f t="shared" si="23"/>
        <v>16</v>
      </c>
      <c r="F262" s="448" t="str">
        <f t="shared" si="24"/>
        <v>pm</v>
      </c>
      <c r="G262" s="448" t="s">
        <v>763</v>
      </c>
      <c r="H262" s="448" t="s">
        <v>316</v>
      </c>
      <c r="I262" s="448" t="s">
        <v>764</v>
      </c>
      <c r="J262" s="449" t="s">
        <v>21</v>
      </c>
      <c r="K262" s="450">
        <f t="shared" si="25"/>
        <v>2547.8697393622169</v>
      </c>
      <c r="L262" s="448"/>
      <c r="M262" s="450">
        <v>2400</v>
      </c>
      <c r="T262" s="450">
        <v>2547.8697393622169</v>
      </c>
      <c r="AH262"/>
      <c r="AI262"/>
    </row>
    <row r="263" spans="1:35" s="450" customFormat="1" x14ac:dyDescent="0.25">
      <c r="A263" s="448">
        <v>2</v>
      </c>
      <c r="B263" s="448"/>
      <c r="C263" s="448">
        <f t="shared" si="21"/>
        <v>39</v>
      </c>
      <c r="D263" s="448">
        <f t="shared" si="22"/>
        <v>34</v>
      </c>
      <c r="E263" s="448">
        <f t="shared" si="23"/>
        <v>16</v>
      </c>
      <c r="F263" s="448" t="str">
        <f t="shared" si="24"/>
        <v>pm</v>
      </c>
      <c r="G263" s="448" t="s">
        <v>765</v>
      </c>
      <c r="H263" s="448" t="s">
        <v>316</v>
      </c>
      <c r="I263" s="448" t="s">
        <v>766</v>
      </c>
      <c r="J263" s="449" t="s">
        <v>21</v>
      </c>
      <c r="K263" s="450">
        <f t="shared" si="25"/>
        <v>2440.2815498712666</v>
      </c>
      <c r="L263" s="448"/>
      <c r="M263" s="450">
        <v>2400</v>
      </c>
      <c r="T263" s="450">
        <v>2440.2815498712666</v>
      </c>
      <c r="AH263"/>
      <c r="AI263"/>
    </row>
    <row r="264" spans="1:35" s="450" customFormat="1" x14ac:dyDescent="0.25">
      <c r="A264" s="448">
        <v>2</v>
      </c>
      <c r="B264" s="448"/>
      <c r="C264" s="448">
        <f t="shared" si="21"/>
        <v>40</v>
      </c>
      <c r="D264" s="448">
        <f t="shared" si="22"/>
        <v>34</v>
      </c>
      <c r="E264" s="448">
        <f t="shared" si="23"/>
        <v>16</v>
      </c>
      <c r="F264" s="448" t="str">
        <f t="shared" si="24"/>
        <v>pm</v>
      </c>
      <c r="G264" s="448" t="s">
        <v>767</v>
      </c>
      <c r="H264" s="448" t="s">
        <v>316</v>
      </c>
      <c r="I264" s="448" t="s">
        <v>768</v>
      </c>
      <c r="J264" s="449" t="s">
        <v>21</v>
      </c>
      <c r="K264" s="450">
        <f t="shared" si="25"/>
        <v>2428.574139943863</v>
      </c>
      <c r="L264" s="448"/>
      <c r="M264" s="450">
        <v>2400</v>
      </c>
      <c r="T264" s="450">
        <v>2428.574139943863</v>
      </c>
      <c r="AH264"/>
      <c r="AI264"/>
    </row>
    <row r="265" spans="1:35" s="450" customFormat="1" x14ac:dyDescent="0.25">
      <c r="A265" s="448">
        <v>7</v>
      </c>
      <c r="B265" s="448"/>
      <c r="C265" s="448">
        <f t="shared" si="21"/>
        <v>41</v>
      </c>
      <c r="D265" s="448">
        <f t="shared" si="22"/>
        <v>41</v>
      </c>
      <c r="E265" s="448">
        <f t="shared" si="23"/>
        <v>16</v>
      </c>
      <c r="F265" s="448" t="str">
        <f t="shared" si="24"/>
        <v>pm</v>
      </c>
      <c r="G265" s="448" t="s">
        <v>769</v>
      </c>
      <c r="H265" s="448" t="s">
        <v>490</v>
      </c>
      <c r="I265" s="448" t="s">
        <v>770</v>
      </c>
      <c r="J265" s="449" t="s">
        <v>20</v>
      </c>
      <c r="K265" s="450">
        <f t="shared" si="25"/>
        <v>2285.9576734165903</v>
      </c>
      <c r="L265" s="448"/>
      <c r="M265" s="450">
        <v>2314.2857142857142</v>
      </c>
      <c r="P265" s="450">
        <v>2273.6545201751719</v>
      </c>
      <c r="Q265" s="450">
        <v>2314.8207408110184</v>
      </c>
      <c r="T265" s="450">
        <v>2227.3143583110036</v>
      </c>
      <c r="U265" s="450">
        <v>2285.9576734165903</v>
      </c>
      <c r="AH265"/>
      <c r="AI265"/>
    </row>
    <row r="266" spans="1:35" s="450" customFormat="1" x14ac:dyDescent="0.25">
      <c r="A266" s="448">
        <v>3</v>
      </c>
      <c r="B266" s="448"/>
      <c r="C266" s="448">
        <f t="shared" si="21"/>
        <v>42</v>
      </c>
      <c r="D266" s="448">
        <f t="shared" si="22"/>
        <v>42</v>
      </c>
      <c r="E266" s="448">
        <f t="shared" si="23"/>
        <v>16</v>
      </c>
      <c r="F266" s="448" t="str">
        <f t="shared" si="24"/>
        <v>pm</v>
      </c>
      <c r="G266" s="448" t="s">
        <v>771</v>
      </c>
      <c r="H266" s="448" t="s">
        <v>554</v>
      </c>
      <c r="I266" s="448" t="s">
        <v>772</v>
      </c>
      <c r="J266" s="449" t="s">
        <v>20</v>
      </c>
      <c r="K266" s="450">
        <f t="shared" si="25"/>
        <v>2424.9307017600863</v>
      </c>
      <c r="L266" s="448"/>
      <c r="M266" s="450">
        <v>2266.6666666666665</v>
      </c>
      <c r="O266" s="451"/>
      <c r="P266" s="451">
        <v>2345.6284465465415</v>
      </c>
      <c r="Q266" s="451"/>
      <c r="R266" s="451">
        <v>2423.8121809417348</v>
      </c>
      <c r="S266" s="451"/>
      <c r="T266" s="451"/>
      <c r="U266" s="451"/>
      <c r="V266" s="451">
        <v>2424.9307017600863</v>
      </c>
      <c r="W266" s="451"/>
      <c r="X266" s="451"/>
      <c r="Y266" s="451"/>
      <c r="Z266" s="451"/>
      <c r="AA266" s="451"/>
      <c r="AB266" s="451"/>
      <c r="AC266" s="451"/>
      <c r="AD266" s="451"/>
      <c r="AE266" s="451"/>
      <c r="AF266" s="451"/>
      <c r="AG266" s="451"/>
      <c r="AH266"/>
      <c r="AI266"/>
    </row>
    <row r="267" spans="1:35" s="450" customFormat="1" x14ac:dyDescent="0.25">
      <c r="A267" s="448">
        <v>7</v>
      </c>
      <c r="B267" s="448"/>
      <c r="C267" s="448">
        <f t="shared" si="21"/>
        <v>43</v>
      </c>
      <c r="D267" s="448">
        <f t="shared" si="22"/>
        <v>43</v>
      </c>
      <c r="E267" s="448">
        <f t="shared" si="23"/>
        <v>16</v>
      </c>
      <c r="F267" s="448" t="str">
        <f t="shared" si="24"/>
        <v>pm</v>
      </c>
      <c r="G267" s="448" t="s">
        <v>773</v>
      </c>
      <c r="H267" s="448" t="s">
        <v>396</v>
      </c>
      <c r="I267" s="448" t="s">
        <v>774</v>
      </c>
      <c r="J267" s="449" t="s">
        <v>20</v>
      </c>
      <c r="K267" s="450">
        <f t="shared" si="25"/>
        <v>2242.5622370560654</v>
      </c>
      <c r="L267" s="448"/>
      <c r="M267" s="450">
        <v>2257.1428571428573</v>
      </c>
      <c r="P267" s="450">
        <v>2275.0843041720645</v>
      </c>
      <c r="Q267" s="450">
        <v>2330.3909835910367</v>
      </c>
      <c r="T267" s="450">
        <v>2228.3592034324347</v>
      </c>
      <c r="V267" s="450">
        <v>2242.5622370560654</v>
      </c>
      <c r="AH267"/>
      <c r="AI267"/>
    </row>
    <row r="268" spans="1:35" s="450" customFormat="1" x14ac:dyDescent="0.25">
      <c r="A268" s="448">
        <v>5</v>
      </c>
      <c r="B268" s="448"/>
      <c r="C268" s="448">
        <f t="shared" si="21"/>
        <v>44</v>
      </c>
      <c r="D268" s="448">
        <f t="shared" si="22"/>
        <v>44</v>
      </c>
      <c r="E268" s="448">
        <f t="shared" si="23"/>
        <v>16</v>
      </c>
      <c r="F268" s="448" t="str">
        <f t="shared" si="24"/>
        <v>pm</v>
      </c>
      <c r="G268" s="448" t="s">
        <v>775</v>
      </c>
      <c r="H268" s="448" t="s">
        <v>485</v>
      </c>
      <c r="I268" s="448" t="s">
        <v>776</v>
      </c>
      <c r="J268" s="449" t="s">
        <v>20</v>
      </c>
      <c r="K268" s="450">
        <f t="shared" si="25"/>
        <v>2237.5061726671483</v>
      </c>
      <c r="L268" s="448"/>
      <c r="M268" s="450">
        <v>2240</v>
      </c>
      <c r="R268" s="450">
        <v>2246.3189419369232</v>
      </c>
      <c r="U268" s="450">
        <v>2242.1731453359262</v>
      </c>
      <c r="V268" s="450">
        <v>2237.5061726671483</v>
      </c>
      <c r="AH268"/>
      <c r="AI268"/>
    </row>
    <row r="269" spans="1:35" s="450" customFormat="1" x14ac:dyDescent="0.25">
      <c r="A269" s="448">
        <v>6</v>
      </c>
      <c r="B269" s="448"/>
      <c r="C269" s="448">
        <f t="shared" si="21"/>
        <v>45</v>
      </c>
      <c r="D269" s="448">
        <f t="shared" si="22"/>
        <v>45</v>
      </c>
      <c r="E269" s="448">
        <f t="shared" si="23"/>
        <v>16</v>
      </c>
      <c r="F269" s="448" t="str">
        <f t="shared" si="24"/>
        <v>pm</v>
      </c>
      <c r="G269" s="448" t="s">
        <v>777</v>
      </c>
      <c r="H269" s="448" t="s">
        <v>778</v>
      </c>
      <c r="I269" s="448" t="s">
        <v>779</v>
      </c>
      <c r="J269" s="449" t="s">
        <v>20</v>
      </c>
      <c r="K269" s="450">
        <f t="shared" si="25"/>
        <v>2287.882559560951</v>
      </c>
      <c r="L269" s="448"/>
      <c r="M269" s="450">
        <v>2200</v>
      </c>
      <c r="O269" s="451"/>
      <c r="P269" s="451">
        <v>2229.6713187665032</v>
      </c>
      <c r="Q269" s="451"/>
      <c r="R269" s="451">
        <v>2258.8911105410434</v>
      </c>
      <c r="S269" s="451"/>
      <c r="T269" s="451">
        <v>2316.2116999108894</v>
      </c>
      <c r="U269" s="451"/>
      <c r="V269" s="451">
        <v>2287.882559560951</v>
      </c>
      <c r="W269" s="451"/>
      <c r="X269" s="451"/>
      <c r="Y269" s="451"/>
      <c r="Z269" s="451"/>
      <c r="AA269" s="451"/>
      <c r="AB269" s="451"/>
      <c r="AC269" s="451"/>
      <c r="AD269" s="451"/>
      <c r="AE269" s="451"/>
      <c r="AF269" s="451"/>
      <c r="AG269" s="451"/>
      <c r="AH269"/>
      <c r="AI269"/>
    </row>
    <row r="270" spans="1:35" s="450" customFormat="1" x14ac:dyDescent="0.25">
      <c r="A270" s="448">
        <v>6</v>
      </c>
      <c r="B270" s="448"/>
      <c r="C270" s="448">
        <f t="shared" si="21"/>
        <v>46</v>
      </c>
      <c r="D270" s="448">
        <f t="shared" si="22"/>
        <v>45</v>
      </c>
      <c r="E270" s="448">
        <f t="shared" si="23"/>
        <v>16</v>
      </c>
      <c r="F270" s="448" t="str">
        <f t="shared" si="24"/>
        <v>pm</v>
      </c>
      <c r="G270" s="448" t="s">
        <v>780</v>
      </c>
      <c r="H270" s="448" t="s">
        <v>778</v>
      </c>
      <c r="I270" s="448" t="s">
        <v>781</v>
      </c>
      <c r="J270" s="449" t="s">
        <v>20</v>
      </c>
      <c r="K270" s="450">
        <f t="shared" si="25"/>
        <v>2131.4728829875548</v>
      </c>
      <c r="L270" s="448"/>
      <c r="M270" s="450">
        <v>2200</v>
      </c>
      <c r="O270" s="451"/>
      <c r="P270" s="451">
        <v>2122.3031989403148</v>
      </c>
      <c r="Q270" s="451"/>
      <c r="R270" s="451">
        <v>2123.540387847499</v>
      </c>
      <c r="S270" s="451"/>
      <c r="T270" s="451">
        <v>2111.6382579341143</v>
      </c>
      <c r="U270" s="451"/>
      <c r="V270" s="451">
        <v>2131.4728829875548</v>
      </c>
      <c r="W270" s="451"/>
      <c r="X270" s="451"/>
      <c r="Y270" s="451"/>
      <c r="Z270" s="451"/>
      <c r="AA270" s="451"/>
      <c r="AB270" s="451"/>
      <c r="AC270" s="451"/>
      <c r="AD270" s="451"/>
      <c r="AE270" s="451"/>
      <c r="AF270" s="451"/>
      <c r="AG270" s="451"/>
      <c r="AH270"/>
      <c r="AI270"/>
    </row>
    <row r="271" spans="1:35" s="450" customFormat="1" x14ac:dyDescent="0.25">
      <c r="A271" s="448">
        <v>6</v>
      </c>
      <c r="B271" s="448"/>
      <c r="C271" s="448">
        <f t="shared" si="21"/>
        <v>47</v>
      </c>
      <c r="D271" s="448">
        <f t="shared" si="22"/>
        <v>45</v>
      </c>
      <c r="E271" s="448">
        <f t="shared" si="23"/>
        <v>16</v>
      </c>
      <c r="F271" s="448" t="str">
        <f t="shared" si="24"/>
        <v>pm</v>
      </c>
      <c r="G271" s="448" t="s">
        <v>782</v>
      </c>
      <c r="H271" s="448" t="s">
        <v>568</v>
      </c>
      <c r="I271" s="448" t="s">
        <v>783</v>
      </c>
      <c r="J271" s="449" t="s">
        <v>20</v>
      </c>
      <c r="K271" s="450">
        <f t="shared" si="25"/>
        <v>2230.3336953920484</v>
      </c>
      <c r="L271" s="448"/>
      <c r="M271" s="450">
        <v>2200</v>
      </c>
      <c r="P271" s="450">
        <v>2170.5044212207163</v>
      </c>
      <c r="R271" s="450">
        <v>2166.7229327282698</v>
      </c>
      <c r="T271" s="450">
        <v>2177.7802114634451</v>
      </c>
      <c r="V271" s="450">
        <v>2230.3336953920484</v>
      </c>
      <c r="AH271"/>
      <c r="AI271"/>
    </row>
    <row r="272" spans="1:35" s="450" customFormat="1" x14ac:dyDescent="0.25">
      <c r="A272" s="448">
        <v>3</v>
      </c>
      <c r="B272" s="448"/>
      <c r="C272" s="448">
        <f t="shared" si="21"/>
        <v>48</v>
      </c>
      <c r="D272" s="448">
        <f t="shared" si="22"/>
        <v>45</v>
      </c>
      <c r="E272" s="448">
        <f t="shared" si="23"/>
        <v>16</v>
      </c>
      <c r="F272" s="448" t="str">
        <f t="shared" si="24"/>
        <v>pm</v>
      </c>
      <c r="G272" s="448" t="s">
        <v>784</v>
      </c>
      <c r="H272" s="448" t="s">
        <v>296</v>
      </c>
      <c r="I272" s="448" t="s">
        <v>785</v>
      </c>
      <c r="J272" s="449" t="s">
        <v>20</v>
      </c>
      <c r="K272" s="450">
        <f t="shared" si="25"/>
        <v>2158.0851509034469</v>
      </c>
      <c r="L272" s="448"/>
      <c r="M272" s="450">
        <v>2200</v>
      </c>
      <c r="P272" s="450">
        <v>2158.0851509034469</v>
      </c>
      <c r="AH272"/>
      <c r="AI272"/>
    </row>
    <row r="273" spans="1:35" s="450" customFormat="1" x14ac:dyDescent="0.25">
      <c r="A273" s="448">
        <v>3</v>
      </c>
      <c r="B273" s="448"/>
      <c r="C273" s="448">
        <f t="shared" si="21"/>
        <v>49</v>
      </c>
      <c r="D273" s="448">
        <f t="shared" si="22"/>
        <v>45</v>
      </c>
      <c r="E273" s="448">
        <f t="shared" si="23"/>
        <v>16</v>
      </c>
      <c r="F273" s="448" t="str">
        <f t="shared" si="24"/>
        <v>pm</v>
      </c>
      <c r="G273" s="448" t="s">
        <v>786</v>
      </c>
      <c r="H273" s="448" t="s">
        <v>543</v>
      </c>
      <c r="I273" s="448" t="s">
        <v>787</v>
      </c>
      <c r="J273" s="449" t="s">
        <v>20</v>
      </c>
      <c r="K273" s="450">
        <f t="shared" si="25"/>
        <v>2259.2297058558725</v>
      </c>
      <c r="L273" s="448"/>
      <c r="M273" s="450">
        <v>2200</v>
      </c>
      <c r="P273" s="450">
        <v>2259.2297058558725</v>
      </c>
      <c r="AH273"/>
      <c r="AI273"/>
    </row>
    <row r="274" spans="1:35" s="450" customFormat="1" x14ac:dyDescent="0.25">
      <c r="A274" s="448">
        <v>6</v>
      </c>
      <c r="B274" s="448"/>
      <c r="C274" s="448">
        <f t="shared" si="21"/>
        <v>50</v>
      </c>
      <c r="D274" s="448">
        <f t="shared" si="22"/>
        <v>45</v>
      </c>
      <c r="E274" s="448">
        <f t="shared" si="23"/>
        <v>16</v>
      </c>
      <c r="F274" s="448" t="str">
        <f t="shared" si="24"/>
        <v>pm</v>
      </c>
      <c r="G274" s="448" t="s">
        <v>788</v>
      </c>
      <c r="H274" s="448" t="s">
        <v>374</v>
      </c>
      <c r="I274" s="448" t="s">
        <v>789</v>
      </c>
      <c r="J274" s="449" t="s">
        <v>20</v>
      </c>
      <c r="K274" s="450">
        <f t="shared" si="25"/>
        <v>2135.3713432897694</v>
      </c>
      <c r="L274" s="448"/>
      <c r="M274" s="450">
        <v>2200</v>
      </c>
      <c r="R274" s="450">
        <v>2102.1310809793767</v>
      </c>
      <c r="T274" s="450">
        <v>2119.7342603300549</v>
      </c>
      <c r="V274" s="450">
        <v>2135.3713432897694</v>
      </c>
      <c r="AH274"/>
      <c r="AI274"/>
    </row>
    <row r="275" spans="1:35" s="450" customFormat="1" x14ac:dyDescent="0.25">
      <c r="A275" s="448">
        <v>6</v>
      </c>
      <c r="B275" s="448"/>
      <c r="C275" s="448">
        <f t="shared" si="21"/>
        <v>51</v>
      </c>
      <c r="D275" s="448">
        <f t="shared" si="22"/>
        <v>45</v>
      </c>
      <c r="E275" s="448">
        <f t="shared" si="23"/>
        <v>16</v>
      </c>
      <c r="F275" s="448" t="str">
        <f t="shared" si="24"/>
        <v>pm</v>
      </c>
      <c r="G275" s="448" t="s">
        <v>790</v>
      </c>
      <c r="H275" s="448" t="s">
        <v>374</v>
      </c>
      <c r="I275" s="448" t="s">
        <v>791</v>
      </c>
      <c r="J275" s="449" t="s">
        <v>20</v>
      </c>
      <c r="K275" s="450">
        <f t="shared" si="25"/>
        <v>1947.4485002397239</v>
      </c>
      <c r="L275" s="448"/>
      <c r="M275" s="450">
        <v>2200</v>
      </c>
      <c r="R275" s="450">
        <v>2115.980955417655</v>
      </c>
      <c r="T275" s="450">
        <v>2016.2436789687517</v>
      </c>
      <c r="V275" s="450">
        <v>1947.4485002397239</v>
      </c>
      <c r="AH275"/>
      <c r="AI275"/>
    </row>
    <row r="276" spans="1:35" s="450" customFormat="1" x14ac:dyDescent="0.25">
      <c r="A276" s="448">
        <v>4</v>
      </c>
      <c r="B276" s="448"/>
      <c r="C276" s="448">
        <f t="shared" si="21"/>
        <v>52</v>
      </c>
      <c r="D276" s="448">
        <f t="shared" si="22"/>
        <v>45</v>
      </c>
      <c r="E276" s="448">
        <f t="shared" si="23"/>
        <v>16</v>
      </c>
      <c r="F276" s="448" t="str">
        <f t="shared" si="24"/>
        <v>pm</v>
      </c>
      <c r="G276" s="448" t="s">
        <v>792</v>
      </c>
      <c r="H276" s="448" t="s">
        <v>306</v>
      </c>
      <c r="I276" s="448" t="s">
        <v>793</v>
      </c>
      <c r="J276" s="449" t="s">
        <v>20</v>
      </c>
      <c r="K276" s="450">
        <f t="shared" si="25"/>
        <v>2091.1587890358014</v>
      </c>
      <c r="L276" s="448"/>
      <c r="M276" s="450">
        <v>2200</v>
      </c>
      <c r="T276" s="450">
        <v>2114.1208503761477</v>
      </c>
      <c r="V276" s="450">
        <v>2091.1587890358014</v>
      </c>
      <c r="AH276"/>
      <c r="AI276"/>
    </row>
    <row r="277" spans="1:35" s="450" customFormat="1" x14ac:dyDescent="0.25">
      <c r="A277" s="448">
        <v>6</v>
      </c>
      <c r="B277" s="448"/>
      <c r="C277" s="448">
        <f t="shared" si="21"/>
        <v>53</v>
      </c>
      <c r="D277" s="448">
        <f t="shared" si="22"/>
        <v>45</v>
      </c>
      <c r="E277" s="448">
        <f t="shared" si="23"/>
        <v>16</v>
      </c>
      <c r="F277" s="448" t="str">
        <f t="shared" si="24"/>
        <v>pm</v>
      </c>
      <c r="G277" s="448" t="s">
        <v>794</v>
      </c>
      <c r="H277" s="448" t="s">
        <v>309</v>
      </c>
      <c r="I277" s="448" t="s">
        <v>795</v>
      </c>
      <c r="J277" s="449" t="s">
        <v>20</v>
      </c>
      <c r="K277" s="450">
        <f t="shared" si="25"/>
        <v>2347.2398903049234</v>
      </c>
      <c r="L277" s="448"/>
      <c r="M277" s="450">
        <v>2200</v>
      </c>
      <c r="P277" s="450">
        <v>2272.6437666154325</v>
      </c>
      <c r="R277" s="450">
        <v>2366.6059849945268</v>
      </c>
      <c r="T277" s="450">
        <v>2337.9679777779384</v>
      </c>
      <c r="V277" s="450">
        <v>2347.2398903049234</v>
      </c>
      <c r="AH277"/>
      <c r="AI277"/>
    </row>
    <row r="278" spans="1:35" s="450" customFormat="1" x14ac:dyDescent="0.25">
      <c r="A278" s="448">
        <v>6</v>
      </c>
      <c r="B278" s="448"/>
      <c r="C278" s="448">
        <f t="shared" si="21"/>
        <v>54</v>
      </c>
      <c r="D278" s="448">
        <f t="shared" si="22"/>
        <v>45</v>
      </c>
      <c r="E278" s="448">
        <f t="shared" si="23"/>
        <v>16</v>
      </c>
      <c r="F278" s="448" t="str">
        <f t="shared" si="24"/>
        <v>pm</v>
      </c>
      <c r="G278" s="448" t="s">
        <v>796</v>
      </c>
      <c r="H278" s="448" t="s">
        <v>338</v>
      </c>
      <c r="I278" s="448" t="s">
        <v>797</v>
      </c>
      <c r="J278" s="449" t="s">
        <v>20</v>
      </c>
      <c r="K278" s="450">
        <f t="shared" si="25"/>
        <v>2115.0988210079436</v>
      </c>
      <c r="L278" s="448"/>
      <c r="M278" s="450">
        <v>2200</v>
      </c>
      <c r="R278" s="450">
        <v>2201.5596850765965</v>
      </c>
      <c r="T278" s="450">
        <v>2157.9394663859975</v>
      </c>
      <c r="V278" s="450">
        <v>2115.0988210079436</v>
      </c>
      <c r="AH278"/>
      <c r="AI278"/>
    </row>
    <row r="279" spans="1:35" s="450" customFormat="1" x14ac:dyDescent="0.25">
      <c r="A279" s="448">
        <v>5</v>
      </c>
      <c r="B279" s="448"/>
      <c r="C279" s="448">
        <f t="shared" si="21"/>
        <v>55</v>
      </c>
      <c r="D279" s="448">
        <f t="shared" si="22"/>
        <v>45</v>
      </c>
      <c r="E279" s="448">
        <f t="shared" si="23"/>
        <v>16</v>
      </c>
      <c r="F279" s="448" t="str">
        <f t="shared" si="24"/>
        <v>pm</v>
      </c>
      <c r="G279" s="448" t="s">
        <v>798</v>
      </c>
      <c r="H279" s="448" t="s">
        <v>391</v>
      </c>
      <c r="I279" s="448" t="s">
        <v>799</v>
      </c>
      <c r="J279" s="449" t="s">
        <v>20</v>
      </c>
      <c r="K279" s="450">
        <f t="shared" si="25"/>
        <v>2289.250554726545</v>
      </c>
      <c r="L279" s="448"/>
      <c r="M279" s="450">
        <v>2200</v>
      </c>
      <c r="O279" s="451"/>
      <c r="P279" s="451"/>
      <c r="Q279" s="451"/>
      <c r="R279" s="451">
        <v>2266.9866046582174</v>
      </c>
      <c r="S279" s="451"/>
      <c r="T279" s="451">
        <v>2252.7610483811018</v>
      </c>
      <c r="U279" s="451"/>
      <c r="V279" s="451">
        <v>2289.250554726545</v>
      </c>
      <c r="W279" s="451"/>
      <c r="X279" s="451"/>
      <c r="Y279" s="451"/>
      <c r="Z279" s="451"/>
      <c r="AA279" s="451"/>
      <c r="AB279" s="451"/>
      <c r="AC279" s="451"/>
      <c r="AH279"/>
      <c r="AI279"/>
    </row>
    <row r="280" spans="1:35" s="450" customFormat="1" x14ac:dyDescent="0.25">
      <c r="A280" s="448">
        <v>4</v>
      </c>
      <c r="B280" s="448"/>
      <c r="C280" s="448">
        <f t="shared" si="21"/>
        <v>56</v>
      </c>
      <c r="D280" s="448">
        <f t="shared" si="22"/>
        <v>45</v>
      </c>
      <c r="E280" s="448">
        <f t="shared" si="23"/>
        <v>16</v>
      </c>
      <c r="F280" s="448" t="str">
        <f t="shared" si="24"/>
        <v>pm</v>
      </c>
      <c r="G280" s="448" t="s">
        <v>800</v>
      </c>
      <c r="H280" s="448" t="s">
        <v>341</v>
      </c>
      <c r="I280" s="448" t="s">
        <v>801</v>
      </c>
      <c r="J280" s="449" t="s">
        <v>20</v>
      </c>
      <c r="K280" s="450">
        <f t="shared" si="25"/>
        <v>2183.1190308860696</v>
      </c>
      <c r="L280" s="448"/>
      <c r="M280" s="450">
        <v>2200</v>
      </c>
      <c r="O280" s="451"/>
      <c r="P280" s="451"/>
      <c r="Q280" s="451"/>
      <c r="R280" s="451">
        <v>2159.5399863106313</v>
      </c>
      <c r="S280" s="451"/>
      <c r="T280" s="451">
        <v>2189.9296425980651</v>
      </c>
      <c r="U280" s="451"/>
      <c r="V280" s="451">
        <v>2183.1190308860696</v>
      </c>
      <c r="W280" s="451"/>
      <c r="X280" s="451"/>
      <c r="Y280" s="451"/>
      <c r="Z280" s="451"/>
      <c r="AA280" s="451"/>
      <c r="AB280" s="451"/>
      <c r="AC280" s="451"/>
      <c r="AH280"/>
      <c r="AI280"/>
    </row>
    <row r="281" spans="1:35" s="450" customFormat="1" x14ac:dyDescent="0.25">
      <c r="A281" s="448">
        <v>2</v>
      </c>
      <c r="B281" s="448"/>
      <c r="C281" s="448">
        <f t="shared" si="21"/>
        <v>1</v>
      </c>
      <c r="D281" s="448">
        <f t="shared" si="22"/>
        <v>1</v>
      </c>
      <c r="E281" s="448">
        <f t="shared" si="23"/>
        <v>17</v>
      </c>
      <c r="F281" s="448" t="str">
        <f t="shared" si="24"/>
        <v>pm</v>
      </c>
      <c r="G281" s="448" t="s">
        <v>802</v>
      </c>
      <c r="H281" s="448" t="s">
        <v>803</v>
      </c>
      <c r="I281" s="448" t="s">
        <v>804</v>
      </c>
      <c r="J281" s="449" t="s">
        <v>21</v>
      </c>
      <c r="K281" s="450">
        <f t="shared" si="25"/>
        <v>2779.2387967590221</v>
      </c>
      <c r="L281" s="448"/>
      <c r="M281" s="450">
        <v>2800</v>
      </c>
      <c r="S281" s="450">
        <v>2779.2387967590221</v>
      </c>
      <c r="AH281"/>
      <c r="AI281"/>
    </row>
    <row r="282" spans="1:35" s="450" customFormat="1" x14ac:dyDescent="0.25">
      <c r="A282" s="448">
        <v>2</v>
      </c>
      <c r="B282" s="448"/>
      <c r="C282" s="448">
        <f t="shared" si="21"/>
        <v>2</v>
      </c>
      <c r="D282" s="448">
        <f t="shared" si="22"/>
        <v>1</v>
      </c>
      <c r="E282" s="448">
        <f t="shared" si="23"/>
        <v>17</v>
      </c>
      <c r="F282" s="448" t="str">
        <f t="shared" si="24"/>
        <v>pm</v>
      </c>
      <c r="G282" s="448" t="s">
        <v>805</v>
      </c>
      <c r="H282" s="448" t="s">
        <v>303</v>
      </c>
      <c r="I282" s="448" t="s">
        <v>806</v>
      </c>
      <c r="J282" s="449" t="s">
        <v>21</v>
      </c>
      <c r="K282" s="450">
        <f t="shared" si="25"/>
        <v>2718.8434819238246</v>
      </c>
      <c r="L282" s="448"/>
      <c r="M282" s="450">
        <v>2800</v>
      </c>
      <c r="U282" s="450">
        <v>2718.8434819238246</v>
      </c>
      <c r="AH282"/>
      <c r="AI282"/>
    </row>
    <row r="283" spans="1:35" s="450" customFormat="1" x14ac:dyDescent="0.25">
      <c r="A283" s="448">
        <v>3</v>
      </c>
      <c r="B283" s="448"/>
      <c r="C283" s="448">
        <f t="shared" si="21"/>
        <v>3</v>
      </c>
      <c r="D283" s="448">
        <f t="shared" si="22"/>
        <v>1</v>
      </c>
      <c r="E283" s="448">
        <f t="shared" si="23"/>
        <v>17</v>
      </c>
      <c r="F283" s="448" t="str">
        <f t="shared" si="24"/>
        <v>pm</v>
      </c>
      <c r="G283" s="448" t="s">
        <v>807</v>
      </c>
      <c r="H283" s="448" t="s">
        <v>437</v>
      </c>
      <c r="I283" s="448" t="s">
        <v>808</v>
      </c>
      <c r="J283" s="449" t="s">
        <v>21</v>
      </c>
      <c r="K283" s="450">
        <f t="shared" si="25"/>
        <v>3102.4893975941986</v>
      </c>
      <c r="L283" s="448"/>
      <c r="M283" s="450">
        <v>2800</v>
      </c>
      <c r="O283" s="450">
        <v>2973.4736131947657</v>
      </c>
      <c r="S283" s="450">
        <v>3102.4893975941986</v>
      </c>
      <c r="AH283"/>
      <c r="AI283"/>
    </row>
    <row r="284" spans="1:35" s="450" customFormat="1" x14ac:dyDescent="0.25">
      <c r="A284" s="448"/>
      <c r="B284" s="448"/>
      <c r="C284" s="448">
        <f t="shared" si="21"/>
        <v>4</v>
      </c>
      <c r="D284" s="448">
        <f t="shared" si="22"/>
        <v>1</v>
      </c>
      <c r="E284" s="448">
        <f t="shared" si="23"/>
        <v>17</v>
      </c>
      <c r="F284" s="448" t="str">
        <f t="shared" si="24"/>
        <v>crx</v>
      </c>
      <c r="G284" s="448" t="s">
        <v>809</v>
      </c>
      <c r="H284" s="448"/>
      <c r="I284" s="448" t="s">
        <v>810</v>
      </c>
      <c r="J284" s="449" t="s">
        <v>21</v>
      </c>
      <c r="K284" s="450">
        <f t="shared" si="25"/>
        <v>2766.2528151956494</v>
      </c>
      <c r="L284" s="448"/>
      <c r="M284" s="450">
        <v>2800</v>
      </c>
      <c r="O284" s="451">
        <v>2766.2528151956494</v>
      </c>
      <c r="P284" s="451"/>
      <c r="Q284" s="451"/>
      <c r="R284" s="451"/>
      <c r="S284" s="451"/>
      <c r="T284" s="451"/>
      <c r="U284" s="451"/>
      <c r="V284" s="451"/>
      <c r="W284" s="451"/>
      <c r="X284" s="451"/>
      <c r="Y284" s="451"/>
      <c r="Z284" s="451"/>
      <c r="AA284" s="451"/>
      <c r="AB284" s="451"/>
      <c r="AC284" s="451"/>
      <c r="AH284"/>
      <c r="AI284"/>
    </row>
    <row r="285" spans="1:35" s="450" customFormat="1" x14ac:dyDescent="0.25">
      <c r="A285" s="448"/>
      <c r="B285" s="448"/>
      <c r="C285" s="448">
        <f t="shared" si="21"/>
        <v>5</v>
      </c>
      <c r="D285" s="448">
        <f t="shared" si="22"/>
        <v>1</v>
      </c>
      <c r="E285" s="448">
        <f t="shared" si="23"/>
        <v>17</v>
      </c>
      <c r="F285" s="448" t="str">
        <f t="shared" si="24"/>
        <v>crx</v>
      </c>
      <c r="G285" s="448" t="s">
        <v>811</v>
      </c>
      <c r="H285" s="448"/>
      <c r="I285" s="448" t="s">
        <v>812</v>
      </c>
      <c r="J285" s="449" t="s">
        <v>21</v>
      </c>
      <c r="K285" s="450">
        <f t="shared" si="25"/>
        <v>2650.8932257061338</v>
      </c>
      <c r="L285" s="448"/>
      <c r="M285" s="450">
        <v>2800</v>
      </c>
      <c r="O285" s="451">
        <v>2723.786117369797</v>
      </c>
      <c r="P285" s="451"/>
      <c r="Q285" s="451"/>
      <c r="R285" s="451"/>
      <c r="S285" s="451"/>
      <c r="T285" s="451"/>
      <c r="U285" s="451"/>
      <c r="V285" s="451">
        <v>2650.8932257061338</v>
      </c>
      <c r="W285" s="451"/>
      <c r="X285" s="451"/>
      <c r="Y285" s="451"/>
      <c r="Z285" s="451"/>
      <c r="AA285" s="451"/>
      <c r="AB285" s="451"/>
      <c r="AC285" s="451"/>
      <c r="AH285"/>
      <c r="AI285"/>
    </row>
    <row r="286" spans="1:35" s="450" customFormat="1" x14ac:dyDescent="0.25">
      <c r="A286" s="448">
        <v>5</v>
      </c>
      <c r="B286" s="448"/>
      <c r="C286" s="448">
        <f t="shared" si="21"/>
        <v>6</v>
      </c>
      <c r="D286" s="448">
        <f t="shared" si="22"/>
        <v>1</v>
      </c>
      <c r="E286" s="448">
        <f t="shared" si="23"/>
        <v>17</v>
      </c>
      <c r="F286" s="448" t="str">
        <f t="shared" si="24"/>
        <v>pm</v>
      </c>
      <c r="G286" s="448" t="s">
        <v>813</v>
      </c>
      <c r="H286" s="448" t="s">
        <v>350</v>
      </c>
      <c r="I286" s="448" t="s">
        <v>814</v>
      </c>
      <c r="J286" s="449" t="s">
        <v>21</v>
      </c>
      <c r="K286" s="450">
        <f t="shared" si="25"/>
        <v>2653.5096789028289</v>
      </c>
      <c r="L286" s="448"/>
      <c r="M286" s="450">
        <v>2800</v>
      </c>
      <c r="O286" s="450">
        <v>2754.6049256265082</v>
      </c>
      <c r="U286" s="450">
        <v>2697.9075045714135</v>
      </c>
      <c r="W286" s="450">
        <v>2653.5096789028289</v>
      </c>
      <c r="AH286"/>
      <c r="AI286"/>
    </row>
    <row r="287" spans="1:35" s="450" customFormat="1" x14ac:dyDescent="0.25">
      <c r="A287" s="448">
        <v>5</v>
      </c>
      <c r="B287" s="448"/>
      <c r="C287" s="448">
        <f t="shared" si="21"/>
        <v>7</v>
      </c>
      <c r="D287" s="448">
        <f t="shared" si="22"/>
        <v>1</v>
      </c>
      <c r="E287" s="448">
        <f t="shared" si="23"/>
        <v>17</v>
      </c>
      <c r="F287" s="448" t="str">
        <f t="shared" si="24"/>
        <v>pm</v>
      </c>
      <c r="G287" s="448" t="s">
        <v>815</v>
      </c>
      <c r="H287" s="448" t="s">
        <v>353</v>
      </c>
      <c r="I287" s="448" t="s">
        <v>816</v>
      </c>
      <c r="J287" s="449" t="s">
        <v>21</v>
      </c>
      <c r="K287" s="450">
        <f t="shared" si="25"/>
        <v>2786.3593972617896</v>
      </c>
      <c r="L287" s="448"/>
      <c r="M287" s="450">
        <v>2800</v>
      </c>
      <c r="O287" s="450">
        <v>2861.234669416272</v>
      </c>
      <c r="S287" s="450">
        <v>2829.2198638381028</v>
      </c>
      <c r="U287" s="450">
        <v>2802.8310835691345</v>
      </c>
      <c r="W287" s="450">
        <v>2786.3593972617896</v>
      </c>
      <c r="AH287"/>
      <c r="AI287"/>
    </row>
    <row r="288" spans="1:35" s="450" customFormat="1" x14ac:dyDescent="0.25">
      <c r="A288" s="448">
        <v>6</v>
      </c>
      <c r="B288" s="448"/>
      <c r="C288" s="448">
        <f t="shared" si="21"/>
        <v>8</v>
      </c>
      <c r="D288" s="448">
        <f t="shared" si="22"/>
        <v>1</v>
      </c>
      <c r="E288" s="448">
        <f t="shared" si="23"/>
        <v>17</v>
      </c>
      <c r="F288" s="448" t="str">
        <f t="shared" si="24"/>
        <v>pm</v>
      </c>
      <c r="G288" s="448" t="s">
        <v>817</v>
      </c>
      <c r="H288" s="448" t="s">
        <v>358</v>
      </c>
      <c r="I288" s="448" t="s">
        <v>818</v>
      </c>
      <c r="J288" s="449" t="s">
        <v>21</v>
      </c>
      <c r="K288" s="450">
        <f t="shared" si="25"/>
        <v>2543.2164109759397</v>
      </c>
      <c r="L288" s="448"/>
      <c r="M288" s="450">
        <v>2800</v>
      </c>
      <c r="Q288" s="450">
        <v>2706.2787039991958</v>
      </c>
      <c r="S288" s="450">
        <v>2622.3374001433344</v>
      </c>
      <c r="U288" s="450">
        <v>2578.3608914325077</v>
      </c>
      <c r="W288" s="450">
        <v>2543.2164109759397</v>
      </c>
      <c r="AH288"/>
      <c r="AI288"/>
    </row>
    <row r="289" spans="1:35" s="450" customFormat="1" x14ac:dyDescent="0.25">
      <c r="A289" s="448"/>
      <c r="B289" s="448"/>
      <c r="C289" s="448">
        <f t="shared" si="21"/>
        <v>9</v>
      </c>
      <c r="D289" s="448">
        <f t="shared" si="22"/>
        <v>1</v>
      </c>
      <c r="E289" s="448">
        <f t="shared" si="23"/>
        <v>17</v>
      </c>
      <c r="F289" s="448" t="str">
        <f t="shared" si="24"/>
        <v>crx</v>
      </c>
      <c r="G289" s="448" t="s">
        <v>819</v>
      </c>
      <c r="H289" s="448"/>
      <c r="I289" s="448" t="s">
        <v>820</v>
      </c>
      <c r="J289" s="449" t="s">
        <v>21</v>
      </c>
      <c r="K289" s="450">
        <f t="shared" si="25"/>
        <v>2765.9984255776917</v>
      </c>
      <c r="L289" s="448"/>
      <c r="M289" s="450">
        <v>2800</v>
      </c>
      <c r="O289" s="451">
        <v>2765.9984255776917</v>
      </c>
      <c r="P289" s="451"/>
      <c r="Q289" s="451"/>
      <c r="R289" s="451"/>
      <c r="S289" s="451"/>
      <c r="T289" s="451"/>
      <c r="U289" s="451"/>
      <c r="V289" s="451"/>
      <c r="W289" s="451"/>
      <c r="X289" s="451"/>
      <c r="Y289" s="451"/>
      <c r="Z289" s="451"/>
      <c r="AA289" s="451"/>
      <c r="AB289" s="451"/>
      <c r="AC289" s="451"/>
      <c r="AH289"/>
      <c r="AI289"/>
    </row>
    <row r="290" spans="1:35" s="450" customFormat="1" x14ac:dyDescent="0.25">
      <c r="A290" s="448">
        <v>1</v>
      </c>
      <c r="B290" s="448"/>
      <c r="C290" s="448">
        <f t="shared" si="21"/>
        <v>10</v>
      </c>
      <c r="D290" s="448">
        <f t="shared" si="22"/>
        <v>1</v>
      </c>
      <c r="E290" s="448">
        <f t="shared" si="23"/>
        <v>17</v>
      </c>
      <c r="F290" s="448" t="str">
        <f t="shared" si="24"/>
        <v>pmx</v>
      </c>
      <c r="G290" s="448" t="s">
        <v>821</v>
      </c>
      <c r="H290" s="448" t="s">
        <v>371</v>
      </c>
      <c r="I290" s="448" t="s">
        <v>822</v>
      </c>
      <c r="J290" s="449" t="s">
        <v>21</v>
      </c>
      <c r="K290" s="450">
        <f t="shared" si="25"/>
        <v>2922.810582198274</v>
      </c>
      <c r="L290" s="448"/>
      <c r="M290" s="450">
        <v>2800</v>
      </c>
      <c r="U290" s="450">
        <v>2922.810582198274</v>
      </c>
      <c r="AH290"/>
      <c r="AI290"/>
    </row>
    <row r="291" spans="1:35" s="450" customFormat="1" x14ac:dyDescent="0.25">
      <c r="A291" s="448">
        <v>4</v>
      </c>
      <c r="B291" s="448"/>
      <c r="C291" s="448">
        <f t="shared" si="21"/>
        <v>11</v>
      </c>
      <c r="D291" s="448">
        <f t="shared" si="22"/>
        <v>1</v>
      </c>
      <c r="E291" s="448">
        <f t="shared" si="23"/>
        <v>17</v>
      </c>
      <c r="F291" s="448" t="str">
        <f t="shared" si="24"/>
        <v>pm</v>
      </c>
      <c r="G291" s="448" t="s">
        <v>823</v>
      </c>
      <c r="H291" s="448" t="s">
        <v>754</v>
      </c>
      <c r="I291" s="448" t="s">
        <v>824</v>
      </c>
      <c r="J291" s="449" t="s">
        <v>21</v>
      </c>
      <c r="K291" s="450">
        <f t="shared" si="25"/>
        <v>2922.0931394091949</v>
      </c>
      <c r="L291" s="448"/>
      <c r="M291" s="450">
        <v>2800</v>
      </c>
      <c r="O291" s="450">
        <v>2863.4119766884087</v>
      </c>
      <c r="U291" s="450">
        <v>2922.0931394091949</v>
      </c>
      <c r="AH291"/>
      <c r="AI291"/>
    </row>
    <row r="292" spans="1:35" s="450" customFormat="1" x14ac:dyDescent="0.25">
      <c r="A292" s="448">
        <v>5</v>
      </c>
      <c r="B292" s="448"/>
      <c r="C292" s="448">
        <f t="shared" si="21"/>
        <v>12</v>
      </c>
      <c r="D292" s="448">
        <f t="shared" si="22"/>
        <v>1</v>
      </c>
      <c r="E292" s="448">
        <f t="shared" si="23"/>
        <v>17</v>
      </c>
      <c r="F292" s="448" t="str">
        <f t="shared" si="24"/>
        <v>pm</v>
      </c>
      <c r="G292" s="448" t="s">
        <v>825</v>
      </c>
      <c r="H292" s="448" t="s">
        <v>754</v>
      </c>
      <c r="I292" s="448" t="s">
        <v>826</v>
      </c>
      <c r="J292" s="449" t="s">
        <v>21</v>
      </c>
      <c r="K292" s="450">
        <f t="shared" si="25"/>
        <v>2845.3373726293012</v>
      </c>
      <c r="L292" s="448"/>
      <c r="M292" s="450">
        <v>2800</v>
      </c>
      <c r="O292" s="450">
        <v>2821.4378785123886</v>
      </c>
      <c r="U292" s="450">
        <v>2836.8425057223294</v>
      </c>
      <c r="W292" s="450">
        <v>2845.3373726293012</v>
      </c>
      <c r="AH292"/>
      <c r="AI292"/>
    </row>
    <row r="293" spans="1:35" s="450" customFormat="1" x14ac:dyDescent="0.25">
      <c r="A293" s="448">
        <v>6</v>
      </c>
      <c r="B293" s="448"/>
      <c r="C293" s="448">
        <f t="shared" si="21"/>
        <v>13</v>
      </c>
      <c r="D293" s="448">
        <f t="shared" si="22"/>
        <v>1</v>
      </c>
      <c r="E293" s="448">
        <f t="shared" si="23"/>
        <v>17</v>
      </c>
      <c r="F293" s="448" t="str">
        <f t="shared" si="24"/>
        <v>pm</v>
      </c>
      <c r="G293" s="448" t="s">
        <v>827</v>
      </c>
      <c r="H293" s="448" t="s">
        <v>374</v>
      </c>
      <c r="I293" s="448" t="s">
        <v>828</v>
      </c>
      <c r="J293" s="449" t="s">
        <v>21</v>
      </c>
      <c r="K293" s="450">
        <f t="shared" si="25"/>
        <v>2502.8957750614904</v>
      </c>
      <c r="L293" s="448"/>
      <c r="M293" s="450">
        <v>2800</v>
      </c>
      <c r="Q293" s="450">
        <v>2662.8923313239829</v>
      </c>
      <c r="S293" s="450">
        <v>2583.0048160921388</v>
      </c>
      <c r="U293" s="450">
        <v>2544.0407981926219</v>
      </c>
      <c r="W293" s="450">
        <v>2502.8957750614904</v>
      </c>
      <c r="AH293"/>
      <c r="AI293"/>
    </row>
    <row r="294" spans="1:35" s="450" customFormat="1" x14ac:dyDescent="0.25">
      <c r="A294" s="448">
        <v>7</v>
      </c>
      <c r="B294" s="448"/>
      <c r="C294" s="448">
        <f t="shared" si="21"/>
        <v>14</v>
      </c>
      <c r="D294" s="448">
        <f t="shared" si="22"/>
        <v>1</v>
      </c>
      <c r="E294" s="448">
        <f t="shared" si="23"/>
        <v>17</v>
      </c>
      <c r="F294" s="448" t="str">
        <f t="shared" si="24"/>
        <v>pm</v>
      </c>
      <c r="G294" s="448" t="s">
        <v>829</v>
      </c>
      <c r="H294" s="448" t="s">
        <v>309</v>
      </c>
      <c r="I294" s="448" t="s">
        <v>830</v>
      </c>
      <c r="J294" s="449" t="s">
        <v>21</v>
      </c>
      <c r="K294" s="450">
        <f t="shared" si="25"/>
        <v>2659.2321259128621</v>
      </c>
      <c r="L294" s="448"/>
      <c r="M294" s="450">
        <v>2800</v>
      </c>
      <c r="O294" s="450">
        <v>2784.6569942953811</v>
      </c>
      <c r="Q294" s="450">
        <v>2775.1107645117636</v>
      </c>
      <c r="S294" s="450">
        <v>2693.8652056318556</v>
      </c>
      <c r="U294" s="450">
        <v>2719.4303773869187</v>
      </c>
      <c r="W294" s="450">
        <v>2659.2321259128621</v>
      </c>
      <c r="AH294"/>
      <c r="AI294"/>
    </row>
    <row r="295" spans="1:35" s="450" customFormat="1" x14ac:dyDescent="0.25">
      <c r="A295" s="448">
        <v>2</v>
      </c>
      <c r="B295" s="448"/>
      <c r="C295" s="448">
        <f t="shared" si="21"/>
        <v>15</v>
      </c>
      <c r="D295" s="448">
        <f t="shared" si="22"/>
        <v>1</v>
      </c>
      <c r="E295" s="448">
        <f t="shared" si="23"/>
        <v>17</v>
      </c>
      <c r="F295" s="448" t="str">
        <f t="shared" si="24"/>
        <v>pm</v>
      </c>
      <c r="G295" s="448" t="s">
        <v>831</v>
      </c>
      <c r="H295" s="448" t="s">
        <v>330</v>
      </c>
      <c r="I295" s="448" t="s">
        <v>832</v>
      </c>
      <c r="J295" s="449" t="s">
        <v>21</v>
      </c>
      <c r="K295" s="450">
        <f t="shared" si="25"/>
        <v>2866.5369510159803</v>
      </c>
      <c r="L295" s="448"/>
      <c r="M295" s="450">
        <v>2800</v>
      </c>
      <c r="S295" s="450">
        <v>2866.5369510159803</v>
      </c>
      <c r="AH295"/>
      <c r="AI295"/>
    </row>
    <row r="296" spans="1:35" s="450" customFormat="1" x14ac:dyDescent="0.25">
      <c r="A296" s="448">
        <v>2</v>
      </c>
      <c r="B296" s="448"/>
      <c r="C296" s="448">
        <f t="shared" si="21"/>
        <v>16</v>
      </c>
      <c r="D296" s="448">
        <f t="shared" si="22"/>
        <v>1</v>
      </c>
      <c r="E296" s="448">
        <f t="shared" si="23"/>
        <v>17</v>
      </c>
      <c r="F296" s="448" t="str">
        <f t="shared" si="24"/>
        <v>pm</v>
      </c>
      <c r="G296" s="448" t="s">
        <v>833</v>
      </c>
      <c r="H296" s="448" t="s">
        <v>330</v>
      </c>
      <c r="I296" s="448" t="s">
        <v>834</v>
      </c>
      <c r="J296" s="449" t="s">
        <v>21</v>
      </c>
      <c r="K296" s="450">
        <f t="shared" si="25"/>
        <v>2815.3029305288383</v>
      </c>
      <c r="L296" s="448"/>
      <c r="M296" s="450">
        <v>2800</v>
      </c>
      <c r="S296" s="450">
        <v>2815.3029305288383</v>
      </c>
      <c r="AH296"/>
      <c r="AI296"/>
    </row>
    <row r="297" spans="1:35" s="450" customFormat="1" x14ac:dyDescent="0.25">
      <c r="A297" s="448">
        <v>5</v>
      </c>
      <c r="B297" s="448"/>
      <c r="C297" s="448">
        <f t="shared" si="21"/>
        <v>17</v>
      </c>
      <c r="D297" s="448">
        <f t="shared" si="22"/>
        <v>1</v>
      </c>
      <c r="E297" s="448">
        <f t="shared" si="23"/>
        <v>17</v>
      </c>
      <c r="F297" s="448" t="str">
        <f t="shared" si="24"/>
        <v>pm</v>
      </c>
      <c r="G297" s="448" t="s">
        <v>835</v>
      </c>
      <c r="H297" s="448" t="s">
        <v>327</v>
      </c>
      <c r="I297" s="448" t="s">
        <v>836</v>
      </c>
      <c r="J297" s="449" t="s">
        <v>21</v>
      </c>
      <c r="K297" s="450">
        <f t="shared" si="25"/>
        <v>2713.2827458163829</v>
      </c>
      <c r="L297" s="448"/>
      <c r="M297" s="450">
        <v>2800</v>
      </c>
      <c r="O297" s="450">
        <v>2696.2480007280747</v>
      </c>
      <c r="S297" s="450">
        <v>2737.7307164150166</v>
      </c>
      <c r="W297" s="450">
        <v>2713.2827458163829</v>
      </c>
      <c r="AH297"/>
      <c r="AI297"/>
    </row>
    <row r="298" spans="1:35" s="450" customFormat="1" x14ac:dyDescent="0.25">
      <c r="A298" s="448">
        <v>4</v>
      </c>
      <c r="B298" s="448"/>
      <c r="C298" s="448">
        <f t="shared" si="21"/>
        <v>18</v>
      </c>
      <c r="D298" s="448">
        <f t="shared" si="22"/>
        <v>1</v>
      </c>
      <c r="E298" s="448">
        <f t="shared" si="23"/>
        <v>17</v>
      </c>
      <c r="F298" s="448" t="str">
        <f t="shared" si="24"/>
        <v>pm</v>
      </c>
      <c r="G298" s="448" t="s">
        <v>837</v>
      </c>
      <c r="H298" s="448" t="s">
        <v>319</v>
      </c>
      <c r="I298" s="448" t="s">
        <v>838</v>
      </c>
      <c r="J298" s="449" t="s">
        <v>21</v>
      </c>
      <c r="K298" s="450">
        <f t="shared" si="25"/>
        <v>2965.2574364143725</v>
      </c>
      <c r="L298" s="448"/>
      <c r="M298" s="450">
        <v>2800</v>
      </c>
      <c r="O298" s="450">
        <v>2844.5024511436382</v>
      </c>
      <c r="S298" s="450">
        <v>2944.1884179431017</v>
      </c>
      <c r="U298" s="450">
        <v>2965.2574364143725</v>
      </c>
      <c r="AH298"/>
      <c r="AI298"/>
    </row>
    <row r="299" spans="1:35" s="450" customFormat="1" x14ac:dyDescent="0.25">
      <c r="A299" s="448">
        <v>5</v>
      </c>
      <c r="B299" s="448"/>
      <c r="C299" s="448">
        <f t="shared" si="21"/>
        <v>19</v>
      </c>
      <c r="D299" s="448">
        <f t="shared" si="22"/>
        <v>1</v>
      </c>
      <c r="E299" s="448">
        <f t="shared" si="23"/>
        <v>17</v>
      </c>
      <c r="F299" s="448" t="str">
        <f t="shared" si="24"/>
        <v>pm</v>
      </c>
      <c r="G299" s="448" t="s">
        <v>839</v>
      </c>
      <c r="H299" s="448" t="s">
        <v>338</v>
      </c>
      <c r="I299" s="448" t="s">
        <v>840</v>
      </c>
      <c r="J299" s="449" t="s">
        <v>21</v>
      </c>
      <c r="K299" s="450">
        <f t="shared" si="25"/>
        <v>3091.706773131953</v>
      </c>
      <c r="L299" s="448"/>
      <c r="M299" s="450">
        <v>2800</v>
      </c>
      <c r="S299" s="450">
        <v>2897.9672276536103</v>
      </c>
      <c r="U299" s="450">
        <v>3023.8142201815831</v>
      </c>
      <c r="W299" s="450">
        <v>3091.706773131953</v>
      </c>
      <c r="AH299"/>
      <c r="AI299"/>
    </row>
    <row r="300" spans="1:35" s="450" customFormat="1" x14ac:dyDescent="0.25">
      <c r="A300" s="448">
        <v>5</v>
      </c>
      <c r="B300" s="448"/>
      <c r="C300" s="448">
        <f t="shared" si="21"/>
        <v>20</v>
      </c>
      <c r="D300" s="448">
        <f t="shared" si="22"/>
        <v>1</v>
      </c>
      <c r="E300" s="448">
        <f t="shared" si="23"/>
        <v>17</v>
      </c>
      <c r="F300" s="448" t="str">
        <f t="shared" si="24"/>
        <v>pm</v>
      </c>
      <c r="G300" s="448" t="s">
        <v>841</v>
      </c>
      <c r="H300" s="448" t="s">
        <v>338</v>
      </c>
      <c r="I300" s="448" t="s">
        <v>842</v>
      </c>
      <c r="J300" s="449" t="s">
        <v>21</v>
      </c>
      <c r="K300" s="450">
        <f t="shared" si="25"/>
        <v>2853.5524306520124</v>
      </c>
      <c r="L300" s="448"/>
      <c r="M300" s="450">
        <v>2800</v>
      </c>
      <c r="S300" s="450">
        <v>2808.2840462244581</v>
      </c>
      <c r="U300" s="450">
        <v>2819.6604021954827</v>
      </c>
      <c r="W300" s="450">
        <v>2853.5524306520124</v>
      </c>
      <c r="AH300"/>
      <c r="AI300"/>
    </row>
    <row r="301" spans="1:35" s="450" customFormat="1" x14ac:dyDescent="0.25">
      <c r="A301" s="448">
        <v>6</v>
      </c>
      <c r="B301" s="448"/>
      <c r="C301" s="448">
        <f t="shared" si="21"/>
        <v>21</v>
      </c>
      <c r="D301" s="448">
        <f t="shared" si="22"/>
        <v>1</v>
      </c>
      <c r="E301" s="448">
        <f t="shared" si="23"/>
        <v>17</v>
      </c>
      <c r="F301" s="448" t="str">
        <f t="shared" si="24"/>
        <v>pm</v>
      </c>
      <c r="G301" s="448" t="s">
        <v>843</v>
      </c>
      <c r="H301" s="448" t="s">
        <v>504</v>
      </c>
      <c r="I301" s="448" t="s">
        <v>844</v>
      </c>
      <c r="J301" s="449" t="s">
        <v>21</v>
      </c>
      <c r="K301" s="450">
        <f t="shared" si="25"/>
        <v>2840.9033196255391</v>
      </c>
      <c r="L301" s="448"/>
      <c r="M301" s="450">
        <v>2800</v>
      </c>
      <c r="O301" s="450">
        <v>2802.3886420389995</v>
      </c>
      <c r="S301" s="450">
        <v>2776.5669321360288</v>
      </c>
      <c r="U301" s="450">
        <v>2797.3454256156274</v>
      </c>
      <c r="W301" s="450">
        <v>2840.9033196255391</v>
      </c>
      <c r="AH301"/>
      <c r="AI301"/>
    </row>
    <row r="302" spans="1:35" s="450" customFormat="1" x14ac:dyDescent="0.25">
      <c r="A302" s="448">
        <v>3</v>
      </c>
      <c r="B302" s="448"/>
      <c r="C302" s="448">
        <f t="shared" si="21"/>
        <v>22</v>
      </c>
      <c r="D302" s="448">
        <f t="shared" si="22"/>
        <v>1</v>
      </c>
      <c r="E302" s="448">
        <f t="shared" si="23"/>
        <v>17</v>
      </c>
      <c r="F302" s="448" t="str">
        <f t="shared" si="24"/>
        <v>pm</v>
      </c>
      <c r="G302" s="448" t="s">
        <v>845</v>
      </c>
      <c r="H302" s="448" t="s">
        <v>668</v>
      </c>
      <c r="I302" s="448" t="s">
        <v>846</v>
      </c>
      <c r="J302" s="449" t="s">
        <v>21</v>
      </c>
      <c r="K302" s="450">
        <f t="shared" si="25"/>
        <v>2833.2954688575801</v>
      </c>
      <c r="L302" s="448"/>
      <c r="M302" s="450">
        <v>2800</v>
      </c>
      <c r="O302" s="450">
        <v>2845.1085264971489</v>
      </c>
      <c r="U302" s="450">
        <v>2833.2954688575801</v>
      </c>
      <c r="AH302"/>
      <c r="AI302"/>
    </row>
    <row r="303" spans="1:35" s="450" customFormat="1" x14ac:dyDescent="0.25">
      <c r="A303" s="448">
        <v>2</v>
      </c>
      <c r="B303" s="448"/>
      <c r="C303" s="448">
        <f t="shared" si="21"/>
        <v>23</v>
      </c>
      <c r="D303" s="448">
        <f t="shared" si="22"/>
        <v>1</v>
      </c>
      <c r="E303" s="448">
        <f t="shared" si="23"/>
        <v>17</v>
      </c>
      <c r="F303" s="448" t="str">
        <f t="shared" si="24"/>
        <v>pm</v>
      </c>
      <c r="G303" s="448" t="s">
        <v>847</v>
      </c>
      <c r="H303" s="448" t="s">
        <v>316</v>
      </c>
      <c r="I303" s="448" t="s">
        <v>848</v>
      </c>
      <c r="J303" s="449" t="s">
        <v>21</v>
      </c>
      <c r="K303" s="450">
        <f t="shared" si="25"/>
        <v>2885.9737041923854</v>
      </c>
      <c r="L303" s="448"/>
      <c r="M303" s="450">
        <v>2800</v>
      </c>
      <c r="O303" s="450">
        <v>2885.9737041923854</v>
      </c>
      <c r="AH303"/>
      <c r="AI303"/>
    </row>
    <row r="304" spans="1:35" s="450" customFormat="1" x14ac:dyDescent="0.25">
      <c r="A304" s="448">
        <v>6</v>
      </c>
      <c r="B304" s="448"/>
      <c r="C304" s="448">
        <f t="shared" si="21"/>
        <v>24</v>
      </c>
      <c r="D304" s="448">
        <f t="shared" si="22"/>
        <v>24</v>
      </c>
      <c r="E304" s="448">
        <f t="shared" si="23"/>
        <v>17</v>
      </c>
      <c r="F304" s="448" t="str">
        <f t="shared" si="24"/>
        <v>pm</v>
      </c>
      <c r="G304" s="448" t="s">
        <v>849</v>
      </c>
      <c r="H304" s="448" t="s">
        <v>396</v>
      </c>
      <c r="I304" s="448" t="s">
        <v>850</v>
      </c>
      <c r="J304" s="449" t="s">
        <v>21</v>
      </c>
      <c r="K304" s="450">
        <f t="shared" si="25"/>
        <v>2646.4053617802574</v>
      </c>
      <c r="L304" s="448"/>
      <c r="M304" s="450">
        <v>2733.3333333333335</v>
      </c>
      <c r="O304" s="450">
        <v>2732.753895579172</v>
      </c>
      <c r="Q304" s="450">
        <v>2797.9208619773253</v>
      </c>
      <c r="S304" s="450">
        <v>2759.5348371771374</v>
      </c>
      <c r="U304" s="450">
        <v>2678.4586435577248</v>
      </c>
      <c r="V304" s="450">
        <v>2646.4053617802574</v>
      </c>
      <c r="AH304"/>
      <c r="AI304"/>
    </row>
    <row r="305" spans="1:35" s="450" customFormat="1" x14ac:dyDescent="0.25">
      <c r="A305" s="448">
        <v>5</v>
      </c>
      <c r="B305" s="448"/>
      <c r="C305" s="448">
        <f t="shared" si="21"/>
        <v>25</v>
      </c>
      <c r="D305" s="448">
        <f t="shared" si="22"/>
        <v>25</v>
      </c>
      <c r="E305" s="448">
        <f t="shared" si="23"/>
        <v>17</v>
      </c>
      <c r="F305" s="448" t="str">
        <f t="shared" si="24"/>
        <v>pm</v>
      </c>
      <c r="G305" s="448" t="s">
        <v>851</v>
      </c>
      <c r="H305" s="448" t="s">
        <v>495</v>
      </c>
      <c r="I305" s="448" t="s">
        <v>852</v>
      </c>
      <c r="J305" s="449" t="s">
        <v>21</v>
      </c>
      <c r="K305" s="450">
        <f t="shared" si="25"/>
        <v>2889.2790620817036</v>
      </c>
      <c r="L305" s="448"/>
      <c r="M305" s="450">
        <v>2720</v>
      </c>
      <c r="O305" s="450">
        <v>2752.8864457613686</v>
      </c>
      <c r="R305" s="450">
        <v>2797.0632037070941</v>
      </c>
      <c r="U305" s="450">
        <v>2816.3858469383913</v>
      </c>
      <c r="W305" s="450">
        <v>2889.2790620817036</v>
      </c>
      <c r="AH305"/>
      <c r="AI305"/>
    </row>
    <row r="306" spans="1:35" s="450" customFormat="1" x14ac:dyDescent="0.25">
      <c r="A306" s="448">
        <v>2</v>
      </c>
      <c r="B306" s="448"/>
      <c r="C306" s="448">
        <f t="shared" si="21"/>
        <v>26</v>
      </c>
      <c r="D306" s="448">
        <f t="shared" si="22"/>
        <v>26</v>
      </c>
      <c r="E306" s="448">
        <f t="shared" si="23"/>
        <v>17</v>
      </c>
      <c r="F306" s="448" t="str">
        <f t="shared" si="24"/>
        <v>pm</v>
      </c>
      <c r="G306" s="448" t="s">
        <v>853</v>
      </c>
      <c r="H306" s="448" t="s">
        <v>316</v>
      </c>
      <c r="I306" s="448" t="s">
        <v>854</v>
      </c>
      <c r="J306" s="449" t="s">
        <v>21</v>
      </c>
      <c r="K306" s="450">
        <f t="shared" si="25"/>
        <v>2770.5404194699536</v>
      </c>
      <c r="L306" s="448"/>
      <c r="M306" s="450">
        <v>2700</v>
      </c>
      <c r="T306" s="450">
        <v>2770.5404194699536</v>
      </c>
      <c r="AH306"/>
      <c r="AI306"/>
    </row>
    <row r="307" spans="1:35" s="450" customFormat="1" x14ac:dyDescent="0.25">
      <c r="A307" s="448">
        <v>3</v>
      </c>
      <c r="B307" s="448"/>
      <c r="C307" s="448">
        <f t="shared" si="21"/>
        <v>27</v>
      </c>
      <c r="D307" s="448">
        <f t="shared" si="22"/>
        <v>27</v>
      </c>
      <c r="E307" s="448">
        <f t="shared" si="23"/>
        <v>17</v>
      </c>
      <c r="F307" s="448" t="str">
        <f t="shared" si="24"/>
        <v>pm</v>
      </c>
      <c r="G307" s="448" t="s">
        <v>855</v>
      </c>
      <c r="H307" s="448" t="s">
        <v>554</v>
      </c>
      <c r="I307" s="448" t="s">
        <v>856</v>
      </c>
      <c r="J307" s="449" t="s">
        <v>20</v>
      </c>
      <c r="K307" s="450">
        <f t="shared" si="25"/>
        <v>2530.5685181171116</v>
      </c>
      <c r="L307" s="448"/>
      <c r="M307" s="450">
        <v>2400</v>
      </c>
      <c r="O307" s="451"/>
      <c r="P307" s="451">
        <v>2541.3291547953268</v>
      </c>
      <c r="Q307" s="451"/>
      <c r="R307" s="451">
        <v>2447.0319715664677</v>
      </c>
      <c r="S307" s="451"/>
      <c r="T307" s="451"/>
      <c r="U307" s="451"/>
      <c r="V307" s="451">
        <v>2530.5685181171116</v>
      </c>
      <c r="W307" s="451"/>
      <c r="X307" s="451"/>
      <c r="Y307" s="451"/>
      <c r="Z307" s="451"/>
      <c r="AA307" s="451"/>
      <c r="AB307" s="451"/>
      <c r="AC307" s="451"/>
      <c r="AD307" s="451"/>
      <c r="AE307" s="451"/>
      <c r="AF307" s="451"/>
      <c r="AG307" s="451"/>
      <c r="AH307"/>
      <c r="AI307"/>
    </row>
    <row r="308" spans="1:35" s="450" customFormat="1" x14ac:dyDescent="0.25">
      <c r="A308" s="448">
        <v>5</v>
      </c>
      <c r="B308" s="448"/>
      <c r="C308" s="448">
        <f t="shared" si="21"/>
        <v>28</v>
      </c>
      <c r="D308" s="448">
        <f t="shared" si="22"/>
        <v>27</v>
      </c>
      <c r="E308" s="448">
        <f t="shared" si="23"/>
        <v>17</v>
      </c>
      <c r="F308" s="448" t="str">
        <f t="shared" si="24"/>
        <v>pm</v>
      </c>
      <c r="G308" s="448" t="s">
        <v>857</v>
      </c>
      <c r="H308" s="448" t="s">
        <v>615</v>
      </c>
      <c r="I308" s="448" t="s">
        <v>858</v>
      </c>
      <c r="J308" s="449" t="s">
        <v>20</v>
      </c>
      <c r="K308" s="450">
        <f t="shared" si="25"/>
        <v>2394.9607741800619</v>
      </c>
      <c r="L308" s="448"/>
      <c r="M308" s="450">
        <v>2400</v>
      </c>
      <c r="O308" s="451"/>
      <c r="P308" s="451">
        <v>2525.1096133091269</v>
      </c>
      <c r="Q308" s="451"/>
      <c r="R308" s="451"/>
      <c r="S308" s="451"/>
      <c r="T308" s="451">
        <v>2385.4518972414598</v>
      </c>
      <c r="U308" s="451"/>
      <c r="V308" s="451">
        <v>2394.9607741800619</v>
      </c>
      <c r="W308" s="451"/>
      <c r="X308" s="451"/>
      <c r="Y308" s="451"/>
      <c r="Z308" s="451"/>
      <c r="AA308" s="451"/>
      <c r="AB308" s="451"/>
      <c r="AC308" s="451"/>
      <c r="AD308" s="451"/>
      <c r="AE308" s="451"/>
      <c r="AF308" s="451"/>
      <c r="AG308" s="451"/>
      <c r="AH308"/>
      <c r="AI308"/>
    </row>
    <row r="309" spans="1:35" s="450" customFormat="1" x14ac:dyDescent="0.25">
      <c r="A309" s="448">
        <v>7</v>
      </c>
      <c r="B309" s="448"/>
      <c r="C309" s="448">
        <f t="shared" si="21"/>
        <v>29</v>
      </c>
      <c r="D309" s="448">
        <f t="shared" si="22"/>
        <v>27</v>
      </c>
      <c r="E309" s="448">
        <f t="shared" si="23"/>
        <v>17</v>
      </c>
      <c r="F309" s="448" t="str">
        <f t="shared" si="24"/>
        <v>pm</v>
      </c>
      <c r="G309" s="448" t="s">
        <v>859</v>
      </c>
      <c r="H309" s="448" t="s">
        <v>353</v>
      </c>
      <c r="I309" s="448" t="s">
        <v>860</v>
      </c>
      <c r="J309" s="449" t="s">
        <v>20</v>
      </c>
      <c r="K309" s="450">
        <f t="shared" si="25"/>
        <v>2240.861977404596</v>
      </c>
      <c r="L309" s="448"/>
      <c r="M309" s="450">
        <v>2400</v>
      </c>
      <c r="P309" s="450">
        <v>2416.330453389638</v>
      </c>
      <c r="R309" s="450">
        <v>2338.5089997355412</v>
      </c>
      <c r="T309" s="450">
        <v>2303.7318480220224</v>
      </c>
      <c r="V309" s="450">
        <v>2240.861977404596</v>
      </c>
      <c r="AH309"/>
      <c r="AI309"/>
    </row>
    <row r="310" spans="1:35" s="450" customFormat="1" x14ac:dyDescent="0.25">
      <c r="A310" s="448">
        <v>3</v>
      </c>
      <c r="B310" s="448"/>
      <c r="C310" s="448">
        <f t="shared" si="21"/>
        <v>30</v>
      </c>
      <c r="D310" s="448">
        <f t="shared" si="22"/>
        <v>27</v>
      </c>
      <c r="E310" s="448">
        <f t="shared" si="23"/>
        <v>17</v>
      </c>
      <c r="F310" s="448" t="str">
        <f t="shared" si="24"/>
        <v>pm</v>
      </c>
      <c r="G310" s="448" t="s">
        <v>861</v>
      </c>
      <c r="H310" s="448" t="s">
        <v>365</v>
      </c>
      <c r="I310" s="448" t="s">
        <v>862</v>
      </c>
      <c r="J310" s="449" t="s">
        <v>20</v>
      </c>
      <c r="K310" s="450">
        <f t="shared" si="25"/>
        <v>2409.4855096244519</v>
      </c>
      <c r="L310" s="448"/>
      <c r="M310" s="450">
        <v>2400</v>
      </c>
      <c r="P310" s="450">
        <v>2438.5335285909896</v>
      </c>
      <c r="V310" s="450">
        <v>2409.4855096244519</v>
      </c>
      <c r="AH310"/>
      <c r="AI310"/>
    </row>
    <row r="311" spans="1:35" s="450" customFormat="1" x14ac:dyDescent="0.25">
      <c r="A311" s="448">
        <v>6</v>
      </c>
      <c r="B311" s="448"/>
      <c r="C311" s="448">
        <f t="shared" si="21"/>
        <v>31</v>
      </c>
      <c r="D311" s="448">
        <f t="shared" si="22"/>
        <v>27</v>
      </c>
      <c r="E311" s="448">
        <f t="shared" si="23"/>
        <v>17</v>
      </c>
      <c r="F311" s="448" t="str">
        <f t="shared" si="24"/>
        <v>pm</v>
      </c>
      <c r="G311" s="448" t="s">
        <v>863</v>
      </c>
      <c r="H311" s="448" t="s">
        <v>338</v>
      </c>
      <c r="I311" s="448" t="s">
        <v>864</v>
      </c>
      <c r="J311" s="449" t="s">
        <v>20</v>
      </c>
      <c r="K311" s="450">
        <f t="shared" si="25"/>
        <v>2433.4572810909845</v>
      </c>
      <c r="L311" s="448"/>
      <c r="M311" s="450">
        <v>2400</v>
      </c>
      <c r="R311" s="450">
        <v>2397.9058130222679</v>
      </c>
      <c r="T311" s="450">
        <v>2383.1397139572923</v>
      </c>
      <c r="V311" s="450">
        <v>2433.4572810909845</v>
      </c>
      <c r="AH311"/>
      <c r="AI311"/>
    </row>
    <row r="312" spans="1:35" s="450" customFormat="1" x14ac:dyDescent="0.25">
      <c r="A312" s="448">
        <v>5</v>
      </c>
      <c r="B312" s="448"/>
      <c r="C312" s="448">
        <f t="shared" si="21"/>
        <v>32</v>
      </c>
      <c r="D312" s="448">
        <f t="shared" si="22"/>
        <v>27</v>
      </c>
      <c r="E312" s="448">
        <f t="shared" si="23"/>
        <v>17</v>
      </c>
      <c r="F312" s="448" t="str">
        <f t="shared" si="24"/>
        <v>pm</v>
      </c>
      <c r="G312" s="448" t="s">
        <v>865</v>
      </c>
      <c r="H312" s="448" t="s">
        <v>504</v>
      </c>
      <c r="I312" s="448" t="s">
        <v>866</v>
      </c>
      <c r="J312" s="449" t="s">
        <v>20</v>
      </c>
      <c r="K312" s="450">
        <f t="shared" si="25"/>
        <v>2195.6994788470638</v>
      </c>
      <c r="L312" s="448"/>
      <c r="M312" s="450">
        <v>2400</v>
      </c>
      <c r="R312" s="450">
        <v>2337.7028474617719</v>
      </c>
      <c r="T312" s="450">
        <v>2249.8790654342693</v>
      </c>
      <c r="V312" s="450">
        <v>2195.6994788470638</v>
      </c>
      <c r="AH312"/>
      <c r="AI312"/>
    </row>
    <row r="313" spans="1:35" s="450" customFormat="1" x14ac:dyDescent="0.25">
      <c r="A313" s="448">
        <v>4</v>
      </c>
      <c r="B313" s="448"/>
      <c r="C313" s="448">
        <f t="shared" si="21"/>
        <v>33</v>
      </c>
      <c r="D313" s="448">
        <f t="shared" si="22"/>
        <v>27</v>
      </c>
      <c r="E313" s="448">
        <f t="shared" si="23"/>
        <v>17</v>
      </c>
      <c r="F313" s="448" t="str">
        <f t="shared" si="24"/>
        <v>pm</v>
      </c>
      <c r="G313" s="448" t="s">
        <v>867</v>
      </c>
      <c r="H313" s="448" t="s">
        <v>341</v>
      </c>
      <c r="I313" s="448" t="s">
        <v>868</v>
      </c>
      <c r="J313" s="449" t="s">
        <v>20</v>
      </c>
      <c r="K313" s="450">
        <f t="shared" si="25"/>
        <v>2314.6354818318368</v>
      </c>
      <c r="L313" s="448"/>
      <c r="M313" s="450">
        <v>2400</v>
      </c>
      <c r="O313" s="451"/>
      <c r="P313" s="451"/>
      <c r="Q313" s="451"/>
      <c r="R313" s="451">
        <v>2344.6275487157213</v>
      </c>
      <c r="S313" s="451"/>
      <c r="T313" s="451">
        <v>2331.6658262868896</v>
      </c>
      <c r="U313" s="451"/>
      <c r="V313" s="451">
        <v>2314.6354818318368</v>
      </c>
      <c r="W313" s="451"/>
      <c r="X313" s="451"/>
      <c r="Y313" s="451"/>
      <c r="Z313" s="451"/>
      <c r="AA313" s="451"/>
      <c r="AB313" s="451"/>
      <c r="AC313" s="451"/>
      <c r="AH313"/>
      <c r="AI313"/>
    </row>
    <row r="314" spans="1:35" s="450" customFormat="1" x14ac:dyDescent="0.25">
      <c r="A314" s="448">
        <v>1</v>
      </c>
      <c r="B314" s="448"/>
      <c r="C314" s="448">
        <f t="shared" si="21"/>
        <v>1</v>
      </c>
      <c r="D314" s="448">
        <f t="shared" si="22"/>
        <v>1</v>
      </c>
      <c r="E314" s="448">
        <f t="shared" si="23"/>
        <v>18</v>
      </c>
      <c r="F314" s="448" t="str">
        <f t="shared" si="24"/>
        <v>pmx</v>
      </c>
      <c r="G314" s="448" t="s">
        <v>869</v>
      </c>
      <c r="H314" s="448" t="s">
        <v>688</v>
      </c>
      <c r="I314" s="448" t="s">
        <v>870</v>
      </c>
      <c r="J314" s="449" t="s">
        <v>21</v>
      </c>
      <c r="K314" s="450">
        <f t="shared" si="25"/>
        <v>2910.1931858597623</v>
      </c>
      <c r="L314" s="448"/>
      <c r="M314" s="450">
        <v>3000</v>
      </c>
      <c r="O314" s="451"/>
      <c r="P314" s="451"/>
      <c r="Q314" s="451"/>
      <c r="R314" s="451"/>
      <c r="S314" s="451">
        <v>2910.1931858597623</v>
      </c>
      <c r="T314" s="451"/>
      <c r="U314" s="451"/>
      <c r="V314" s="451"/>
      <c r="W314" s="451"/>
      <c r="X314" s="451"/>
      <c r="Y314" s="451"/>
      <c r="Z314" s="451"/>
      <c r="AA314" s="451"/>
      <c r="AB314" s="451"/>
      <c r="AC314" s="451"/>
      <c r="AD314" s="451"/>
      <c r="AE314" s="451"/>
      <c r="AF314" s="451"/>
      <c r="AG314" s="451"/>
      <c r="AH314"/>
      <c r="AI314"/>
    </row>
    <row r="315" spans="1:35" s="450" customFormat="1" x14ac:dyDescent="0.25">
      <c r="A315" s="448">
        <v>1</v>
      </c>
      <c r="B315" s="448"/>
      <c r="C315" s="448">
        <f t="shared" si="21"/>
        <v>2</v>
      </c>
      <c r="D315" s="448">
        <f t="shared" si="22"/>
        <v>1</v>
      </c>
      <c r="E315" s="448">
        <f t="shared" si="23"/>
        <v>18</v>
      </c>
      <c r="F315" s="448" t="str">
        <f t="shared" si="24"/>
        <v>pmx</v>
      </c>
      <c r="G315" s="448" t="s">
        <v>871</v>
      </c>
      <c r="H315" s="448" t="s">
        <v>303</v>
      </c>
      <c r="I315" s="448" t="s">
        <v>872</v>
      </c>
      <c r="J315" s="449" t="s">
        <v>21</v>
      </c>
      <c r="K315" s="450">
        <f t="shared" si="25"/>
        <v>2993.4279166956799</v>
      </c>
      <c r="L315" s="448"/>
      <c r="M315" s="450">
        <v>3000</v>
      </c>
      <c r="U315" s="450">
        <v>2993.4279166956799</v>
      </c>
      <c r="AH315"/>
      <c r="AI315"/>
    </row>
    <row r="316" spans="1:35" s="450" customFormat="1" x14ac:dyDescent="0.25">
      <c r="A316" s="448">
        <v>2</v>
      </c>
      <c r="B316" s="448"/>
      <c r="C316" s="448">
        <f t="shared" si="21"/>
        <v>3</v>
      </c>
      <c r="D316" s="448">
        <f t="shared" si="22"/>
        <v>1</v>
      </c>
      <c r="E316" s="448">
        <f t="shared" si="23"/>
        <v>18</v>
      </c>
      <c r="F316" s="448" t="str">
        <f t="shared" si="24"/>
        <v>pm</v>
      </c>
      <c r="G316" s="448" t="s">
        <v>873</v>
      </c>
      <c r="H316" s="448" t="s">
        <v>437</v>
      </c>
      <c r="I316" s="448" t="s">
        <v>874</v>
      </c>
      <c r="J316" s="449" t="s">
        <v>21</v>
      </c>
      <c r="K316" s="450">
        <f t="shared" si="25"/>
        <v>2939.5864200932042</v>
      </c>
      <c r="L316" s="448"/>
      <c r="M316" s="450">
        <v>3000</v>
      </c>
      <c r="O316" s="450">
        <v>2931.3411210443674</v>
      </c>
      <c r="U316" s="450">
        <v>2939.5864200932042</v>
      </c>
      <c r="AH316"/>
      <c r="AI316"/>
    </row>
    <row r="317" spans="1:35" s="450" customFormat="1" x14ac:dyDescent="0.25">
      <c r="A317" s="448"/>
      <c r="B317" s="448"/>
      <c r="C317" s="448">
        <f t="shared" si="21"/>
        <v>4</v>
      </c>
      <c r="D317" s="448">
        <f t="shared" si="22"/>
        <v>1</v>
      </c>
      <c r="E317" s="448">
        <f t="shared" si="23"/>
        <v>18</v>
      </c>
      <c r="F317" s="448" t="str">
        <f t="shared" si="24"/>
        <v>crx</v>
      </c>
      <c r="G317" s="448" t="s">
        <v>875</v>
      </c>
      <c r="H317" s="448"/>
      <c r="I317" s="448" t="s">
        <v>876</v>
      </c>
      <c r="J317" s="449" t="s">
        <v>21</v>
      </c>
      <c r="K317" s="450">
        <f t="shared" si="25"/>
        <v>2909.0380904093968</v>
      </c>
      <c r="L317" s="448"/>
      <c r="M317" s="450">
        <v>3000</v>
      </c>
      <c r="O317" s="451">
        <v>2905.1897231891221</v>
      </c>
      <c r="P317" s="451"/>
      <c r="Q317" s="451"/>
      <c r="R317" s="451"/>
      <c r="S317" s="451"/>
      <c r="T317" s="451"/>
      <c r="U317" s="451"/>
      <c r="V317" s="451">
        <v>2909.0380904093968</v>
      </c>
      <c r="W317" s="451"/>
      <c r="X317" s="451"/>
      <c r="Y317" s="451"/>
      <c r="Z317" s="451"/>
      <c r="AA317" s="451"/>
      <c r="AB317" s="451"/>
      <c r="AC317" s="451"/>
      <c r="AH317"/>
      <c r="AI317"/>
    </row>
    <row r="318" spans="1:35" s="450" customFormat="1" x14ac:dyDescent="0.25">
      <c r="A318" s="448">
        <v>2</v>
      </c>
      <c r="B318" s="448"/>
      <c r="C318" s="448">
        <f t="shared" si="21"/>
        <v>5</v>
      </c>
      <c r="D318" s="448">
        <f t="shared" si="22"/>
        <v>1</v>
      </c>
      <c r="E318" s="448">
        <f t="shared" si="23"/>
        <v>18</v>
      </c>
      <c r="F318" s="448" t="str">
        <f t="shared" si="24"/>
        <v>pm</v>
      </c>
      <c r="G318" s="448" t="s">
        <v>877</v>
      </c>
      <c r="H318" s="448" t="s">
        <v>296</v>
      </c>
      <c r="I318" s="448" t="s">
        <v>878</v>
      </c>
      <c r="J318" s="449" t="s">
        <v>21</v>
      </c>
      <c r="K318" s="450">
        <f t="shared" si="25"/>
        <v>2948.6084253075928</v>
      </c>
      <c r="L318" s="448"/>
      <c r="M318" s="450">
        <v>3000</v>
      </c>
      <c r="O318" s="450">
        <v>2948.6084253075928</v>
      </c>
      <c r="AH318"/>
      <c r="AI318"/>
    </row>
    <row r="319" spans="1:35" s="450" customFormat="1" x14ac:dyDescent="0.25">
      <c r="A319" s="448">
        <v>1</v>
      </c>
      <c r="B319" s="448"/>
      <c r="C319" s="448">
        <f t="shared" si="21"/>
        <v>6</v>
      </c>
      <c r="D319" s="448">
        <f t="shared" si="22"/>
        <v>1</v>
      </c>
      <c r="E319" s="448">
        <f t="shared" si="23"/>
        <v>18</v>
      </c>
      <c r="F319" s="448" t="str">
        <f t="shared" si="24"/>
        <v>pmx</v>
      </c>
      <c r="G319" s="448" t="s">
        <v>879</v>
      </c>
      <c r="H319" s="448" t="s">
        <v>371</v>
      </c>
      <c r="I319" s="448" t="s">
        <v>880</v>
      </c>
      <c r="J319" s="449" t="s">
        <v>21</v>
      </c>
      <c r="K319" s="450">
        <f t="shared" si="25"/>
        <v>2989.9920773332146</v>
      </c>
      <c r="L319" s="448"/>
      <c r="M319" s="450">
        <v>3000</v>
      </c>
      <c r="U319" s="450">
        <v>2989.9920773332146</v>
      </c>
      <c r="AH319"/>
      <c r="AI319"/>
    </row>
    <row r="320" spans="1:35" s="450" customFormat="1" x14ac:dyDescent="0.25">
      <c r="A320" s="448">
        <v>5</v>
      </c>
      <c r="B320" s="448"/>
      <c r="C320" s="448">
        <f t="shared" si="21"/>
        <v>7</v>
      </c>
      <c r="D320" s="448">
        <f t="shared" si="22"/>
        <v>1</v>
      </c>
      <c r="E320" s="448">
        <f t="shared" si="23"/>
        <v>18</v>
      </c>
      <c r="F320" s="448" t="str">
        <f t="shared" si="24"/>
        <v>pm</v>
      </c>
      <c r="G320" s="448" t="s">
        <v>881</v>
      </c>
      <c r="H320" s="448" t="s">
        <v>754</v>
      </c>
      <c r="I320" s="448" t="s">
        <v>882</v>
      </c>
      <c r="J320" s="449" t="s">
        <v>21</v>
      </c>
      <c r="K320" s="450">
        <f t="shared" si="25"/>
        <v>2824.9635446349512</v>
      </c>
      <c r="L320" s="448"/>
      <c r="M320" s="450">
        <v>3000</v>
      </c>
      <c r="O320" s="450">
        <v>2926.6317320617309</v>
      </c>
      <c r="U320" s="450">
        <v>2859.795266485386</v>
      </c>
      <c r="W320" s="450">
        <v>2824.9635446349512</v>
      </c>
      <c r="AH320"/>
      <c r="AI320"/>
    </row>
    <row r="321" spans="1:35" s="450" customFormat="1" x14ac:dyDescent="0.25">
      <c r="A321" s="448">
        <v>4</v>
      </c>
      <c r="B321" s="448"/>
      <c r="C321" s="448">
        <f t="shared" si="21"/>
        <v>8</v>
      </c>
      <c r="D321" s="448">
        <f t="shared" si="22"/>
        <v>1</v>
      </c>
      <c r="E321" s="448">
        <f t="shared" si="23"/>
        <v>18</v>
      </c>
      <c r="F321" s="448" t="str">
        <f t="shared" si="24"/>
        <v>pm</v>
      </c>
      <c r="G321" s="448" t="s">
        <v>883</v>
      </c>
      <c r="H321" s="448" t="s">
        <v>884</v>
      </c>
      <c r="I321" s="448" t="s">
        <v>885</v>
      </c>
      <c r="J321" s="449" t="s">
        <v>21</v>
      </c>
      <c r="K321" s="450">
        <f t="shared" si="25"/>
        <v>3079.1531819120014</v>
      </c>
      <c r="L321" s="448"/>
      <c r="M321" s="450">
        <v>3000</v>
      </c>
      <c r="O321" s="450">
        <v>3032.3841640874152</v>
      </c>
      <c r="U321" s="450">
        <v>3079.1531819120014</v>
      </c>
      <c r="AH321"/>
      <c r="AI321"/>
    </row>
    <row r="322" spans="1:35" s="450" customFormat="1" x14ac:dyDescent="0.25">
      <c r="A322" s="448">
        <v>7</v>
      </c>
      <c r="B322" s="448"/>
      <c r="C322" s="448">
        <f t="shared" ref="C322:C340" si="26">IF(E322=E321,C321+1,1)</f>
        <v>9</v>
      </c>
      <c r="D322" s="448">
        <f t="shared" ref="D322:D340" si="27">IF(M322=M321,D321,C322)</f>
        <v>1</v>
      </c>
      <c r="E322" s="448">
        <f t="shared" ref="E322:E340" si="28">10+VALUE(RIGHT(LEFT(G322,3),1))</f>
        <v>18</v>
      </c>
      <c r="F322" s="448" t="str">
        <f t="shared" ref="F322:F340" si="29">RIGHT(G322,2) &amp; IF(A322&lt;2,"x","")</f>
        <v>pm</v>
      </c>
      <c r="G322" s="448" t="s">
        <v>886</v>
      </c>
      <c r="H322" s="448" t="s">
        <v>309</v>
      </c>
      <c r="I322" s="448" t="s">
        <v>887</v>
      </c>
      <c r="J322" s="449" t="s">
        <v>21</v>
      </c>
      <c r="K322" s="450">
        <f t="shared" ref="K322:K340" si="30">LOOKUP(1E+100,M322:AC322)</f>
        <v>2865.1000950461112</v>
      </c>
      <c r="L322" s="448"/>
      <c r="M322" s="450">
        <v>3000</v>
      </c>
      <c r="O322" s="450">
        <v>2961.5530975568113</v>
      </c>
      <c r="Q322" s="450">
        <v>3046.1529835455331</v>
      </c>
      <c r="S322" s="450">
        <v>2955.2831566080927</v>
      </c>
      <c r="U322" s="450">
        <v>2927.0999448587754</v>
      </c>
      <c r="W322" s="450">
        <v>2865.1000950461112</v>
      </c>
      <c r="AH322"/>
      <c r="AI322"/>
    </row>
    <row r="323" spans="1:35" s="450" customFormat="1" x14ac:dyDescent="0.25">
      <c r="A323" s="448">
        <v>2</v>
      </c>
      <c r="B323" s="448"/>
      <c r="C323" s="448">
        <f t="shared" si="26"/>
        <v>10</v>
      </c>
      <c r="D323" s="448">
        <f t="shared" si="27"/>
        <v>1</v>
      </c>
      <c r="E323" s="448">
        <f t="shared" si="28"/>
        <v>18</v>
      </c>
      <c r="F323" s="448" t="str">
        <f t="shared" si="29"/>
        <v>pm</v>
      </c>
      <c r="G323" s="448" t="s">
        <v>888</v>
      </c>
      <c r="H323" s="448" t="s">
        <v>523</v>
      </c>
      <c r="I323" s="448" t="s">
        <v>889</v>
      </c>
      <c r="J323" s="449" t="s">
        <v>21</v>
      </c>
      <c r="K323" s="450">
        <f t="shared" si="30"/>
        <v>2935.1707127088944</v>
      </c>
      <c r="L323" s="448"/>
      <c r="M323" s="450">
        <v>3000</v>
      </c>
      <c r="O323" s="450">
        <v>2935.1707127088944</v>
      </c>
      <c r="AH323"/>
      <c r="AI323"/>
    </row>
    <row r="324" spans="1:35" s="450" customFormat="1" x14ac:dyDescent="0.25">
      <c r="A324" s="448">
        <v>2</v>
      </c>
      <c r="B324" s="448"/>
      <c r="C324" s="448">
        <f t="shared" si="26"/>
        <v>11</v>
      </c>
      <c r="D324" s="448">
        <f t="shared" si="27"/>
        <v>1</v>
      </c>
      <c r="E324" s="448">
        <f t="shared" si="28"/>
        <v>18</v>
      </c>
      <c r="F324" s="448" t="str">
        <f t="shared" si="29"/>
        <v>pm</v>
      </c>
      <c r="G324" s="448" t="s">
        <v>890</v>
      </c>
      <c r="H324" s="448" t="s">
        <v>330</v>
      </c>
      <c r="I324" s="448" t="s">
        <v>891</v>
      </c>
      <c r="J324" s="449" t="s">
        <v>21</v>
      </c>
      <c r="K324" s="450">
        <f t="shared" si="30"/>
        <v>3037.1327362053721</v>
      </c>
      <c r="L324" s="448"/>
      <c r="M324" s="450">
        <v>3000</v>
      </c>
      <c r="W324" s="450">
        <v>3037.1327362053721</v>
      </c>
      <c r="AH324"/>
      <c r="AI324"/>
    </row>
    <row r="325" spans="1:35" s="450" customFormat="1" x14ac:dyDescent="0.25">
      <c r="A325" s="448">
        <v>3</v>
      </c>
      <c r="B325" s="448"/>
      <c r="C325" s="448">
        <f t="shared" si="26"/>
        <v>12</v>
      </c>
      <c r="D325" s="448">
        <f t="shared" si="27"/>
        <v>1</v>
      </c>
      <c r="E325" s="448">
        <f t="shared" si="28"/>
        <v>18</v>
      </c>
      <c r="F325" s="448" t="str">
        <f t="shared" si="29"/>
        <v>pm</v>
      </c>
      <c r="G325" s="448" t="s">
        <v>892</v>
      </c>
      <c r="H325" s="448" t="s">
        <v>330</v>
      </c>
      <c r="I325" s="448" t="s">
        <v>893</v>
      </c>
      <c r="J325" s="449" t="s">
        <v>21</v>
      </c>
      <c r="K325" s="450">
        <f t="shared" si="30"/>
        <v>2901.6932579440013</v>
      </c>
      <c r="L325" s="448"/>
      <c r="M325" s="450">
        <v>3000</v>
      </c>
      <c r="S325" s="450">
        <v>2951.9748898787816</v>
      </c>
      <c r="W325" s="450">
        <v>2901.6932579440013</v>
      </c>
      <c r="AH325"/>
      <c r="AI325"/>
    </row>
    <row r="326" spans="1:35" x14ac:dyDescent="0.25">
      <c r="A326" s="448">
        <v>2</v>
      </c>
      <c r="B326" s="448"/>
      <c r="C326" s="448">
        <f t="shared" si="26"/>
        <v>13</v>
      </c>
      <c r="D326" s="448">
        <f t="shared" si="27"/>
        <v>1</v>
      </c>
      <c r="E326" s="448">
        <f t="shared" si="28"/>
        <v>18</v>
      </c>
      <c r="F326" s="448" t="str">
        <f t="shared" si="29"/>
        <v>pm</v>
      </c>
      <c r="G326" s="448" t="s">
        <v>894</v>
      </c>
      <c r="H326" s="448" t="s">
        <v>431</v>
      </c>
      <c r="I326" s="448" t="s">
        <v>895</v>
      </c>
      <c r="J326" s="449" t="s">
        <v>21</v>
      </c>
      <c r="K326" s="450">
        <f t="shared" si="30"/>
        <v>2883.1952269491931</v>
      </c>
      <c r="L326" s="448"/>
      <c r="M326" s="450">
        <v>3000</v>
      </c>
      <c r="O326" s="450">
        <v>2883.1952269491931</v>
      </c>
      <c r="P326" s="450"/>
      <c r="Q326" s="450"/>
      <c r="R326" s="450"/>
      <c r="S326" s="450"/>
      <c r="T326" s="450"/>
      <c r="U326" s="450"/>
      <c r="V326" s="450"/>
      <c r="W326" s="450"/>
      <c r="X326" s="450"/>
      <c r="Y326" s="450"/>
      <c r="Z326" s="450"/>
      <c r="AA326" s="450"/>
      <c r="AB326" s="450"/>
      <c r="AC326" s="450"/>
      <c r="AD326" s="450"/>
      <c r="AE326" s="450"/>
      <c r="AF326" s="450"/>
      <c r="AG326" s="450"/>
    </row>
    <row r="327" spans="1:35" s="450" customFormat="1" x14ac:dyDescent="0.25">
      <c r="A327" s="448">
        <v>1</v>
      </c>
      <c r="B327" s="448"/>
      <c r="C327" s="448">
        <f t="shared" si="26"/>
        <v>14</v>
      </c>
      <c r="D327" s="448">
        <f t="shared" si="27"/>
        <v>1</v>
      </c>
      <c r="E327" s="448">
        <f t="shared" si="28"/>
        <v>18</v>
      </c>
      <c r="F327" s="448" t="str">
        <f t="shared" si="29"/>
        <v>pmx</v>
      </c>
      <c r="G327" s="448" t="s">
        <v>896</v>
      </c>
      <c r="H327" s="448" t="s">
        <v>293</v>
      </c>
      <c r="I327" s="448" t="s">
        <v>897</v>
      </c>
      <c r="J327" s="449" t="s">
        <v>21</v>
      </c>
      <c r="K327" s="450">
        <f t="shared" si="30"/>
        <v>3000</v>
      </c>
      <c r="L327" s="448"/>
      <c r="M327" s="450">
        <v>3000</v>
      </c>
      <c r="AH327"/>
      <c r="AI327"/>
    </row>
    <row r="328" spans="1:35" s="450" customFormat="1" x14ac:dyDescent="0.25">
      <c r="A328" s="448"/>
      <c r="B328" s="448"/>
      <c r="C328" s="448">
        <f t="shared" si="26"/>
        <v>15</v>
      </c>
      <c r="D328" s="448">
        <f t="shared" si="27"/>
        <v>1</v>
      </c>
      <c r="E328" s="448">
        <f t="shared" si="28"/>
        <v>18</v>
      </c>
      <c r="F328" s="448" t="str">
        <f t="shared" si="29"/>
        <v>crx</v>
      </c>
      <c r="G328" s="448" t="s">
        <v>898</v>
      </c>
      <c r="H328" s="448"/>
      <c r="I328" s="448" t="s">
        <v>899</v>
      </c>
      <c r="J328" s="449" t="s">
        <v>21</v>
      </c>
      <c r="K328" s="450">
        <f t="shared" si="30"/>
        <v>3011.2870081310043</v>
      </c>
      <c r="L328" s="448"/>
      <c r="M328" s="450">
        <v>3000</v>
      </c>
      <c r="O328" s="451">
        <v>3011.2870081310043</v>
      </c>
      <c r="P328" s="451"/>
      <c r="Q328" s="451"/>
      <c r="R328" s="451"/>
      <c r="S328" s="451"/>
      <c r="T328" s="451"/>
      <c r="U328" s="451"/>
      <c r="V328" s="451"/>
      <c r="W328" s="451"/>
      <c r="X328" s="451"/>
      <c r="Y328" s="451"/>
      <c r="Z328" s="451"/>
      <c r="AA328" s="451"/>
      <c r="AB328" s="451"/>
      <c r="AC328" s="451"/>
      <c r="AH328"/>
      <c r="AI328"/>
    </row>
    <row r="329" spans="1:35" s="450" customFormat="1" x14ac:dyDescent="0.25">
      <c r="A329" s="448">
        <v>3</v>
      </c>
      <c r="B329" s="448"/>
      <c r="C329" s="448">
        <f t="shared" si="26"/>
        <v>16</v>
      </c>
      <c r="D329" s="448">
        <f t="shared" si="27"/>
        <v>1</v>
      </c>
      <c r="E329" s="448">
        <f t="shared" si="28"/>
        <v>18</v>
      </c>
      <c r="F329" s="448" t="str">
        <f t="shared" si="29"/>
        <v>pm</v>
      </c>
      <c r="G329" s="448" t="s">
        <v>900</v>
      </c>
      <c r="H329" s="448" t="s">
        <v>668</v>
      </c>
      <c r="I329" s="448" t="s">
        <v>901</v>
      </c>
      <c r="J329" s="449" t="s">
        <v>21</v>
      </c>
      <c r="K329" s="450">
        <f t="shared" si="30"/>
        <v>3112.299077478679</v>
      </c>
      <c r="L329" s="448"/>
      <c r="M329" s="450">
        <v>3000</v>
      </c>
      <c r="O329" s="450">
        <v>3073.5430014703875</v>
      </c>
      <c r="U329" s="450">
        <v>3112.299077478679</v>
      </c>
      <c r="AH329"/>
      <c r="AI329"/>
    </row>
    <row r="330" spans="1:35" s="450" customFormat="1" x14ac:dyDescent="0.25">
      <c r="A330" s="448">
        <v>3</v>
      </c>
      <c r="B330" s="448"/>
      <c r="C330" s="448">
        <f t="shared" si="26"/>
        <v>17</v>
      </c>
      <c r="D330" s="448">
        <f t="shared" si="27"/>
        <v>1</v>
      </c>
      <c r="E330" s="448">
        <f t="shared" si="28"/>
        <v>18</v>
      </c>
      <c r="F330" s="448" t="str">
        <f t="shared" si="29"/>
        <v>pm</v>
      </c>
      <c r="G330" s="448" t="s">
        <v>902</v>
      </c>
      <c r="H330" s="448" t="s">
        <v>668</v>
      </c>
      <c r="I330" s="448" t="s">
        <v>903</v>
      </c>
      <c r="J330" s="449" t="s">
        <v>21</v>
      </c>
      <c r="K330" s="450">
        <f t="shared" si="30"/>
        <v>2759.7102299850212</v>
      </c>
      <c r="L330" s="448"/>
      <c r="M330" s="450">
        <v>3000</v>
      </c>
      <c r="O330" s="450">
        <v>2827.8864358589581</v>
      </c>
      <c r="U330" s="450">
        <v>2759.7102299850212</v>
      </c>
      <c r="AH330"/>
      <c r="AI330"/>
    </row>
    <row r="331" spans="1:35" s="450" customFormat="1" x14ac:dyDescent="0.25">
      <c r="A331" s="448">
        <v>5</v>
      </c>
      <c r="B331" s="448"/>
      <c r="C331" s="448">
        <f t="shared" si="26"/>
        <v>18</v>
      </c>
      <c r="D331" s="448">
        <f t="shared" si="27"/>
        <v>18</v>
      </c>
      <c r="E331" s="448">
        <f t="shared" si="28"/>
        <v>18</v>
      </c>
      <c r="F331" s="448" t="str">
        <f t="shared" si="29"/>
        <v>pm</v>
      </c>
      <c r="G331" s="448" t="s">
        <v>904</v>
      </c>
      <c r="H331" s="448" t="s">
        <v>338</v>
      </c>
      <c r="I331" s="448" t="s">
        <v>905</v>
      </c>
      <c r="J331" s="449" t="s">
        <v>21</v>
      </c>
      <c r="K331" s="450">
        <f t="shared" si="30"/>
        <v>2873.3406869131345</v>
      </c>
      <c r="L331" s="448"/>
      <c r="M331" s="450">
        <v>2920</v>
      </c>
      <c r="T331" s="450">
        <v>2856.7353094689088</v>
      </c>
      <c r="U331" s="450">
        <v>2838.5876453388701</v>
      </c>
      <c r="W331" s="450">
        <v>2873.3406869131345</v>
      </c>
      <c r="AH331"/>
      <c r="AI331"/>
    </row>
    <row r="332" spans="1:35" s="450" customFormat="1" x14ac:dyDescent="0.25">
      <c r="A332" s="448">
        <v>3</v>
      </c>
      <c r="B332" s="448"/>
      <c r="C332" s="448">
        <f t="shared" si="26"/>
        <v>19</v>
      </c>
      <c r="D332" s="448">
        <f t="shared" si="27"/>
        <v>19</v>
      </c>
      <c r="E332" s="448">
        <f t="shared" si="28"/>
        <v>18</v>
      </c>
      <c r="F332" s="448" t="str">
        <f t="shared" si="29"/>
        <v>pm</v>
      </c>
      <c r="G332" s="448" t="s">
        <v>906</v>
      </c>
      <c r="H332" s="448" t="s">
        <v>485</v>
      </c>
      <c r="I332" s="448" t="s">
        <v>907</v>
      </c>
      <c r="J332" s="449" t="s">
        <v>21</v>
      </c>
      <c r="K332" s="450">
        <f t="shared" si="30"/>
        <v>2882.8718654448089</v>
      </c>
      <c r="L332" s="448"/>
      <c r="M332" s="450">
        <v>2866.6666666666665</v>
      </c>
      <c r="Q332" s="450">
        <v>2901.9683293212579</v>
      </c>
      <c r="R332" s="450">
        <v>2909.4290210334657</v>
      </c>
      <c r="W332" s="450">
        <v>2882.8718654448089</v>
      </c>
      <c r="AH332"/>
      <c r="AI332"/>
    </row>
    <row r="333" spans="1:35" s="450" customFormat="1" x14ac:dyDescent="0.25">
      <c r="A333" s="448">
        <v>2</v>
      </c>
      <c r="B333" s="448"/>
      <c r="C333" s="448">
        <f t="shared" si="26"/>
        <v>20</v>
      </c>
      <c r="D333" s="448">
        <f t="shared" si="27"/>
        <v>20</v>
      </c>
      <c r="E333" s="448">
        <f t="shared" si="28"/>
        <v>18</v>
      </c>
      <c r="F333" s="448" t="str">
        <f t="shared" si="29"/>
        <v>pm</v>
      </c>
      <c r="G333" s="448" t="s">
        <v>908</v>
      </c>
      <c r="H333" s="448" t="s">
        <v>558</v>
      </c>
      <c r="I333" s="448" t="s">
        <v>909</v>
      </c>
      <c r="J333" s="449" t="s">
        <v>21</v>
      </c>
      <c r="K333" s="450">
        <f t="shared" si="30"/>
        <v>2649.1130153756208</v>
      </c>
      <c r="L333" s="448"/>
      <c r="M333" s="450">
        <v>2800</v>
      </c>
      <c r="V333" s="450">
        <v>2649.1130153756208</v>
      </c>
      <c r="AH333"/>
      <c r="AI333"/>
    </row>
    <row r="334" spans="1:35" s="450" customFormat="1" x14ac:dyDescent="0.25">
      <c r="A334" s="448"/>
      <c r="B334" s="448"/>
      <c r="C334" s="448">
        <f t="shared" si="26"/>
        <v>21</v>
      </c>
      <c r="D334" s="448">
        <f t="shared" si="27"/>
        <v>21</v>
      </c>
      <c r="E334" s="448">
        <f t="shared" si="28"/>
        <v>18</v>
      </c>
      <c r="F334" s="448" t="str">
        <f t="shared" si="29"/>
        <v>odx</v>
      </c>
      <c r="G334" s="448" t="s">
        <v>910</v>
      </c>
      <c r="H334" s="448"/>
      <c r="I334" s="448" t="s">
        <v>911</v>
      </c>
      <c r="J334" s="449" t="s">
        <v>20</v>
      </c>
      <c r="K334" s="450">
        <f t="shared" si="30"/>
        <v>2602.9185670807669</v>
      </c>
      <c r="L334" s="448"/>
      <c r="M334" s="450">
        <v>2600</v>
      </c>
      <c r="O334" s="451"/>
      <c r="P334" s="451">
        <v>2602.9185670807669</v>
      </c>
      <c r="Q334" s="451"/>
      <c r="R334" s="451"/>
      <c r="S334" s="451"/>
      <c r="T334" s="451"/>
      <c r="U334" s="451"/>
      <c r="V334" s="451"/>
      <c r="W334" s="451"/>
      <c r="X334" s="451"/>
      <c r="Y334" s="451"/>
      <c r="Z334" s="451"/>
      <c r="AA334" s="451"/>
      <c r="AB334" s="451"/>
      <c r="AC334" s="451"/>
      <c r="AH334"/>
      <c r="AI334"/>
    </row>
    <row r="335" spans="1:35" s="450" customFormat="1" x14ac:dyDescent="0.25">
      <c r="A335" s="448">
        <v>6</v>
      </c>
      <c r="B335" s="448"/>
      <c r="C335" s="448">
        <f t="shared" si="26"/>
        <v>22</v>
      </c>
      <c r="D335" s="448">
        <f t="shared" si="27"/>
        <v>21</v>
      </c>
      <c r="E335" s="448">
        <f t="shared" si="28"/>
        <v>18</v>
      </c>
      <c r="F335" s="448" t="str">
        <f t="shared" si="29"/>
        <v>pm</v>
      </c>
      <c r="G335" s="448" t="s">
        <v>912</v>
      </c>
      <c r="H335" s="448" t="s">
        <v>778</v>
      </c>
      <c r="I335" s="448" t="s">
        <v>913</v>
      </c>
      <c r="J335" s="449" t="s">
        <v>20</v>
      </c>
      <c r="K335" s="450">
        <f t="shared" si="30"/>
        <v>2510.0902423646144</v>
      </c>
      <c r="L335" s="448"/>
      <c r="M335" s="450">
        <v>2600</v>
      </c>
      <c r="O335" s="451"/>
      <c r="P335" s="451">
        <v>2574.5250405208717</v>
      </c>
      <c r="Q335" s="451"/>
      <c r="R335" s="451">
        <v>2596.2496974466353</v>
      </c>
      <c r="S335" s="451"/>
      <c r="T335" s="451">
        <v>2553.4369337621843</v>
      </c>
      <c r="U335" s="451"/>
      <c r="V335" s="451">
        <v>2510.0902423646144</v>
      </c>
      <c r="W335" s="451"/>
      <c r="X335" s="451"/>
      <c r="Y335" s="451"/>
      <c r="Z335" s="451"/>
      <c r="AA335" s="451"/>
      <c r="AB335" s="451"/>
      <c r="AC335" s="451"/>
      <c r="AD335" s="451"/>
      <c r="AE335" s="451"/>
      <c r="AF335" s="451"/>
      <c r="AG335" s="451"/>
      <c r="AH335"/>
      <c r="AI335"/>
    </row>
    <row r="336" spans="1:35" s="450" customFormat="1" x14ac:dyDescent="0.25">
      <c r="A336" s="448">
        <v>5</v>
      </c>
      <c r="B336" s="448"/>
      <c r="C336" s="448">
        <f t="shared" si="26"/>
        <v>23</v>
      </c>
      <c r="D336" s="448">
        <f t="shared" si="27"/>
        <v>21</v>
      </c>
      <c r="E336" s="448">
        <f t="shared" si="28"/>
        <v>18</v>
      </c>
      <c r="F336" s="448" t="str">
        <f t="shared" si="29"/>
        <v>pm</v>
      </c>
      <c r="G336" s="448" t="s">
        <v>914</v>
      </c>
      <c r="H336" s="448" t="s">
        <v>688</v>
      </c>
      <c r="I336" s="448" t="s">
        <v>915</v>
      </c>
      <c r="J336" s="449" t="s">
        <v>20</v>
      </c>
      <c r="K336" s="450">
        <f t="shared" si="30"/>
        <v>2502.6511262464896</v>
      </c>
      <c r="L336" s="448"/>
      <c r="M336" s="450">
        <v>2600</v>
      </c>
      <c r="O336" s="451"/>
      <c r="P336" s="451">
        <v>2557.8851549220831</v>
      </c>
      <c r="Q336" s="451"/>
      <c r="R336" s="451">
        <v>2473.7158443350222</v>
      </c>
      <c r="S336" s="451"/>
      <c r="T336" s="451"/>
      <c r="U336" s="451"/>
      <c r="V336" s="451">
        <v>2502.6511262464896</v>
      </c>
      <c r="W336" s="451"/>
      <c r="X336" s="451"/>
      <c r="Y336" s="451"/>
      <c r="Z336" s="451"/>
      <c r="AA336" s="451"/>
      <c r="AB336" s="451"/>
      <c r="AC336" s="451"/>
      <c r="AD336" s="451"/>
      <c r="AE336" s="451"/>
      <c r="AF336" s="451"/>
      <c r="AG336" s="451"/>
      <c r="AH336"/>
      <c r="AI336"/>
    </row>
    <row r="337" spans="1:35" s="450" customFormat="1" x14ac:dyDescent="0.25">
      <c r="A337" s="448">
        <v>6</v>
      </c>
      <c r="B337" s="448"/>
      <c r="C337" s="448">
        <f t="shared" si="26"/>
        <v>24</v>
      </c>
      <c r="D337" s="448">
        <f t="shared" si="27"/>
        <v>21</v>
      </c>
      <c r="E337" s="448">
        <f t="shared" si="28"/>
        <v>18</v>
      </c>
      <c r="F337" s="448" t="str">
        <f t="shared" si="29"/>
        <v>pm</v>
      </c>
      <c r="G337" s="448" t="s">
        <v>916</v>
      </c>
      <c r="H337" s="448" t="s">
        <v>568</v>
      </c>
      <c r="I337" s="448" t="s">
        <v>917</v>
      </c>
      <c r="J337" s="449" t="s">
        <v>20</v>
      </c>
      <c r="K337" s="450">
        <f t="shared" si="30"/>
        <v>2494.1927566892282</v>
      </c>
      <c r="L337" s="448"/>
      <c r="M337" s="450">
        <v>2600</v>
      </c>
      <c r="P337" s="450">
        <v>2514.7294899987492</v>
      </c>
      <c r="R337" s="450">
        <v>2509.4195548725629</v>
      </c>
      <c r="T337" s="450">
        <v>2433.6821061109645</v>
      </c>
      <c r="V337" s="450">
        <v>2494.1927566892282</v>
      </c>
      <c r="AH337"/>
      <c r="AI337"/>
    </row>
    <row r="338" spans="1:35" s="450" customFormat="1" x14ac:dyDescent="0.25">
      <c r="A338" s="448"/>
      <c r="B338" s="448"/>
      <c r="C338" s="448">
        <f t="shared" si="26"/>
        <v>25</v>
      </c>
      <c r="D338" s="448">
        <f t="shared" si="27"/>
        <v>21</v>
      </c>
      <c r="E338" s="448">
        <f t="shared" si="28"/>
        <v>18</v>
      </c>
      <c r="F338" s="448" t="str">
        <f t="shared" si="29"/>
        <v>crx</v>
      </c>
      <c r="G338" s="448" t="s">
        <v>918</v>
      </c>
      <c r="H338" s="448"/>
      <c r="I338" s="448" t="s">
        <v>919</v>
      </c>
      <c r="J338" s="449" t="s">
        <v>20</v>
      </c>
      <c r="K338" s="450">
        <f t="shared" si="30"/>
        <v>2397.6848222901099</v>
      </c>
      <c r="L338" s="448"/>
      <c r="M338" s="450">
        <v>2600</v>
      </c>
      <c r="O338" s="451"/>
      <c r="P338" s="451">
        <v>2475.4152379667557</v>
      </c>
      <c r="Q338" s="451"/>
      <c r="R338" s="451">
        <v>2472.4288388686223</v>
      </c>
      <c r="S338" s="451">
        <v>2400.0726824600274</v>
      </c>
      <c r="T338" s="451"/>
      <c r="U338" s="451"/>
      <c r="V338" s="451">
        <v>2397.6848222901099</v>
      </c>
      <c r="W338" s="451"/>
      <c r="X338" s="451"/>
      <c r="Y338" s="451"/>
      <c r="Z338" s="451"/>
      <c r="AA338" s="451"/>
      <c r="AB338" s="451"/>
      <c r="AC338" s="451"/>
      <c r="AH338"/>
      <c r="AI338"/>
    </row>
    <row r="339" spans="1:35" s="450" customFormat="1" x14ac:dyDescent="0.25">
      <c r="A339" s="448">
        <v>4</v>
      </c>
      <c r="B339" s="448"/>
      <c r="C339" s="448">
        <f t="shared" si="26"/>
        <v>26</v>
      </c>
      <c r="D339" s="448">
        <f t="shared" si="27"/>
        <v>21</v>
      </c>
      <c r="E339" s="448">
        <f t="shared" si="28"/>
        <v>18</v>
      </c>
      <c r="F339" s="448" t="str">
        <f t="shared" si="29"/>
        <v>pm</v>
      </c>
      <c r="G339" s="448" t="s">
        <v>920</v>
      </c>
      <c r="H339" s="448" t="s">
        <v>711</v>
      </c>
      <c r="I339" s="448" t="s">
        <v>921</v>
      </c>
      <c r="J339" s="449" t="s">
        <v>20</v>
      </c>
      <c r="K339" s="450">
        <f t="shared" si="30"/>
        <v>2515.6645455633688</v>
      </c>
      <c r="L339" s="448"/>
      <c r="M339" s="450">
        <v>2600</v>
      </c>
      <c r="P339" s="450">
        <v>2553.2237594256922</v>
      </c>
      <c r="V339" s="450">
        <v>2515.6645455633688</v>
      </c>
      <c r="AH339"/>
      <c r="AI339"/>
    </row>
    <row r="340" spans="1:35" s="450" customFormat="1" x14ac:dyDescent="0.25">
      <c r="A340" s="448">
        <v>5</v>
      </c>
      <c r="B340" s="448"/>
      <c r="C340" s="448">
        <f t="shared" si="26"/>
        <v>27</v>
      </c>
      <c r="D340" s="448">
        <f t="shared" si="27"/>
        <v>21</v>
      </c>
      <c r="E340" s="448">
        <f t="shared" si="28"/>
        <v>18</v>
      </c>
      <c r="F340" s="448" t="str">
        <f t="shared" si="29"/>
        <v>pm</v>
      </c>
      <c r="G340" s="448" t="s">
        <v>922</v>
      </c>
      <c r="H340" s="448" t="s">
        <v>504</v>
      </c>
      <c r="I340" s="448" t="s">
        <v>923</v>
      </c>
      <c r="J340" s="449" t="s">
        <v>20</v>
      </c>
      <c r="K340" s="450">
        <f t="shared" si="30"/>
        <v>2546.411939483321</v>
      </c>
      <c r="L340" s="448"/>
      <c r="M340" s="450">
        <v>2600</v>
      </c>
      <c r="R340" s="450">
        <v>2578.5617945802783</v>
      </c>
      <c r="T340" s="450">
        <v>2524.5863454487444</v>
      </c>
      <c r="V340" s="450">
        <v>2546.411939483321</v>
      </c>
      <c r="AH340"/>
      <c r="AI340"/>
    </row>
    <row r="342" spans="1:35" s="450" customFormat="1" x14ac:dyDescent="0.25">
      <c r="A342" s="448"/>
      <c r="B342" s="448"/>
      <c r="C342" s="448">
        <f t="shared" ref="C342:C354" si="31">IF(E342=E341,C341+1,1)</f>
        <v>1</v>
      </c>
      <c r="D342" s="448">
        <f t="shared" ref="D342:D354" si="32">IF(M342=M341,D341,C342)</f>
        <v>1</v>
      </c>
      <c r="E342" s="448">
        <f t="shared" ref="E342:E354" si="33">10+VALUE(RIGHT(LEFT(G342,3),1))</f>
        <v>12</v>
      </c>
      <c r="F342" s="448" t="str">
        <f t="shared" ref="F342:F354" si="34">RIGHT(G342,2) &amp; IF(A342&lt;2,"x","")</f>
        <v>crx</v>
      </c>
      <c r="G342" s="448" t="s">
        <v>924</v>
      </c>
      <c r="H342" s="448"/>
      <c r="I342" s="448" t="s">
        <v>925</v>
      </c>
      <c r="J342" s="449" t="s">
        <v>20</v>
      </c>
      <c r="K342" s="450">
        <f t="shared" ref="K342:K354" si="35">LOOKUP(1E+100,M342:AC342)</f>
        <v>1320.4862658830502</v>
      </c>
      <c r="L342" s="448"/>
      <c r="M342" s="450">
        <v>1400</v>
      </c>
      <c r="O342" s="451"/>
      <c r="P342" s="451"/>
      <c r="Q342" s="451"/>
      <c r="R342" s="451">
        <v>1320.4862658830502</v>
      </c>
      <c r="S342" s="451"/>
      <c r="T342" s="451"/>
      <c r="U342" s="451"/>
      <c r="V342" s="451"/>
      <c r="W342" s="451"/>
      <c r="X342" s="451"/>
      <c r="Y342" s="451"/>
      <c r="Z342" s="451"/>
      <c r="AA342" s="451"/>
      <c r="AB342" s="451"/>
      <c r="AC342" s="451"/>
      <c r="AH342"/>
      <c r="AI342"/>
    </row>
    <row r="343" spans="1:35" s="450" customFormat="1" x14ac:dyDescent="0.25">
      <c r="A343" s="448"/>
      <c r="B343" s="448"/>
      <c r="C343" s="448">
        <f t="shared" si="31"/>
        <v>2</v>
      </c>
      <c r="D343" s="448">
        <f t="shared" si="32"/>
        <v>1</v>
      </c>
      <c r="E343" s="448">
        <f t="shared" si="33"/>
        <v>12</v>
      </c>
      <c r="F343" s="448" t="str">
        <f t="shared" si="34"/>
        <v>crx</v>
      </c>
      <c r="G343" s="448" t="s">
        <v>926</v>
      </c>
      <c r="H343" s="448"/>
      <c r="I343" s="448" t="s">
        <v>927</v>
      </c>
      <c r="J343" s="449" t="s">
        <v>20</v>
      </c>
      <c r="K343" s="450">
        <f t="shared" si="35"/>
        <v>1391.8137915140383</v>
      </c>
      <c r="L343" s="448"/>
      <c r="M343" s="450">
        <v>1400</v>
      </c>
      <c r="O343" s="451"/>
      <c r="P343" s="451"/>
      <c r="Q343" s="451"/>
      <c r="R343" s="451">
        <v>1391.8137915140383</v>
      </c>
      <c r="S343" s="451"/>
      <c r="T343" s="451"/>
      <c r="U343" s="451"/>
      <c r="V343" s="451"/>
      <c r="W343" s="451"/>
      <c r="X343" s="451"/>
      <c r="Y343" s="451"/>
      <c r="Z343" s="451"/>
      <c r="AA343" s="451"/>
      <c r="AB343" s="451"/>
      <c r="AC343" s="451"/>
      <c r="AH343"/>
      <c r="AI343"/>
    </row>
    <row r="344" spans="1:35" s="450" customFormat="1" x14ac:dyDescent="0.25">
      <c r="A344" s="448"/>
      <c r="B344" s="448"/>
      <c r="C344" s="448">
        <f t="shared" si="31"/>
        <v>1</v>
      </c>
      <c r="D344" s="448">
        <f t="shared" si="32"/>
        <v>1</v>
      </c>
      <c r="E344" s="448">
        <f t="shared" si="33"/>
        <v>13</v>
      </c>
      <c r="F344" s="448" t="str">
        <f t="shared" si="34"/>
        <v>crx</v>
      </c>
      <c r="G344" s="448" t="s">
        <v>928</v>
      </c>
      <c r="H344" s="448"/>
      <c r="I344" s="448" t="s">
        <v>929</v>
      </c>
      <c r="J344" s="449" t="s">
        <v>20</v>
      </c>
      <c r="K344" s="450">
        <f t="shared" si="35"/>
        <v>1581.7793548939239</v>
      </c>
      <c r="L344" s="448"/>
      <c r="M344" s="450">
        <v>1600</v>
      </c>
      <c r="O344" s="451"/>
      <c r="P344" s="451"/>
      <c r="Q344" s="451"/>
      <c r="R344" s="451">
        <v>1581.7793548939239</v>
      </c>
      <c r="S344" s="451"/>
      <c r="T344" s="451"/>
      <c r="U344" s="451"/>
      <c r="V344" s="451"/>
      <c r="W344" s="451"/>
      <c r="X344" s="451"/>
      <c r="Y344" s="451"/>
      <c r="Z344" s="451"/>
      <c r="AA344" s="451"/>
      <c r="AB344" s="451"/>
      <c r="AC344" s="451"/>
      <c r="AH344"/>
      <c r="AI344"/>
    </row>
    <row r="345" spans="1:35" s="450" customFormat="1" x14ac:dyDescent="0.25">
      <c r="A345" s="448"/>
      <c r="B345" s="448"/>
      <c r="C345" s="448">
        <f t="shared" si="31"/>
        <v>2</v>
      </c>
      <c r="D345" s="448">
        <f t="shared" si="32"/>
        <v>1</v>
      </c>
      <c r="E345" s="448">
        <f t="shared" si="33"/>
        <v>13</v>
      </c>
      <c r="F345" s="448" t="str">
        <f t="shared" si="34"/>
        <v>crx</v>
      </c>
      <c r="G345" s="448" t="s">
        <v>930</v>
      </c>
      <c r="H345" s="448"/>
      <c r="I345" s="448" t="s">
        <v>931</v>
      </c>
      <c r="J345" s="449" t="s">
        <v>20</v>
      </c>
      <c r="K345" s="450">
        <f t="shared" si="35"/>
        <v>1538.2512759206038</v>
      </c>
      <c r="L345" s="448"/>
      <c r="M345" s="450">
        <v>1600</v>
      </c>
      <c r="O345" s="451"/>
      <c r="P345" s="451"/>
      <c r="Q345" s="451"/>
      <c r="R345" s="451">
        <v>1538.2512759206038</v>
      </c>
      <c r="S345" s="451"/>
      <c r="T345" s="451"/>
      <c r="U345" s="451"/>
      <c r="V345" s="451"/>
      <c r="W345" s="451"/>
      <c r="X345" s="451"/>
      <c r="Y345" s="451"/>
      <c r="Z345" s="451"/>
      <c r="AA345" s="451"/>
      <c r="AB345" s="451"/>
      <c r="AC345" s="451"/>
      <c r="AH345"/>
      <c r="AI345"/>
    </row>
    <row r="346" spans="1:35" s="450" customFormat="1" x14ac:dyDescent="0.25">
      <c r="A346" s="448"/>
      <c r="B346" s="448"/>
      <c r="C346" s="448">
        <f t="shared" si="31"/>
        <v>3</v>
      </c>
      <c r="D346" s="448">
        <f t="shared" si="32"/>
        <v>1</v>
      </c>
      <c r="E346" s="448">
        <f t="shared" si="33"/>
        <v>13</v>
      </c>
      <c r="F346" s="448" t="str">
        <f t="shared" si="34"/>
        <v>sox</v>
      </c>
      <c r="G346" s="448" t="s">
        <v>932</v>
      </c>
      <c r="H346" s="448"/>
      <c r="I346" s="448" t="s">
        <v>933</v>
      </c>
      <c r="J346" s="449" t="s">
        <v>20</v>
      </c>
      <c r="K346" s="450">
        <f t="shared" si="35"/>
        <v>1588.274267499768</v>
      </c>
      <c r="L346" s="448"/>
      <c r="M346" s="450">
        <v>1600</v>
      </c>
      <c r="O346" s="451"/>
      <c r="P346" s="451"/>
      <c r="Q346" s="451"/>
      <c r="R346" s="451">
        <v>1588.274267499768</v>
      </c>
      <c r="S346" s="451"/>
      <c r="T346" s="451"/>
      <c r="U346" s="451"/>
      <c r="V346" s="451"/>
      <c r="W346" s="451"/>
      <c r="X346" s="451"/>
      <c r="Y346" s="451"/>
      <c r="Z346" s="451"/>
      <c r="AA346" s="451"/>
      <c r="AB346" s="451"/>
      <c r="AC346" s="451"/>
      <c r="AH346"/>
      <c r="AI346"/>
    </row>
    <row r="347" spans="1:35" s="450" customFormat="1" x14ac:dyDescent="0.25">
      <c r="A347" s="448"/>
      <c r="B347" s="448"/>
      <c r="C347" s="448">
        <f t="shared" si="31"/>
        <v>4</v>
      </c>
      <c r="D347" s="448">
        <f t="shared" si="32"/>
        <v>1</v>
      </c>
      <c r="E347" s="448">
        <f t="shared" si="33"/>
        <v>13</v>
      </c>
      <c r="F347" s="448" t="str">
        <f t="shared" si="34"/>
        <v>crx</v>
      </c>
      <c r="G347" s="448" t="s">
        <v>934</v>
      </c>
      <c r="H347" s="448"/>
      <c r="I347" s="448" t="s">
        <v>935</v>
      </c>
      <c r="J347" s="449" t="s">
        <v>20</v>
      </c>
      <c r="K347" s="450">
        <f t="shared" si="35"/>
        <v>1691.8845030087787</v>
      </c>
      <c r="L347" s="448"/>
      <c r="M347" s="450">
        <v>1600</v>
      </c>
      <c r="O347" s="451"/>
      <c r="P347" s="451"/>
      <c r="Q347" s="451"/>
      <c r="R347" s="451">
        <v>1691.8845030087787</v>
      </c>
      <c r="S347" s="451"/>
      <c r="T347" s="451"/>
      <c r="U347" s="451"/>
      <c r="V347" s="451"/>
      <c r="W347" s="451"/>
      <c r="X347" s="451"/>
      <c r="Y347" s="451"/>
      <c r="Z347" s="451"/>
      <c r="AA347" s="451"/>
      <c r="AB347" s="451"/>
      <c r="AC347" s="451"/>
      <c r="AH347"/>
      <c r="AI347"/>
    </row>
    <row r="348" spans="1:35" s="450" customFormat="1" x14ac:dyDescent="0.25">
      <c r="A348" s="448"/>
      <c r="B348" s="448"/>
      <c r="C348" s="448">
        <f t="shared" si="31"/>
        <v>5</v>
      </c>
      <c r="D348" s="448">
        <f t="shared" si="32"/>
        <v>1</v>
      </c>
      <c r="E348" s="448">
        <f t="shared" si="33"/>
        <v>13</v>
      </c>
      <c r="F348" s="448" t="str">
        <f t="shared" si="34"/>
        <v>crx</v>
      </c>
      <c r="G348" s="448" t="s">
        <v>936</v>
      </c>
      <c r="H348" s="448"/>
      <c r="I348" s="448" t="s">
        <v>937</v>
      </c>
      <c r="J348" s="449" t="s">
        <v>20</v>
      </c>
      <c r="K348" s="450">
        <f t="shared" si="35"/>
        <v>1677.7593858620078</v>
      </c>
      <c r="L348" s="448"/>
      <c r="M348" s="450">
        <v>1600</v>
      </c>
      <c r="O348" s="451"/>
      <c r="P348" s="451"/>
      <c r="Q348" s="451"/>
      <c r="R348" s="451">
        <v>1677.7593858620078</v>
      </c>
      <c r="S348" s="451"/>
      <c r="T348" s="451"/>
      <c r="U348" s="451"/>
      <c r="V348" s="451"/>
      <c r="W348" s="451"/>
      <c r="X348" s="451"/>
      <c r="Y348" s="451"/>
      <c r="Z348" s="451"/>
      <c r="AA348" s="451"/>
      <c r="AB348" s="451"/>
      <c r="AC348" s="451"/>
      <c r="AH348"/>
      <c r="AI348"/>
    </row>
    <row r="349" spans="1:35" s="450" customFormat="1" x14ac:dyDescent="0.25">
      <c r="A349" s="448"/>
      <c r="B349" s="448"/>
      <c r="C349" s="448">
        <f t="shared" si="31"/>
        <v>6</v>
      </c>
      <c r="D349" s="448">
        <f t="shared" si="32"/>
        <v>1</v>
      </c>
      <c r="E349" s="448">
        <f t="shared" si="33"/>
        <v>13</v>
      </c>
      <c r="F349" s="448" t="str">
        <f t="shared" si="34"/>
        <v>crx</v>
      </c>
      <c r="G349" s="448" t="s">
        <v>938</v>
      </c>
      <c r="H349" s="448"/>
      <c r="I349" s="448" t="s">
        <v>939</v>
      </c>
      <c r="J349" s="449" t="s">
        <v>20</v>
      </c>
      <c r="K349" s="450">
        <f t="shared" si="35"/>
        <v>1502.6816418788346</v>
      </c>
      <c r="L349" s="448"/>
      <c r="M349" s="450">
        <v>1600</v>
      </c>
      <c r="O349" s="451"/>
      <c r="P349" s="451"/>
      <c r="Q349" s="451"/>
      <c r="R349" s="451">
        <v>1502.6816418788346</v>
      </c>
      <c r="S349" s="451"/>
      <c r="T349" s="451"/>
      <c r="U349" s="451"/>
      <c r="V349" s="451"/>
      <c r="W349" s="451"/>
      <c r="X349" s="451"/>
      <c r="Y349" s="451"/>
      <c r="Z349" s="451"/>
      <c r="AA349" s="451"/>
      <c r="AB349" s="451"/>
      <c r="AC349" s="451"/>
      <c r="AH349"/>
      <c r="AI349"/>
    </row>
    <row r="350" spans="1:35" s="450" customFormat="1" x14ac:dyDescent="0.25">
      <c r="A350" s="448"/>
      <c r="B350" s="448"/>
      <c r="C350" s="448">
        <f t="shared" si="31"/>
        <v>7</v>
      </c>
      <c r="D350" s="448">
        <f t="shared" si="32"/>
        <v>1</v>
      </c>
      <c r="E350" s="448">
        <f t="shared" si="33"/>
        <v>13</v>
      </c>
      <c r="F350" s="448" t="str">
        <f t="shared" si="34"/>
        <v>crx</v>
      </c>
      <c r="G350" s="448" t="s">
        <v>940</v>
      </c>
      <c r="H350" s="448"/>
      <c r="I350" s="448" t="s">
        <v>941</v>
      </c>
      <c r="J350" s="449" t="s">
        <v>20</v>
      </c>
      <c r="K350" s="450">
        <f t="shared" si="35"/>
        <v>1601.009624497224</v>
      </c>
      <c r="L350" s="448"/>
      <c r="M350" s="450">
        <v>1600</v>
      </c>
      <c r="O350" s="451"/>
      <c r="P350" s="451"/>
      <c r="Q350" s="451"/>
      <c r="R350" s="451">
        <v>1601.009624497224</v>
      </c>
      <c r="S350" s="451"/>
      <c r="T350" s="451"/>
      <c r="U350" s="451"/>
      <c r="V350" s="451"/>
      <c r="W350" s="451"/>
      <c r="X350" s="451"/>
      <c r="Y350" s="451"/>
      <c r="Z350" s="451"/>
      <c r="AA350" s="451"/>
      <c r="AB350" s="451"/>
      <c r="AC350" s="451"/>
      <c r="AH350"/>
      <c r="AI350"/>
    </row>
    <row r="351" spans="1:35" s="450" customFormat="1" x14ac:dyDescent="0.25">
      <c r="A351" s="448"/>
      <c r="B351" s="448"/>
      <c r="C351" s="448">
        <f t="shared" si="31"/>
        <v>8</v>
      </c>
      <c r="D351" s="448">
        <f t="shared" si="32"/>
        <v>1</v>
      </c>
      <c r="E351" s="448">
        <f t="shared" si="33"/>
        <v>13</v>
      </c>
      <c r="F351" s="448" t="str">
        <f t="shared" si="34"/>
        <v>sox</v>
      </c>
      <c r="G351" s="448" t="s">
        <v>942</v>
      </c>
      <c r="H351" s="448"/>
      <c r="I351" s="448" t="s">
        <v>943</v>
      </c>
      <c r="J351" s="449" t="s">
        <v>20</v>
      </c>
      <c r="K351" s="450">
        <f t="shared" si="35"/>
        <v>1600</v>
      </c>
      <c r="L351" s="448"/>
      <c r="M351" s="450">
        <v>1600</v>
      </c>
      <c r="O351" s="451"/>
      <c r="P351" s="451"/>
      <c r="Q351" s="451"/>
      <c r="R351" s="451"/>
      <c r="S351" s="451"/>
      <c r="T351" s="451"/>
      <c r="U351" s="451"/>
      <c r="V351" s="451"/>
      <c r="W351" s="451"/>
      <c r="X351" s="451"/>
      <c r="Y351" s="451"/>
      <c r="Z351" s="451"/>
      <c r="AA351" s="451"/>
      <c r="AB351" s="451"/>
      <c r="AC351" s="451"/>
      <c r="AH351"/>
      <c r="AI351"/>
    </row>
    <row r="352" spans="1:35" s="450" customFormat="1" x14ac:dyDescent="0.25">
      <c r="A352" s="448"/>
      <c r="B352" s="448"/>
      <c r="C352" s="448">
        <f t="shared" si="31"/>
        <v>1</v>
      </c>
      <c r="D352" s="448">
        <f t="shared" si="32"/>
        <v>1</v>
      </c>
      <c r="E352" s="448">
        <f t="shared" si="33"/>
        <v>14</v>
      </c>
      <c r="F352" s="448" t="str">
        <f t="shared" si="34"/>
        <v>crx</v>
      </c>
      <c r="G352" s="448" t="s">
        <v>944</v>
      </c>
      <c r="H352" s="448"/>
      <c r="I352" s="448" t="s">
        <v>945</v>
      </c>
      <c r="J352" s="449" t="s">
        <v>20</v>
      </c>
      <c r="K352" s="450">
        <f t="shared" si="35"/>
        <v>1875.7442994050036</v>
      </c>
      <c r="L352" s="448"/>
      <c r="M352" s="450">
        <v>1800</v>
      </c>
      <c r="O352" s="451"/>
      <c r="P352" s="451"/>
      <c r="Q352" s="451"/>
      <c r="R352" s="451">
        <v>1875.7442994050036</v>
      </c>
      <c r="S352" s="451"/>
      <c r="T352" s="451"/>
      <c r="U352" s="451"/>
      <c r="V352" s="451"/>
      <c r="W352" s="451"/>
      <c r="X352" s="451"/>
      <c r="Y352" s="451"/>
      <c r="Z352" s="451"/>
      <c r="AA352" s="451"/>
      <c r="AB352" s="451"/>
      <c r="AC352" s="451"/>
      <c r="AH352"/>
      <c r="AI352"/>
    </row>
    <row r="353" spans="1:35" s="450" customFormat="1" x14ac:dyDescent="0.25">
      <c r="A353" s="448"/>
      <c r="B353" s="448"/>
      <c r="C353" s="448">
        <f t="shared" si="31"/>
        <v>2</v>
      </c>
      <c r="D353" s="448">
        <f t="shared" si="32"/>
        <v>1</v>
      </c>
      <c r="E353" s="448">
        <f t="shared" si="33"/>
        <v>14</v>
      </c>
      <c r="F353" s="448" t="str">
        <f t="shared" si="34"/>
        <v>sox</v>
      </c>
      <c r="G353" s="448" t="s">
        <v>946</v>
      </c>
      <c r="H353" s="448"/>
      <c r="I353" s="448" t="s">
        <v>947</v>
      </c>
      <c r="J353" s="449" t="s">
        <v>20</v>
      </c>
      <c r="K353" s="450">
        <f t="shared" si="35"/>
        <v>1798.0859561642374</v>
      </c>
      <c r="L353" s="448"/>
      <c r="M353" s="450">
        <v>1800</v>
      </c>
      <c r="O353" s="451"/>
      <c r="P353" s="451"/>
      <c r="Q353" s="451"/>
      <c r="R353" s="451">
        <v>1798.0859561642374</v>
      </c>
      <c r="S353" s="451"/>
      <c r="T353" s="451"/>
      <c r="U353" s="451"/>
      <c r="V353" s="451"/>
      <c r="W353" s="451"/>
      <c r="X353" s="451"/>
      <c r="Y353" s="451"/>
      <c r="Z353" s="451"/>
      <c r="AA353" s="451"/>
      <c r="AB353" s="451"/>
      <c r="AC353" s="451"/>
      <c r="AH353"/>
      <c r="AI353"/>
    </row>
    <row r="354" spans="1:35" s="450" customFormat="1" x14ac:dyDescent="0.25">
      <c r="A354" s="448"/>
      <c r="B354" s="448"/>
      <c r="C354" s="448">
        <f t="shared" si="31"/>
        <v>3</v>
      </c>
      <c r="D354" s="448">
        <f t="shared" si="32"/>
        <v>3</v>
      </c>
      <c r="E354" s="448">
        <f t="shared" si="33"/>
        <v>14</v>
      </c>
      <c r="F354" s="448" t="str">
        <f t="shared" si="34"/>
        <v>crx</v>
      </c>
      <c r="G354" s="448" t="s">
        <v>948</v>
      </c>
      <c r="H354" s="448"/>
      <c r="I354" s="448" t="s">
        <v>949</v>
      </c>
      <c r="J354" s="449" t="s">
        <v>21</v>
      </c>
      <c r="K354" s="450">
        <f t="shared" si="35"/>
        <v>2288.9906609979612</v>
      </c>
      <c r="L354" s="448"/>
      <c r="M354" s="450">
        <v>2200</v>
      </c>
      <c r="O354" s="451"/>
      <c r="P354" s="451"/>
      <c r="Q354" s="451">
        <v>2288.9906609979612</v>
      </c>
      <c r="R354" s="451"/>
      <c r="S354" s="451"/>
      <c r="T354" s="451"/>
      <c r="U354" s="451"/>
      <c r="V354" s="451"/>
      <c r="W354" s="451"/>
      <c r="X354" s="451"/>
      <c r="Y354" s="451"/>
      <c r="Z354" s="451"/>
      <c r="AA354" s="451"/>
      <c r="AB354" s="451"/>
      <c r="AC354" s="451"/>
      <c r="AH354"/>
      <c r="AI354"/>
    </row>
    <row r="356" spans="1:35" s="450" customFormat="1" x14ac:dyDescent="0.25">
      <c r="A356" s="448"/>
      <c r="B356" s="448"/>
      <c r="C356" s="448">
        <f t="shared" ref="C356:C358" si="36">IF(E356=E355,C355+1,1)</f>
        <v>1</v>
      </c>
      <c r="D356" s="448">
        <f t="shared" ref="D356:D358" si="37">IF(M356=M355,D355,C356)</f>
        <v>1</v>
      </c>
      <c r="E356" s="448">
        <f t="shared" ref="E356:E358" si="38">10+VALUE(RIGHT(LEFT(G356,3),1))</f>
        <v>16</v>
      </c>
      <c r="F356" s="448" t="str">
        <f t="shared" ref="F356:F358" si="39">RIGHT(G356,2) &amp; IF(A356&lt;2,"x","")</f>
        <v>crx</v>
      </c>
      <c r="G356" s="448" t="s">
        <v>950</v>
      </c>
      <c r="H356" s="448"/>
      <c r="I356" s="448" t="s">
        <v>951</v>
      </c>
      <c r="J356" s="449" t="s">
        <v>21</v>
      </c>
      <c r="K356" s="450">
        <f t="shared" ref="K356:K358" si="40">LOOKUP(1E+100,M356:AC356)</f>
        <v>2623.9261077264655</v>
      </c>
      <c r="L356" s="448"/>
      <c r="M356" s="450">
        <v>2600</v>
      </c>
      <c r="O356" s="451"/>
      <c r="P356" s="451"/>
      <c r="Q356" s="451"/>
      <c r="R356" s="451">
        <v>2622.8602349278954</v>
      </c>
      <c r="S356" s="451">
        <v>2623.9261077264655</v>
      </c>
      <c r="T356" s="451"/>
      <c r="U356" s="451"/>
      <c r="V356" s="451"/>
      <c r="W356" s="451"/>
      <c r="X356" s="451"/>
      <c r="Y356" s="451"/>
      <c r="Z356" s="451"/>
      <c r="AA356" s="451"/>
      <c r="AB356" s="451"/>
      <c r="AC356" s="451"/>
      <c r="AH356"/>
      <c r="AI356"/>
    </row>
    <row r="357" spans="1:35" s="450" customFormat="1" x14ac:dyDescent="0.25">
      <c r="A357" s="448"/>
      <c r="B357" s="448"/>
      <c r="C357" s="448">
        <f t="shared" si="36"/>
        <v>1</v>
      </c>
      <c r="D357" s="448">
        <f t="shared" si="37"/>
        <v>1</v>
      </c>
      <c r="E357" s="448">
        <f t="shared" si="38"/>
        <v>17</v>
      </c>
      <c r="F357" s="448" t="str">
        <f t="shared" si="39"/>
        <v>sox</v>
      </c>
      <c r="G357" s="448" t="s">
        <v>952</v>
      </c>
      <c r="H357" s="448"/>
      <c r="I357" s="448" t="s">
        <v>953</v>
      </c>
      <c r="J357" s="449" t="s">
        <v>20</v>
      </c>
      <c r="K357" s="450">
        <f t="shared" si="40"/>
        <v>2491.8670047450555</v>
      </c>
      <c r="L357" s="448"/>
      <c r="M357" s="450">
        <v>2400</v>
      </c>
      <c r="O357" s="451"/>
      <c r="P357" s="451"/>
      <c r="Q357" s="451"/>
      <c r="R357" s="451">
        <v>2491.8670047450555</v>
      </c>
      <c r="S357" s="451"/>
      <c r="T357" s="451"/>
      <c r="U357" s="451"/>
      <c r="V357" s="451"/>
      <c r="W357" s="451"/>
      <c r="X357" s="451"/>
      <c r="Y357" s="451"/>
      <c r="Z357" s="451"/>
      <c r="AA357" s="451"/>
      <c r="AB357" s="451"/>
      <c r="AC357" s="451"/>
      <c r="AH357"/>
      <c r="AI357"/>
    </row>
    <row r="358" spans="1:35" s="450" customFormat="1" x14ac:dyDescent="0.25">
      <c r="A358" s="448"/>
      <c r="B358" s="448"/>
      <c r="C358" s="448">
        <f t="shared" si="36"/>
        <v>2</v>
      </c>
      <c r="D358" s="448">
        <f t="shared" si="37"/>
        <v>1</v>
      </c>
      <c r="E358" s="448">
        <f t="shared" si="38"/>
        <v>17</v>
      </c>
      <c r="F358" s="448" t="str">
        <f t="shared" si="39"/>
        <v>crx</v>
      </c>
      <c r="G358" s="448" t="s">
        <v>954</v>
      </c>
      <c r="H358" s="448"/>
      <c r="I358" s="448" t="s">
        <v>955</v>
      </c>
      <c r="J358" s="449" t="s">
        <v>20</v>
      </c>
      <c r="K358" s="450">
        <f t="shared" si="40"/>
        <v>2561.5074576136981</v>
      </c>
      <c r="L358" s="448"/>
      <c r="M358" s="450">
        <v>2400</v>
      </c>
      <c r="O358" s="451"/>
      <c r="P358" s="451"/>
      <c r="Q358" s="451"/>
      <c r="R358" s="451">
        <v>2454.7946956693254</v>
      </c>
      <c r="S358" s="451"/>
      <c r="T358" s="451"/>
      <c r="U358" s="451"/>
      <c r="V358" s="451">
        <v>2561.5074576136981</v>
      </c>
      <c r="W358" s="451"/>
      <c r="X358" s="451"/>
      <c r="Y358" s="451"/>
      <c r="Z358" s="451"/>
      <c r="AA358" s="451"/>
      <c r="AB358" s="451"/>
      <c r="AC358" s="451"/>
      <c r="AH358"/>
      <c r="AI358"/>
    </row>
    <row r="360" spans="1:35" s="450" customFormat="1" x14ac:dyDescent="0.25">
      <c r="A360" s="448"/>
      <c r="B360" s="448"/>
      <c r="C360" s="448">
        <f t="shared" ref="C360:C363" si="41">IF(E360=E359,C359+1,1)</f>
        <v>1</v>
      </c>
      <c r="D360" s="448">
        <f t="shared" ref="D360:D363" si="42">IF(M360=M359,D359,C360)</f>
        <v>1</v>
      </c>
      <c r="E360" s="448">
        <f t="shared" ref="E360:E363" si="43">10+VALUE(RIGHT(LEFT(G360,3),1))</f>
        <v>18</v>
      </c>
      <c r="F360" s="448" t="str">
        <f t="shared" ref="F360:F363" si="44">RIGHT(G360,2) &amp; IF(A360&lt;2,"x","")</f>
        <v>crx</v>
      </c>
      <c r="G360" s="448" t="s">
        <v>956</v>
      </c>
      <c r="H360" s="448"/>
      <c r="I360" s="448" t="s">
        <v>957</v>
      </c>
      <c r="J360" s="449" t="s">
        <v>20</v>
      </c>
      <c r="K360" s="450">
        <f t="shared" ref="K360:K363" si="45">LOOKUP(1E+100,M360:AC360)</f>
        <v>2680.7915657736075</v>
      </c>
      <c r="L360" s="448"/>
      <c r="M360" s="450">
        <v>2600</v>
      </c>
      <c r="O360" s="451"/>
      <c r="P360" s="451"/>
      <c r="Q360" s="451"/>
      <c r="R360" s="451">
        <v>2680.7915657736075</v>
      </c>
      <c r="S360" s="451"/>
      <c r="T360" s="451"/>
      <c r="U360" s="451"/>
      <c r="V360" s="451"/>
      <c r="W360" s="451"/>
      <c r="X360" s="451"/>
      <c r="Y360" s="451"/>
      <c r="Z360" s="451"/>
      <c r="AA360" s="451"/>
      <c r="AB360" s="451"/>
      <c r="AC360" s="451"/>
      <c r="AH360"/>
      <c r="AI360"/>
    </row>
    <row r="361" spans="1:35" s="450" customFormat="1" x14ac:dyDescent="0.25">
      <c r="A361" s="448"/>
      <c r="B361" s="448"/>
      <c r="C361" s="448">
        <f t="shared" si="41"/>
        <v>2</v>
      </c>
      <c r="D361" s="448">
        <f t="shared" si="42"/>
        <v>1</v>
      </c>
      <c r="E361" s="448">
        <f t="shared" si="43"/>
        <v>18</v>
      </c>
      <c r="F361" s="448" t="str">
        <f t="shared" si="44"/>
        <v>crx</v>
      </c>
      <c r="G361" s="448" t="s">
        <v>958</v>
      </c>
      <c r="H361" s="448"/>
      <c r="I361" s="448" t="s">
        <v>959</v>
      </c>
      <c r="J361" s="449" t="s">
        <v>20</v>
      </c>
      <c r="K361" s="450">
        <f t="shared" si="45"/>
        <v>2479.0590832625021</v>
      </c>
      <c r="L361" s="448"/>
      <c r="M361" s="450">
        <v>2600</v>
      </c>
      <c r="O361" s="451"/>
      <c r="P361" s="451"/>
      <c r="Q361" s="451"/>
      <c r="R361" s="451">
        <v>2515.8622226546854</v>
      </c>
      <c r="S361" s="451"/>
      <c r="T361" s="451">
        <v>2479.0590832625021</v>
      </c>
      <c r="U361" s="451"/>
      <c r="V361" s="451"/>
      <c r="W361" s="451"/>
      <c r="X361" s="451"/>
      <c r="Y361" s="451"/>
      <c r="Z361" s="451"/>
      <c r="AA361" s="451"/>
      <c r="AB361" s="451"/>
      <c r="AC361" s="451"/>
      <c r="AH361"/>
      <c r="AI361"/>
    </row>
    <row r="362" spans="1:35" s="450" customFormat="1" x14ac:dyDescent="0.25">
      <c r="A362" s="448"/>
      <c r="B362" s="448"/>
      <c r="C362" s="448">
        <f t="shared" si="41"/>
        <v>1</v>
      </c>
      <c r="D362" s="448">
        <f t="shared" si="42"/>
        <v>1</v>
      </c>
      <c r="E362" s="448">
        <f t="shared" si="43"/>
        <v>17</v>
      </c>
      <c r="F362" s="448" t="str">
        <f t="shared" si="44"/>
        <v>crx</v>
      </c>
      <c r="G362" s="448" t="s">
        <v>960</v>
      </c>
      <c r="H362" s="448"/>
      <c r="I362" s="448" t="s">
        <v>961</v>
      </c>
      <c r="J362" s="449" t="s">
        <v>20</v>
      </c>
      <c r="K362" s="450">
        <f t="shared" si="45"/>
        <v>2799.0192087233559</v>
      </c>
      <c r="L362" s="448"/>
      <c r="M362" s="450">
        <v>2600</v>
      </c>
      <c r="O362" s="451"/>
      <c r="P362" s="451"/>
      <c r="Q362" s="451"/>
      <c r="R362" s="451">
        <v>2687.9979265524926</v>
      </c>
      <c r="S362" s="451"/>
      <c r="T362" s="451"/>
      <c r="U362" s="451"/>
      <c r="V362" s="451">
        <v>2799.0192087233559</v>
      </c>
      <c r="W362" s="451"/>
      <c r="X362" s="451"/>
      <c r="Y362" s="451"/>
      <c r="Z362" s="451"/>
      <c r="AA362" s="451"/>
      <c r="AB362" s="451"/>
      <c r="AC362" s="451"/>
      <c r="AH362"/>
      <c r="AI362"/>
    </row>
    <row r="363" spans="1:35" s="450" customFormat="1" x14ac:dyDescent="0.25">
      <c r="A363" s="448"/>
      <c r="B363" s="448"/>
      <c r="C363" s="448">
        <f t="shared" si="41"/>
        <v>2</v>
      </c>
      <c r="D363" s="448">
        <f t="shared" si="42"/>
        <v>2</v>
      </c>
      <c r="E363" s="448">
        <f t="shared" si="43"/>
        <v>17</v>
      </c>
      <c r="F363" s="448" t="str">
        <f t="shared" si="44"/>
        <v>sox</v>
      </c>
      <c r="G363" s="448" t="s">
        <v>962</v>
      </c>
      <c r="H363" s="448"/>
      <c r="I363" s="448" t="s">
        <v>963</v>
      </c>
      <c r="J363" s="449" t="s">
        <v>20</v>
      </c>
      <c r="K363" s="450">
        <f t="shared" si="45"/>
        <v>2400.0667866123454</v>
      </c>
      <c r="L363" s="448"/>
      <c r="M363" s="450">
        <v>2400</v>
      </c>
      <c r="O363" s="451"/>
      <c r="P363" s="451"/>
      <c r="Q363" s="451"/>
      <c r="R363" s="451">
        <v>2400.0667866123454</v>
      </c>
      <c r="S363" s="451"/>
      <c r="T363" s="451"/>
      <c r="U363" s="451"/>
      <c r="V363" s="451"/>
      <c r="W363" s="451"/>
      <c r="X363" s="451"/>
      <c r="Y363" s="451"/>
      <c r="Z363" s="451"/>
      <c r="AA363" s="451"/>
      <c r="AB363" s="451"/>
      <c r="AC363" s="451"/>
      <c r="AH363"/>
      <c r="AI363"/>
    </row>
    <row r="364" spans="1:35" s="450" customFormat="1" x14ac:dyDescent="0.25">
      <c r="A364" s="448"/>
      <c r="B364" s="448"/>
      <c r="C364" s="448"/>
      <c r="D364" s="448"/>
      <c r="E364" s="448"/>
      <c r="F364" s="448"/>
      <c r="G364" s="448"/>
      <c r="H364" s="448"/>
      <c r="I364" s="448"/>
      <c r="J364" s="449"/>
      <c r="L364" s="448"/>
      <c r="O364" s="451"/>
      <c r="P364" s="451"/>
      <c r="Q364" s="451"/>
      <c r="R364" s="451"/>
      <c r="S364" s="451"/>
      <c r="T364" s="451"/>
      <c r="U364" s="451"/>
      <c r="V364" s="451"/>
      <c r="W364" s="451"/>
      <c r="X364" s="451"/>
      <c r="Y364" s="451"/>
      <c r="Z364" s="451"/>
      <c r="AA364" s="451"/>
      <c r="AB364" s="451"/>
      <c r="AC364" s="451"/>
      <c r="AH364"/>
      <c r="AI364"/>
    </row>
    <row r="365" spans="1:35" s="450" customFormat="1" x14ac:dyDescent="0.25">
      <c r="A365" s="448"/>
      <c r="B365" s="448"/>
      <c r="C365" s="448">
        <f t="shared" ref="C365" si="46">IF(E365=E364,C364+1,1)</f>
        <v>1</v>
      </c>
      <c r="D365" s="448">
        <f t="shared" ref="D365" si="47">IF(M365=M364,D364,C365)</f>
        <v>1</v>
      </c>
      <c r="E365" s="448">
        <f t="shared" ref="E365" si="48">10+VALUE(RIGHT(LEFT(G365,3),1))</f>
        <v>12</v>
      </c>
      <c r="F365" s="448" t="str">
        <f t="shared" ref="F365" si="49">RIGHT(G365,2) &amp; IF(A365&lt;2,"x","")</f>
        <v>crx</v>
      </c>
      <c r="G365" s="448" t="s">
        <v>964</v>
      </c>
      <c r="H365" s="448"/>
      <c r="I365" s="448" t="s">
        <v>965</v>
      </c>
      <c r="J365" s="449" t="s">
        <v>301</v>
      </c>
      <c r="K365" s="450">
        <f t="shared" ref="K365" si="50">LOOKUP(1E+100,M365:AC365)</f>
        <v>1164.7076277056995</v>
      </c>
      <c r="L365" s="448"/>
      <c r="M365" s="450">
        <v>1200</v>
      </c>
      <c r="O365" s="451"/>
      <c r="P365" s="451"/>
      <c r="Q365" s="451"/>
      <c r="R365" s="451">
        <v>1142.0989828300185</v>
      </c>
      <c r="S365" s="451"/>
      <c r="T365" s="451">
        <v>1164.7076277056995</v>
      </c>
      <c r="U365" s="451"/>
      <c r="V365" s="451"/>
      <c r="W365" s="451"/>
      <c r="X365" s="451"/>
      <c r="Y365" s="451"/>
      <c r="Z365" s="451"/>
      <c r="AA365" s="451"/>
      <c r="AB365" s="451"/>
      <c r="AC365" s="451"/>
      <c r="AH365"/>
      <c r="AI365"/>
    </row>
    <row r="366" spans="1:35" s="450" customFormat="1" x14ac:dyDescent="0.25">
      <c r="A366" s="448"/>
      <c r="B366" s="448"/>
      <c r="C366" s="448"/>
      <c r="D366" s="448"/>
      <c r="E366" s="448"/>
      <c r="F366" s="448"/>
      <c r="G366" s="448"/>
      <c r="H366" s="448"/>
      <c r="I366" s="448"/>
      <c r="J366" s="449"/>
      <c r="L366" s="448"/>
      <c r="O366" s="451"/>
      <c r="P366" s="451"/>
      <c r="Q366" s="451"/>
      <c r="R366" s="451"/>
      <c r="S366" s="451"/>
      <c r="T366" s="451"/>
      <c r="U366" s="451"/>
      <c r="V366" s="451"/>
      <c r="W366" s="451"/>
      <c r="X366" s="451"/>
      <c r="Y366" s="451"/>
      <c r="Z366" s="451"/>
      <c r="AA366" s="451"/>
      <c r="AB366" s="451"/>
      <c r="AC366" s="451"/>
      <c r="AH366"/>
      <c r="AI366"/>
    </row>
    <row r="367" spans="1:35" s="450" customFormat="1" x14ac:dyDescent="0.25">
      <c r="A367" s="448"/>
      <c r="B367" s="448"/>
      <c r="C367" s="448">
        <f t="shared" ref="C367" si="51">IF(E367=E366,C366+1,1)</f>
        <v>1</v>
      </c>
      <c r="D367" s="448">
        <f t="shared" ref="D367" si="52">IF(M367=M366,D366,C367)</f>
        <v>1</v>
      </c>
      <c r="E367" s="448">
        <f t="shared" ref="E367" si="53">10+VALUE(RIGHT(LEFT(G367,3),1))</f>
        <v>14</v>
      </c>
      <c r="F367" s="448" t="str">
        <f t="shared" ref="F367" si="54">RIGHT(G367,2) &amp; IF(A367&lt;2,"x","")</f>
        <v>crx</v>
      </c>
      <c r="G367" s="448" t="s">
        <v>966</v>
      </c>
      <c r="H367" s="448"/>
      <c r="I367" s="448" t="s">
        <v>967</v>
      </c>
      <c r="J367" s="449" t="s">
        <v>21</v>
      </c>
      <c r="K367" s="450">
        <f t="shared" ref="K367" si="55">LOOKUP(1E+100,M367:AC367)</f>
        <v>2248.4174188999796</v>
      </c>
      <c r="L367" s="448"/>
      <c r="M367" s="450">
        <v>2200</v>
      </c>
      <c r="O367" s="451"/>
      <c r="P367" s="451"/>
      <c r="Q367" s="451"/>
      <c r="R367" s="451"/>
      <c r="S367" s="451">
        <v>2248.4174188999796</v>
      </c>
      <c r="T367" s="451"/>
      <c r="U367" s="451"/>
      <c r="V367" s="451"/>
      <c r="W367" s="451"/>
      <c r="X367" s="451"/>
      <c r="Y367" s="451"/>
      <c r="Z367" s="451"/>
      <c r="AA367" s="451"/>
      <c r="AB367" s="451"/>
      <c r="AC367" s="451"/>
      <c r="AH367"/>
      <c r="AI367"/>
    </row>
    <row r="368" spans="1:35" s="450" customFormat="1" x14ac:dyDescent="0.25">
      <c r="A368" s="448"/>
      <c r="B368" s="448"/>
      <c r="C368" s="448"/>
      <c r="D368" s="448"/>
      <c r="E368" s="448"/>
      <c r="F368" s="448"/>
      <c r="G368" s="448"/>
      <c r="H368" s="448"/>
      <c r="I368" s="448"/>
      <c r="J368" s="449"/>
      <c r="L368" s="448"/>
      <c r="O368" s="451"/>
      <c r="P368" s="451"/>
      <c r="Q368" s="451"/>
      <c r="R368" s="451"/>
      <c r="S368" s="451"/>
      <c r="T368" s="451"/>
      <c r="U368" s="451"/>
      <c r="V368" s="451"/>
      <c r="W368" s="451"/>
      <c r="X368" s="451"/>
      <c r="Y368" s="451"/>
      <c r="Z368" s="451"/>
      <c r="AA368" s="451"/>
      <c r="AB368" s="451"/>
      <c r="AC368" s="451"/>
      <c r="AH368"/>
      <c r="AI368"/>
    </row>
    <row r="369" spans="1:35" s="450" customFormat="1" x14ac:dyDescent="0.25">
      <c r="A369" s="448"/>
      <c r="B369" s="448"/>
      <c r="C369" s="448"/>
      <c r="D369" s="448"/>
      <c r="E369" s="448"/>
      <c r="F369" s="448"/>
      <c r="G369" s="448"/>
      <c r="H369" s="448"/>
      <c r="I369" s="448"/>
      <c r="J369" s="449"/>
      <c r="L369" s="448"/>
      <c r="O369" s="451"/>
      <c r="P369" s="451"/>
      <c r="Q369" s="451"/>
      <c r="R369" s="451"/>
      <c r="S369" s="451"/>
      <c r="T369" s="451"/>
      <c r="U369" s="451"/>
      <c r="V369" s="451"/>
      <c r="W369" s="451"/>
      <c r="X369" s="451"/>
      <c r="Y369" s="451"/>
      <c r="Z369" s="451"/>
      <c r="AA369" s="451"/>
      <c r="AB369" s="451"/>
      <c r="AC369" s="451"/>
      <c r="AH369"/>
      <c r="AI369"/>
    </row>
    <row r="370" spans="1:35" s="450" customFormat="1" x14ac:dyDescent="0.25">
      <c r="A370" s="448"/>
      <c r="B370" s="448"/>
      <c r="C370" s="448">
        <f t="shared" ref="C370:C375" si="56">IF(E370=E369,C369+1,1)</f>
        <v>1</v>
      </c>
      <c r="D370" s="448">
        <f t="shared" ref="D370:D375" si="57">IF(M370=M369,D369,C370)</f>
        <v>1</v>
      </c>
      <c r="E370" s="448">
        <f t="shared" ref="E370:E375" si="58">10+VALUE(RIGHT(LEFT(G370,3),1))</f>
        <v>12</v>
      </c>
      <c r="F370" s="448" t="str">
        <f t="shared" ref="F370:F375" si="59">RIGHT(G370,2) &amp; IF(A370&lt;2,"x","")</f>
        <v>sox</v>
      </c>
      <c r="G370" s="448" t="s">
        <v>968</v>
      </c>
      <c r="H370" s="448"/>
      <c r="I370" s="448" t="s">
        <v>969</v>
      </c>
      <c r="J370" s="449" t="s">
        <v>20</v>
      </c>
      <c r="K370" s="450">
        <f t="shared" ref="K370:K375" si="60">LOOKUP(1E+100,M370:AC370)</f>
        <v>1417.5351435170446</v>
      </c>
      <c r="L370" s="448"/>
      <c r="M370" s="450">
        <v>1400</v>
      </c>
      <c r="O370" s="451"/>
      <c r="P370" s="451"/>
      <c r="Q370" s="451"/>
      <c r="R370" s="451"/>
      <c r="S370" s="451"/>
      <c r="T370" s="451">
        <v>1417.5351435170446</v>
      </c>
      <c r="U370" s="451"/>
      <c r="V370" s="451"/>
      <c r="W370" s="451"/>
      <c r="X370" s="451"/>
      <c r="Y370" s="451"/>
      <c r="Z370" s="451"/>
      <c r="AA370" s="451"/>
      <c r="AB370" s="451"/>
      <c r="AC370" s="451"/>
      <c r="AH370"/>
      <c r="AI370"/>
    </row>
    <row r="371" spans="1:35" s="450" customFormat="1" x14ac:dyDescent="0.25">
      <c r="A371" s="448"/>
      <c r="B371" s="448"/>
      <c r="C371" s="448">
        <f t="shared" si="56"/>
        <v>2</v>
      </c>
      <c r="D371" s="448">
        <f t="shared" si="57"/>
        <v>1</v>
      </c>
      <c r="E371" s="448">
        <f t="shared" si="58"/>
        <v>12</v>
      </c>
      <c r="F371" s="448" t="str">
        <f t="shared" si="59"/>
        <v>crx</v>
      </c>
      <c r="G371" s="448" t="s">
        <v>970</v>
      </c>
      <c r="H371" s="448"/>
      <c r="I371" s="448" t="s">
        <v>971</v>
      </c>
      <c r="J371" s="449" t="s">
        <v>20</v>
      </c>
      <c r="K371" s="450">
        <f t="shared" si="60"/>
        <v>1480.592748992279</v>
      </c>
      <c r="L371" s="448"/>
      <c r="M371" s="450">
        <v>1400</v>
      </c>
      <c r="O371" s="451"/>
      <c r="P371" s="451"/>
      <c r="Q371" s="451"/>
      <c r="R371" s="451"/>
      <c r="S371" s="451"/>
      <c r="T371" s="451">
        <v>1480.592748992279</v>
      </c>
      <c r="U371" s="451"/>
      <c r="V371" s="451"/>
      <c r="W371" s="451"/>
      <c r="X371" s="451"/>
      <c r="Y371" s="451"/>
      <c r="Z371" s="451"/>
      <c r="AA371" s="451"/>
      <c r="AB371" s="451"/>
      <c r="AC371" s="451"/>
      <c r="AH371"/>
      <c r="AI371"/>
    </row>
    <row r="372" spans="1:35" s="450" customFormat="1" x14ac:dyDescent="0.25">
      <c r="A372" s="448"/>
      <c r="B372" s="448"/>
      <c r="C372" s="448">
        <f t="shared" si="56"/>
        <v>1</v>
      </c>
      <c r="D372" s="448">
        <f t="shared" si="57"/>
        <v>1</v>
      </c>
      <c r="E372" s="448">
        <f t="shared" si="58"/>
        <v>13</v>
      </c>
      <c r="F372" s="448" t="str">
        <f t="shared" si="59"/>
        <v>crx</v>
      </c>
      <c r="G372" s="448" t="s">
        <v>972</v>
      </c>
      <c r="H372" s="448"/>
      <c r="I372" s="448" t="s">
        <v>973</v>
      </c>
      <c r="J372" s="449" t="s">
        <v>20</v>
      </c>
      <c r="K372" s="450">
        <f t="shared" si="60"/>
        <v>1733.815637065888</v>
      </c>
      <c r="L372" s="448"/>
      <c r="M372" s="450">
        <v>1600</v>
      </c>
      <c r="O372" s="451"/>
      <c r="P372" s="451"/>
      <c r="Q372" s="451"/>
      <c r="R372" s="451"/>
      <c r="S372" s="451"/>
      <c r="T372" s="451">
        <v>1733.815637065888</v>
      </c>
      <c r="U372" s="451"/>
      <c r="V372" s="451"/>
      <c r="W372" s="451"/>
      <c r="X372" s="451"/>
      <c r="Y372" s="451"/>
      <c r="Z372" s="451"/>
      <c r="AA372" s="451"/>
      <c r="AB372" s="451"/>
      <c r="AC372" s="451"/>
      <c r="AH372"/>
      <c r="AI372"/>
    </row>
    <row r="373" spans="1:35" s="450" customFormat="1" x14ac:dyDescent="0.25">
      <c r="A373" s="448"/>
      <c r="B373" s="448"/>
      <c r="C373" s="448">
        <f t="shared" si="56"/>
        <v>2</v>
      </c>
      <c r="D373" s="448">
        <f t="shared" si="57"/>
        <v>1</v>
      </c>
      <c r="E373" s="448">
        <f t="shared" si="58"/>
        <v>13</v>
      </c>
      <c r="F373" s="448" t="str">
        <f t="shared" si="59"/>
        <v>crx</v>
      </c>
      <c r="G373" s="448" t="s">
        <v>974</v>
      </c>
      <c r="H373" s="448"/>
      <c r="I373" s="448" t="s">
        <v>975</v>
      </c>
      <c r="J373" s="449" t="s">
        <v>20</v>
      </c>
      <c r="K373" s="450">
        <f t="shared" si="60"/>
        <v>1658.2208637871806</v>
      </c>
      <c r="L373" s="448"/>
      <c r="M373" s="450">
        <v>1600</v>
      </c>
      <c r="O373" s="451"/>
      <c r="P373" s="451"/>
      <c r="Q373" s="451"/>
      <c r="R373" s="451"/>
      <c r="S373" s="451"/>
      <c r="T373" s="451">
        <v>1658.2208637871806</v>
      </c>
      <c r="U373" s="451"/>
      <c r="V373" s="451"/>
      <c r="W373" s="451"/>
      <c r="X373" s="451"/>
      <c r="Y373" s="451"/>
      <c r="Z373" s="451"/>
      <c r="AA373" s="451"/>
      <c r="AB373" s="451"/>
      <c r="AC373" s="451"/>
      <c r="AH373"/>
      <c r="AI373"/>
    </row>
    <row r="374" spans="1:35" s="450" customFormat="1" x14ac:dyDescent="0.25">
      <c r="A374" s="448"/>
      <c r="B374" s="448"/>
      <c r="C374" s="448">
        <f t="shared" si="56"/>
        <v>1</v>
      </c>
      <c r="D374" s="448">
        <f t="shared" si="57"/>
        <v>1</v>
      </c>
      <c r="E374" s="448">
        <f t="shared" si="58"/>
        <v>14</v>
      </c>
      <c r="F374" s="448" t="str">
        <f t="shared" si="59"/>
        <v>sox</v>
      </c>
      <c r="G374" s="448" t="s">
        <v>976</v>
      </c>
      <c r="H374" s="448"/>
      <c r="I374" s="448" t="s">
        <v>977</v>
      </c>
      <c r="J374" s="449" t="s">
        <v>20</v>
      </c>
      <c r="K374" s="450">
        <f t="shared" si="60"/>
        <v>1881.2483836659826</v>
      </c>
      <c r="L374" s="448"/>
      <c r="M374" s="450">
        <v>1800</v>
      </c>
      <c r="O374" s="451"/>
      <c r="P374" s="451"/>
      <c r="Q374" s="451"/>
      <c r="R374" s="451"/>
      <c r="S374" s="451"/>
      <c r="T374" s="451">
        <v>1881.2483836659826</v>
      </c>
      <c r="U374" s="451"/>
      <c r="V374" s="451"/>
      <c r="W374" s="451"/>
      <c r="X374" s="451"/>
      <c r="Y374" s="451"/>
      <c r="Z374" s="451"/>
      <c r="AA374" s="451"/>
      <c r="AB374" s="451"/>
      <c r="AC374" s="451"/>
      <c r="AH374"/>
      <c r="AI374"/>
    </row>
    <row r="375" spans="1:35" s="450" customFormat="1" x14ac:dyDescent="0.25">
      <c r="A375" s="448"/>
      <c r="B375" s="448"/>
      <c r="C375" s="448">
        <f t="shared" si="56"/>
        <v>2</v>
      </c>
      <c r="D375" s="448">
        <f t="shared" si="57"/>
        <v>1</v>
      </c>
      <c r="E375" s="448">
        <f t="shared" si="58"/>
        <v>14</v>
      </c>
      <c r="F375" s="448" t="str">
        <f t="shared" si="59"/>
        <v>sox</v>
      </c>
      <c r="G375" s="448" t="s">
        <v>978</v>
      </c>
      <c r="H375" s="448"/>
      <c r="I375" s="448" t="s">
        <v>979</v>
      </c>
      <c r="J375" s="449" t="s">
        <v>20</v>
      </c>
      <c r="K375" s="450">
        <f t="shared" si="60"/>
        <v>1890.7449469245469</v>
      </c>
      <c r="L375" s="448"/>
      <c r="M375" s="450">
        <v>1800</v>
      </c>
      <c r="O375" s="451"/>
      <c r="P375" s="451"/>
      <c r="Q375" s="451"/>
      <c r="R375" s="451"/>
      <c r="S375" s="451"/>
      <c r="T375" s="451">
        <v>1890.7449469245469</v>
      </c>
      <c r="U375" s="451"/>
      <c r="V375" s="451"/>
      <c r="W375" s="451"/>
      <c r="X375" s="451"/>
      <c r="Y375" s="451"/>
      <c r="Z375" s="451"/>
      <c r="AA375" s="451"/>
      <c r="AB375" s="451"/>
      <c r="AC375" s="451"/>
      <c r="AH375"/>
      <c r="AI375"/>
    </row>
    <row r="376" spans="1:35" s="450" customFormat="1" x14ac:dyDescent="0.25">
      <c r="A376" s="448"/>
      <c r="B376" s="448"/>
      <c r="C376" s="448"/>
      <c r="D376" s="448"/>
      <c r="E376" s="448"/>
      <c r="F376" s="448"/>
      <c r="G376" s="448"/>
      <c r="H376" s="448"/>
      <c r="I376" s="448"/>
      <c r="J376" s="449"/>
      <c r="L376" s="448"/>
      <c r="O376" s="451"/>
      <c r="P376" s="451"/>
      <c r="Q376" s="451"/>
      <c r="R376" s="451"/>
      <c r="S376" s="451"/>
      <c r="T376" s="451"/>
      <c r="U376" s="451"/>
      <c r="V376" s="451"/>
      <c r="W376" s="451"/>
      <c r="X376" s="451"/>
      <c r="Y376" s="451"/>
      <c r="Z376" s="451"/>
      <c r="AA376" s="451"/>
      <c r="AB376" s="451"/>
      <c r="AC376" s="451"/>
      <c r="AH376"/>
      <c r="AI376"/>
    </row>
    <row r="377" spans="1:35" s="450" customFormat="1" x14ac:dyDescent="0.25">
      <c r="A377" s="448"/>
      <c r="B377" s="448"/>
      <c r="C377" s="448"/>
      <c r="D377" s="448"/>
      <c r="E377" s="448"/>
      <c r="F377" s="448"/>
      <c r="G377" s="448"/>
      <c r="H377" s="448"/>
      <c r="I377" s="448"/>
      <c r="J377" s="449"/>
      <c r="L377" s="448"/>
      <c r="O377" s="451"/>
      <c r="P377" s="451"/>
      <c r="Q377" s="451"/>
      <c r="R377" s="451"/>
      <c r="S377" s="451"/>
      <c r="T377" s="451"/>
      <c r="U377" s="451"/>
      <c r="V377" s="451"/>
      <c r="W377" s="451"/>
      <c r="X377" s="451"/>
      <c r="Y377" s="451"/>
      <c r="Z377" s="451"/>
      <c r="AA377" s="451"/>
      <c r="AB377" s="451"/>
      <c r="AC377" s="451"/>
      <c r="AH377"/>
      <c r="AI377"/>
    </row>
    <row r="378" spans="1:35" s="450" customFormat="1" x14ac:dyDescent="0.25">
      <c r="A378" s="448"/>
      <c r="B378" s="448"/>
      <c r="C378" s="448">
        <f t="shared" ref="C378:C382" si="61">IF(E378=E377,C377+1,1)</f>
        <v>1</v>
      </c>
      <c r="D378" s="448">
        <f t="shared" ref="D378:D382" si="62">IF(M378=M377,D377,C378)</f>
        <v>1</v>
      </c>
      <c r="E378" s="448">
        <f t="shared" ref="E378:E382" si="63">10+VALUE(RIGHT(LEFT(G378,3),1))</f>
        <v>16</v>
      </c>
      <c r="F378" s="448" t="str">
        <f t="shared" ref="F378:F382" si="64">RIGHT(G378,2) &amp; IF(A378&lt;2,"x","")</f>
        <v>crx</v>
      </c>
      <c r="G378" s="448" t="s">
        <v>980</v>
      </c>
      <c r="H378" s="448"/>
      <c r="I378" s="448" t="s">
        <v>981</v>
      </c>
      <c r="J378" s="449" t="s">
        <v>20</v>
      </c>
      <c r="K378" s="450">
        <f t="shared" ref="K378:K382" si="65">LOOKUP(1E+100,M378:AC378)</f>
        <v>2311.4565337056633</v>
      </c>
      <c r="L378" s="448"/>
      <c r="M378" s="450">
        <v>2200</v>
      </c>
      <c r="O378" s="451"/>
      <c r="P378" s="451"/>
      <c r="Q378" s="451"/>
      <c r="R378" s="451"/>
      <c r="S378" s="451"/>
      <c r="T378" s="451">
        <v>2311.4565337056633</v>
      </c>
      <c r="U378" s="451"/>
      <c r="V378" s="451"/>
      <c r="W378" s="451"/>
      <c r="X378" s="451"/>
      <c r="Y378" s="451"/>
      <c r="Z378" s="451"/>
      <c r="AA378" s="451"/>
      <c r="AB378" s="451"/>
      <c r="AC378" s="451"/>
      <c r="AH378"/>
      <c r="AI378"/>
    </row>
    <row r="379" spans="1:35" s="450" customFormat="1" x14ac:dyDescent="0.25">
      <c r="A379" s="448"/>
      <c r="B379" s="448"/>
      <c r="C379" s="448">
        <f t="shared" si="61"/>
        <v>2</v>
      </c>
      <c r="D379" s="448">
        <f t="shared" si="62"/>
        <v>1</v>
      </c>
      <c r="E379" s="448">
        <f t="shared" si="63"/>
        <v>16</v>
      </c>
      <c r="F379" s="448" t="str">
        <f t="shared" si="64"/>
        <v>crx</v>
      </c>
      <c r="G379" s="448" t="s">
        <v>982</v>
      </c>
      <c r="H379" s="448"/>
      <c r="I379" s="448" t="s">
        <v>983</v>
      </c>
      <c r="J379" s="449" t="s">
        <v>20</v>
      </c>
      <c r="K379" s="450">
        <f t="shared" si="65"/>
        <v>2175.394029072223</v>
      </c>
      <c r="L379" s="448"/>
      <c r="M379" s="450">
        <v>2200</v>
      </c>
      <c r="O379" s="451"/>
      <c r="P379" s="451"/>
      <c r="Q379" s="451"/>
      <c r="R379" s="451"/>
      <c r="S379" s="451"/>
      <c r="T379" s="451">
        <v>2175.394029072223</v>
      </c>
      <c r="U379" s="451"/>
      <c r="V379" s="451"/>
      <c r="W379" s="451"/>
      <c r="X379" s="451"/>
      <c r="Y379" s="451"/>
      <c r="Z379" s="451"/>
      <c r="AA379" s="451"/>
      <c r="AB379" s="451"/>
      <c r="AC379" s="451"/>
      <c r="AH379"/>
      <c r="AI379"/>
    </row>
    <row r="380" spans="1:35" s="450" customFormat="1" x14ac:dyDescent="0.25">
      <c r="A380" s="448"/>
      <c r="B380" s="448"/>
      <c r="C380" s="448">
        <f t="shared" si="61"/>
        <v>3</v>
      </c>
      <c r="D380" s="448">
        <f t="shared" si="62"/>
        <v>1</v>
      </c>
      <c r="E380" s="448">
        <f t="shared" si="63"/>
        <v>16</v>
      </c>
      <c r="F380" s="448" t="str">
        <f t="shared" si="64"/>
        <v>crx</v>
      </c>
      <c r="G380" s="448" t="s">
        <v>984</v>
      </c>
      <c r="H380" s="448"/>
      <c r="I380" s="448" t="s">
        <v>985</v>
      </c>
      <c r="J380" s="449" t="s">
        <v>20</v>
      </c>
      <c r="K380" s="450">
        <f t="shared" si="65"/>
        <v>2261.9361846103438</v>
      </c>
      <c r="L380" s="448"/>
      <c r="M380" s="450">
        <v>2200</v>
      </c>
      <c r="O380" s="451"/>
      <c r="P380" s="451"/>
      <c r="Q380" s="451"/>
      <c r="R380" s="451"/>
      <c r="S380" s="451"/>
      <c r="T380" s="451">
        <v>2261.9361846103438</v>
      </c>
      <c r="U380" s="451"/>
      <c r="V380" s="451"/>
      <c r="W380" s="451"/>
      <c r="X380" s="451"/>
      <c r="Y380" s="451"/>
      <c r="Z380" s="451"/>
      <c r="AA380" s="451"/>
      <c r="AB380" s="451"/>
      <c r="AC380" s="451"/>
      <c r="AH380"/>
      <c r="AI380"/>
    </row>
    <row r="381" spans="1:35" s="450" customFormat="1" x14ac:dyDescent="0.25">
      <c r="A381" s="448"/>
      <c r="B381" s="448"/>
      <c r="C381" s="448">
        <f t="shared" si="61"/>
        <v>4</v>
      </c>
      <c r="D381" s="448">
        <f t="shared" si="62"/>
        <v>1</v>
      </c>
      <c r="E381" s="448">
        <f t="shared" si="63"/>
        <v>16</v>
      </c>
      <c r="F381" s="448" t="str">
        <f t="shared" si="64"/>
        <v>SOx</v>
      </c>
      <c r="G381" s="448" t="s">
        <v>986</v>
      </c>
      <c r="H381" s="448"/>
      <c r="I381" s="448" t="s">
        <v>987</v>
      </c>
      <c r="J381" s="449" t="s">
        <v>20</v>
      </c>
      <c r="K381" s="450">
        <f t="shared" si="65"/>
        <v>2108.5454805199915</v>
      </c>
      <c r="L381" s="448"/>
      <c r="M381" s="450">
        <v>2200</v>
      </c>
      <c r="O381" s="451"/>
      <c r="P381" s="451"/>
      <c r="Q381" s="451"/>
      <c r="R381" s="451"/>
      <c r="S381" s="451"/>
      <c r="T381" s="451">
        <v>2108.5454805199915</v>
      </c>
      <c r="U381" s="451"/>
      <c r="V381" s="451"/>
      <c r="W381" s="451"/>
      <c r="X381" s="451"/>
      <c r="Y381" s="451"/>
      <c r="Z381" s="451"/>
      <c r="AA381" s="451"/>
      <c r="AB381" s="451"/>
      <c r="AC381" s="451"/>
      <c r="AH381"/>
      <c r="AI381"/>
    </row>
    <row r="382" spans="1:35" s="450" customFormat="1" x14ac:dyDescent="0.25">
      <c r="A382" s="448"/>
      <c r="B382" s="448"/>
      <c r="C382" s="448">
        <f t="shared" si="61"/>
        <v>1</v>
      </c>
      <c r="D382" s="448">
        <f t="shared" si="62"/>
        <v>1</v>
      </c>
      <c r="E382" s="448">
        <f t="shared" si="63"/>
        <v>13</v>
      </c>
      <c r="F382" s="448" t="str">
        <f t="shared" si="64"/>
        <v>crx</v>
      </c>
      <c r="G382" s="448" t="s">
        <v>988</v>
      </c>
      <c r="H382" s="448"/>
      <c r="I382" s="448" t="s">
        <v>989</v>
      </c>
      <c r="J382" s="449" t="s">
        <v>20</v>
      </c>
      <c r="K382" s="450">
        <f t="shared" si="65"/>
        <v>1534.2030414472588</v>
      </c>
      <c r="L382" s="448"/>
      <c r="M382" s="450">
        <v>1600</v>
      </c>
      <c r="O382" s="451"/>
      <c r="P382" s="451"/>
      <c r="Q382" s="451"/>
      <c r="R382" s="451"/>
      <c r="S382" s="451"/>
      <c r="T382" s="451">
        <v>1534.2030414472588</v>
      </c>
      <c r="U382" s="451"/>
      <c r="V382" s="451"/>
      <c r="W382" s="451"/>
      <c r="X382" s="451"/>
      <c r="Y382" s="451"/>
      <c r="Z382" s="451"/>
      <c r="AA382" s="451"/>
      <c r="AB382" s="451"/>
      <c r="AC382" s="451"/>
      <c r="AH382"/>
      <c r="AI382"/>
    </row>
    <row r="383" spans="1:35" s="450" customFormat="1" x14ac:dyDescent="0.25">
      <c r="A383" s="448"/>
      <c r="B383" s="448"/>
      <c r="C383" s="448"/>
      <c r="D383" s="448"/>
      <c r="E383" s="448"/>
      <c r="F383" s="448"/>
      <c r="G383" s="448"/>
      <c r="H383" s="448"/>
      <c r="I383" s="448"/>
      <c r="J383" s="449"/>
      <c r="L383" s="448"/>
      <c r="O383" s="451"/>
      <c r="P383" s="451"/>
      <c r="Q383" s="451"/>
      <c r="R383" s="451"/>
      <c r="S383" s="451"/>
      <c r="T383" s="451"/>
      <c r="U383" s="451"/>
      <c r="V383" s="451"/>
      <c r="W383" s="451"/>
      <c r="X383" s="451"/>
      <c r="Y383" s="451"/>
      <c r="Z383" s="451"/>
      <c r="AA383" s="451"/>
      <c r="AB383" s="451"/>
      <c r="AC383" s="451"/>
      <c r="AH383"/>
      <c r="AI383"/>
    </row>
    <row r="384" spans="1:35" x14ac:dyDescent="0.25">
      <c r="K384" s="451"/>
      <c r="M384" s="451"/>
      <c r="N384" s="451"/>
    </row>
    <row r="385" spans="1:35" s="450" customFormat="1" x14ac:dyDescent="0.25">
      <c r="A385" s="448"/>
      <c r="B385" s="448"/>
      <c r="C385" s="448">
        <f t="shared" ref="C385" si="66">IF(E385=E384,C384+1,1)</f>
        <v>1</v>
      </c>
      <c r="D385" s="448">
        <f t="shared" ref="D385" si="67">IF(M385=M384,D384,C385)</f>
        <v>1</v>
      </c>
      <c r="E385" s="448">
        <f t="shared" ref="E385" si="68">10+VALUE(RIGHT(LEFT(G385,3),1))</f>
        <v>17</v>
      </c>
      <c r="F385" s="448" t="str">
        <f t="shared" ref="F385" si="69">RIGHT(G385,2) &amp; IF(A385&lt;2,"x","")</f>
        <v>crx</v>
      </c>
      <c r="G385" s="448" t="s">
        <v>990</v>
      </c>
      <c r="H385" s="448"/>
      <c r="I385" s="448" t="s">
        <v>991</v>
      </c>
      <c r="J385" s="449" t="s">
        <v>20</v>
      </c>
      <c r="K385" s="450">
        <f t="shared" ref="K385" si="70">LOOKUP(1E+100,M385:AC385)</f>
        <v>2454.1833326686874</v>
      </c>
      <c r="L385" s="448"/>
      <c r="M385" s="450">
        <v>2400</v>
      </c>
      <c r="O385" s="451"/>
      <c r="P385" s="451"/>
      <c r="Q385" s="451"/>
      <c r="R385" s="451"/>
      <c r="S385" s="451"/>
      <c r="T385" s="451">
        <v>2454.1833326686874</v>
      </c>
      <c r="U385" s="451"/>
      <c r="V385" s="451"/>
      <c r="W385" s="451"/>
      <c r="X385" s="451"/>
      <c r="Y385" s="451"/>
      <c r="Z385" s="451"/>
      <c r="AA385" s="451"/>
      <c r="AB385" s="451"/>
      <c r="AC385" s="451"/>
      <c r="AH385"/>
      <c r="AI385"/>
    </row>
    <row r="386" spans="1:35" x14ac:dyDescent="0.25">
      <c r="K386" s="451"/>
      <c r="M386" s="451"/>
      <c r="N386" s="451"/>
    </row>
    <row r="387" spans="1:35" s="450" customFormat="1" x14ac:dyDescent="0.25">
      <c r="A387" s="448"/>
      <c r="B387" s="448"/>
      <c r="C387" s="448">
        <f t="shared" ref="C387" si="71">IF(E387=E386,C386+1,1)</f>
        <v>1</v>
      </c>
      <c r="D387" s="448">
        <f t="shared" ref="D387" si="72">IF(M387=M386,D386,C387)</f>
        <v>1</v>
      </c>
      <c r="E387" s="448">
        <f t="shared" ref="E387" si="73">10+VALUE(RIGHT(LEFT(G387,3),1))</f>
        <v>13</v>
      </c>
      <c r="F387" s="448" t="str">
        <f t="shared" ref="F387" si="74">RIGHT(G387,2) &amp; IF(A387&lt;2,"x","")</f>
        <v>pmx</v>
      </c>
      <c r="G387" s="448" t="s">
        <v>992</v>
      </c>
      <c r="H387" s="448"/>
      <c r="I387" s="448" t="s">
        <v>993</v>
      </c>
      <c r="J387" s="449" t="s">
        <v>20</v>
      </c>
      <c r="K387" s="450">
        <f t="shared" ref="K387" si="75">LOOKUP(1E+100,M387:AC387)</f>
        <v>1139.4725405231391</v>
      </c>
      <c r="L387" s="448"/>
      <c r="M387" s="450">
        <v>1200</v>
      </c>
      <c r="O387" s="451"/>
      <c r="P387" s="451"/>
      <c r="Q387" s="451"/>
      <c r="R387" s="451"/>
      <c r="S387" s="451"/>
      <c r="T387" s="451">
        <v>1139.4725405231391</v>
      </c>
      <c r="U387" s="451"/>
      <c r="V387" s="451"/>
      <c r="W387" s="451"/>
      <c r="X387" s="451"/>
      <c r="Y387" s="451"/>
      <c r="Z387" s="451"/>
      <c r="AA387" s="451"/>
      <c r="AB387" s="451"/>
      <c r="AC387" s="451"/>
      <c r="AH387"/>
      <c r="AI387"/>
    </row>
    <row r="388" spans="1:35" x14ac:dyDescent="0.25">
      <c r="K388" s="451"/>
      <c r="M388" s="451"/>
      <c r="N388" s="451"/>
    </row>
    <row r="389" spans="1:35" s="450" customFormat="1" x14ac:dyDescent="0.25">
      <c r="A389" s="448"/>
      <c r="B389" s="448"/>
      <c r="C389" s="448">
        <f t="shared" ref="C389:C403" si="76">IF(E389=E388,C388+1,1)</f>
        <v>1</v>
      </c>
      <c r="D389" s="448">
        <f t="shared" ref="D389:D403" si="77">IF(M389=M388,D388,C389)</f>
        <v>1</v>
      </c>
      <c r="E389" s="448">
        <f t="shared" ref="E389:E403" si="78">10+VALUE(RIGHT(LEFT(G389,3),1))</f>
        <v>13</v>
      </c>
      <c r="F389" s="448" t="str">
        <f t="shared" ref="F389:F403" si="79">RIGHT(G389,2) &amp; IF(A389&lt;2,"x","")</f>
        <v>crx</v>
      </c>
      <c r="G389" s="448" t="s">
        <v>994</v>
      </c>
      <c r="H389" s="448" t="e">
        <f>VLOOKUP(G389,#REF!,5,FALSE)</f>
        <v>#REF!</v>
      </c>
      <c r="I389" s="448" t="s">
        <v>995</v>
      </c>
      <c r="J389" s="449" t="s">
        <v>21</v>
      </c>
      <c r="K389" s="450">
        <f t="shared" ref="K389:K403" si="80">LOOKUP(1E+100,M389:AC389)</f>
        <v>1805.4977100065166</v>
      </c>
      <c r="L389" s="448"/>
      <c r="M389" s="450">
        <v>1887.0846383991418</v>
      </c>
      <c r="O389" s="451"/>
      <c r="P389" s="451"/>
      <c r="Q389" s="451"/>
      <c r="R389" s="451"/>
      <c r="S389" s="451"/>
      <c r="T389" s="451"/>
      <c r="U389" s="451">
        <v>1805.4977100065166</v>
      </c>
      <c r="V389" s="451"/>
      <c r="W389" s="451"/>
      <c r="X389" s="451"/>
      <c r="Y389" s="451"/>
      <c r="Z389" s="451"/>
      <c r="AA389" s="451"/>
      <c r="AB389" s="451"/>
      <c r="AC389" s="451"/>
      <c r="AH389"/>
      <c r="AI389"/>
    </row>
    <row r="390" spans="1:35" s="450" customFormat="1" x14ac:dyDescent="0.25">
      <c r="A390" s="448"/>
      <c r="B390" s="448"/>
      <c r="C390" s="448">
        <f t="shared" si="76"/>
        <v>1</v>
      </c>
      <c r="D390" s="448">
        <f t="shared" si="77"/>
        <v>1</v>
      </c>
      <c r="E390" s="448">
        <f t="shared" si="78"/>
        <v>14</v>
      </c>
      <c r="F390" s="448" t="str">
        <f t="shared" si="79"/>
        <v>crx</v>
      </c>
      <c r="G390" s="448" t="s">
        <v>996</v>
      </c>
      <c r="H390" s="448" t="e">
        <f>VLOOKUP(G390,#REF!,5,FALSE)</f>
        <v>#REF!</v>
      </c>
      <c r="I390" s="448" t="s">
        <v>997</v>
      </c>
      <c r="J390" s="449" t="s">
        <v>21</v>
      </c>
      <c r="K390" s="450">
        <f t="shared" si="80"/>
        <v>2185.3792211192231</v>
      </c>
      <c r="L390" s="448"/>
      <c r="M390" s="450">
        <v>2191.26403428599</v>
      </c>
      <c r="O390" s="451"/>
      <c r="P390" s="451"/>
      <c r="Q390" s="451"/>
      <c r="R390" s="451"/>
      <c r="S390" s="451"/>
      <c r="T390" s="451"/>
      <c r="U390" s="451">
        <v>2185.3792211192231</v>
      </c>
      <c r="V390" s="451"/>
      <c r="W390" s="451"/>
      <c r="X390" s="451"/>
      <c r="Y390" s="451"/>
      <c r="Z390" s="451"/>
      <c r="AA390" s="451"/>
      <c r="AB390" s="451"/>
      <c r="AC390" s="451"/>
      <c r="AH390"/>
      <c r="AI390"/>
    </row>
    <row r="391" spans="1:35" s="450" customFormat="1" x14ac:dyDescent="0.25">
      <c r="A391" s="448"/>
      <c r="B391" s="448"/>
      <c r="C391" s="448">
        <f t="shared" si="76"/>
        <v>1</v>
      </c>
      <c r="D391" s="448">
        <f t="shared" si="77"/>
        <v>1</v>
      </c>
      <c r="E391" s="448">
        <f t="shared" si="78"/>
        <v>15</v>
      </c>
      <c r="F391" s="448" t="str">
        <f t="shared" si="79"/>
        <v>crx</v>
      </c>
      <c r="G391" s="448" t="s">
        <v>998</v>
      </c>
      <c r="H391" s="448" t="e">
        <f>VLOOKUP(G391,#REF!,5,FALSE)</f>
        <v>#REF!</v>
      </c>
      <c r="I391" s="448" t="s">
        <v>999</v>
      </c>
      <c r="J391" s="449" t="s">
        <v>21</v>
      </c>
      <c r="K391" s="450">
        <f t="shared" si="80"/>
        <v>2374.8202526047689</v>
      </c>
      <c r="L391" s="448"/>
      <c r="M391" s="450">
        <v>2385.1245187118325</v>
      </c>
      <c r="O391" s="451"/>
      <c r="P391" s="451"/>
      <c r="Q391" s="451"/>
      <c r="R391" s="451"/>
      <c r="S391" s="451"/>
      <c r="T391" s="451"/>
      <c r="U391" s="451">
        <v>2374.8202526047689</v>
      </c>
      <c r="V391" s="451"/>
      <c r="W391" s="451"/>
      <c r="X391" s="451"/>
      <c r="Y391" s="451"/>
      <c r="Z391" s="451"/>
      <c r="AA391" s="451"/>
      <c r="AB391" s="451"/>
      <c r="AC391" s="451"/>
      <c r="AH391"/>
      <c r="AI391"/>
    </row>
    <row r="392" spans="1:35" s="450" customFormat="1" x14ac:dyDescent="0.25">
      <c r="A392" s="448"/>
      <c r="B392" s="448"/>
      <c r="C392" s="448">
        <f t="shared" si="76"/>
        <v>2</v>
      </c>
      <c r="D392" s="448">
        <f t="shared" si="77"/>
        <v>2</v>
      </c>
      <c r="E392" s="448">
        <f t="shared" si="78"/>
        <v>15</v>
      </c>
      <c r="F392" s="448" t="str">
        <f t="shared" si="79"/>
        <v>crx</v>
      </c>
      <c r="G392" s="448" t="s">
        <v>1000</v>
      </c>
      <c r="H392" s="448" t="e">
        <f>VLOOKUP(G392,#REF!,5,FALSE)</f>
        <v>#REF!</v>
      </c>
      <c r="I392" s="448" t="s">
        <v>1001</v>
      </c>
      <c r="J392" s="449" t="s">
        <v>21</v>
      </c>
      <c r="K392" s="450">
        <f t="shared" si="80"/>
        <v>2190.5109313985322</v>
      </c>
      <c r="L392" s="448"/>
      <c r="M392" s="450">
        <v>2278.1395434897308</v>
      </c>
      <c r="O392" s="451"/>
      <c r="P392" s="451"/>
      <c r="Q392" s="451"/>
      <c r="R392" s="451"/>
      <c r="S392" s="451"/>
      <c r="T392" s="451"/>
      <c r="U392" s="451">
        <v>2190.5109313985322</v>
      </c>
      <c r="V392" s="451"/>
      <c r="W392" s="451"/>
      <c r="X392" s="451"/>
      <c r="Y392" s="451"/>
      <c r="Z392" s="451"/>
      <c r="AA392" s="451"/>
      <c r="AB392" s="451"/>
      <c r="AC392" s="451"/>
      <c r="AH392"/>
      <c r="AI392"/>
    </row>
    <row r="393" spans="1:35" s="450" customFormat="1" x14ac:dyDescent="0.25">
      <c r="A393" s="448"/>
      <c r="B393" s="448"/>
      <c r="C393" s="448">
        <f t="shared" si="76"/>
        <v>3</v>
      </c>
      <c r="D393" s="448">
        <f t="shared" si="77"/>
        <v>3</v>
      </c>
      <c r="E393" s="448">
        <f t="shared" si="78"/>
        <v>15</v>
      </c>
      <c r="F393" s="448" t="str">
        <f t="shared" si="79"/>
        <v>crx</v>
      </c>
      <c r="G393" s="448" t="s">
        <v>1002</v>
      </c>
      <c r="H393" s="448" t="e">
        <f>VLOOKUP(G393,#REF!,5,FALSE)</f>
        <v>#REF!</v>
      </c>
      <c r="I393" s="448" t="s">
        <v>1003</v>
      </c>
      <c r="J393" s="449" t="s">
        <v>21</v>
      </c>
      <c r="K393" s="450">
        <f t="shared" si="80"/>
        <v>2349.3049870384771</v>
      </c>
      <c r="L393" s="448"/>
      <c r="M393" s="450">
        <v>2369.5972584559104</v>
      </c>
      <c r="O393" s="451"/>
      <c r="P393" s="451"/>
      <c r="Q393" s="451"/>
      <c r="R393" s="451"/>
      <c r="S393" s="451"/>
      <c r="T393" s="451"/>
      <c r="U393" s="451">
        <v>2349.3049870384771</v>
      </c>
      <c r="V393" s="451"/>
      <c r="W393" s="451"/>
      <c r="X393" s="451"/>
      <c r="Y393" s="451"/>
      <c r="Z393" s="451"/>
      <c r="AA393" s="451"/>
      <c r="AB393" s="451"/>
      <c r="AC393" s="451"/>
      <c r="AH393"/>
      <c r="AI393"/>
    </row>
    <row r="394" spans="1:35" s="450" customFormat="1" x14ac:dyDescent="0.25">
      <c r="A394" s="448"/>
      <c r="B394" s="448"/>
      <c r="C394" s="448">
        <f t="shared" si="76"/>
        <v>4</v>
      </c>
      <c r="D394" s="448">
        <f t="shared" si="77"/>
        <v>4</v>
      </c>
      <c r="E394" s="448">
        <f t="shared" si="78"/>
        <v>15</v>
      </c>
      <c r="F394" s="448" t="str">
        <f t="shared" si="79"/>
        <v>prx</v>
      </c>
      <c r="G394" s="448" t="s">
        <v>1004</v>
      </c>
      <c r="H394" s="448" t="e">
        <f>VLOOKUP(G394,#REF!,5,FALSE)</f>
        <v>#REF!</v>
      </c>
      <c r="I394" s="448" t="s">
        <v>1005</v>
      </c>
      <c r="J394" s="449" t="s">
        <v>21</v>
      </c>
      <c r="K394" s="450">
        <f t="shared" si="80"/>
        <v>2389.7229230157013</v>
      </c>
      <c r="L394" s="448"/>
      <c r="M394" s="450">
        <v>2395.475924098077</v>
      </c>
      <c r="O394" s="451"/>
      <c r="P394" s="451"/>
      <c r="Q394" s="451"/>
      <c r="R394" s="451"/>
      <c r="S394" s="451"/>
      <c r="T394" s="451"/>
      <c r="U394" s="451">
        <v>2389.7229230157013</v>
      </c>
      <c r="V394" s="451"/>
      <c r="W394" s="451"/>
      <c r="X394" s="451"/>
      <c r="Y394" s="451"/>
      <c r="Z394" s="451"/>
      <c r="AA394" s="451"/>
      <c r="AB394" s="451"/>
      <c r="AC394" s="451"/>
      <c r="AH394"/>
      <c r="AI394"/>
    </row>
    <row r="395" spans="1:35" s="450" customFormat="1" x14ac:dyDescent="0.25">
      <c r="A395" s="448"/>
      <c r="B395" s="448"/>
      <c r="C395" s="448">
        <f t="shared" si="76"/>
        <v>5</v>
      </c>
      <c r="D395" s="448">
        <f t="shared" si="77"/>
        <v>5</v>
      </c>
      <c r="E395" s="448">
        <f t="shared" si="78"/>
        <v>15</v>
      </c>
      <c r="F395" s="448" t="str">
        <f t="shared" si="79"/>
        <v>crx</v>
      </c>
      <c r="G395" s="448" t="s">
        <v>1006</v>
      </c>
      <c r="H395" s="448" t="e">
        <f>VLOOKUP(G395,#REF!,5,FALSE)</f>
        <v>#REF!</v>
      </c>
      <c r="I395" s="448" t="s">
        <v>1007</v>
      </c>
      <c r="J395" s="449" t="s">
        <v>21</v>
      </c>
      <c r="K395" s="450">
        <f t="shared" si="80"/>
        <v>2366.3509765142076</v>
      </c>
      <c r="L395" s="448"/>
      <c r="M395" s="450">
        <v>2384.3235593278796</v>
      </c>
      <c r="O395" s="451"/>
      <c r="P395" s="451"/>
      <c r="Q395" s="451"/>
      <c r="R395" s="451"/>
      <c r="S395" s="451"/>
      <c r="T395" s="451"/>
      <c r="U395" s="451">
        <v>2366.3509765142076</v>
      </c>
      <c r="V395" s="451"/>
      <c r="W395" s="451"/>
      <c r="X395" s="451"/>
      <c r="Y395" s="451"/>
      <c r="Z395" s="451"/>
      <c r="AA395" s="451"/>
      <c r="AB395" s="451"/>
      <c r="AC395" s="451"/>
      <c r="AH395"/>
      <c r="AI395"/>
    </row>
    <row r="396" spans="1:35" s="450" customFormat="1" x14ac:dyDescent="0.25">
      <c r="A396" s="448"/>
      <c r="B396" s="448"/>
      <c r="C396" s="448">
        <f t="shared" si="76"/>
        <v>6</v>
      </c>
      <c r="D396" s="448">
        <f t="shared" si="77"/>
        <v>6</v>
      </c>
      <c r="E396" s="448">
        <f t="shared" si="78"/>
        <v>15</v>
      </c>
      <c r="F396" s="448" t="str">
        <f t="shared" si="79"/>
        <v>gex</v>
      </c>
      <c r="G396" s="448" t="s">
        <v>1008</v>
      </c>
      <c r="H396" s="448" t="e">
        <f>VLOOKUP(G396,#REF!,5,FALSE)</f>
        <v>#REF!</v>
      </c>
      <c r="I396" s="448" t="s">
        <v>1009</v>
      </c>
      <c r="J396" s="449" t="s">
        <v>21</v>
      </c>
      <c r="K396" s="450">
        <f t="shared" si="80"/>
        <v>2616.6486715267165</v>
      </c>
      <c r="L396" s="448"/>
      <c r="M396" s="450">
        <v>2538.5909699302074</v>
      </c>
      <c r="O396" s="451"/>
      <c r="P396" s="451"/>
      <c r="Q396" s="451"/>
      <c r="R396" s="451"/>
      <c r="S396" s="451"/>
      <c r="T396" s="451"/>
      <c r="U396" s="451">
        <v>2616.6486715267165</v>
      </c>
      <c r="V396" s="451"/>
      <c r="W396" s="451"/>
      <c r="X396" s="451"/>
      <c r="Y396" s="451"/>
      <c r="Z396" s="451"/>
      <c r="AA396" s="451"/>
      <c r="AB396" s="451"/>
      <c r="AC396" s="451"/>
      <c r="AH396"/>
      <c r="AI396"/>
    </row>
    <row r="397" spans="1:35" s="450" customFormat="1" x14ac:dyDescent="0.25">
      <c r="A397" s="448"/>
      <c r="B397" s="448"/>
      <c r="C397" s="448">
        <f t="shared" si="76"/>
        <v>7</v>
      </c>
      <c r="D397" s="448">
        <f t="shared" si="77"/>
        <v>7</v>
      </c>
      <c r="E397" s="448">
        <f t="shared" si="78"/>
        <v>15</v>
      </c>
      <c r="F397" s="448" t="str">
        <f t="shared" si="79"/>
        <v>gex</v>
      </c>
      <c r="G397" s="448" t="s">
        <v>1010</v>
      </c>
      <c r="H397" s="448" t="e">
        <f>VLOOKUP(G397,#REF!,5,FALSE)</f>
        <v>#REF!</v>
      </c>
      <c r="I397" s="448" t="s">
        <v>1011</v>
      </c>
      <c r="J397" s="449" t="s">
        <v>21</v>
      </c>
      <c r="K397" s="450">
        <f t="shared" si="80"/>
        <v>2559.6724029595775</v>
      </c>
      <c r="L397" s="448"/>
      <c r="M397" s="450">
        <v>2497.9423004852915</v>
      </c>
      <c r="O397" s="451"/>
      <c r="P397" s="451"/>
      <c r="Q397" s="451"/>
      <c r="R397" s="451"/>
      <c r="S397" s="451"/>
      <c r="T397" s="451"/>
      <c r="U397" s="451">
        <v>2559.6724029595775</v>
      </c>
      <c r="V397" s="451"/>
      <c r="W397" s="451"/>
      <c r="X397" s="451"/>
      <c r="Y397" s="451"/>
      <c r="Z397" s="451"/>
      <c r="AA397" s="451"/>
      <c r="AB397" s="451"/>
      <c r="AC397" s="451"/>
      <c r="AH397"/>
      <c r="AI397"/>
    </row>
    <row r="398" spans="1:35" s="450" customFormat="1" x14ac:dyDescent="0.25">
      <c r="A398" s="448"/>
      <c r="B398" s="448"/>
      <c r="C398" s="448">
        <f t="shared" si="76"/>
        <v>1</v>
      </c>
      <c r="D398" s="448">
        <f t="shared" si="77"/>
        <v>1</v>
      </c>
      <c r="E398" s="448">
        <f t="shared" si="78"/>
        <v>16</v>
      </c>
      <c r="F398" s="448" t="str">
        <f t="shared" si="79"/>
        <v>crx</v>
      </c>
      <c r="G398" s="448" t="s">
        <v>1012</v>
      </c>
      <c r="H398" s="448" t="e">
        <f>VLOOKUP(G398,#REF!,5,FALSE)</f>
        <v>#REF!</v>
      </c>
      <c r="I398" s="448" t="s">
        <v>1013</v>
      </c>
      <c r="J398" s="449" t="s">
        <v>21</v>
      </c>
      <c r="K398" s="450">
        <f t="shared" si="80"/>
        <v>2376.4400973820484</v>
      </c>
      <c r="L398" s="448"/>
      <c r="M398" s="450">
        <v>2463.4354192203423</v>
      </c>
      <c r="O398" s="451"/>
      <c r="P398" s="451"/>
      <c r="Q398" s="451"/>
      <c r="R398" s="451"/>
      <c r="S398" s="451"/>
      <c r="T398" s="451"/>
      <c r="U398" s="451">
        <v>2376.4400973820484</v>
      </c>
      <c r="V398" s="451"/>
      <c r="W398" s="451"/>
      <c r="X398" s="451"/>
      <c r="Y398" s="451"/>
      <c r="Z398" s="451"/>
      <c r="AA398" s="451"/>
      <c r="AB398" s="451"/>
      <c r="AC398" s="451"/>
      <c r="AH398"/>
      <c r="AI398"/>
    </row>
    <row r="399" spans="1:35" s="450" customFormat="1" x14ac:dyDescent="0.25">
      <c r="A399" s="448"/>
      <c r="B399" s="448"/>
      <c r="C399" s="448">
        <f t="shared" si="76"/>
        <v>2</v>
      </c>
      <c r="D399" s="448">
        <f t="shared" si="77"/>
        <v>2</v>
      </c>
      <c r="E399" s="448">
        <f t="shared" si="78"/>
        <v>16</v>
      </c>
      <c r="F399" s="448" t="str">
        <f t="shared" si="79"/>
        <v>crx</v>
      </c>
      <c r="G399" s="448" t="s">
        <v>1014</v>
      </c>
      <c r="H399" s="448" t="e">
        <f>VLOOKUP(G399,#REF!,5,FALSE)</f>
        <v>#REF!</v>
      </c>
      <c r="I399" s="448" t="s">
        <v>1015</v>
      </c>
      <c r="J399" s="449" t="s">
        <v>21</v>
      </c>
      <c r="K399" s="450">
        <f t="shared" si="80"/>
        <v>2592.8715653215868</v>
      </c>
      <c r="L399" s="448"/>
      <c r="M399" s="450">
        <v>2595.8482863940603</v>
      </c>
      <c r="O399" s="451"/>
      <c r="P399" s="451"/>
      <c r="Q399" s="451"/>
      <c r="R399" s="451"/>
      <c r="S399" s="451"/>
      <c r="T399" s="451"/>
      <c r="U399" s="451">
        <v>2592.8715653215868</v>
      </c>
      <c r="V399" s="451"/>
      <c r="W399" s="451"/>
      <c r="X399" s="451"/>
      <c r="Y399" s="451"/>
      <c r="Z399" s="451"/>
      <c r="AA399" s="451"/>
      <c r="AB399" s="451"/>
      <c r="AC399" s="451"/>
      <c r="AH399"/>
      <c r="AI399"/>
    </row>
    <row r="400" spans="1:35" s="450" customFormat="1" x14ac:dyDescent="0.25">
      <c r="A400" s="448"/>
      <c r="B400" s="448"/>
      <c r="C400" s="448">
        <f t="shared" si="76"/>
        <v>3</v>
      </c>
      <c r="D400" s="448">
        <f t="shared" si="77"/>
        <v>3</v>
      </c>
      <c r="E400" s="448">
        <f t="shared" si="78"/>
        <v>16</v>
      </c>
      <c r="F400" s="448" t="str">
        <f t="shared" si="79"/>
        <v>crx</v>
      </c>
      <c r="G400" s="448" t="s">
        <v>1016</v>
      </c>
      <c r="H400" s="448" t="e">
        <f>VLOOKUP(G400,#REF!,5,FALSE)</f>
        <v>#REF!</v>
      </c>
      <c r="I400" s="448" t="s">
        <v>1017</v>
      </c>
      <c r="J400" s="449" t="s">
        <v>21</v>
      </c>
      <c r="K400" s="450">
        <f t="shared" si="80"/>
        <v>2597.1291083199617</v>
      </c>
      <c r="L400" s="448"/>
      <c r="M400" s="450">
        <v>2597.7183905844577</v>
      </c>
      <c r="O400" s="451"/>
      <c r="P400" s="451"/>
      <c r="Q400" s="451"/>
      <c r="R400" s="451"/>
      <c r="S400" s="451"/>
      <c r="T400" s="451"/>
      <c r="U400" s="451">
        <v>2597.1291083199617</v>
      </c>
      <c r="V400" s="451"/>
      <c r="W400" s="451"/>
      <c r="X400" s="451"/>
      <c r="Y400" s="451"/>
      <c r="Z400" s="451"/>
      <c r="AA400" s="451"/>
      <c r="AB400" s="451"/>
      <c r="AC400" s="451"/>
      <c r="AH400"/>
      <c r="AI400"/>
    </row>
    <row r="401" spans="1:35" s="450" customFormat="1" x14ac:dyDescent="0.25">
      <c r="A401" s="448"/>
      <c r="B401" s="448"/>
      <c r="C401" s="448">
        <f t="shared" si="76"/>
        <v>1</v>
      </c>
      <c r="D401" s="448">
        <f t="shared" si="77"/>
        <v>1</v>
      </c>
      <c r="E401" s="448">
        <f t="shared" si="78"/>
        <v>17</v>
      </c>
      <c r="F401" s="448" t="str">
        <f t="shared" si="79"/>
        <v>crx</v>
      </c>
      <c r="G401" s="448" t="s">
        <v>1018</v>
      </c>
      <c r="H401" s="448" t="e">
        <f>VLOOKUP(G401,#REF!,5,FALSE)</f>
        <v>#REF!</v>
      </c>
      <c r="I401" s="448" t="s">
        <v>1019</v>
      </c>
      <c r="J401" s="449" t="s">
        <v>21</v>
      </c>
      <c r="K401" s="450">
        <f t="shared" si="80"/>
        <v>2908.9499520463164</v>
      </c>
      <c r="L401" s="448"/>
      <c r="M401" s="450">
        <v>2863.8855098140079</v>
      </c>
      <c r="O401" s="451"/>
      <c r="P401" s="451"/>
      <c r="Q401" s="451"/>
      <c r="R401" s="451"/>
      <c r="S401" s="451"/>
      <c r="T401" s="451"/>
      <c r="U401" s="451">
        <v>2908.9499520463164</v>
      </c>
      <c r="V401" s="451"/>
      <c r="W401" s="451"/>
      <c r="X401" s="451"/>
      <c r="Y401" s="451"/>
      <c r="Z401" s="451"/>
      <c r="AA401" s="451"/>
      <c r="AB401" s="451"/>
      <c r="AC401" s="451"/>
      <c r="AH401"/>
      <c r="AI401"/>
    </row>
    <row r="402" spans="1:35" s="450" customFormat="1" x14ac:dyDescent="0.25">
      <c r="A402" s="448"/>
      <c r="B402" s="448"/>
      <c r="C402" s="448">
        <f t="shared" si="76"/>
        <v>1</v>
      </c>
      <c r="D402" s="448">
        <f t="shared" si="77"/>
        <v>1</v>
      </c>
      <c r="E402" s="448">
        <f t="shared" si="78"/>
        <v>18</v>
      </c>
      <c r="F402" s="448" t="str">
        <f t="shared" si="79"/>
        <v>odx</v>
      </c>
      <c r="G402" s="448" t="s">
        <v>1020</v>
      </c>
      <c r="H402" s="448" t="e">
        <f>VLOOKUP(G402,#REF!,5,FALSE)</f>
        <v>#REF!</v>
      </c>
      <c r="I402" s="448" t="s">
        <v>1021</v>
      </c>
      <c r="J402" s="449" t="s">
        <v>21</v>
      </c>
      <c r="K402" s="450">
        <f t="shared" si="80"/>
        <v>2898.8059170619895</v>
      </c>
      <c r="L402" s="448"/>
      <c r="M402" s="450">
        <v>2935.484448261845</v>
      </c>
      <c r="O402" s="451"/>
      <c r="P402" s="451"/>
      <c r="Q402" s="451"/>
      <c r="R402" s="451"/>
      <c r="S402" s="451"/>
      <c r="T402" s="451"/>
      <c r="U402" s="451">
        <v>2898.8059170619895</v>
      </c>
      <c r="V402" s="451"/>
      <c r="W402" s="451"/>
      <c r="X402" s="451"/>
      <c r="Y402" s="451"/>
      <c r="Z402" s="451"/>
      <c r="AA402" s="451"/>
      <c r="AB402" s="451"/>
      <c r="AC402" s="451"/>
      <c r="AH402"/>
      <c r="AI402"/>
    </row>
    <row r="403" spans="1:35" s="450" customFormat="1" x14ac:dyDescent="0.25">
      <c r="A403" s="448"/>
      <c r="B403" s="448"/>
      <c r="C403" s="448">
        <f t="shared" si="76"/>
        <v>2</v>
      </c>
      <c r="D403" s="448">
        <f t="shared" si="77"/>
        <v>2</v>
      </c>
      <c r="E403" s="448">
        <f t="shared" si="78"/>
        <v>18</v>
      </c>
      <c r="F403" s="448" t="str">
        <f t="shared" si="79"/>
        <v>sox</v>
      </c>
      <c r="G403" s="448" t="s">
        <v>1022</v>
      </c>
      <c r="H403" s="448" t="e">
        <f>VLOOKUP(G403,#REF!,5,FALSE)</f>
        <v>#REF!</v>
      </c>
      <c r="I403" s="448" t="s">
        <v>1023</v>
      </c>
      <c r="J403" s="449" t="s">
        <v>21</v>
      </c>
      <c r="K403" s="450">
        <f t="shared" si="80"/>
        <v>3048.4287168216524</v>
      </c>
      <c r="L403" s="448"/>
      <c r="M403" s="450">
        <v>3033.4440177307415</v>
      </c>
      <c r="O403" s="451"/>
      <c r="P403" s="451"/>
      <c r="Q403" s="451"/>
      <c r="R403" s="451"/>
      <c r="S403" s="451"/>
      <c r="T403" s="451"/>
      <c r="U403" s="451">
        <v>3048.4287168216524</v>
      </c>
      <c r="V403" s="451"/>
      <c r="W403" s="451"/>
      <c r="X403" s="451"/>
      <c r="Y403" s="451"/>
      <c r="Z403" s="451"/>
      <c r="AA403" s="451"/>
      <c r="AB403" s="451"/>
      <c r="AC403" s="451"/>
      <c r="AH403"/>
      <c r="AI403"/>
    </row>
    <row r="404" spans="1:35" x14ac:dyDescent="0.25">
      <c r="K404" s="451"/>
      <c r="M404" s="451"/>
      <c r="N404" s="451"/>
    </row>
    <row r="405" spans="1:35" s="450" customFormat="1" x14ac:dyDescent="0.25">
      <c r="A405" s="448"/>
      <c r="B405" s="448"/>
      <c r="C405" s="448">
        <f t="shared" ref="C405" si="81">IF(E405=E404,C404+1,1)</f>
        <v>1</v>
      </c>
      <c r="D405" s="448">
        <f t="shared" ref="D405" si="82">IF(M405=M404,D404,C405)</f>
        <v>1</v>
      </c>
      <c r="E405" s="448">
        <f t="shared" ref="E405" si="83">10+VALUE(RIGHT(LEFT(G405,3),1))</f>
        <v>17</v>
      </c>
      <c r="F405" s="448" t="str">
        <f t="shared" ref="F405" si="84">RIGHT(G405,2) &amp; IF(A405&lt;2,"x","")</f>
        <v>sox</v>
      </c>
      <c r="G405" s="448" t="s">
        <v>1024</v>
      </c>
      <c r="H405" s="448"/>
      <c r="I405" s="448" t="s">
        <v>1025</v>
      </c>
      <c r="J405" s="449" t="s">
        <v>20</v>
      </c>
      <c r="K405" s="450">
        <f t="shared" ref="K405" si="85">LOOKUP(1E+100,M405:AC405)</f>
        <v>2400.9678970449895</v>
      </c>
      <c r="L405" s="448"/>
      <c r="M405" s="450">
        <v>2400</v>
      </c>
      <c r="O405" s="451"/>
      <c r="P405" s="451"/>
      <c r="Q405" s="451"/>
      <c r="R405" s="451"/>
      <c r="S405" s="451"/>
      <c r="T405" s="451"/>
      <c r="U405" s="451"/>
      <c r="V405" s="451">
        <v>2400.9678970449895</v>
      </c>
      <c r="W405" s="451"/>
      <c r="X405" s="451"/>
      <c r="Y405" s="451"/>
      <c r="Z405" s="451"/>
      <c r="AA405" s="451"/>
      <c r="AB405" s="451"/>
      <c r="AC405" s="451"/>
      <c r="AH405"/>
      <c r="AI405"/>
    </row>
    <row r="406" spans="1:35" x14ac:dyDescent="0.25">
      <c r="K406" s="451"/>
      <c r="M406" s="451"/>
      <c r="N406" s="451"/>
    </row>
    <row r="407" spans="1:35" s="450" customFormat="1" x14ac:dyDescent="0.25">
      <c r="A407" s="448"/>
      <c r="B407" s="448"/>
      <c r="C407" s="448">
        <f t="shared" ref="C407" si="86">IF(E407=E406,C406+1,1)</f>
        <v>1</v>
      </c>
      <c r="D407" s="448">
        <f t="shared" ref="D407" si="87">IF(M407=M406,D406,C407)</f>
        <v>1</v>
      </c>
      <c r="E407" s="448">
        <f t="shared" ref="E407" si="88">10+VALUE(RIGHT(LEFT(G407,3),1))</f>
        <v>14</v>
      </c>
      <c r="F407" s="448" t="str">
        <f t="shared" ref="F407" si="89">RIGHT(G407,2) &amp; IF(A407&lt;2,"x","")</f>
        <v>pmx</v>
      </c>
      <c r="G407" s="452" t="s">
        <v>1026</v>
      </c>
      <c r="H407" s="448"/>
      <c r="I407" s="448" t="s">
        <v>1027</v>
      </c>
      <c r="J407" s="449" t="s">
        <v>20</v>
      </c>
      <c r="K407" s="450">
        <f t="shared" ref="K407" si="90">LOOKUP(1E+100,M407:AC407)</f>
        <v>1995.3439805858934</v>
      </c>
      <c r="L407" s="448"/>
      <c r="M407" s="450">
        <v>2000</v>
      </c>
      <c r="O407" s="451"/>
      <c r="P407" s="451"/>
      <c r="Q407" s="451"/>
      <c r="R407" s="451"/>
      <c r="S407" s="451"/>
      <c r="T407" s="451"/>
      <c r="U407" s="451"/>
      <c r="V407" s="451">
        <v>1995.3439805858934</v>
      </c>
      <c r="W407" s="451"/>
      <c r="X407" s="451"/>
      <c r="Y407" s="451"/>
      <c r="Z407" s="451"/>
      <c r="AA407" s="451"/>
      <c r="AB407" s="451"/>
      <c r="AC407" s="451"/>
      <c r="AH407"/>
      <c r="AI407"/>
    </row>
    <row r="408" spans="1:35" x14ac:dyDescent="0.25">
      <c r="K408" s="451"/>
      <c r="M408" s="451"/>
      <c r="N408" s="451"/>
    </row>
    <row r="409" spans="1:35" s="450" customFormat="1" x14ac:dyDescent="0.25">
      <c r="A409" s="448"/>
      <c r="B409" s="448"/>
      <c r="C409" s="448">
        <f t="shared" ref="C409:C411" si="91">IF(E409=E408,C408+1,1)</f>
        <v>1</v>
      </c>
      <c r="D409" s="448">
        <f t="shared" ref="D409:D411" si="92">IF(M409=M408,D408,C409)</f>
        <v>1</v>
      </c>
      <c r="E409" s="448">
        <f t="shared" ref="E409:E411" si="93">10+VALUE(RIGHT(LEFT(G409,3),1))</f>
        <v>17</v>
      </c>
      <c r="F409" s="448" t="str">
        <f t="shared" ref="F409:F411" si="94">RIGHT(G409,2) &amp; IF(A409&lt;2,"x","")</f>
        <v>sox</v>
      </c>
      <c r="G409" s="448" t="s">
        <v>1042</v>
      </c>
      <c r="H409" s="448"/>
      <c r="I409" s="448" t="s">
        <v>1041</v>
      </c>
      <c r="J409" s="449"/>
      <c r="K409" s="450">
        <f t="shared" ref="K409:K411" si="95">LOOKUP(1E+100,M409:AC409)</f>
        <v>2819.9863181063984</v>
      </c>
      <c r="L409" s="448"/>
      <c r="M409" s="450">
        <v>2800</v>
      </c>
      <c r="O409" s="451"/>
      <c r="P409" s="451"/>
      <c r="Q409" s="451"/>
      <c r="R409" s="451"/>
      <c r="S409" s="451"/>
      <c r="T409" s="451"/>
      <c r="U409" s="451"/>
      <c r="V409" s="451"/>
      <c r="W409" s="451">
        <v>2819.9863181063984</v>
      </c>
      <c r="X409" s="451"/>
      <c r="Y409" s="451"/>
      <c r="Z409" s="451"/>
      <c r="AA409" s="451"/>
      <c r="AB409" s="451"/>
      <c r="AC409" s="451"/>
      <c r="AH409"/>
      <c r="AI409"/>
    </row>
    <row r="410" spans="1:35" s="450" customFormat="1" x14ac:dyDescent="0.25">
      <c r="A410" s="448"/>
      <c r="B410" s="448"/>
      <c r="C410" s="448">
        <f t="shared" si="91"/>
        <v>2</v>
      </c>
      <c r="D410" s="448">
        <f t="shared" si="92"/>
        <v>1</v>
      </c>
      <c r="E410" s="448">
        <f t="shared" si="93"/>
        <v>17</v>
      </c>
      <c r="F410" s="448" t="str">
        <f t="shared" si="94"/>
        <v>sox</v>
      </c>
      <c r="G410" s="448" t="s">
        <v>1044</v>
      </c>
      <c r="H410" s="448"/>
      <c r="I410" s="448" t="s">
        <v>1043</v>
      </c>
      <c r="J410" s="449"/>
      <c r="K410" s="450">
        <f t="shared" si="95"/>
        <v>2507.1077245231231</v>
      </c>
      <c r="L410" s="448"/>
      <c r="M410" s="450">
        <v>2800</v>
      </c>
      <c r="O410" s="451"/>
      <c r="P410" s="451"/>
      <c r="Q410" s="451"/>
      <c r="R410" s="451"/>
      <c r="S410" s="451"/>
      <c r="T410" s="451"/>
      <c r="U410" s="451"/>
      <c r="V410" s="451"/>
      <c r="W410" s="451">
        <v>2507.1077245231231</v>
      </c>
      <c r="X410" s="451"/>
      <c r="Y410" s="451"/>
      <c r="Z410" s="451"/>
      <c r="AA410" s="451"/>
      <c r="AB410" s="451"/>
      <c r="AC410" s="451"/>
      <c r="AH410"/>
      <c r="AI410"/>
    </row>
    <row r="411" spans="1:35" s="450" customFormat="1" x14ac:dyDescent="0.25">
      <c r="A411" s="448"/>
      <c r="B411" s="448"/>
      <c r="C411" s="448">
        <f t="shared" si="91"/>
        <v>1</v>
      </c>
      <c r="D411" s="448">
        <f t="shared" si="92"/>
        <v>1</v>
      </c>
      <c r="E411" s="448">
        <f t="shared" si="93"/>
        <v>16</v>
      </c>
      <c r="F411" s="448" t="str">
        <f t="shared" si="94"/>
        <v>sox</v>
      </c>
      <c r="G411" s="448" t="s">
        <v>1046</v>
      </c>
      <c r="H411" s="448"/>
      <c r="I411" s="448" t="s">
        <v>1045</v>
      </c>
      <c r="J411" s="449"/>
      <c r="K411" s="450">
        <f t="shared" si="95"/>
        <v>2614.8968808076843</v>
      </c>
      <c r="L411" s="448"/>
      <c r="M411" s="450">
        <v>2600</v>
      </c>
      <c r="O411" s="451"/>
      <c r="P411" s="451"/>
      <c r="Q411" s="451"/>
      <c r="R411" s="451"/>
      <c r="S411" s="451"/>
      <c r="T411" s="451"/>
      <c r="U411" s="451"/>
      <c r="V411" s="451"/>
      <c r="W411" s="451">
        <v>2614.8968808076843</v>
      </c>
      <c r="X411" s="451"/>
      <c r="Y411" s="451"/>
      <c r="Z411" s="451"/>
      <c r="AA411" s="451"/>
      <c r="AB411" s="451"/>
      <c r="AC411" s="451"/>
      <c r="AH411"/>
      <c r="AI411"/>
    </row>
    <row r="412" spans="1:35" x14ac:dyDescent="0.25">
      <c r="K412" s="451"/>
      <c r="M412" s="451"/>
      <c r="N412" s="451"/>
    </row>
    <row r="413" spans="1:35" x14ac:dyDescent="0.25">
      <c r="K413" s="451"/>
      <c r="M413" s="451"/>
      <c r="N413" s="451"/>
    </row>
    <row r="414" spans="1:35" x14ac:dyDescent="0.25">
      <c r="K414" s="451"/>
      <c r="M414" s="451"/>
      <c r="N414" s="451"/>
    </row>
    <row r="415" spans="1:35" x14ac:dyDescent="0.25">
      <c r="K415" s="451"/>
      <c r="M415" s="451"/>
      <c r="N415" s="451"/>
    </row>
    <row r="416" spans="1:35" x14ac:dyDescent="0.25">
      <c r="K416" s="451"/>
      <c r="M416" s="451"/>
      <c r="N416" s="451"/>
    </row>
    <row r="417" spans="11:14" x14ac:dyDescent="0.25">
      <c r="K417" s="451"/>
      <c r="M417" s="451"/>
      <c r="N417" s="451"/>
    </row>
    <row r="418" spans="11:14" x14ac:dyDescent="0.25">
      <c r="K418" s="451"/>
      <c r="M418" s="451"/>
      <c r="N418" s="451"/>
    </row>
    <row r="419" spans="11:14" x14ac:dyDescent="0.25">
      <c r="K419" s="451"/>
      <c r="M419" s="451"/>
      <c r="N419" s="451"/>
    </row>
    <row r="420" spans="11:14" x14ac:dyDescent="0.25">
      <c r="K420" s="451"/>
      <c r="M420" s="451"/>
      <c r="N420" s="451"/>
    </row>
    <row r="421" spans="11:14" x14ac:dyDescent="0.25">
      <c r="K421" s="451"/>
      <c r="M421" s="451"/>
      <c r="N421" s="451"/>
    </row>
    <row r="422" spans="11:14" x14ac:dyDescent="0.25">
      <c r="K422" s="451"/>
      <c r="M422" s="451"/>
      <c r="N422" s="451"/>
    </row>
    <row r="423" spans="11:14" x14ac:dyDescent="0.25">
      <c r="K423" s="451"/>
      <c r="M423" s="451"/>
      <c r="N423" s="451"/>
    </row>
    <row r="424" spans="11:14" x14ac:dyDescent="0.25">
      <c r="K424" s="451"/>
      <c r="M424" s="451"/>
      <c r="N424" s="451"/>
    </row>
    <row r="425" spans="11:14" x14ac:dyDescent="0.25">
      <c r="K425" s="451"/>
      <c r="M425" s="451"/>
      <c r="N425" s="451"/>
    </row>
    <row r="426" spans="11:14" x14ac:dyDescent="0.25">
      <c r="K426" s="451"/>
      <c r="M426" s="451"/>
      <c r="N426" s="451"/>
    </row>
    <row r="427" spans="11:14" x14ac:dyDescent="0.25">
      <c r="K427" s="451"/>
      <c r="M427" s="451"/>
      <c r="N427" s="451"/>
    </row>
    <row r="428" spans="11:14" x14ac:dyDescent="0.25">
      <c r="K428" s="451"/>
      <c r="M428" s="451"/>
      <c r="N428" s="451"/>
    </row>
    <row r="429" spans="11:14" x14ac:dyDescent="0.25">
      <c r="K429" s="451"/>
      <c r="M429" s="451"/>
      <c r="N429" s="451"/>
    </row>
    <row r="430" spans="11:14" x14ac:dyDescent="0.25">
      <c r="K430" s="451"/>
      <c r="M430" s="451"/>
      <c r="N430" s="451"/>
    </row>
    <row r="431" spans="11:14" x14ac:dyDescent="0.25">
      <c r="K431" s="451"/>
      <c r="M431" s="451"/>
      <c r="N431" s="451"/>
    </row>
    <row r="432" spans="11:14" x14ac:dyDescent="0.25">
      <c r="K432" s="451"/>
      <c r="M432" s="451"/>
      <c r="N432" s="451"/>
    </row>
    <row r="433" spans="11:14" x14ac:dyDescent="0.25">
      <c r="K433" s="451"/>
      <c r="M433" s="451"/>
      <c r="N433" s="451"/>
    </row>
    <row r="434" spans="11:14" x14ac:dyDescent="0.25">
      <c r="K434" s="451"/>
      <c r="M434" s="451"/>
      <c r="N434" s="451"/>
    </row>
    <row r="435" spans="11:14" x14ac:dyDescent="0.25">
      <c r="K435" s="451"/>
      <c r="M435" s="451"/>
      <c r="N435" s="451"/>
    </row>
    <row r="436" spans="11:14" x14ac:dyDescent="0.25">
      <c r="K436" s="451"/>
      <c r="M436" s="451"/>
      <c r="N436" s="451"/>
    </row>
    <row r="437" spans="11:14" x14ac:dyDescent="0.25">
      <c r="K437" s="451"/>
      <c r="M437" s="451"/>
      <c r="N437" s="451"/>
    </row>
    <row r="438" spans="11:14" x14ac:dyDescent="0.25">
      <c r="K438" s="451"/>
      <c r="M438" s="451"/>
      <c r="N438" s="451"/>
    </row>
    <row r="439" spans="11:14" x14ac:dyDescent="0.25">
      <c r="K439" s="451"/>
      <c r="M439" s="451"/>
      <c r="N439" s="451"/>
    </row>
    <row r="440" spans="11:14" x14ac:dyDescent="0.25">
      <c r="K440" s="451"/>
      <c r="M440" s="451"/>
      <c r="N440" s="451"/>
    </row>
    <row r="441" spans="11:14" x14ac:dyDescent="0.25">
      <c r="K441" s="451"/>
      <c r="M441" s="451"/>
      <c r="N441" s="451"/>
    </row>
    <row r="442" spans="11:14" x14ac:dyDescent="0.25">
      <c r="K442" s="451"/>
      <c r="M442" s="451"/>
      <c r="N442" s="451"/>
    </row>
    <row r="443" spans="11:14" x14ac:dyDescent="0.25">
      <c r="K443" s="451"/>
      <c r="M443" s="451"/>
      <c r="N443" s="451"/>
    </row>
    <row r="444" spans="11:14" x14ac:dyDescent="0.25">
      <c r="K444" s="451"/>
      <c r="M444" s="451"/>
      <c r="N444" s="451"/>
    </row>
    <row r="445" spans="11:14" x14ac:dyDescent="0.25">
      <c r="K445" s="451"/>
      <c r="M445" s="451"/>
      <c r="N445" s="451"/>
    </row>
    <row r="446" spans="11:14" x14ac:dyDescent="0.25">
      <c r="K446" s="451"/>
      <c r="M446" s="451"/>
      <c r="N446" s="451"/>
    </row>
    <row r="447" spans="11:14" x14ac:dyDescent="0.25">
      <c r="K447" s="451"/>
      <c r="M447" s="451"/>
      <c r="N447" s="451"/>
    </row>
    <row r="448" spans="11:14" x14ac:dyDescent="0.25">
      <c r="K448" s="451"/>
      <c r="M448" s="451"/>
      <c r="N448" s="451"/>
    </row>
    <row r="449" spans="11:14" x14ac:dyDescent="0.25">
      <c r="K449" s="451"/>
      <c r="M449" s="451"/>
      <c r="N449" s="451"/>
    </row>
    <row r="450" spans="11:14" x14ac:dyDescent="0.25">
      <c r="K450" s="451"/>
      <c r="M450" s="451"/>
      <c r="N450" s="451"/>
    </row>
    <row r="451" spans="11:14" x14ac:dyDescent="0.25">
      <c r="K451" s="451"/>
      <c r="M451" s="451"/>
      <c r="N451" s="451"/>
    </row>
    <row r="452" spans="11:14" x14ac:dyDescent="0.25">
      <c r="K452" s="451"/>
      <c r="M452" s="451"/>
      <c r="N452" s="451"/>
    </row>
    <row r="453" spans="11:14" x14ac:dyDescent="0.25">
      <c r="K453" s="451"/>
      <c r="M453" s="451"/>
      <c r="N453" s="451"/>
    </row>
    <row r="454" spans="11:14" x14ac:dyDescent="0.25">
      <c r="K454" s="451"/>
      <c r="M454" s="451"/>
      <c r="N454" s="451"/>
    </row>
    <row r="455" spans="11:14" x14ac:dyDescent="0.25">
      <c r="K455" s="451"/>
      <c r="M455" s="451"/>
      <c r="N455" s="451"/>
    </row>
    <row r="456" spans="11:14" x14ac:dyDescent="0.25">
      <c r="K456" s="451"/>
      <c r="M456" s="451"/>
      <c r="N456" s="451"/>
    </row>
    <row r="457" spans="11:14" x14ac:dyDescent="0.25">
      <c r="K457" s="451"/>
      <c r="M457" s="451"/>
      <c r="N457" s="451"/>
    </row>
    <row r="458" spans="11:14" x14ac:dyDescent="0.25">
      <c r="K458" s="451"/>
      <c r="M458" s="451"/>
      <c r="N458" s="451"/>
    </row>
    <row r="459" spans="11:14" x14ac:dyDescent="0.25">
      <c r="K459" s="451"/>
      <c r="M459" s="451"/>
      <c r="N459" s="451"/>
    </row>
    <row r="460" spans="11:14" x14ac:dyDescent="0.25">
      <c r="K460" s="451"/>
      <c r="M460" s="451"/>
      <c r="N460" s="451"/>
    </row>
    <row r="461" spans="11:14" x14ac:dyDescent="0.25">
      <c r="K461" s="451"/>
      <c r="M461" s="451"/>
      <c r="N461" s="451"/>
    </row>
    <row r="462" spans="11:14" x14ac:dyDescent="0.25">
      <c r="K462" s="451"/>
      <c r="M462" s="451"/>
      <c r="N462" s="451"/>
    </row>
    <row r="463" spans="11:14" x14ac:dyDescent="0.25">
      <c r="K463" s="451"/>
      <c r="M463" s="451"/>
      <c r="N463" s="451"/>
    </row>
    <row r="464" spans="11:14" x14ac:dyDescent="0.25">
      <c r="K464" s="451"/>
      <c r="M464" s="451"/>
      <c r="N464" s="451"/>
    </row>
    <row r="465" spans="11:14" x14ac:dyDescent="0.25">
      <c r="K465" s="451"/>
      <c r="M465" s="451"/>
      <c r="N465" s="451"/>
    </row>
    <row r="466" spans="11:14" x14ac:dyDescent="0.25">
      <c r="K466" s="451"/>
      <c r="M466" s="451"/>
      <c r="N466" s="451"/>
    </row>
    <row r="467" spans="11:14" x14ac:dyDescent="0.25">
      <c r="K467" s="451"/>
      <c r="M467" s="451"/>
      <c r="N467" s="451"/>
    </row>
    <row r="468" spans="11:14" x14ac:dyDescent="0.25">
      <c r="K468" s="451"/>
      <c r="M468" s="451"/>
      <c r="N468" s="451"/>
    </row>
    <row r="469" spans="11:14" x14ac:dyDescent="0.25">
      <c r="K469" s="451"/>
      <c r="M469" s="451"/>
      <c r="N469" s="451"/>
    </row>
    <row r="470" spans="11:14" x14ac:dyDescent="0.25">
      <c r="K470" s="451"/>
      <c r="M470" s="451"/>
      <c r="N470" s="451"/>
    </row>
    <row r="471" spans="11:14" x14ac:dyDescent="0.25">
      <c r="K471" s="451"/>
      <c r="M471" s="451"/>
      <c r="N471" s="451"/>
    </row>
    <row r="472" spans="11:14" x14ac:dyDescent="0.25">
      <c r="K472" s="451"/>
      <c r="M472" s="451"/>
      <c r="N472" s="451"/>
    </row>
    <row r="473" spans="11:14" x14ac:dyDescent="0.25">
      <c r="K473" s="451"/>
      <c r="M473" s="451"/>
      <c r="N473" s="451"/>
    </row>
    <row r="474" spans="11:14" x14ac:dyDescent="0.25">
      <c r="K474" s="451"/>
      <c r="M474" s="451"/>
      <c r="N474" s="451"/>
    </row>
    <row r="475" spans="11:14" x14ac:dyDescent="0.25">
      <c r="K475" s="451"/>
      <c r="M475" s="451"/>
      <c r="N475" s="451"/>
    </row>
    <row r="476" spans="11:14" x14ac:dyDescent="0.25">
      <c r="K476" s="451"/>
      <c r="M476" s="451"/>
      <c r="N476" s="451"/>
    </row>
    <row r="477" spans="11:14" x14ac:dyDescent="0.25">
      <c r="K477" s="451"/>
      <c r="M477" s="451"/>
      <c r="N477" s="451"/>
    </row>
    <row r="478" spans="11:14" x14ac:dyDescent="0.25">
      <c r="K478" s="451"/>
      <c r="M478" s="451"/>
      <c r="N478" s="451"/>
    </row>
    <row r="479" spans="11:14" x14ac:dyDescent="0.25">
      <c r="K479" s="451"/>
      <c r="M479" s="451"/>
      <c r="N479" s="451"/>
    </row>
    <row r="480" spans="11:14" x14ac:dyDescent="0.25">
      <c r="K480" s="451"/>
      <c r="M480" s="451"/>
      <c r="N480" s="451"/>
    </row>
    <row r="481" spans="11:14" x14ac:dyDescent="0.25">
      <c r="K481" s="451"/>
      <c r="M481" s="451"/>
      <c r="N481" s="451"/>
    </row>
    <row r="482" spans="11:14" x14ac:dyDescent="0.25">
      <c r="K482" s="451"/>
      <c r="M482" s="451"/>
      <c r="N482" s="451"/>
    </row>
    <row r="483" spans="11:14" x14ac:dyDescent="0.25">
      <c r="K483" s="451"/>
      <c r="M483" s="451"/>
      <c r="N483" s="451"/>
    </row>
    <row r="484" spans="11:14" x14ac:dyDescent="0.25">
      <c r="K484" s="451"/>
      <c r="M484" s="451"/>
      <c r="N484" s="451"/>
    </row>
    <row r="485" spans="11:14" x14ac:dyDescent="0.25">
      <c r="K485" s="451"/>
      <c r="M485" s="451"/>
      <c r="N485" s="451"/>
    </row>
    <row r="486" spans="11:14" x14ac:dyDescent="0.25">
      <c r="K486" s="451"/>
      <c r="M486" s="451"/>
      <c r="N486" s="451"/>
    </row>
    <row r="487" spans="11:14" x14ac:dyDescent="0.25">
      <c r="K487" s="451"/>
      <c r="M487" s="451"/>
      <c r="N487" s="451"/>
    </row>
    <row r="488" spans="11:14" x14ac:dyDescent="0.25">
      <c r="K488" s="451"/>
      <c r="M488" s="451"/>
      <c r="N488" s="451"/>
    </row>
    <row r="489" spans="11:14" x14ac:dyDescent="0.25">
      <c r="K489" s="451"/>
      <c r="M489" s="451"/>
      <c r="N489" s="451"/>
    </row>
    <row r="490" spans="11:14" x14ac:dyDescent="0.25">
      <c r="K490" s="451"/>
      <c r="M490" s="451"/>
      <c r="N490" s="451"/>
    </row>
    <row r="491" spans="11:14" x14ac:dyDescent="0.25">
      <c r="K491" s="451"/>
      <c r="M491" s="451"/>
      <c r="N491" s="451"/>
    </row>
    <row r="492" spans="11:14" x14ac:dyDescent="0.25">
      <c r="K492" s="451"/>
      <c r="M492" s="451"/>
      <c r="N492" s="451"/>
    </row>
    <row r="493" spans="11:14" x14ac:dyDescent="0.25">
      <c r="K493" s="451"/>
      <c r="M493" s="451"/>
      <c r="N493" s="451"/>
    </row>
    <row r="494" spans="11:14" x14ac:dyDescent="0.25">
      <c r="K494" s="451"/>
      <c r="M494" s="451"/>
      <c r="N494" s="451"/>
    </row>
    <row r="495" spans="11:14" x14ac:dyDescent="0.25">
      <c r="K495" s="451"/>
      <c r="M495" s="451"/>
      <c r="N495" s="451"/>
    </row>
    <row r="496" spans="11:14" x14ac:dyDescent="0.25">
      <c r="K496" s="451"/>
      <c r="M496" s="451"/>
      <c r="N496" s="451"/>
    </row>
    <row r="497" spans="11:14" x14ac:dyDescent="0.25">
      <c r="K497" s="451"/>
      <c r="M497" s="451"/>
      <c r="N497" s="451"/>
    </row>
    <row r="498" spans="11:14" x14ac:dyDescent="0.25">
      <c r="K498" s="451"/>
      <c r="M498" s="451"/>
      <c r="N498" s="451"/>
    </row>
    <row r="499" spans="11:14" x14ac:dyDescent="0.25">
      <c r="K499" s="451"/>
      <c r="M499" s="451"/>
      <c r="N499" s="451"/>
    </row>
    <row r="500" spans="11:14" x14ac:dyDescent="0.25">
      <c r="K500" s="451"/>
      <c r="M500" s="451"/>
      <c r="N500" s="451"/>
    </row>
    <row r="501" spans="11:14" x14ac:dyDescent="0.25">
      <c r="K501" s="451"/>
      <c r="M501" s="451"/>
      <c r="N501" s="451"/>
    </row>
    <row r="502" spans="11:14" x14ac:dyDescent="0.25">
      <c r="K502" s="451"/>
      <c r="M502" s="451"/>
      <c r="N502" s="451"/>
    </row>
    <row r="503" spans="11:14" x14ac:dyDescent="0.25">
      <c r="K503" s="451"/>
      <c r="M503" s="451"/>
      <c r="N503" s="451"/>
    </row>
    <row r="504" spans="11:14" x14ac:dyDescent="0.25">
      <c r="K504" s="451"/>
      <c r="M504" s="451"/>
      <c r="N504" s="451"/>
    </row>
    <row r="505" spans="11:14" x14ac:dyDescent="0.25">
      <c r="K505" s="451"/>
      <c r="M505" s="451"/>
      <c r="N505" s="451"/>
    </row>
    <row r="506" spans="11:14" x14ac:dyDescent="0.25">
      <c r="K506" s="451"/>
      <c r="M506" s="451"/>
      <c r="N506" s="451"/>
    </row>
    <row r="507" spans="11:14" x14ac:dyDescent="0.25">
      <c r="K507" s="451"/>
      <c r="M507" s="451"/>
      <c r="N507" s="451"/>
    </row>
    <row r="508" spans="11:14" x14ac:dyDescent="0.25">
      <c r="K508" s="451"/>
      <c r="M508" s="451"/>
      <c r="N508" s="451"/>
    </row>
    <row r="509" spans="11:14" x14ac:dyDescent="0.25">
      <c r="K509" s="451"/>
      <c r="M509" s="451"/>
      <c r="N509" s="451"/>
    </row>
    <row r="510" spans="11:14" x14ac:dyDescent="0.25">
      <c r="K510" s="451"/>
      <c r="M510" s="451"/>
      <c r="N510" s="451"/>
    </row>
    <row r="511" spans="11:14" x14ac:dyDescent="0.25">
      <c r="K511" s="451"/>
      <c r="M511" s="451"/>
      <c r="N511" s="451"/>
    </row>
    <row r="512" spans="11:14" x14ac:dyDescent="0.25">
      <c r="K512" s="451"/>
      <c r="M512" s="451"/>
      <c r="N512" s="451"/>
    </row>
    <row r="513" spans="11:14" x14ac:dyDescent="0.25">
      <c r="K513" s="451"/>
      <c r="M513" s="451"/>
      <c r="N513" s="451"/>
    </row>
    <row r="514" spans="11:14" x14ac:dyDescent="0.25">
      <c r="K514" s="451"/>
      <c r="M514" s="451"/>
      <c r="N514" s="451"/>
    </row>
    <row r="515" spans="11:14" x14ac:dyDescent="0.25">
      <c r="K515" s="451"/>
      <c r="M515" s="451"/>
      <c r="N515" s="451"/>
    </row>
    <row r="516" spans="11:14" x14ac:dyDescent="0.25">
      <c r="K516" s="451"/>
      <c r="M516" s="451"/>
      <c r="N516" s="451"/>
    </row>
    <row r="517" spans="11:14" x14ac:dyDescent="0.25">
      <c r="K517" s="451"/>
      <c r="M517" s="451"/>
      <c r="N517" s="451"/>
    </row>
    <row r="518" spans="11:14" x14ac:dyDescent="0.25">
      <c r="K518" s="451"/>
      <c r="M518" s="451"/>
      <c r="N518" s="451"/>
    </row>
    <row r="519" spans="11:14" x14ac:dyDescent="0.25">
      <c r="K519" s="451"/>
      <c r="M519" s="451"/>
      <c r="N519" s="451"/>
    </row>
    <row r="520" spans="11:14" x14ac:dyDescent="0.25">
      <c r="K520" s="451"/>
      <c r="M520" s="451"/>
      <c r="N520" s="451"/>
    </row>
    <row r="521" spans="11:14" x14ac:dyDescent="0.25">
      <c r="K521" s="451"/>
      <c r="M521" s="451"/>
      <c r="N521" s="451"/>
    </row>
    <row r="522" spans="11:14" x14ac:dyDescent="0.25">
      <c r="K522" s="451"/>
      <c r="M522" s="451"/>
      <c r="N522" s="451"/>
    </row>
    <row r="523" spans="11:14" x14ac:dyDescent="0.25">
      <c r="K523" s="451"/>
      <c r="M523" s="451"/>
      <c r="N523" s="451"/>
    </row>
    <row r="524" spans="11:14" x14ac:dyDescent="0.25">
      <c r="K524" s="451"/>
      <c r="M524" s="451"/>
      <c r="N524" s="451"/>
    </row>
    <row r="525" spans="11:14" x14ac:dyDescent="0.25">
      <c r="K525" s="451"/>
      <c r="M525" s="451"/>
      <c r="N525" s="451"/>
    </row>
    <row r="526" spans="11:14" x14ac:dyDescent="0.25">
      <c r="K526" s="451"/>
      <c r="M526" s="451"/>
      <c r="N526" s="451"/>
    </row>
    <row r="527" spans="11:14" x14ac:dyDescent="0.25">
      <c r="K527" s="451"/>
      <c r="M527" s="451"/>
      <c r="N527" s="451"/>
    </row>
    <row r="528" spans="11:14" x14ac:dyDescent="0.25">
      <c r="K528" s="451"/>
      <c r="M528" s="451"/>
      <c r="N528" s="451"/>
    </row>
    <row r="529" spans="11:14" x14ac:dyDescent="0.25">
      <c r="K529" s="451"/>
      <c r="M529" s="451"/>
      <c r="N529" s="451"/>
    </row>
    <row r="530" spans="11:14" x14ac:dyDescent="0.25">
      <c r="K530" s="451"/>
      <c r="M530" s="451"/>
      <c r="N530" s="451"/>
    </row>
    <row r="531" spans="11:14" x14ac:dyDescent="0.25">
      <c r="K531" s="451"/>
      <c r="M531" s="451"/>
      <c r="N531" s="451"/>
    </row>
    <row r="532" spans="11:14" x14ac:dyDescent="0.25">
      <c r="K532" s="451"/>
      <c r="M532" s="451"/>
      <c r="N532" s="451"/>
    </row>
    <row r="533" spans="11:14" x14ac:dyDescent="0.25">
      <c r="K533" s="451"/>
      <c r="M533" s="451"/>
      <c r="N533" s="451"/>
    </row>
    <row r="534" spans="11:14" x14ac:dyDescent="0.25">
      <c r="K534" s="451"/>
      <c r="M534" s="451"/>
      <c r="N534" s="451"/>
    </row>
    <row r="535" spans="11:14" x14ac:dyDescent="0.25">
      <c r="K535" s="451"/>
      <c r="M535" s="451"/>
      <c r="N535" s="451"/>
    </row>
    <row r="536" spans="11:14" x14ac:dyDescent="0.25">
      <c r="K536" s="451"/>
      <c r="M536" s="451"/>
      <c r="N536" s="451"/>
    </row>
    <row r="537" spans="11:14" x14ac:dyDescent="0.25">
      <c r="K537" s="451"/>
      <c r="M537" s="451"/>
      <c r="N537" s="451"/>
    </row>
    <row r="538" spans="11:14" x14ac:dyDescent="0.25">
      <c r="K538" s="451"/>
      <c r="M538" s="451"/>
      <c r="N538" s="451"/>
    </row>
    <row r="539" spans="11:14" x14ac:dyDescent="0.25">
      <c r="K539" s="451"/>
      <c r="M539" s="451"/>
      <c r="N539" s="451"/>
    </row>
    <row r="540" spans="11:14" x14ac:dyDescent="0.25">
      <c r="K540" s="451"/>
      <c r="M540" s="451"/>
      <c r="N540" s="451"/>
    </row>
    <row r="541" spans="11:14" x14ac:dyDescent="0.25">
      <c r="K541" s="451"/>
      <c r="M541" s="451"/>
      <c r="N541" s="451"/>
    </row>
    <row r="542" spans="11:14" x14ac:dyDescent="0.25">
      <c r="K542" s="451"/>
      <c r="M542" s="451"/>
      <c r="N542" s="451"/>
    </row>
    <row r="543" spans="11:14" x14ac:dyDescent="0.25">
      <c r="K543" s="451"/>
      <c r="M543" s="451"/>
      <c r="N543" s="451"/>
    </row>
    <row r="544" spans="11:14" x14ac:dyDescent="0.25">
      <c r="K544" s="451"/>
      <c r="M544" s="451"/>
      <c r="N544" s="451"/>
    </row>
    <row r="545" spans="11:14" x14ac:dyDescent="0.25">
      <c r="K545" s="451"/>
      <c r="M545" s="451"/>
      <c r="N545" s="451"/>
    </row>
    <row r="546" spans="11:14" x14ac:dyDescent="0.25">
      <c r="K546" s="451"/>
      <c r="M546" s="451"/>
      <c r="N546" s="451"/>
    </row>
    <row r="547" spans="11:14" x14ac:dyDescent="0.25">
      <c r="K547" s="451"/>
      <c r="M547" s="451"/>
      <c r="N547" s="451"/>
    </row>
    <row r="548" spans="11:14" x14ac:dyDescent="0.25">
      <c r="K548" s="451"/>
      <c r="M548" s="451"/>
      <c r="N548" s="451"/>
    </row>
    <row r="549" spans="11:14" x14ac:dyDescent="0.25">
      <c r="K549" s="451"/>
      <c r="M549" s="451"/>
      <c r="N549" s="451"/>
    </row>
    <row r="550" spans="11:14" x14ac:dyDescent="0.25">
      <c r="K550" s="451"/>
      <c r="M550" s="451"/>
      <c r="N550" s="451"/>
    </row>
    <row r="551" spans="11:14" x14ac:dyDescent="0.25">
      <c r="K551" s="451"/>
      <c r="M551" s="451"/>
      <c r="N551" s="451"/>
    </row>
    <row r="552" spans="11:14" x14ac:dyDescent="0.25">
      <c r="K552" s="451"/>
      <c r="M552" s="451"/>
      <c r="N552" s="451"/>
    </row>
    <row r="553" spans="11:14" x14ac:dyDescent="0.25">
      <c r="K553" s="451"/>
      <c r="M553" s="451"/>
      <c r="N553" s="451"/>
    </row>
    <row r="554" spans="11:14" x14ac:dyDescent="0.25">
      <c r="K554" s="451"/>
      <c r="M554" s="451"/>
      <c r="N554" s="451"/>
    </row>
    <row r="555" spans="11:14" x14ac:dyDescent="0.25">
      <c r="K555" s="451"/>
      <c r="M555" s="451"/>
      <c r="N555" s="451"/>
    </row>
    <row r="556" spans="11:14" x14ac:dyDescent="0.25">
      <c r="K556" s="451"/>
      <c r="M556" s="451"/>
      <c r="N556" s="451"/>
    </row>
    <row r="557" spans="11:14" x14ac:dyDescent="0.25">
      <c r="K557" s="451"/>
      <c r="M557" s="451"/>
      <c r="N557" s="451"/>
    </row>
    <row r="558" spans="11:14" x14ac:dyDescent="0.25">
      <c r="K558" s="451"/>
      <c r="M558" s="451"/>
      <c r="N558" s="451"/>
    </row>
    <row r="559" spans="11:14" x14ac:dyDescent="0.25">
      <c r="K559" s="451"/>
      <c r="M559" s="451"/>
      <c r="N559" s="451"/>
    </row>
    <row r="560" spans="11:14" x14ac:dyDescent="0.25">
      <c r="K560" s="451"/>
      <c r="M560" s="451"/>
      <c r="N560" s="451"/>
    </row>
    <row r="561" spans="11:14" x14ac:dyDescent="0.25">
      <c r="K561" s="451"/>
      <c r="M561" s="451"/>
      <c r="N561" s="451"/>
    </row>
    <row r="562" spans="11:14" x14ac:dyDescent="0.25">
      <c r="K562" s="451"/>
      <c r="M562" s="451"/>
      <c r="N562" s="451"/>
    </row>
    <row r="563" spans="11:14" x14ac:dyDescent="0.25">
      <c r="K563" s="451"/>
      <c r="M563" s="451"/>
      <c r="N563" s="451"/>
    </row>
    <row r="564" spans="11:14" x14ac:dyDescent="0.25">
      <c r="K564" s="451"/>
      <c r="M564" s="451"/>
      <c r="N564" s="451"/>
    </row>
    <row r="565" spans="11:14" x14ac:dyDescent="0.25">
      <c r="K565" s="451"/>
      <c r="M565" s="451"/>
      <c r="N565" s="451"/>
    </row>
    <row r="566" spans="11:14" x14ac:dyDescent="0.25">
      <c r="K566" s="451"/>
      <c r="M566" s="451"/>
      <c r="N566" s="451"/>
    </row>
    <row r="567" spans="11:14" x14ac:dyDescent="0.25">
      <c r="K567" s="451"/>
      <c r="M567" s="451"/>
      <c r="N567" s="451"/>
    </row>
    <row r="568" spans="11:14" x14ac:dyDescent="0.25">
      <c r="K568" s="451"/>
      <c r="M568" s="451"/>
      <c r="N568" s="451"/>
    </row>
    <row r="569" spans="11:14" x14ac:dyDescent="0.25">
      <c r="K569" s="451"/>
      <c r="M569" s="451"/>
      <c r="N569" s="451"/>
    </row>
    <row r="570" spans="11:14" x14ac:dyDescent="0.25">
      <c r="K570" s="451"/>
      <c r="M570" s="451"/>
      <c r="N570" s="451"/>
    </row>
    <row r="571" spans="11:14" x14ac:dyDescent="0.25">
      <c r="K571" s="451"/>
      <c r="M571" s="451"/>
      <c r="N571" s="451"/>
    </row>
    <row r="572" spans="11:14" x14ac:dyDescent="0.25">
      <c r="K572" s="451"/>
      <c r="M572" s="451"/>
      <c r="N572" s="451"/>
    </row>
    <row r="573" spans="11:14" x14ac:dyDescent="0.25">
      <c r="K573" s="451"/>
      <c r="M573" s="451"/>
      <c r="N573" s="451"/>
    </row>
    <row r="574" spans="11:14" x14ac:dyDescent="0.25">
      <c r="K574" s="451"/>
      <c r="M574" s="451"/>
      <c r="N574" s="451"/>
    </row>
    <row r="575" spans="11:14" x14ac:dyDescent="0.25">
      <c r="K575" s="451"/>
      <c r="M575" s="451"/>
      <c r="N575" s="451"/>
    </row>
    <row r="576" spans="11:14" x14ac:dyDescent="0.25">
      <c r="K576" s="451"/>
      <c r="M576" s="451"/>
      <c r="N576" s="451"/>
    </row>
    <row r="577" spans="11:14" x14ac:dyDescent="0.25">
      <c r="K577" s="451"/>
      <c r="M577" s="451"/>
      <c r="N577" s="451"/>
    </row>
    <row r="578" spans="11:14" x14ac:dyDescent="0.25">
      <c r="K578" s="451"/>
      <c r="M578" s="451"/>
      <c r="N578" s="451"/>
    </row>
    <row r="579" spans="11:14" x14ac:dyDescent="0.25">
      <c r="K579" s="451"/>
      <c r="M579" s="451"/>
      <c r="N579" s="451"/>
    </row>
    <row r="580" spans="11:14" x14ac:dyDescent="0.25">
      <c r="K580" s="451"/>
      <c r="M580" s="451"/>
      <c r="N580" s="451"/>
    </row>
    <row r="581" spans="11:14" x14ac:dyDescent="0.25">
      <c r="K581" s="451"/>
      <c r="M581" s="451"/>
      <c r="N581" s="451"/>
    </row>
    <row r="582" spans="11:14" x14ac:dyDescent="0.25">
      <c r="K582" s="451"/>
      <c r="M582" s="451"/>
      <c r="N582" s="451"/>
    </row>
    <row r="583" spans="11:14" x14ac:dyDescent="0.25">
      <c r="K583" s="451"/>
      <c r="M583" s="451"/>
      <c r="N583" s="451"/>
    </row>
    <row r="584" spans="11:14" x14ac:dyDescent="0.25">
      <c r="K584" s="451"/>
      <c r="M584" s="451"/>
      <c r="N584" s="451"/>
    </row>
    <row r="585" spans="11:14" x14ac:dyDescent="0.25">
      <c r="K585" s="451"/>
      <c r="M585" s="451"/>
      <c r="N585" s="451"/>
    </row>
    <row r="586" spans="11:14" x14ac:dyDescent="0.25">
      <c r="K586" s="451"/>
      <c r="M586" s="451"/>
      <c r="N586" s="451"/>
    </row>
    <row r="587" spans="11:14" x14ac:dyDescent="0.25">
      <c r="K587" s="451"/>
      <c r="M587" s="451"/>
      <c r="N587" s="451"/>
    </row>
    <row r="588" spans="11:14" x14ac:dyDescent="0.25">
      <c r="K588" s="451"/>
      <c r="M588" s="451"/>
      <c r="N588" s="451"/>
    </row>
    <row r="589" spans="11:14" x14ac:dyDescent="0.25">
      <c r="K589" s="451"/>
      <c r="M589" s="451"/>
      <c r="N589" s="451"/>
    </row>
    <row r="590" spans="11:14" x14ac:dyDescent="0.25">
      <c r="K590" s="451"/>
      <c r="M590" s="451"/>
      <c r="N590" s="451"/>
    </row>
    <row r="591" spans="11:14" x14ac:dyDescent="0.25">
      <c r="K591" s="451"/>
      <c r="M591" s="451"/>
      <c r="N591" s="451"/>
    </row>
    <row r="592" spans="11:14" x14ac:dyDescent="0.25">
      <c r="K592" s="451"/>
      <c r="M592" s="451"/>
      <c r="N592" s="451"/>
    </row>
    <row r="593" spans="11:14" x14ac:dyDescent="0.25">
      <c r="K593" s="451"/>
      <c r="M593" s="451"/>
      <c r="N593" s="451"/>
    </row>
    <row r="594" spans="11:14" x14ac:dyDescent="0.25">
      <c r="K594" s="451"/>
      <c r="M594" s="451"/>
      <c r="N594" s="451"/>
    </row>
    <row r="595" spans="11:14" x14ac:dyDescent="0.25">
      <c r="K595" s="451"/>
      <c r="M595" s="451"/>
      <c r="N595" s="451"/>
    </row>
    <row r="596" spans="11:14" x14ac:dyDescent="0.25">
      <c r="K596" s="451"/>
      <c r="M596" s="451"/>
      <c r="N596" s="451"/>
    </row>
    <row r="597" spans="11:14" x14ac:dyDescent="0.25">
      <c r="K597" s="451"/>
      <c r="M597" s="451"/>
      <c r="N597" s="451"/>
    </row>
    <row r="598" spans="11:14" x14ac:dyDescent="0.25">
      <c r="K598" s="451"/>
      <c r="M598" s="451"/>
      <c r="N598" s="451"/>
    </row>
    <row r="599" spans="11:14" x14ac:dyDescent="0.25">
      <c r="K599" s="451"/>
      <c r="M599" s="451"/>
      <c r="N599" s="451"/>
    </row>
    <row r="600" spans="11:14" x14ac:dyDescent="0.25">
      <c r="K600" s="451"/>
      <c r="M600" s="451"/>
      <c r="N600" s="451"/>
    </row>
    <row r="601" spans="11:14" x14ac:dyDescent="0.25">
      <c r="K601" s="451"/>
      <c r="M601" s="451"/>
      <c r="N601" s="451"/>
    </row>
    <row r="602" spans="11:14" x14ac:dyDescent="0.25">
      <c r="K602" s="451"/>
      <c r="M602" s="451"/>
      <c r="N602" s="451"/>
    </row>
    <row r="603" spans="11:14" x14ac:dyDescent="0.25">
      <c r="K603" s="451"/>
      <c r="M603" s="451"/>
      <c r="N603" s="451"/>
    </row>
    <row r="604" spans="11:14" x14ac:dyDescent="0.25">
      <c r="K604" s="451"/>
      <c r="M604" s="451"/>
      <c r="N604" s="451"/>
    </row>
    <row r="605" spans="11:14" x14ac:dyDescent="0.25">
      <c r="K605" s="451"/>
      <c r="M605" s="451"/>
      <c r="N605" s="451"/>
    </row>
    <row r="606" spans="11:14" x14ac:dyDescent="0.25">
      <c r="K606" s="451"/>
      <c r="M606" s="451"/>
      <c r="N606" s="451"/>
    </row>
    <row r="607" spans="11:14" x14ac:dyDescent="0.25">
      <c r="K607" s="451"/>
      <c r="M607" s="451"/>
      <c r="N607" s="451"/>
    </row>
    <row r="608" spans="11:14" x14ac:dyDescent="0.25">
      <c r="K608" s="451"/>
      <c r="M608" s="451"/>
      <c r="N608" s="451"/>
    </row>
    <row r="609" spans="11:14" x14ac:dyDescent="0.25">
      <c r="K609" s="451"/>
      <c r="M609" s="451"/>
      <c r="N609" s="451"/>
    </row>
    <row r="610" spans="11:14" x14ac:dyDescent="0.25">
      <c r="K610" s="451"/>
      <c r="M610" s="451"/>
      <c r="N610" s="451"/>
    </row>
    <row r="611" spans="11:14" x14ac:dyDescent="0.25">
      <c r="K611" s="451"/>
      <c r="M611" s="451"/>
      <c r="N611" s="451"/>
    </row>
    <row r="612" spans="11:14" x14ac:dyDescent="0.25">
      <c r="K612" s="451"/>
      <c r="M612" s="451"/>
      <c r="N612" s="451"/>
    </row>
    <row r="613" spans="11:14" x14ac:dyDescent="0.25">
      <c r="K613" s="451"/>
      <c r="M613" s="451"/>
      <c r="N613" s="451"/>
    </row>
    <row r="614" spans="11:14" x14ac:dyDescent="0.25">
      <c r="K614" s="451"/>
      <c r="M614" s="451"/>
      <c r="N614" s="451"/>
    </row>
    <row r="615" spans="11:14" x14ac:dyDescent="0.25">
      <c r="K615" s="451"/>
      <c r="M615" s="451"/>
      <c r="N615" s="451"/>
    </row>
    <row r="616" spans="11:14" x14ac:dyDescent="0.25">
      <c r="K616" s="451"/>
      <c r="M616" s="451"/>
      <c r="N616" s="451"/>
    </row>
    <row r="617" spans="11:14" x14ac:dyDescent="0.25">
      <c r="K617" s="451"/>
      <c r="M617" s="451"/>
      <c r="N617" s="451"/>
    </row>
    <row r="618" spans="11:14" x14ac:dyDescent="0.25">
      <c r="K618" s="451"/>
      <c r="M618" s="451"/>
      <c r="N618" s="451"/>
    </row>
    <row r="619" spans="11:14" x14ac:dyDescent="0.25">
      <c r="K619" s="451"/>
      <c r="M619" s="451"/>
      <c r="N619" s="451"/>
    </row>
    <row r="620" spans="11:14" x14ac:dyDescent="0.25">
      <c r="K620" s="451"/>
      <c r="M620" s="451"/>
      <c r="N620" s="451"/>
    </row>
    <row r="621" spans="11:14" x14ac:dyDescent="0.25">
      <c r="K621" s="451"/>
      <c r="M621" s="451"/>
      <c r="N621" s="451"/>
    </row>
    <row r="622" spans="11:14" x14ac:dyDescent="0.25">
      <c r="K622" s="451"/>
      <c r="M622" s="451"/>
      <c r="N622" s="451"/>
    </row>
    <row r="623" spans="11:14" x14ac:dyDescent="0.25">
      <c r="K623" s="451"/>
      <c r="M623" s="451"/>
      <c r="N623" s="451"/>
    </row>
    <row r="624" spans="11:14" x14ac:dyDescent="0.25">
      <c r="K624" s="451"/>
      <c r="M624" s="451"/>
      <c r="N624" s="451"/>
    </row>
    <row r="625" spans="11:14" x14ac:dyDescent="0.25">
      <c r="K625" s="451"/>
      <c r="M625" s="451"/>
      <c r="N625" s="451"/>
    </row>
    <row r="626" spans="11:14" x14ac:dyDescent="0.25">
      <c r="K626" s="451"/>
      <c r="M626" s="451"/>
      <c r="N626" s="451"/>
    </row>
    <row r="627" spans="11:14" x14ac:dyDescent="0.25">
      <c r="K627" s="451"/>
      <c r="M627" s="451"/>
      <c r="N627" s="451"/>
    </row>
    <row r="628" spans="11:14" x14ac:dyDescent="0.25">
      <c r="K628" s="451"/>
      <c r="M628" s="451"/>
      <c r="N628" s="451"/>
    </row>
    <row r="629" spans="11:14" x14ac:dyDescent="0.25">
      <c r="K629" s="451"/>
      <c r="M629" s="451"/>
      <c r="N629" s="451"/>
    </row>
    <row r="630" spans="11:14" x14ac:dyDescent="0.25">
      <c r="K630" s="451"/>
      <c r="M630" s="451"/>
      <c r="N630" s="451"/>
    </row>
    <row r="631" spans="11:14" x14ac:dyDescent="0.25">
      <c r="K631" s="451"/>
      <c r="M631" s="451"/>
      <c r="N631" s="451"/>
    </row>
    <row r="632" spans="11:14" x14ac:dyDescent="0.25">
      <c r="K632" s="451"/>
      <c r="M632" s="451"/>
      <c r="N632" s="451"/>
    </row>
    <row r="633" spans="11:14" x14ac:dyDescent="0.25">
      <c r="K633" s="451"/>
      <c r="M633" s="451"/>
      <c r="N633" s="451"/>
    </row>
    <row r="634" spans="11:14" x14ac:dyDescent="0.25">
      <c r="K634" s="451"/>
      <c r="M634" s="451"/>
      <c r="N634" s="451"/>
    </row>
    <row r="635" spans="11:14" x14ac:dyDescent="0.25">
      <c r="K635" s="451"/>
      <c r="M635" s="451"/>
      <c r="N635" s="451"/>
    </row>
    <row r="636" spans="11:14" x14ac:dyDescent="0.25">
      <c r="K636" s="451"/>
      <c r="M636" s="451"/>
      <c r="N636" s="451"/>
    </row>
    <row r="637" spans="11:14" x14ac:dyDescent="0.25">
      <c r="K637" s="451"/>
      <c r="M637" s="451"/>
      <c r="N637" s="451"/>
    </row>
    <row r="638" spans="11:14" x14ac:dyDescent="0.25">
      <c r="K638" s="451"/>
      <c r="M638" s="451"/>
      <c r="N638" s="451"/>
    </row>
    <row r="639" spans="11:14" x14ac:dyDescent="0.25">
      <c r="K639" s="451"/>
      <c r="M639" s="451"/>
      <c r="N639" s="451"/>
    </row>
    <row r="640" spans="11:14" x14ac:dyDescent="0.25">
      <c r="K640" s="451"/>
      <c r="M640" s="451"/>
      <c r="N640" s="451"/>
    </row>
    <row r="641" spans="11:14" x14ac:dyDescent="0.25">
      <c r="K641" s="451"/>
      <c r="M641" s="451"/>
      <c r="N641" s="451"/>
    </row>
    <row r="642" spans="11:14" x14ac:dyDescent="0.25">
      <c r="K642" s="451"/>
      <c r="M642" s="451"/>
      <c r="N642" s="451"/>
    </row>
    <row r="643" spans="11:14" x14ac:dyDescent="0.25">
      <c r="K643" s="451"/>
      <c r="M643" s="451"/>
      <c r="N643" s="451"/>
    </row>
    <row r="644" spans="11:14" x14ac:dyDescent="0.25">
      <c r="K644" s="451"/>
      <c r="M644" s="451"/>
      <c r="N644" s="451"/>
    </row>
    <row r="645" spans="11:14" x14ac:dyDescent="0.25">
      <c r="K645" s="451"/>
      <c r="M645" s="451"/>
      <c r="N645" s="451"/>
    </row>
    <row r="646" spans="11:14" x14ac:dyDescent="0.25">
      <c r="K646" s="451"/>
      <c r="M646" s="451"/>
      <c r="N646" s="451"/>
    </row>
    <row r="647" spans="11:14" x14ac:dyDescent="0.25">
      <c r="K647" s="451"/>
      <c r="M647" s="451"/>
      <c r="N647" s="451"/>
    </row>
    <row r="648" spans="11:14" x14ac:dyDescent="0.25">
      <c r="K648" s="451"/>
      <c r="M648" s="451"/>
      <c r="N648" s="451"/>
    </row>
    <row r="649" spans="11:14" x14ac:dyDescent="0.25">
      <c r="K649" s="451"/>
      <c r="M649" s="451"/>
      <c r="N649" s="451"/>
    </row>
    <row r="650" spans="11:14" x14ac:dyDescent="0.25">
      <c r="K650" s="451"/>
      <c r="M650" s="451"/>
      <c r="N650" s="451"/>
    </row>
    <row r="651" spans="11:14" x14ac:dyDescent="0.25">
      <c r="K651" s="451"/>
      <c r="M651" s="451"/>
      <c r="N651" s="451"/>
    </row>
    <row r="652" spans="11:14" x14ac:dyDescent="0.25">
      <c r="K652" s="451"/>
      <c r="M652" s="451"/>
      <c r="N652" s="451"/>
    </row>
    <row r="653" spans="11:14" x14ac:dyDescent="0.25">
      <c r="K653" s="451"/>
      <c r="M653" s="451"/>
      <c r="N653" s="451"/>
    </row>
    <row r="654" spans="11:14" x14ac:dyDescent="0.25">
      <c r="K654" s="451"/>
      <c r="M654" s="451"/>
      <c r="N654" s="451"/>
    </row>
    <row r="655" spans="11:14" x14ac:dyDescent="0.25">
      <c r="K655" s="451"/>
      <c r="M655" s="451"/>
      <c r="N655" s="451"/>
    </row>
    <row r="656" spans="11:14" x14ac:dyDescent="0.25">
      <c r="K656" s="451"/>
      <c r="M656" s="451"/>
      <c r="N656" s="451"/>
    </row>
    <row r="657" spans="11:14" x14ac:dyDescent="0.25">
      <c r="K657" s="451"/>
      <c r="M657" s="451"/>
      <c r="N657" s="451"/>
    </row>
    <row r="658" spans="11:14" x14ac:dyDescent="0.25">
      <c r="K658" s="451"/>
      <c r="M658" s="451"/>
      <c r="N658" s="451"/>
    </row>
    <row r="659" spans="11:14" x14ac:dyDescent="0.25">
      <c r="K659" s="451"/>
      <c r="M659" s="451"/>
      <c r="N659" s="451"/>
    </row>
    <row r="660" spans="11:14" x14ac:dyDescent="0.25">
      <c r="K660" s="451"/>
      <c r="M660" s="451"/>
      <c r="N660" s="451"/>
    </row>
    <row r="661" spans="11:14" x14ac:dyDescent="0.25">
      <c r="K661" s="451"/>
      <c r="M661" s="451"/>
      <c r="N661" s="451"/>
    </row>
    <row r="662" spans="11:14" x14ac:dyDescent="0.25">
      <c r="K662" s="451"/>
      <c r="M662" s="451"/>
      <c r="N662" s="451"/>
    </row>
    <row r="663" spans="11:14" x14ac:dyDescent="0.25">
      <c r="K663" s="451"/>
      <c r="M663" s="451"/>
      <c r="N663" s="451"/>
    </row>
    <row r="664" spans="11:14" x14ac:dyDescent="0.25">
      <c r="K664" s="451"/>
      <c r="M664" s="451"/>
      <c r="N664" s="451"/>
    </row>
    <row r="665" spans="11:14" x14ac:dyDescent="0.25">
      <c r="K665" s="451"/>
      <c r="M665" s="451"/>
      <c r="N665" s="451"/>
    </row>
    <row r="666" spans="11:14" x14ac:dyDescent="0.25">
      <c r="K666" s="451"/>
      <c r="M666" s="451"/>
      <c r="N666" s="451"/>
    </row>
    <row r="667" spans="11:14" x14ac:dyDescent="0.25">
      <c r="K667" s="451"/>
      <c r="M667" s="451"/>
      <c r="N667" s="451"/>
    </row>
    <row r="668" spans="11:14" x14ac:dyDescent="0.25">
      <c r="K668" s="451"/>
      <c r="M668" s="451"/>
      <c r="N668" s="451"/>
    </row>
    <row r="669" spans="11:14" x14ac:dyDescent="0.25">
      <c r="K669" s="451"/>
      <c r="M669" s="451"/>
      <c r="N669" s="451"/>
    </row>
    <row r="670" spans="11:14" x14ac:dyDescent="0.25">
      <c r="K670" s="451"/>
      <c r="M670" s="451"/>
      <c r="N670" s="451"/>
    </row>
    <row r="671" spans="11:14" x14ac:dyDescent="0.25">
      <c r="K671" s="451"/>
      <c r="M671" s="451"/>
      <c r="N671" s="451"/>
    </row>
    <row r="672" spans="11:14" x14ac:dyDescent="0.25">
      <c r="K672" s="451"/>
      <c r="M672" s="451"/>
      <c r="N672" s="451"/>
    </row>
    <row r="673" spans="11:14" x14ac:dyDescent="0.25">
      <c r="K673" s="451"/>
      <c r="M673" s="451"/>
      <c r="N673" s="451"/>
    </row>
    <row r="674" spans="11:14" x14ac:dyDescent="0.25">
      <c r="K674" s="451"/>
      <c r="M674" s="451"/>
      <c r="N674" s="451"/>
    </row>
    <row r="675" spans="11:14" x14ac:dyDescent="0.25">
      <c r="K675" s="451"/>
      <c r="M675" s="451"/>
      <c r="N675" s="451"/>
    </row>
    <row r="676" spans="11:14" x14ac:dyDescent="0.25">
      <c r="K676" s="451"/>
      <c r="M676" s="451"/>
      <c r="N676" s="451"/>
    </row>
    <row r="677" spans="11:14" x14ac:dyDescent="0.25">
      <c r="K677" s="451"/>
      <c r="M677" s="451"/>
      <c r="N677" s="451"/>
    </row>
    <row r="678" spans="11:14" x14ac:dyDescent="0.25">
      <c r="K678" s="451"/>
      <c r="M678" s="451"/>
      <c r="N678" s="451"/>
    </row>
    <row r="679" spans="11:14" x14ac:dyDescent="0.25">
      <c r="K679" s="451"/>
      <c r="M679" s="451"/>
      <c r="N679" s="451"/>
    </row>
    <row r="680" spans="11:14" x14ac:dyDescent="0.25">
      <c r="K680" s="451"/>
      <c r="M680" s="451"/>
      <c r="N680" s="451"/>
    </row>
    <row r="681" spans="11:14" x14ac:dyDescent="0.25">
      <c r="K681" s="451"/>
      <c r="M681" s="451"/>
      <c r="N681" s="451"/>
    </row>
    <row r="682" spans="11:14" x14ac:dyDescent="0.25">
      <c r="K682" s="451"/>
      <c r="M682" s="451"/>
      <c r="N682" s="451"/>
    </row>
    <row r="683" spans="11:14" x14ac:dyDescent="0.25">
      <c r="K683" s="451"/>
      <c r="M683" s="451"/>
      <c r="N683" s="451"/>
    </row>
    <row r="684" spans="11:14" x14ac:dyDescent="0.25">
      <c r="K684" s="451"/>
      <c r="M684" s="451"/>
      <c r="N684" s="451"/>
    </row>
    <row r="685" spans="11:14" x14ac:dyDescent="0.25">
      <c r="K685" s="451"/>
      <c r="M685" s="451"/>
      <c r="N685" s="451"/>
    </row>
    <row r="686" spans="11:14" x14ac:dyDescent="0.25">
      <c r="K686" s="451"/>
      <c r="M686" s="451"/>
      <c r="N686" s="451"/>
    </row>
    <row r="687" spans="11:14" x14ac:dyDescent="0.25">
      <c r="K687" s="451"/>
      <c r="M687" s="451"/>
      <c r="N687" s="451"/>
    </row>
    <row r="688" spans="11:14" x14ac:dyDescent="0.25">
      <c r="K688" s="451"/>
      <c r="M688" s="451"/>
      <c r="N688" s="451"/>
    </row>
    <row r="689" spans="11:14" x14ac:dyDescent="0.25">
      <c r="K689" s="451"/>
      <c r="M689" s="451"/>
      <c r="N689" s="451"/>
    </row>
    <row r="690" spans="11:14" x14ac:dyDescent="0.25">
      <c r="K690" s="451"/>
      <c r="M690" s="451"/>
      <c r="N690" s="451"/>
    </row>
    <row r="691" spans="11:14" x14ac:dyDescent="0.25">
      <c r="K691" s="451"/>
      <c r="M691" s="451"/>
      <c r="N691" s="451"/>
    </row>
    <row r="692" spans="11:14" x14ac:dyDescent="0.25">
      <c r="K692" s="451"/>
      <c r="M692" s="451"/>
      <c r="N692" s="451"/>
    </row>
    <row r="693" spans="11:14" x14ac:dyDescent="0.25">
      <c r="K693" s="451"/>
      <c r="M693" s="451"/>
      <c r="N693" s="451"/>
    </row>
    <row r="694" spans="11:14" x14ac:dyDescent="0.25">
      <c r="K694" s="451"/>
      <c r="M694" s="451"/>
      <c r="N694" s="451"/>
    </row>
    <row r="695" spans="11:14" x14ac:dyDescent="0.25">
      <c r="K695" s="451"/>
      <c r="M695" s="451"/>
      <c r="N695" s="451"/>
    </row>
    <row r="696" spans="11:14" x14ac:dyDescent="0.25">
      <c r="K696" s="451"/>
      <c r="M696" s="451"/>
      <c r="N696" s="451"/>
    </row>
    <row r="697" spans="11:14" x14ac:dyDescent="0.25">
      <c r="K697" s="451"/>
      <c r="M697" s="451"/>
      <c r="N697" s="451"/>
    </row>
    <row r="698" spans="11:14" x14ac:dyDescent="0.25">
      <c r="K698" s="451"/>
      <c r="M698" s="451"/>
      <c r="N698" s="451"/>
    </row>
    <row r="699" spans="11:14" x14ac:dyDescent="0.25">
      <c r="K699" s="451"/>
      <c r="M699" s="451"/>
      <c r="N699" s="451"/>
    </row>
    <row r="700" spans="11:14" x14ac:dyDescent="0.25">
      <c r="K700" s="451"/>
      <c r="M700" s="451"/>
      <c r="N700" s="451"/>
    </row>
    <row r="701" spans="11:14" x14ac:dyDescent="0.25">
      <c r="K701" s="451"/>
      <c r="M701" s="451"/>
      <c r="N701" s="451"/>
    </row>
    <row r="702" spans="11:14" x14ac:dyDescent="0.25">
      <c r="K702" s="451"/>
      <c r="M702" s="451"/>
      <c r="N702" s="451"/>
    </row>
    <row r="703" spans="11:14" x14ac:dyDescent="0.25">
      <c r="K703" s="451"/>
      <c r="M703" s="451"/>
      <c r="N703" s="451"/>
    </row>
    <row r="704" spans="11:14" x14ac:dyDescent="0.25">
      <c r="K704" s="451"/>
      <c r="M704" s="451"/>
      <c r="N704" s="451"/>
    </row>
    <row r="705" spans="11:14" x14ac:dyDescent="0.25">
      <c r="K705" s="451"/>
      <c r="M705" s="451"/>
      <c r="N705" s="451"/>
    </row>
    <row r="706" spans="11:14" x14ac:dyDescent="0.25">
      <c r="K706" s="451"/>
      <c r="M706" s="451"/>
      <c r="N706" s="451"/>
    </row>
    <row r="707" spans="11:14" x14ac:dyDescent="0.25">
      <c r="K707" s="451"/>
      <c r="M707" s="451"/>
      <c r="N707" s="451"/>
    </row>
    <row r="708" spans="11:14" x14ac:dyDescent="0.25">
      <c r="K708" s="451"/>
      <c r="M708" s="451"/>
      <c r="N708" s="451"/>
    </row>
    <row r="709" spans="11:14" x14ac:dyDescent="0.25">
      <c r="K709" s="451"/>
      <c r="M709" s="451"/>
      <c r="N709" s="451"/>
    </row>
    <row r="710" spans="11:14" x14ac:dyDescent="0.25">
      <c r="K710" s="451"/>
      <c r="M710" s="451"/>
      <c r="N710" s="451"/>
    </row>
    <row r="711" spans="11:14" x14ac:dyDescent="0.25">
      <c r="K711" s="451"/>
      <c r="M711" s="451"/>
      <c r="N711" s="451"/>
    </row>
    <row r="712" spans="11:14" x14ac:dyDescent="0.25">
      <c r="K712" s="451"/>
      <c r="M712" s="451"/>
      <c r="N712" s="451"/>
    </row>
    <row r="713" spans="11:14" x14ac:dyDescent="0.25">
      <c r="K713" s="451"/>
      <c r="M713" s="451"/>
      <c r="N713" s="451"/>
    </row>
    <row r="714" spans="11:14" x14ac:dyDescent="0.25">
      <c r="K714" s="451"/>
      <c r="M714" s="451"/>
      <c r="N714" s="451"/>
    </row>
    <row r="715" spans="11:14" x14ac:dyDescent="0.25">
      <c r="K715" s="451"/>
      <c r="M715" s="451"/>
      <c r="N715" s="451"/>
    </row>
    <row r="716" spans="11:14" x14ac:dyDescent="0.25">
      <c r="K716" s="451"/>
      <c r="M716" s="451"/>
      <c r="N716" s="451"/>
    </row>
    <row r="717" spans="11:14" x14ac:dyDescent="0.25">
      <c r="K717" s="451"/>
      <c r="M717" s="451"/>
      <c r="N717" s="451"/>
    </row>
    <row r="718" spans="11:14" x14ac:dyDescent="0.25">
      <c r="K718" s="451"/>
      <c r="M718" s="451"/>
      <c r="N718" s="451"/>
    </row>
    <row r="719" spans="11:14" x14ac:dyDescent="0.25">
      <c r="K719" s="451"/>
      <c r="M719" s="451"/>
      <c r="N719" s="451"/>
    </row>
    <row r="720" spans="11:14" x14ac:dyDescent="0.25">
      <c r="K720" s="451"/>
      <c r="M720" s="451"/>
      <c r="N720" s="451"/>
    </row>
    <row r="721" spans="11:14" x14ac:dyDescent="0.25">
      <c r="K721" s="451"/>
      <c r="M721" s="451"/>
      <c r="N721" s="451"/>
    </row>
    <row r="722" spans="11:14" x14ac:dyDescent="0.25">
      <c r="K722" s="451"/>
      <c r="M722" s="451"/>
      <c r="N722" s="451"/>
    </row>
    <row r="723" spans="11:14" x14ac:dyDescent="0.25">
      <c r="K723" s="451"/>
      <c r="M723" s="451"/>
      <c r="N723" s="451"/>
    </row>
    <row r="724" spans="11:14" x14ac:dyDescent="0.25">
      <c r="K724" s="451"/>
      <c r="M724" s="451"/>
      <c r="N724" s="451"/>
    </row>
    <row r="725" spans="11:14" x14ac:dyDescent="0.25">
      <c r="K725" s="451"/>
      <c r="M725" s="451"/>
      <c r="N725" s="451"/>
    </row>
    <row r="726" spans="11:14" x14ac:dyDescent="0.25">
      <c r="K726" s="451"/>
      <c r="M726" s="451"/>
      <c r="N726" s="451"/>
    </row>
    <row r="727" spans="11:14" x14ac:dyDescent="0.25">
      <c r="K727" s="451"/>
      <c r="M727" s="451"/>
      <c r="N727" s="451"/>
    </row>
    <row r="728" spans="11:14" x14ac:dyDescent="0.25">
      <c r="K728" s="451"/>
      <c r="M728" s="451"/>
      <c r="N728" s="451"/>
    </row>
    <row r="729" spans="11:14" x14ac:dyDescent="0.25">
      <c r="K729" s="451"/>
      <c r="M729" s="451"/>
      <c r="N729" s="451"/>
    </row>
    <row r="730" spans="11:14" x14ac:dyDescent="0.25">
      <c r="K730" s="451"/>
      <c r="M730" s="451"/>
      <c r="N730" s="451"/>
    </row>
    <row r="731" spans="11:14" x14ac:dyDescent="0.25">
      <c r="K731" s="451"/>
      <c r="M731" s="451"/>
      <c r="N731" s="451"/>
    </row>
    <row r="732" spans="11:14" x14ac:dyDescent="0.25">
      <c r="K732" s="451"/>
      <c r="M732" s="451"/>
      <c r="N732" s="451"/>
    </row>
    <row r="733" spans="11:14" x14ac:dyDescent="0.25">
      <c r="K733" s="451"/>
      <c r="M733" s="451"/>
      <c r="N733" s="451"/>
    </row>
    <row r="734" spans="11:14" x14ac:dyDescent="0.25">
      <c r="K734" s="451"/>
      <c r="M734" s="451"/>
      <c r="N734" s="451"/>
    </row>
    <row r="735" spans="11:14" x14ac:dyDescent="0.25">
      <c r="K735" s="451"/>
      <c r="M735" s="451"/>
      <c r="N735" s="451"/>
    </row>
    <row r="736" spans="11:14" x14ac:dyDescent="0.25">
      <c r="K736" s="451"/>
      <c r="M736" s="451"/>
      <c r="N736" s="451"/>
    </row>
    <row r="737" spans="11:14" x14ac:dyDescent="0.25">
      <c r="K737" s="451"/>
      <c r="M737" s="451"/>
      <c r="N737" s="451"/>
    </row>
    <row r="738" spans="11:14" x14ac:dyDescent="0.25">
      <c r="K738" s="451"/>
      <c r="M738" s="451"/>
      <c r="N738" s="451"/>
    </row>
    <row r="739" spans="11:14" x14ac:dyDescent="0.25">
      <c r="K739" s="451"/>
      <c r="M739" s="451"/>
      <c r="N739" s="451"/>
    </row>
    <row r="740" spans="11:14" x14ac:dyDescent="0.25">
      <c r="K740" s="451"/>
      <c r="M740" s="451"/>
      <c r="N740" s="451"/>
    </row>
    <row r="741" spans="11:14" x14ac:dyDescent="0.25">
      <c r="K741" s="451"/>
      <c r="M741" s="451"/>
      <c r="N741" s="451"/>
    </row>
    <row r="742" spans="11:14" x14ac:dyDescent="0.25">
      <c r="K742" s="451"/>
      <c r="M742" s="451"/>
      <c r="N742" s="451"/>
    </row>
    <row r="743" spans="11:14" x14ac:dyDescent="0.25">
      <c r="K743" s="451"/>
      <c r="M743" s="451"/>
      <c r="N743" s="451"/>
    </row>
    <row r="744" spans="11:14" x14ac:dyDescent="0.25">
      <c r="K744" s="451"/>
      <c r="M744" s="451"/>
      <c r="N744" s="451"/>
    </row>
    <row r="745" spans="11:14" x14ac:dyDescent="0.25">
      <c r="K745" s="451"/>
      <c r="M745" s="451"/>
      <c r="N745" s="451"/>
    </row>
    <row r="746" spans="11:14" x14ac:dyDescent="0.25">
      <c r="K746" s="451"/>
      <c r="M746" s="451"/>
      <c r="N746" s="451"/>
    </row>
    <row r="747" spans="11:14" x14ac:dyDescent="0.25">
      <c r="K747" s="451"/>
      <c r="M747" s="451"/>
      <c r="N747" s="451"/>
    </row>
    <row r="748" spans="11:14" x14ac:dyDescent="0.25">
      <c r="K748" s="451"/>
      <c r="M748" s="451"/>
      <c r="N748" s="451"/>
    </row>
    <row r="749" spans="11:14" x14ac:dyDescent="0.25">
      <c r="K749" s="451"/>
      <c r="M749" s="451"/>
      <c r="N749" s="451"/>
    </row>
    <row r="750" spans="11:14" x14ac:dyDescent="0.25">
      <c r="K750" s="451"/>
      <c r="M750" s="451"/>
      <c r="N750" s="451"/>
    </row>
    <row r="751" spans="11:14" x14ac:dyDescent="0.25">
      <c r="K751" s="451"/>
      <c r="M751" s="451"/>
      <c r="N751" s="451"/>
    </row>
    <row r="752" spans="11:14" x14ac:dyDescent="0.25">
      <c r="K752" s="451"/>
      <c r="M752" s="451"/>
      <c r="N752" s="451"/>
    </row>
    <row r="753" spans="11:14" x14ac:dyDescent="0.25">
      <c r="K753" s="451"/>
      <c r="M753" s="451"/>
      <c r="N753" s="451"/>
    </row>
    <row r="754" spans="11:14" x14ac:dyDescent="0.25">
      <c r="K754" s="451"/>
      <c r="M754" s="451"/>
      <c r="N754" s="451"/>
    </row>
    <row r="755" spans="11:14" x14ac:dyDescent="0.25">
      <c r="K755" s="451"/>
      <c r="M755" s="451"/>
      <c r="N755" s="451"/>
    </row>
    <row r="756" spans="11:14" x14ac:dyDescent="0.25">
      <c r="K756" s="451"/>
      <c r="M756" s="451"/>
      <c r="N756" s="451"/>
    </row>
    <row r="757" spans="11:14" x14ac:dyDescent="0.25">
      <c r="K757" s="451"/>
      <c r="M757" s="451"/>
      <c r="N757" s="451"/>
    </row>
    <row r="758" spans="11:14" x14ac:dyDescent="0.25">
      <c r="K758" s="451"/>
      <c r="M758" s="451"/>
      <c r="N758" s="451"/>
    </row>
    <row r="759" spans="11:14" x14ac:dyDescent="0.25">
      <c r="K759" s="451"/>
      <c r="M759" s="451"/>
      <c r="N759" s="451"/>
    </row>
    <row r="760" spans="11:14" x14ac:dyDescent="0.25">
      <c r="K760" s="451"/>
      <c r="M760" s="451"/>
      <c r="N760" s="451"/>
    </row>
    <row r="761" spans="11:14" x14ac:dyDescent="0.25">
      <c r="K761" s="451"/>
      <c r="M761" s="451"/>
      <c r="N761" s="451"/>
    </row>
    <row r="762" spans="11:14" x14ac:dyDescent="0.25">
      <c r="K762" s="451"/>
      <c r="M762" s="451"/>
      <c r="N762" s="451"/>
    </row>
    <row r="763" spans="11:14" x14ac:dyDescent="0.25">
      <c r="K763" s="451"/>
      <c r="M763" s="451"/>
      <c r="N763" s="451"/>
    </row>
    <row r="764" spans="11:14" x14ac:dyDescent="0.25">
      <c r="K764" s="451"/>
      <c r="M764" s="451"/>
      <c r="N764" s="451"/>
    </row>
    <row r="765" spans="11:14" x14ac:dyDescent="0.25">
      <c r="K765" s="451"/>
      <c r="M765" s="451"/>
      <c r="N765" s="451"/>
    </row>
    <row r="766" spans="11:14" x14ac:dyDescent="0.25">
      <c r="K766" s="451"/>
      <c r="M766" s="451"/>
      <c r="N766" s="451"/>
    </row>
    <row r="767" spans="11:14" x14ac:dyDescent="0.25">
      <c r="K767" s="451"/>
      <c r="M767" s="451"/>
      <c r="N767" s="451"/>
    </row>
    <row r="768" spans="11:14" x14ac:dyDescent="0.25">
      <c r="K768" s="451"/>
      <c r="M768" s="451"/>
      <c r="N768" s="451"/>
    </row>
    <row r="769" spans="11:14" x14ac:dyDescent="0.25">
      <c r="K769" s="451"/>
      <c r="M769" s="451"/>
      <c r="N769" s="451"/>
    </row>
    <row r="770" spans="11:14" x14ac:dyDescent="0.25">
      <c r="K770" s="451"/>
      <c r="M770" s="451"/>
      <c r="N770" s="451"/>
    </row>
    <row r="771" spans="11:14" x14ac:dyDescent="0.25">
      <c r="K771" s="451"/>
      <c r="M771" s="451"/>
      <c r="N771" s="451"/>
    </row>
    <row r="772" spans="11:14" x14ac:dyDescent="0.25">
      <c r="K772" s="451"/>
      <c r="M772" s="451"/>
      <c r="N772" s="451"/>
    </row>
    <row r="773" spans="11:14" x14ac:dyDescent="0.25">
      <c r="K773" s="451"/>
      <c r="M773" s="451"/>
      <c r="N773" s="451"/>
    </row>
    <row r="774" spans="11:14" x14ac:dyDescent="0.25">
      <c r="K774" s="451"/>
      <c r="M774" s="451"/>
      <c r="N774" s="451"/>
    </row>
    <row r="775" spans="11:14" x14ac:dyDescent="0.25">
      <c r="K775" s="451"/>
      <c r="M775" s="451"/>
      <c r="N775" s="451"/>
    </row>
    <row r="776" spans="11:14" x14ac:dyDescent="0.25">
      <c r="K776" s="451"/>
      <c r="M776" s="451"/>
      <c r="N776" s="451"/>
    </row>
    <row r="777" spans="11:14" x14ac:dyDescent="0.25">
      <c r="K777" s="451"/>
      <c r="M777" s="451"/>
      <c r="N777" s="451"/>
    </row>
    <row r="778" spans="11:14" x14ac:dyDescent="0.25">
      <c r="K778" s="451"/>
      <c r="M778" s="451"/>
      <c r="N778" s="451"/>
    </row>
    <row r="779" spans="11:14" x14ac:dyDescent="0.25">
      <c r="K779" s="451"/>
      <c r="M779" s="451"/>
      <c r="N779" s="451"/>
    </row>
    <row r="780" spans="11:14" x14ac:dyDescent="0.25">
      <c r="K780" s="451"/>
      <c r="M780" s="451"/>
      <c r="N780" s="451"/>
    </row>
    <row r="781" spans="11:14" x14ac:dyDescent="0.25">
      <c r="K781" s="451"/>
      <c r="M781" s="451"/>
      <c r="N781" s="451"/>
    </row>
    <row r="782" spans="11:14" x14ac:dyDescent="0.25">
      <c r="K782" s="451"/>
      <c r="M782" s="451"/>
      <c r="N782" s="451"/>
    </row>
    <row r="783" spans="11:14" x14ac:dyDescent="0.25">
      <c r="K783" s="451"/>
      <c r="M783" s="451"/>
      <c r="N783" s="451"/>
    </row>
    <row r="784" spans="11:14" x14ac:dyDescent="0.25">
      <c r="K784" s="451"/>
      <c r="M784" s="451"/>
      <c r="N784" s="451"/>
    </row>
    <row r="785" spans="11:14" x14ac:dyDescent="0.25">
      <c r="K785" s="451"/>
      <c r="M785" s="451"/>
      <c r="N785" s="451"/>
    </row>
    <row r="786" spans="11:14" x14ac:dyDescent="0.25">
      <c r="K786" s="451"/>
      <c r="M786" s="451"/>
      <c r="N786" s="451"/>
    </row>
    <row r="787" spans="11:14" x14ac:dyDescent="0.25">
      <c r="K787" s="451"/>
      <c r="M787" s="451"/>
      <c r="N787" s="451"/>
    </row>
    <row r="788" spans="11:14" x14ac:dyDescent="0.25">
      <c r="K788" s="451"/>
      <c r="M788" s="451"/>
      <c r="N788" s="451"/>
    </row>
    <row r="789" spans="11:14" x14ac:dyDescent="0.25">
      <c r="K789" s="451"/>
      <c r="M789" s="451"/>
      <c r="N789" s="451"/>
    </row>
    <row r="790" spans="11:14" x14ac:dyDescent="0.25">
      <c r="K790" s="451"/>
      <c r="M790" s="451"/>
      <c r="N790" s="451"/>
    </row>
    <row r="791" spans="11:14" x14ac:dyDescent="0.25">
      <c r="K791" s="451"/>
      <c r="M791" s="451"/>
      <c r="N791" s="451"/>
    </row>
    <row r="792" spans="11:14" x14ac:dyDescent="0.25">
      <c r="K792" s="451"/>
      <c r="M792" s="451"/>
      <c r="N792" s="451"/>
    </row>
    <row r="793" spans="11:14" x14ac:dyDescent="0.25">
      <c r="K793" s="451"/>
      <c r="M793" s="451"/>
      <c r="N793" s="451"/>
    </row>
    <row r="794" spans="11:14" x14ac:dyDescent="0.25">
      <c r="K794" s="451"/>
      <c r="M794" s="451"/>
      <c r="N794" s="451"/>
    </row>
    <row r="795" spans="11:14" x14ac:dyDescent="0.25">
      <c r="K795" s="451"/>
      <c r="M795" s="451"/>
      <c r="N795" s="451"/>
    </row>
    <row r="796" spans="11:14" x14ac:dyDescent="0.25">
      <c r="K796" s="451"/>
      <c r="M796" s="451"/>
      <c r="N796" s="451"/>
    </row>
    <row r="797" spans="11:14" x14ac:dyDescent="0.25">
      <c r="K797" s="451"/>
      <c r="M797" s="451"/>
      <c r="N797" s="451"/>
    </row>
    <row r="798" spans="11:14" x14ac:dyDescent="0.25">
      <c r="K798" s="451"/>
      <c r="M798" s="451"/>
      <c r="N798" s="451"/>
    </row>
    <row r="799" spans="11:14" x14ac:dyDescent="0.25">
      <c r="K799" s="451"/>
      <c r="M799" s="451"/>
      <c r="N799" s="451"/>
    </row>
    <row r="800" spans="11:14" x14ac:dyDescent="0.25">
      <c r="K800" s="451"/>
      <c r="M800" s="451"/>
      <c r="N800" s="451"/>
    </row>
    <row r="801" spans="11:14" x14ac:dyDescent="0.25">
      <c r="K801" s="451"/>
      <c r="M801" s="451"/>
      <c r="N801" s="451"/>
    </row>
    <row r="802" spans="11:14" x14ac:dyDescent="0.25">
      <c r="K802" s="451"/>
      <c r="M802" s="451"/>
      <c r="N802" s="451"/>
    </row>
    <row r="803" spans="11:14" x14ac:dyDescent="0.25">
      <c r="K803" s="451"/>
      <c r="M803" s="451"/>
      <c r="N803" s="451"/>
    </row>
    <row r="804" spans="11:14" x14ac:dyDescent="0.25">
      <c r="K804" s="451"/>
      <c r="M804" s="451"/>
      <c r="N804" s="451"/>
    </row>
    <row r="805" spans="11:14" x14ac:dyDescent="0.25">
      <c r="K805" s="451"/>
      <c r="M805" s="451"/>
      <c r="N805" s="451"/>
    </row>
    <row r="806" spans="11:14" x14ac:dyDescent="0.25">
      <c r="K806" s="451"/>
      <c r="M806" s="451"/>
      <c r="N806" s="451"/>
    </row>
    <row r="807" spans="11:14" x14ac:dyDescent="0.25">
      <c r="K807" s="451"/>
      <c r="M807" s="451"/>
      <c r="N807" s="451"/>
    </row>
    <row r="808" spans="11:14" x14ac:dyDescent="0.25">
      <c r="K808" s="451"/>
      <c r="M808" s="451"/>
      <c r="N808" s="451"/>
    </row>
    <row r="809" spans="11:14" x14ac:dyDescent="0.25">
      <c r="K809" s="451"/>
      <c r="M809" s="451"/>
      <c r="N809" s="451"/>
    </row>
    <row r="810" spans="11:14" x14ac:dyDescent="0.25">
      <c r="K810" s="451"/>
      <c r="M810" s="451"/>
      <c r="N810" s="451"/>
    </row>
    <row r="811" spans="11:14" x14ac:dyDescent="0.25">
      <c r="K811" s="451"/>
      <c r="M811" s="451"/>
      <c r="N811" s="451"/>
    </row>
    <row r="812" spans="11:14" x14ac:dyDescent="0.25">
      <c r="K812" s="451"/>
      <c r="M812" s="451"/>
      <c r="N812" s="451"/>
    </row>
    <row r="813" spans="11:14" x14ac:dyDescent="0.25">
      <c r="K813" s="451"/>
      <c r="M813" s="451"/>
      <c r="N813" s="451"/>
    </row>
    <row r="814" spans="11:14" x14ac:dyDescent="0.25">
      <c r="K814" s="451"/>
      <c r="M814" s="451"/>
      <c r="N814" s="451"/>
    </row>
    <row r="815" spans="11:14" x14ac:dyDescent="0.25">
      <c r="K815" s="451"/>
      <c r="M815" s="451"/>
      <c r="N815" s="451"/>
    </row>
    <row r="816" spans="11:14" x14ac:dyDescent="0.25">
      <c r="K816" s="451"/>
      <c r="M816" s="451"/>
      <c r="N816" s="451"/>
    </row>
    <row r="817" spans="11:14" x14ac:dyDescent="0.25">
      <c r="K817" s="451"/>
      <c r="M817" s="451"/>
      <c r="N817" s="451"/>
    </row>
    <row r="818" spans="11:14" x14ac:dyDescent="0.25">
      <c r="K818" s="451"/>
      <c r="M818" s="451"/>
      <c r="N818" s="451"/>
    </row>
    <row r="819" spans="11:14" x14ac:dyDescent="0.25">
      <c r="K819" s="451"/>
      <c r="M819" s="451"/>
      <c r="N819" s="451"/>
    </row>
    <row r="820" spans="11:14" x14ac:dyDescent="0.25">
      <c r="K820" s="451"/>
      <c r="M820" s="451"/>
      <c r="N820" s="451"/>
    </row>
    <row r="821" spans="11:14" x14ac:dyDescent="0.25">
      <c r="K821" s="451"/>
      <c r="M821" s="451"/>
      <c r="N821" s="451"/>
    </row>
    <row r="822" spans="11:14" x14ac:dyDescent="0.25">
      <c r="K822" s="451"/>
      <c r="M822" s="451"/>
      <c r="N822" s="451"/>
    </row>
    <row r="823" spans="11:14" x14ac:dyDescent="0.25">
      <c r="K823" s="451"/>
      <c r="M823" s="451"/>
      <c r="N823" s="451"/>
    </row>
    <row r="824" spans="11:14" x14ac:dyDescent="0.25">
      <c r="K824" s="451"/>
      <c r="M824" s="451"/>
      <c r="N824" s="451"/>
    </row>
    <row r="825" spans="11:14" x14ac:dyDescent="0.25">
      <c r="K825" s="451"/>
      <c r="M825" s="451"/>
      <c r="N825" s="451"/>
    </row>
    <row r="826" spans="11:14" x14ac:dyDescent="0.25">
      <c r="K826" s="451"/>
      <c r="M826" s="451"/>
      <c r="N826" s="451"/>
    </row>
    <row r="827" spans="11:14" x14ac:dyDescent="0.25">
      <c r="K827" s="451"/>
      <c r="M827" s="451"/>
      <c r="N827" s="451"/>
    </row>
    <row r="828" spans="11:14" x14ac:dyDescent="0.25">
      <c r="K828" s="451"/>
      <c r="M828" s="451"/>
      <c r="N828" s="451"/>
    </row>
    <row r="829" spans="11:14" x14ac:dyDescent="0.25">
      <c r="K829" s="451"/>
      <c r="M829" s="451"/>
      <c r="N829" s="451"/>
    </row>
    <row r="830" spans="11:14" x14ac:dyDescent="0.25">
      <c r="K830" s="451"/>
      <c r="M830" s="451"/>
      <c r="N830" s="451"/>
    </row>
    <row r="831" spans="11:14" x14ac:dyDescent="0.25">
      <c r="K831" s="451"/>
      <c r="M831" s="451"/>
      <c r="N831" s="451"/>
    </row>
    <row r="832" spans="11:14" x14ac:dyDescent="0.25">
      <c r="K832" s="451"/>
      <c r="M832" s="451"/>
      <c r="N832" s="451"/>
    </row>
    <row r="833" spans="11:14" x14ac:dyDescent="0.25">
      <c r="K833" s="451"/>
      <c r="M833" s="451"/>
      <c r="N833" s="451"/>
    </row>
    <row r="834" spans="11:14" x14ac:dyDescent="0.25">
      <c r="K834" s="451"/>
      <c r="M834" s="451"/>
      <c r="N834" s="451"/>
    </row>
    <row r="835" spans="11:14" x14ac:dyDescent="0.25">
      <c r="K835" s="451"/>
      <c r="M835" s="451"/>
      <c r="N835" s="451"/>
    </row>
    <row r="836" spans="11:14" x14ac:dyDescent="0.25">
      <c r="K836" s="451"/>
      <c r="M836" s="451"/>
      <c r="N836" s="451"/>
    </row>
    <row r="837" spans="11:14" x14ac:dyDescent="0.25">
      <c r="K837" s="451"/>
      <c r="M837" s="451"/>
      <c r="N837" s="451"/>
    </row>
    <row r="838" spans="11:14" x14ac:dyDescent="0.25">
      <c r="K838" s="451"/>
      <c r="M838" s="451"/>
      <c r="N838" s="451"/>
    </row>
    <row r="839" spans="11:14" x14ac:dyDescent="0.25">
      <c r="K839" s="451"/>
      <c r="M839" s="451"/>
      <c r="N839" s="451"/>
    </row>
    <row r="840" spans="11:14" x14ac:dyDescent="0.25">
      <c r="K840" s="451"/>
      <c r="M840" s="451"/>
      <c r="N840" s="451"/>
    </row>
    <row r="841" spans="11:14" x14ac:dyDescent="0.25">
      <c r="K841" s="451"/>
      <c r="M841" s="451"/>
      <c r="N841" s="451"/>
    </row>
    <row r="842" spans="11:14" x14ac:dyDescent="0.25">
      <c r="K842" s="451"/>
      <c r="M842" s="451"/>
      <c r="N842" s="451"/>
    </row>
    <row r="843" spans="11:14" x14ac:dyDescent="0.25">
      <c r="K843" s="451"/>
      <c r="M843" s="451"/>
      <c r="N843" s="451"/>
    </row>
    <row r="844" spans="11:14" x14ac:dyDescent="0.25">
      <c r="K844" s="451"/>
      <c r="M844" s="451"/>
      <c r="N844" s="451"/>
    </row>
    <row r="845" spans="11:14" x14ac:dyDescent="0.25">
      <c r="K845" s="451"/>
      <c r="M845" s="451"/>
      <c r="N845" s="451"/>
    </row>
    <row r="846" spans="11:14" x14ac:dyDescent="0.25">
      <c r="K846" s="451"/>
      <c r="M846" s="451"/>
      <c r="N846" s="451"/>
    </row>
    <row r="847" spans="11:14" x14ac:dyDescent="0.25">
      <c r="K847" s="451"/>
      <c r="M847" s="451"/>
      <c r="N847" s="451"/>
    </row>
    <row r="848" spans="11:14" x14ac:dyDescent="0.25">
      <c r="K848" s="451"/>
      <c r="M848" s="451"/>
      <c r="N848" s="451"/>
    </row>
    <row r="849" spans="11:14" x14ac:dyDescent="0.25">
      <c r="K849" s="451"/>
      <c r="M849" s="451"/>
      <c r="N849" s="451"/>
    </row>
    <row r="850" spans="11:14" x14ac:dyDescent="0.25">
      <c r="K850" s="451"/>
      <c r="M850" s="451"/>
      <c r="N850" s="451"/>
    </row>
    <row r="851" spans="11:14" x14ac:dyDescent="0.25">
      <c r="K851" s="451"/>
      <c r="M851" s="451"/>
      <c r="N851" s="451"/>
    </row>
    <row r="852" spans="11:14" x14ac:dyDescent="0.25">
      <c r="K852" s="451"/>
      <c r="M852" s="451"/>
      <c r="N852" s="451"/>
    </row>
    <row r="853" spans="11:14" x14ac:dyDescent="0.25">
      <c r="K853" s="451"/>
      <c r="M853" s="451"/>
      <c r="N853" s="451"/>
    </row>
    <row r="854" spans="11:14" x14ac:dyDescent="0.25">
      <c r="K854" s="451"/>
      <c r="M854" s="451"/>
      <c r="N854" s="451"/>
    </row>
    <row r="855" spans="11:14" x14ac:dyDescent="0.25">
      <c r="K855" s="451"/>
      <c r="M855" s="451"/>
      <c r="N855" s="451"/>
    </row>
    <row r="856" spans="11:14" x14ac:dyDescent="0.25">
      <c r="K856" s="451"/>
      <c r="M856" s="451"/>
      <c r="N856" s="451"/>
    </row>
    <row r="857" spans="11:14" x14ac:dyDescent="0.25">
      <c r="K857" s="451"/>
      <c r="M857" s="451"/>
      <c r="N857" s="451"/>
    </row>
    <row r="858" spans="11:14" x14ac:dyDescent="0.25">
      <c r="K858" s="451"/>
      <c r="M858" s="451"/>
      <c r="N858" s="451"/>
    </row>
    <row r="859" spans="11:14" x14ac:dyDescent="0.25">
      <c r="K859" s="451"/>
      <c r="M859" s="451"/>
      <c r="N859" s="451"/>
    </row>
    <row r="860" spans="11:14" x14ac:dyDescent="0.25">
      <c r="K860" s="451"/>
      <c r="M860" s="451"/>
      <c r="N860" s="451"/>
    </row>
    <row r="861" spans="11:14" x14ac:dyDescent="0.25">
      <c r="K861" s="451"/>
      <c r="M861" s="451"/>
      <c r="N861" s="451"/>
    </row>
    <row r="862" spans="11:14" x14ac:dyDescent="0.25">
      <c r="K862" s="451"/>
      <c r="M862" s="451"/>
      <c r="N862" s="451"/>
    </row>
    <row r="863" spans="11:14" x14ac:dyDescent="0.25">
      <c r="K863" s="451"/>
      <c r="M863" s="451"/>
      <c r="N863" s="451"/>
    </row>
    <row r="864" spans="11:14" x14ac:dyDescent="0.25">
      <c r="K864" s="451"/>
      <c r="M864" s="451"/>
      <c r="N864" s="451"/>
    </row>
    <row r="865" spans="11:14" x14ac:dyDescent="0.25">
      <c r="K865" s="451"/>
      <c r="M865" s="451"/>
      <c r="N865" s="451"/>
    </row>
    <row r="866" spans="11:14" x14ac:dyDescent="0.25">
      <c r="K866" s="451"/>
      <c r="M866" s="451"/>
      <c r="N866" s="451"/>
    </row>
    <row r="867" spans="11:14" x14ac:dyDescent="0.25">
      <c r="K867" s="451"/>
      <c r="M867" s="451"/>
      <c r="N867" s="451"/>
    </row>
    <row r="868" spans="11:14" x14ac:dyDescent="0.25">
      <c r="K868" s="451"/>
      <c r="M868" s="451"/>
      <c r="N868" s="451"/>
    </row>
    <row r="869" spans="11:14" x14ac:dyDescent="0.25">
      <c r="K869" s="451"/>
      <c r="M869" s="451"/>
      <c r="N869" s="451"/>
    </row>
    <row r="870" spans="11:14" x14ac:dyDescent="0.25">
      <c r="K870" s="451"/>
      <c r="M870" s="451"/>
      <c r="N870" s="451"/>
    </row>
    <row r="871" spans="11:14" x14ac:dyDescent="0.25">
      <c r="K871" s="451"/>
      <c r="M871" s="451"/>
      <c r="N871" s="451"/>
    </row>
    <row r="872" spans="11:14" x14ac:dyDescent="0.25">
      <c r="K872" s="451"/>
      <c r="M872" s="451"/>
      <c r="N872" s="451"/>
    </row>
    <row r="873" spans="11:14" x14ac:dyDescent="0.25">
      <c r="K873" s="451"/>
      <c r="M873" s="451"/>
      <c r="N873" s="451"/>
    </row>
    <row r="874" spans="11:14" x14ac:dyDescent="0.25">
      <c r="K874" s="451"/>
      <c r="M874" s="451"/>
      <c r="N874" s="451"/>
    </row>
    <row r="875" spans="11:14" x14ac:dyDescent="0.25">
      <c r="K875" s="451"/>
      <c r="M875" s="451"/>
      <c r="N875" s="451"/>
    </row>
    <row r="876" spans="11:14" x14ac:dyDescent="0.25">
      <c r="K876" s="451"/>
      <c r="M876" s="451"/>
      <c r="N876" s="451"/>
    </row>
    <row r="877" spans="11:14" x14ac:dyDescent="0.25">
      <c r="K877" s="451"/>
      <c r="M877" s="451"/>
      <c r="N877" s="451"/>
    </row>
    <row r="878" spans="11:14" x14ac:dyDescent="0.25">
      <c r="K878" s="451"/>
      <c r="M878" s="451"/>
      <c r="N878" s="451"/>
    </row>
    <row r="879" spans="11:14" x14ac:dyDescent="0.25">
      <c r="K879" s="451"/>
      <c r="M879" s="451"/>
      <c r="N879" s="451"/>
    </row>
    <row r="880" spans="11:14" x14ac:dyDescent="0.25">
      <c r="K880" s="451"/>
      <c r="M880" s="451"/>
      <c r="N880" s="451"/>
    </row>
    <row r="881" spans="11:14" x14ac:dyDescent="0.25">
      <c r="K881" s="451"/>
      <c r="M881" s="451"/>
      <c r="N881" s="451"/>
    </row>
    <row r="882" spans="11:14" x14ac:dyDescent="0.25">
      <c r="K882" s="451"/>
      <c r="M882" s="451"/>
      <c r="N882" s="451"/>
    </row>
    <row r="883" spans="11:14" x14ac:dyDescent="0.25">
      <c r="K883" s="451"/>
      <c r="M883" s="451"/>
      <c r="N883" s="451"/>
    </row>
    <row r="884" spans="11:14" x14ac:dyDescent="0.25">
      <c r="K884" s="451"/>
      <c r="M884" s="451"/>
      <c r="N884" s="451"/>
    </row>
    <row r="885" spans="11:14" x14ac:dyDescent="0.25">
      <c r="K885" s="451"/>
      <c r="M885" s="451"/>
      <c r="N885" s="451"/>
    </row>
    <row r="886" spans="11:14" x14ac:dyDescent="0.25">
      <c r="K886" s="451"/>
      <c r="M886" s="451"/>
      <c r="N886" s="451"/>
    </row>
    <row r="887" spans="11:14" x14ac:dyDescent="0.25">
      <c r="K887" s="451"/>
      <c r="M887" s="451"/>
      <c r="N887" s="451"/>
    </row>
    <row r="888" spans="11:14" x14ac:dyDescent="0.25">
      <c r="K888" s="451"/>
      <c r="M888" s="451"/>
      <c r="N888" s="451"/>
    </row>
    <row r="889" spans="11:14" x14ac:dyDescent="0.25">
      <c r="K889" s="451"/>
      <c r="M889" s="451"/>
      <c r="N889" s="451"/>
    </row>
    <row r="890" spans="11:14" x14ac:dyDescent="0.25">
      <c r="K890" s="451"/>
      <c r="M890" s="451"/>
      <c r="N890" s="451"/>
    </row>
    <row r="891" spans="11:14" x14ac:dyDescent="0.25">
      <c r="K891" s="451"/>
      <c r="M891" s="451"/>
      <c r="N891" s="451"/>
    </row>
    <row r="892" spans="11:14" x14ac:dyDescent="0.25">
      <c r="K892" s="451"/>
      <c r="M892" s="451"/>
      <c r="N892" s="451"/>
    </row>
    <row r="893" spans="11:14" x14ac:dyDescent="0.25">
      <c r="K893" s="451"/>
      <c r="M893" s="451"/>
      <c r="N893" s="451"/>
    </row>
    <row r="894" spans="11:14" x14ac:dyDescent="0.25">
      <c r="K894" s="451"/>
      <c r="M894" s="451"/>
      <c r="N894" s="451"/>
    </row>
    <row r="895" spans="11:14" x14ac:dyDescent="0.25">
      <c r="K895" s="451"/>
      <c r="M895" s="451"/>
      <c r="N895" s="451"/>
    </row>
    <row r="896" spans="11:14" x14ac:dyDescent="0.25">
      <c r="K896" s="451"/>
      <c r="M896" s="451"/>
      <c r="N896" s="451"/>
    </row>
    <row r="897" spans="11:14" x14ac:dyDescent="0.25">
      <c r="K897" s="451"/>
      <c r="M897" s="451"/>
      <c r="N897" s="451"/>
    </row>
    <row r="898" spans="11:14" x14ac:dyDescent="0.25">
      <c r="K898" s="451"/>
      <c r="M898" s="451"/>
      <c r="N898" s="451"/>
    </row>
    <row r="899" spans="11:14" x14ac:dyDescent="0.25">
      <c r="K899" s="451"/>
      <c r="M899" s="451"/>
      <c r="N899" s="451"/>
    </row>
    <row r="900" spans="11:14" x14ac:dyDescent="0.25">
      <c r="K900" s="451"/>
      <c r="M900" s="451"/>
      <c r="N900" s="451"/>
    </row>
    <row r="901" spans="11:14" x14ac:dyDescent="0.25">
      <c r="K901" s="451"/>
      <c r="M901" s="451"/>
      <c r="N901" s="451"/>
    </row>
    <row r="902" spans="11:14" x14ac:dyDescent="0.25">
      <c r="K902" s="451"/>
      <c r="M902" s="451"/>
      <c r="N902" s="451"/>
    </row>
    <row r="903" spans="11:14" x14ac:dyDescent="0.25">
      <c r="K903" s="451"/>
      <c r="M903" s="451"/>
      <c r="N903" s="451"/>
    </row>
    <row r="904" spans="11:14" x14ac:dyDescent="0.25">
      <c r="K904" s="451"/>
      <c r="M904" s="451"/>
      <c r="N904" s="451"/>
    </row>
    <row r="905" spans="11:14" x14ac:dyDescent="0.25">
      <c r="K905" s="451"/>
      <c r="M905" s="451"/>
      <c r="N905" s="451"/>
    </row>
    <row r="906" spans="11:14" x14ac:dyDescent="0.25">
      <c r="K906" s="451"/>
      <c r="M906" s="451"/>
      <c r="N906" s="451"/>
    </row>
    <row r="907" spans="11:14" x14ac:dyDescent="0.25">
      <c r="K907" s="451"/>
      <c r="M907" s="451"/>
      <c r="N907" s="451"/>
    </row>
    <row r="908" spans="11:14" x14ac:dyDescent="0.25">
      <c r="K908" s="451"/>
      <c r="M908" s="451"/>
      <c r="N908" s="451"/>
    </row>
    <row r="909" spans="11:14" x14ac:dyDescent="0.25">
      <c r="K909" s="451"/>
      <c r="M909" s="451"/>
      <c r="N909" s="451"/>
    </row>
    <row r="910" spans="11:14" x14ac:dyDescent="0.25">
      <c r="K910" s="451"/>
      <c r="M910" s="451"/>
      <c r="N910" s="451"/>
    </row>
    <row r="911" spans="11:14" x14ac:dyDescent="0.25">
      <c r="K911" s="451"/>
      <c r="M911" s="451"/>
      <c r="N911" s="451"/>
    </row>
    <row r="912" spans="11:14" x14ac:dyDescent="0.25">
      <c r="K912" s="451"/>
      <c r="M912" s="451"/>
      <c r="N912" s="451"/>
    </row>
    <row r="913" spans="11:14" x14ac:dyDescent="0.25">
      <c r="K913" s="451"/>
      <c r="M913" s="451"/>
      <c r="N913" s="451"/>
    </row>
    <row r="914" spans="11:14" x14ac:dyDescent="0.25">
      <c r="K914" s="451"/>
      <c r="M914" s="451"/>
      <c r="N914" s="451"/>
    </row>
    <row r="915" spans="11:14" x14ac:dyDescent="0.25">
      <c r="K915" s="451"/>
      <c r="M915" s="451"/>
      <c r="N915" s="451"/>
    </row>
    <row r="916" spans="11:14" x14ac:dyDescent="0.25">
      <c r="K916" s="451"/>
      <c r="M916" s="451"/>
      <c r="N916" s="451"/>
    </row>
    <row r="917" spans="11:14" x14ac:dyDescent="0.25">
      <c r="K917" s="451"/>
      <c r="M917" s="451"/>
      <c r="N917" s="451"/>
    </row>
    <row r="918" spans="11:14" x14ac:dyDescent="0.25">
      <c r="K918" s="451"/>
      <c r="M918" s="451"/>
      <c r="N918" s="451"/>
    </row>
    <row r="919" spans="11:14" x14ac:dyDescent="0.25">
      <c r="K919" s="451"/>
      <c r="M919" s="451"/>
      <c r="N919" s="451"/>
    </row>
    <row r="920" spans="11:14" x14ac:dyDescent="0.25">
      <c r="K920" s="451"/>
      <c r="M920" s="451"/>
      <c r="N920" s="451"/>
    </row>
    <row r="921" spans="11:14" x14ac:dyDescent="0.25">
      <c r="K921" s="451"/>
      <c r="M921" s="451"/>
      <c r="N921" s="451"/>
    </row>
    <row r="922" spans="11:14" x14ac:dyDescent="0.25">
      <c r="K922" s="451"/>
      <c r="M922" s="451"/>
      <c r="N922" s="451"/>
    </row>
    <row r="923" spans="11:14" x14ac:dyDescent="0.25">
      <c r="K923" s="451"/>
      <c r="M923" s="451"/>
      <c r="N923" s="451"/>
    </row>
    <row r="924" spans="11:14" x14ac:dyDescent="0.25">
      <c r="K924" s="451"/>
      <c r="M924" s="451"/>
      <c r="N924" s="451"/>
    </row>
    <row r="925" spans="11:14" x14ac:dyDescent="0.25">
      <c r="K925" s="451"/>
      <c r="M925" s="451"/>
      <c r="N925" s="451"/>
    </row>
    <row r="926" spans="11:14" x14ac:dyDescent="0.25">
      <c r="K926" s="451"/>
      <c r="M926" s="451"/>
      <c r="N926" s="451"/>
    </row>
    <row r="927" spans="11:14" x14ac:dyDescent="0.25">
      <c r="K927" s="451"/>
      <c r="M927" s="451"/>
      <c r="N927" s="451"/>
    </row>
    <row r="928" spans="11:14" x14ac:dyDescent="0.25">
      <c r="K928" s="451"/>
      <c r="M928" s="451"/>
      <c r="N928" s="451"/>
    </row>
    <row r="929" spans="11:14" x14ac:dyDescent="0.25">
      <c r="K929" s="451"/>
      <c r="M929" s="451"/>
      <c r="N929" s="451"/>
    </row>
    <row r="930" spans="11:14" x14ac:dyDescent="0.25">
      <c r="K930" s="451"/>
      <c r="M930" s="451"/>
      <c r="N930" s="451"/>
    </row>
    <row r="931" spans="11:14" x14ac:dyDescent="0.25">
      <c r="K931" s="451"/>
      <c r="M931" s="451"/>
      <c r="N931" s="451"/>
    </row>
    <row r="932" spans="11:14" x14ac:dyDescent="0.25">
      <c r="K932" s="451"/>
      <c r="M932" s="451"/>
      <c r="N932" s="451"/>
    </row>
    <row r="933" spans="11:14" x14ac:dyDescent="0.25">
      <c r="K933" s="451"/>
      <c r="M933" s="451"/>
      <c r="N933" s="451"/>
    </row>
    <row r="934" spans="11:14" x14ac:dyDescent="0.25">
      <c r="K934" s="451"/>
      <c r="M934" s="451"/>
      <c r="N934" s="451"/>
    </row>
    <row r="935" spans="11:14" x14ac:dyDescent="0.25">
      <c r="K935" s="451"/>
      <c r="M935" s="451"/>
      <c r="N935" s="451"/>
    </row>
    <row r="936" spans="11:14" x14ac:dyDescent="0.25">
      <c r="K936" s="451"/>
      <c r="M936" s="451"/>
      <c r="N936" s="451"/>
    </row>
    <row r="937" spans="11:14" x14ac:dyDescent="0.25">
      <c r="K937" s="451"/>
      <c r="M937" s="451"/>
      <c r="N937" s="451"/>
    </row>
    <row r="938" spans="11:14" x14ac:dyDescent="0.25">
      <c r="K938" s="451"/>
      <c r="M938" s="451"/>
      <c r="N938" s="451"/>
    </row>
    <row r="939" spans="11:14" x14ac:dyDescent="0.25">
      <c r="K939" s="451"/>
      <c r="M939" s="451"/>
      <c r="N939" s="451"/>
    </row>
    <row r="940" spans="11:14" x14ac:dyDescent="0.25">
      <c r="K940" s="451"/>
      <c r="M940" s="451"/>
      <c r="N940" s="451"/>
    </row>
    <row r="941" spans="11:14" x14ac:dyDescent="0.25">
      <c r="K941" s="451"/>
      <c r="M941" s="451"/>
      <c r="N941" s="451"/>
    </row>
    <row r="942" spans="11:14" x14ac:dyDescent="0.25">
      <c r="K942" s="451"/>
      <c r="M942" s="451"/>
      <c r="N942" s="451"/>
    </row>
    <row r="943" spans="11:14" x14ac:dyDescent="0.25">
      <c r="K943" s="451"/>
      <c r="M943" s="451"/>
      <c r="N943" s="451"/>
    </row>
    <row r="944" spans="11:14" x14ac:dyDescent="0.25">
      <c r="K944" s="451"/>
      <c r="M944" s="451"/>
      <c r="N944" s="451"/>
    </row>
    <row r="945" spans="11:14" x14ac:dyDescent="0.25">
      <c r="K945" s="451"/>
      <c r="M945" s="451"/>
      <c r="N945" s="451"/>
    </row>
    <row r="946" spans="11:14" x14ac:dyDescent="0.25">
      <c r="K946" s="451"/>
      <c r="M946" s="451"/>
      <c r="N946" s="451"/>
    </row>
    <row r="947" spans="11:14" x14ac:dyDescent="0.25">
      <c r="K947" s="451"/>
      <c r="M947" s="451"/>
      <c r="N947" s="451"/>
    </row>
    <row r="948" spans="11:14" x14ac:dyDescent="0.25">
      <c r="K948" s="451"/>
      <c r="M948" s="451"/>
      <c r="N948" s="451"/>
    </row>
    <row r="949" spans="11:14" x14ac:dyDescent="0.25">
      <c r="K949" s="451"/>
      <c r="M949" s="451"/>
      <c r="N949" s="451"/>
    </row>
    <row r="950" spans="11:14" x14ac:dyDescent="0.25">
      <c r="K950" s="451"/>
      <c r="M950" s="451"/>
      <c r="N950" s="451"/>
    </row>
    <row r="951" spans="11:14" x14ac:dyDescent="0.25">
      <c r="K951" s="451"/>
      <c r="M951" s="451"/>
      <c r="N951" s="451"/>
    </row>
    <row r="952" spans="11:14" x14ac:dyDescent="0.25">
      <c r="K952" s="451"/>
      <c r="M952" s="451"/>
      <c r="N952" s="451"/>
    </row>
    <row r="953" spans="11:14" x14ac:dyDescent="0.25">
      <c r="K953" s="451"/>
      <c r="M953" s="451"/>
      <c r="N953" s="451"/>
    </row>
    <row r="954" spans="11:14" x14ac:dyDescent="0.25">
      <c r="K954" s="451"/>
      <c r="M954" s="451"/>
      <c r="N954" s="451"/>
    </row>
    <row r="955" spans="11:14" x14ac:dyDescent="0.25">
      <c r="K955" s="451"/>
      <c r="M955" s="451"/>
      <c r="N955" s="451"/>
    </row>
    <row r="956" spans="11:14" x14ac:dyDescent="0.25">
      <c r="K956" s="451"/>
      <c r="M956" s="451"/>
      <c r="N956" s="451"/>
    </row>
    <row r="957" spans="11:14" x14ac:dyDescent="0.25">
      <c r="K957" s="451"/>
      <c r="M957" s="451"/>
      <c r="N957" s="451"/>
    </row>
    <row r="958" spans="11:14" x14ac:dyDescent="0.25">
      <c r="K958" s="451"/>
      <c r="M958" s="451"/>
      <c r="N958" s="451"/>
    </row>
    <row r="959" spans="11:14" x14ac:dyDescent="0.25">
      <c r="K959" s="451"/>
      <c r="M959" s="451"/>
      <c r="N959" s="451"/>
    </row>
    <row r="960" spans="11:14" x14ac:dyDescent="0.25">
      <c r="K960" s="451"/>
      <c r="M960" s="451"/>
      <c r="N960" s="451"/>
    </row>
    <row r="961" spans="11:14" x14ac:dyDescent="0.25">
      <c r="K961" s="451"/>
      <c r="M961" s="451"/>
      <c r="N961" s="451"/>
    </row>
    <row r="962" spans="11:14" x14ac:dyDescent="0.25">
      <c r="K962" s="451"/>
      <c r="M962" s="451"/>
      <c r="N962" s="451"/>
    </row>
    <row r="963" spans="11:14" x14ac:dyDescent="0.25">
      <c r="K963" s="451"/>
      <c r="M963" s="451"/>
      <c r="N963" s="451"/>
    </row>
    <row r="964" spans="11:14" x14ac:dyDescent="0.25">
      <c r="K964" s="451"/>
      <c r="M964" s="451"/>
      <c r="N964" s="451"/>
    </row>
    <row r="965" spans="11:14" x14ac:dyDescent="0.25">
      <c r="K965" s="451"/>
      <c r="M965" s="451"/>
      <c r="N965" s="451"/>
    </row>
    <row r="966" spans="11:14" x14ac:dyDescent="0.25">
      <c r="K966" s="451"/>
      <c r="M966" s="451"/>
      <c r="N966" s="451"/>
    </row>
    <row r="967" spans="11:14" x14ac:dyDescent="0.25">
      <c r="K967" s="451"/>
      <c r="M967" s="451"/>
      <c r="N967" s="451"/>
    </row>
    <row r="968" spans="11:14" x14ac:dyDescent="0.25">
      <c r="K968" s="451"/>
      <c r="M968" s="451"/>
      <c r="N968" s="451"/>
    </row>
    <row r="969" spans="11:14" x14ac:dyDescent="0.25">
      <c r="K969" s="451"/>
      <c r="M969" s="451"/>
      <c r="N969" s="451"/>
    </row>
    <row r="970" spans="11:14" x14ac:dyDescent="0.25">
      <c r="K970" s="451"/>
      <c r="M970" s="451"/>
      <c r="N970" s="451"/>
    </row>
    <row r="971" spans="11:14" x14ac:dyDescent="0.25">
      <c r="K971" s="451"/>
      <c r="M971" s="451"/>
      <c r="N971" s="451"/>
    </row>
    <row r="972" spans="11:14" x14ac:dyDescent="0.25">
      <c r="K972" s="451"/>
      <c r="M972" s="451"/>
      <c r="N972" s="451"/>
    </row>
    <row r="973" spans="11:14" x14ac:dyDescent="0.25">
      <c r="K973" s="451"/>
      <c r="M973" s="451"/>
      <c r="N973" s="451"/>
    </row>
    <row r="974" spans="11:14" x14ac:dyDescent="0.25">
      <c r="K974" s="451"/>
      <c r="M974" s="451"/>
      <c r="N974" s="451"/>
    </row>
    <row r="975" spans="11:14" x14ac:dyDescent="0.25">
      <c r="K975" s="451"/>
      <c r="M975" s="451"/>
      <c r="N975" s="451"/>
    </row>
    <row r="976" spans="11:14" x14ac:dyDescent="0.25">
      <c r="K976" s="451"/>
      <c r="M976" s="451"/>
      <c r="N976" s="451"/>
    </row>
    <row r="977" spans="11:14" x14ac:dyDescent="0.25">
      <c r="K977" s="451"/>
      <c r="M977" s="451"/>
      <c r="N977" s="451"/>
    </row>
    <row r="978" spans="11:14" x14ac:dyDescent="0.25">
      <c r="K978" s="451"/>
      <c r="M978" s="451"/>
      <c r="N978" s="451"/>
    </row>
    <row r="979" spans="11:14" x14ac:dyDescent="0.25">
      <c r="K979" s="451"/>
      <c r="M979" s="451"/>
      <c r="N979" s="451"/>
    </row>
    <row r="980" spans="11:14" x14ac:dyDescent="0.25">
      <c r="K980" s="451"/>
      <c r="M980" s="451"/>
      <c r="N980" s="451"/>
    </row>
    <row r="981" spans="11:14" x14ac:dyDescent="0.25">
      <c r="K981" s="451"/>
      <c r="M981" s="451"/>
      <c r="N981" s="451"/>
    </row>
    <row r="982" spans="11:14" x14ac:dyDescent="0.25">
      <c r="K982" s="451"/>
      <c r="M982" s="451"/>
      <c r="N982" s="451"/>
    </row>
  </sheetData>
  <conditionalFormatting sqref="A1:J1 L1:N1 M355:N355 N2 N341 M3:N326 M359:N359 K359 K384 M384:N384 M386:N386 K386 K388 M388:N388 M404:N404 K404 K406 M406:N406 M408:N408 K408 K412:K65519 M412:N65519">
    <cfRule type="expression" dxfId="2381" priority="1183">
      <formula>$E1&lt;12</formula>
    </cfRule>
    <cfRule type="expression" dxfId="2380" priority="1184">
      <formula>$E1=18</formula>
    </cfRule>
    <cfRule type="expression" dxfId="2379" priority="1185">
      <formula>$E1=17</formula>
    </cfRule>
    <cfRule type="expression" dxfId="2378" priority="1186">
      <formula>$E1=16</formula>
    </cfRule>
    <cfRule type="expression" dxfId="2377" priority="1187">
      <formula>$E1=15</formula>
    </cfRule>
    <cfRule type="expression" dxfId="2376" priority="1188">
      <formula>$E1=14</formula>
    </cfRule>
    <cfRule type="expression" dxfId="2375" priority="1189">
      <formula>$E1=13</formula>
    </cfRule>
    <cfRule type="expression" dxfId="2374" priority="1190">
      <formula>$E1=12</formula>
    </cfRule>
  </conditionalFormatting>
  <conditionalFormatting sqref="A1:J1 L1:N1 M355:N355 N2 N341 M3:N326 M359:N359 K359 K384 M384:N384 M386:N386 K386 K388 M388:N388 M404:N404 K404 K406 M406:N406 M408:N408 K408 K412:K65519 M412:N65519">
    <cfRule type="expression" dxfId="2373" priority="1174">
      <formula>$E1=10</formula>
    </cfRule>
    <cfRule type="expression" dxfId="2372" priority="1175">
      <formula>$E1=11</formula>
    </cfRule>
    <cfRule type="expression" dxfId="2371" priority="1176">
      <formula>$E1=18</formula>
    </cfRule>
    <cfRule type="expression" dxfId="2370" priority="1177">
      <formula>$E1=17</formula>
    </cfRule>
    <cfRule type="expression" dxfId="2369" priority="1178">
      <formula>$E1=16</formula>
    </cfRule>
    <cfRule type="expression" dxfId="2368" priority="1179">
      <formula>$E1=15</formula>
    </cfRule>
    <cfRule type="expression" dxfId="2367" priority="1180">
      <formula>$E1=14</formula>
    </cfRule>
    <cfRule type="expression" dxfId="2366" priority="1181">
      <formula>$E1=13</formula>
    </cfRule>
    <cfRule type="expression" dxfId="2365" priority="1182">
      <formula>$E1=12</formula>
    </cfRule>
  </conditionalFormatting>
  <conditionalFormatting sqref="L2:L146 A2:B2 G2:I2 A3:I3 A4:J325 J326:J333 L148:L325">
    <cfRule type="expression" dxfId="2364" priority="1166">
      <formula>$E2&lt;12</formula>
    </cfRule>
    <cfRule type="expression" dxfId="2363" priority="1167">
      <formula>$E2=18</formula>
    </cfRule>
    <cfRule type="expression" dxfId="2362" priority="1168">
      <formula>$E2=17</formula>
    </cfRule>
    <cfRule type="expression" dxfId="2361" priority="1169">
      <formula>$E2=16</formula>
    </cfRule>
    <cfRule type="expression" dxfId="2360" priority="1170">
      <formula>$E2=15</formula>
    </cfRule>
    <cfRule type="expression" dxfId="2359" priority="1171">
      <formula>$E2=14</formula>
    </cfRule>
    <cfRule type="expression" dxfId="2358" priority="1172">
      <formula>$E2=13</formula>
    </cfRule>
    <cfRule type="expression" dxfId="2357" priority="1173">
      <formula>$E2=12</formula>
    </cfRule>
  </conditionalFormatting>
  <conditionalFormatting sqref="L2:L146 A2:B2 G2:I2 A3:I3 A4:J325 J326:J333 L148:L325">
    <cfRule type="expression" dxfId="2356" priority="1157">
      <formula>$E2=10</formula>
    </cfRule>
    <cfRule type="expression" dxfId="2355" priority="1158">
      <formula>$E2=11</formula>
    </cfRule>
    <cfRule type="expression" dxfId="2354" priority="1159">
      <formula>$E2=18</formula>
    </cfRule>
    <cfRule type="expression" dxfId="2353" priority="1160">
      <formula>$E2=17</formula>
    </cfRule>
    <cfRule type="expression" dxfId="2352" priority="1161">
      <formula>$E2=16</formula>
    </cfRule>
    <cfRule type="expression" dxfId="2351" priority="1162">
      <formula>$E2=15</formula>
    </cfRule>
    <cfRule type="expression" dxfId="2350" priority="1163">
      <formula>$E2=14</formula>
    </cfRule>
    <cfRule type="expression" dxfId="2349" priority="1164">
      <formula>$E2=13</formula>
    </cfRule>
    <cfRule type="expression" dxfId="2348" priority="1165">
      <formula>$E2=12</formula>
    </cfRule>
  </conditionalFormatting>
  <conditionalFormatting sqref="K1 K355 K3:K326">
    <cfRule type="expression" dxfId="2347" priority="1149">
      <formula>$E1&lt;12</formula>
    </cfRule>
    <cfRule type="expression" dxfId="2346" priority="1150">
      <formula>$E1=18</formula>
    </cfRule>
    <cfRule type="expression" dxfId="2345" priority="1151">
      <formula>$E1=17</formula>
    </cfRule>
    <cfRule type="expression" dxfId="2344" priority="1152">
      <formula>$E1=16</formula>
    </cfRule>
    <cfRule type="expression" dxfId="2343" priority="1153">
      <formula>$E1=15</formula>
    </cfRule>
    <cfRule type="expression" dxfId="2342" priority="1154">
      <formula>$E1=14</formula>
    </cfRule>
    <cfRule type="expression" dxfId="2341" priority="1155">
      <formula>$E1=13</formula>
    </cfRule>
    <cfRule type="expression" dxfId="2340" priority="1156">
      <formula>$E1=12</formula>
    </cfRule>
  </conditionalFormatting>
  <conditionalFormatting sqref="K1 K355 K3:K326">
    <cfRule type="expression" dxfId="2339" priority="1140">
      <formula>$E1=10</formula>
    </cfRule>
    <cfRule type="expression" dxfId="2338" priority="1141">
      <formula>$E1=11</formula>
    </cfRule>
    <cfRule type="expression" dxfId="2337" priority="1142">
      <formula>$E1=18</formula>
    </cfRule>
    <cfRule type="expression" dxfId="2336" priority="1143">
      <formula>$E1=17</formula>
    </cfRule>
    <cfRule type="expression" dxfId="2335" priority="1144">
      <formula>$E1=16</formula>
    </cfRule>
    <cfRule type="expression" dxfId="2334" priority="1145">
      <formula>$E1=15</formula>
    </cfRule>
    <cfRule type="expression" dxfId="2333" priority="1146">
      <formula>$E1=14</formula>
    </cfRule>
    <cfRule type="expression" dxfId="2332" priority="1147">
      <formula>$E1=13</formula>
    </cfRule>
    <cfRule type="expression" dxfId="2331" priority="1148">
      <formula>$E1=12</formula>
    </cfRule>
  </conditionalFormatting>
  <conditionalFormatting sqref="N327:N332">
    <cfRule type="expression" dxfId="2330" priority="1132">
      <formula>$E327&lt;12</formula>
    </cfRule>
    <cfRule type="expression" dxfId="2329" priority="1133">
      <formula>$E327=18</formula>
    </cfRule>
    <cfRule type="expression" dxfId="2328" priority="1134">
      <formula>$E327=17</formula>
    </cfRule>
    <cfRule type="expression" dxfId="2327" priority="1135">
      <formula>$E327=16</formula>
    </cfRule>
    <cfRule type="expression" dxfId="2326" priority="1136">
      <formula>$E327=15</formula>
    </cfRule>
    <cfRule type="expression" dxfId="2325" priority="1137">
      <formula>$E327=14</formula>
    </cfRule>
    <cfRule type="expression" dxfId="2324" priority="1138">
      <formula>$E327=13</formula>
    </cfRule>
    <cfRule type="expression" dxfId="2323" priority="1139">
      <formula>$E327=12</formula>
    </cfRule>
  </conditionalFormatting>
  <conditionalFormatting sqref="N327:N332">
    <cfRule type="expression" dxfId="2322" priority="1123">
      <formula>$E327=10</formula>
    </cfRule>
    <cfRule type="expression" dxfId="2321" priority="1124">
      <formula>$E327=11</formula>
    </cfRule>
    <cfRule type="expression" dxfId="2320" priority="1125">
      <formula>$E327=18</formula>
    </cfRule>
    <cfRule type="expression" dxfId="2319" priority="1126">
      <formula>$E327=17</formula>
    </cfRule>
    <cfRule type="expression" dxfId="2318" priority="1127">
      <formula>$E327=16</formula>
    </cfRule>
    <cfRule type="expression" dxfId="2317" priority="1128">
      <formula>$E327=15</formula>
    </cfRule>
    <cfRule type="expression" dxfId="2316" priority="1129">
      <formula>$E327=14</formula>
    </cfRule>
    <cfRule type="expression" dxfId="2315" priority="1130">
      <formula>$E327=13</formula>
    </cfRule>
    <cfRule type="expression" dxfId="2314" priority="1131">
      <formula>$E327=12</formula>
    </cfRule>
  </conditionalFormatting>
  <conditionalFormatting sqref="N333:N340">
    <cfRule type="expression" dxfId="2313" priority="1115">
      <formula>$E333&lt;12</formula>
    </cfRule>
    <cfRule type="expression" dxfId="2312" priority="1116">
      <formula>$E333=18</formula>
    </cfRule>
    <cfRule type="expression" dxfId="2311" priority="1117">
      <formula>$E333=17</formula>
    </cfRule>
    <cfRule type="expression" dxfId="2310" priority="1118">
      <formula>$E333=16</formula>
    </cfRule>
    <cfRule type="expression" dxfId="2309" priority="1119">
      <formula>$E333=15</formula>
    </cfRule>
    <cfRule type="expression" dxfId="2308" priority="1120">
      <formula>$E333=14</formula>
    </cfRule>
    <cfRule type="expression" dxfId="2307" priority="1121">
      <formula>$E333=13</formula>
    </cfRule>
    <cfRule type="expression" dxfId="2306" priority="1122">
      <formula>$E333=12</formula>
    </cfRule>
  </conditionalFormatting>
  <conditionalFormatting sqref="N333:N340">
    <cfRule type="expression" dxfId="2305" priority="1106">
      <formula>$E333=10</formula>
    </cfRule>
    <cfRule type="expression" dxfId="2304" priority="1107">
      <formula>$E333=11</formula>
    </cfRule>
    <cfRule type="expression" dxfId="2303" priority="1108">
      <formula>$E333=18</formula>
    </cfRule>
    <cfRule type="expression" dxfId="2302" priority="1109">
      <formula>$E333=17</formula>
    </cfRule>
    <cfRule type="expression" dxfId="2301" priority="1110">
      <formula>$E333=16</formula>
    </cfRule>
    <cfRule type="expression" dxfId="2300" priority="1111">
      <formula>$E333=15</formula>
    </cfRule>
    <cfRule type="expression" dxfId="2299" priority="1112">
      <formula>$E333=14</formula>
    </cfRule>
    <cfRule type="expression" dxfId="2298" priority="1113">
      <formula>$E333=13</formula>
    </cfRule>
    <cfRule type="expression" dxfId="2297" priority="1114">
      <formula>$E333=12</formula>
    </cfRule>
  </conditionalFormatting>
  <conditionalFormatting sqref="M341">
    <cfRule type="expression" dxfId="2296" priority="1047">
      <formula>$E341&lt;12</formula>
    </cfRule>
    <cfRule type="expression" dxfId="2295" priority="1048">
      <formula>$E341=18</formula>
    </cfRule>
    <cfRule type="expression" dxfId="2294" priority="1049">
      <formula>$E341=17</formula>
    </cfRule>
    <cfRule type="expression" dxfId="2293" priority="1050">
      <formula>$E341=16</formula>
    </cfRule>
    <cfRule type="expression" dxfId="2292" priority="1051">
      <formula>$E341=15</formula>
    </cfRule>
    <cfRule type="expression" dxfId="2291" priority="1052">
      <formula>$E341=14</formula>
    </cfRule>
    <cfRule type="expression" dxfId="2290" priority="1053">
      <formula>$E341=13</formula>
    </cfRule>
    <cfRule type="expression" dxfId="2289" priority="1054">
      <formula>$E341=12</formula>
    </cfRule>
  </conditionalFormatting>
  <conditionalFormatting sqref="M341">
    <cfRule type="expression" dxfId="2288" priority="1038">
      <formula>$E341=10</formula>
    </cfRule>
    <cfRule type="expression" dxfId="2287" priority="1039">
      <formula>$E341=11</formula>
    </cfRule>
    <cfRule type="expression" dxfId="2286" priority="1040">
      <formula>$E341=18</formula>
    </cfRule>
    <cfRule type="expression" dxfId="2285" priority="1041">
      <formula>$E341=17</formula>
    </cfRule>
    <cfRule type="expression" dxfId="2284" priority="1042">
      <formula>$E341=16</formula>
    </cfRule>
    <cfRule type="expression" dxfId="2283" priority="1043">
      <formula>$E341=15</formula>
    </cfRule>
    <cfRule type="expression" dxfId="2282" priority="1044">
      <formula>$E341=14</formula>
    </cfRule>
    <cfRule type="expression" dxfId="2281" priority="1045">
      <formula>$E341=13</formula>
    </cfRule>
    <cfRule type="expression" dxfId="2280" priority="1046">
      <formula>$E341=12</formula>
    </cfRule>
  </conditionalFormatting>
  <conditionalFormatting sqref="K341">
    <cfRule type="expression" dxfId="2279" priority="1030">
      <formula>$E341&lt;12</formula>
    </cfRule>
    <cfRule type="expression" dxfId="2278" priority="1031">
      <formula>$E341=18</formula>
    </cfRule>
    <cfRule type="expression" dxfId="2277" priority="1032">
      <formula>$E341=17</formula>
    </cfRule>
    <cfRule type="expression" dxfId="2276" priority="1033">
      <formula>$E341=16</formula>
    </cfRule>
    <cfRule type="expression" dxfId="2275" priority="1034">
      <formula>$E341=15</formula>
    </cfRule>
    <cfRule type="expression" dxfId="2274" priority="1035">
      <formula>$E341=14</formula>
    </cfRule>
    <cfRule type="expression" dxfId="2273" priority="1036">
      <formula>$E341=13</formula>
    </cfRule>
    <cfRule type="expression" dxfId="2272" priority="1037">
      <formula>$E341=12</formula>
    </cfRule>
  </conditionalFormatting>
  <conditionalFormatting sqref="K341">
    <cfRule type="expression" dxfId="2271" priority="1021">
      <formula>$E341=10</formula>
    </cfRule>
    <cfRule type="expression" dxfId="2270" priority="1022">
      <formula>$E341=11</formula>
    </cfRule>
    <cfRule type="expression" dxfId="2269" priority="1023">
      <formula>$E341=18</formula>
    </cfRule>
    <cfRule type="expression" dxfId="2268" priority="1024">
      <formula>$E341=17</formula>
    </cfRule>
    <cfRule type="expression" dxfId="2267" priority="1025">
      <formula>$E341=16</formula>
    </cfRule>
    <cfRule type="expression" dxfId="2266" priority="1026">
      <formula>$E341=15</formula>
    </cfRule>
    <cfRule type="expression" dxfId="2265" priority="1027">
      <formula>$E341=14</formula>
    </cfRule>
    <cfRule type="expression" dxfId="2264" priority="1028">
      <formula>$E341=13</formula>
    </cfRule>
    <cfRule type="expression" dxfId="2263" priority="1029">
      <formula>$E341=12</formula>
    </cfRule>
  </conditionalFormatting>
  <conditionalFormatting sqref="M327:M332">
    <cfRule type="expression" dxfId="2262" priority="1013">
      <formula>$E327&lt;12</formula>
    </cfRule>
    <cfRule type="expression" dxfId="2261" priority="1014">
      <formula>$E327=18</formula>
    </cfRule>
    <cfRule type="expression" dxfId="2260" priority="1015">
      <formula>$E327=17</formula>
    </cfRule>
    <cfRule type="expression" dxfId="2259" priority="1016">
      <formula>$E327=16</formula>
    </cfRule>
    <cfRule type="expression" dxfId="2258" priority="1017">
      <formula>$E327=15</formula>
    </cfRule>
    <cfRule type="expression" dxfId="2257" priority="1018">
      <formula>$E327=14</formula>
    </cfRule>
    <cfRule type="expression" dxfId="2256" priority="1019">
      <formula>$E327=13</formula>
    </cfRule>
    <cfRule type="expression" dxfId="2255" priority="1020">
      <formula>$E327=12</formula>
    </cfRule>
  </conditionalFormatting>
  <conditionalFormatting sqref="M327:M332">
    <cfRule type="expression" dxfId="2254" priority="1004">
      <formula>$E327=10</formula>
    </cfRule>
    <cfRule type="expression" dxfId="2253" priority="1005">
      <formula>$E327=11</formula>
    </cfRule>
    <cfRule type="expression" dxfId="2252" priority="1006">
      <formula>$E327=18</formula>
    </cfRule>
    <cfRule type="expression" dxfId="2251" priority="1007">
      <formula>$E327=17</formula>
    </cfRule>
    <cfRule type="expression" dxfId="2250" priority="1008">
      <formula>$E327=16</formula>
    </cfRule>
    <cfRule type="expression" dxfId="2249" priority="1009">
      <formula>$E327=15</formula>
    </cfRule>
    <cfRule type="expression" dxfId="2248" priority="1010">
      <formula>$E327=14</formula>
    </cfRule>
    <cfRule type="expression" dxfId="2247" priority="1011">
      <formula>$E327=13</formula>
    </cfRule>
    <cfRule type="expression" dxfId="2246" priority="1012">
      <formula>$E327=12</formula>
    </cfRule>
  </conditionalFormatting>
  <conditionalFormatting sqref="K2:K325">
    <cfRule type="expression" dxfId="2245" priority="1064">
      <formula>$E2&lt;12</formula>
    </cfRule>
    <cfRule type="expression" dxfId="2244" priority="1065">
      <formula>$E2=18</formula>
    </cfRule>
    <cfRule type="expression" dxfId="2243" priority="1066">
      <formula>$E2=17</formula>
    </cfRule>
    <cfRule type="expression" dxfId="2242" priority="1067">
      <formula>$E2=16</formula>
    </cfRule>
    <cfRule type="expression" dxfId="2241" priority="1068">
      <formula>$E2=15</formula>
    </cfRule>
    <cfRule type="expression" dxfId="2240" priority="1069">
      <formula>$E2=14</formula>
    </cfRule>
    <cfRule type="expression" dxfId="2239" priority="1070">
      <formula>$E2=13</formula>
    </cfRule>
    <cfRule type="expression" dxfId="2238" priority="1071">
      <formula>$E2=12</formula>
    </cfRule>
  </conditionalFormatting>
  <conditionalFormatting sqref="K2:K325">
    <cfRule type="expression" dxfId="2237" priority="1055">
      <formula>$E2=10</formula>
    </cfRule>
    <cfRule type="expression" dxfId="2236" priority="1056">
      <formula>$E2=11</formula>
    </cfRule>
    <cfRule type="expression" dxfId="2235" priority="1057">
      <formula>$E2=18</formula>
    </cfRule>
    <cfRule type="expression" dxfId="2234" priority="1058">
      <formula>$E2=17</formula>
    </cfRule>
    <cfRule type="expression" dxfId="2233" priority="1059">
      <formula>$E2=16</formula>
    </cfRule>
    <cfRule type="expression" dxfId="2232" priority="1060">
      <formula>$E2=15</formula>
    </cfRule>
    <cfRule type="expression" dxfId="2231" priority="1061">
      <formula>$E2=14</formula>
    </cfRule>
    <cfRule type="expression" dxfId="2230" priority="1062">
      <formula>$E2=13</formula>
    </cfRule>
    <cfRule type="expression" dxfId="2229" priority="1063">
      <formula>$E2=12</formula>
    </cfRule>
  </conditionalFormatting>
  <conditionalFormatting sqref="C2:F325">
    <cfRule type="expression" dxfId="2228" priority="1098">
      <formula>$E2&lt;12</formula>
    </cfRule>
    <cfRule type="expression" dxfId="2227" priority="1099">
      <formula>$E2=18</formula>
    </cfRule>
    <cfRule type="expression" dxfId="2226" priority="1100">
      <formula>$E2=17</formula>
    </cfRule>
    <cfRule type="expression" dxfId="2225" priority="1101">
      <formula>$E2=16</formula>
    </cfRule>
    <cfRule type="expression" dxfId="2224" priority="1102">
      <formula>$E2=15</formula>
    </cfRule>
    <cfRule type="expression" dxfId="2223" priority="1103">
      <formula>$E2=14</formula>
    </cfRule>
    <cfRule type="expression" dxfId="2222" priority="1104">
      <formula>$E2=13</formula>
    </cfRule>
    <cfRule type="expression" dxfId="2221" priority="1105">
      <formula>$E2=12</formula>
    </cfRule>
  </conditionalFormatting>
  <conditionalFormatting sqref="C2:F325">
    <cfRule type="expression" dxfId="2220" priority="1089">
      <formula>$E2=10</formula>
    </cfRule>
    <cfRule type="expression" dxfId="2219" priority="1090">
      <formula>$E2=11</formula>
    </cfRule>
    <cfRule type="expression" dxfId="2218" priority="1091">
      <formula>$E2=18</formula>
    </cfRule>
    <cfRule type="expression" dxfId="2217" priority="1092">
      <formula>$E2=17</formula>
    </cfRule>
    <cfRule type="expression" dxfId="2216" priority="1093">
      <formula>$E2=16</formula>
    </cfRule>
    <cfRule type="expression" dxfId="2215" priority="1094">
      <formula>$E2=15</formula>
    </cfRule>
    <cfRule type="expression" dxfId="2214" priority="1095">
      <formula>$E2=14</formula>
    </cfRule>
    <cfRule type="expression" dxfId="2213" priority="1096">
      <formula>$E2=13</formula>
    </cfRule>
    <cfRule type="expression" dxfId="2212" priority="1097">
      <formula>$E2=12</formula>
    </cfRule>
  </conditionalFormatting>
  <conditionalFormatting sqref="M2">
    <cfRule type="expression" dxfId="2211" priority="1081">
      <formula>$E2&lt;12</formula>
    </cfRule>
    <cfRule type="expression" dxfId="2210" priority="1082">
      <formula>$E2=18</formula>
    </cfRule>
    <cfRule type="expression" dxfId="2209" priority="1083">
      <formula>$E2=17</formula>
    </cfRule>
    <cfRule type="expression" dxfId="2208" priority="1084">
      <formula>$E2=16</formula>
    </cfRule>
    <cfRule type="expression" dxfId="2207" priority="1085">
      <formula>$E2=15</formula>
    </cfRule>
    <cfRule type="expression" dxfId="2206" priority="1086">
      <formula>$E2=14</formula>
    </cfRule>
    <cfRule type="expression" dxfId="2205" priority="1087">
      <formula>$E2=13</formula>
    </cfRule>
    <cfRule type="expression" dxfId="2204" priority="1088">
      <formula>$E2=12</formula>
    </cfRule>
  </conditionalFormatting>
  <conditionalFormatting sqref="M2">
    <cfRule type="expression" dxfId="2203" priority="1072">
      <formula>$E2=10</formula>
    </cfRule>
    <cfRule type="expression" dxfId="2202" priority="1073">
      <formula>$E2=11</formula>
    </cfRule>
    <cfRule type="expression" dxfId="2201" priority="1074">
      <formula>$E2=18</formula>
    </cfRule>
    <cfRule type="expression" dxfId="2200" priority="1075">
      <formula>$E2=17</formula>
    </cfRule>
    <cfRule type="expression" dxfId="2199" priority="1076">
      <formula>$E2=16</formula>
    </cfRule>
    <cfRule type="expression" dxfId="2198" priority="1077">
      <formula>$E2=15</formula>
    </cfRule>
    <cfRule type="expression" dxfId="2197" priority="1078">
      <formula>$E2=14</formula>
    </cfRule>
    <cfRule type="expression" dxfId="2196" priority="1079">
      <formula>$E2=13</formula>
    </cfRule>
    <cfRule type="expression" dxfId="2195" priority="1080">
      <formula>$E2=12</formula>
    </cfRule>
  </conditionalFormatting>
  <conditionalFormatting sqref="L327:L332 A327:J340">
    <cfRule type="expression" dxfId="2194" priority="996">
      <formula>$E327&lt;12</formula>
    </cfRule>
    <cfRule type="expression" dxfId="2193" priority="997">
      <formula>$E327=18</formula>
    </cfRule>
    <cfRule type="expression" dxfId="2192" priority="998">
      <formula>$E327=17</formula>
    </cfRule>
    <cfRule type="expression" dxfId="2191" priority="999">
      <formula>$E327=16</formula>
    </cfRule>
    <cfRule type="expression" dxfId="2190" priority="1000">
      <formula>$E327=15</formula>
    </cfRule>
    <cfRule type="expression" dxfId="2189" priority="1001">
      <formula>$E327=14</formula>
    </cfRule>
    <cfRule type="expression" dxfId="2188" priority="1002">
      <formula>$E327=13</formula>
    </cfRule>
    <cfRule type="expression" dxfId="2187" priority="1003">
      <formula>$E327=12</formula>
    </cfRule>
  </conditionalFormatting>
  <conditionalFormatting sqref="L327:L332 A327:J340">
    <cfRule type="expression" dxfId="2186" priority="987">
      <formula>$E327=10</formula>
    </cfRule>
    <cfRule type="expression" dxfId="2185" priority="988">
      <formula>$E327=11</formula>
    </cfRule>
    <cfRule type="expression" dxfId="2184" priority="989">
      <formula>$E327=18</formula>
    </cfRule>
    <cfRule type="expression" dxfId="2183" priority="990">
      <formula>$E327=17</formula>
    </cfRule>
    <cfRule type="expression" dxfId="2182" priority="991">
      <formula>$E327=16</formula>
    </cfRule>
    <cfRule type="expression" dxfId="2181" priority="992">
      <formula>$E327=15</formula>
    </cfRule>
    <cfRule type="expression" dxfId="2180" priority="993">
      <formula>$E327=14</formula>
    </cfRule>
    <cfRule type="expression" dxfId="2179" priority="994">
      <formula>$E327=13</formula>
    </cfRule>
    <cfRule type="expression" dxfId="2178" priority="995">
      <formula>$E327=12</formula>
    </cfRule>
  </conditionalFormatting>
  <conditionalFormatting sqref="M333:M340">
    <cfRule type="expression" dxfId="2177" priority="962">
      <formula>$E333&lt;12</formula>
    </cfRule>
    <cfRule type="expression" dxfId="2176" priority="963">
      <formula>$E333=18</formula>
    </cfRule>
    <cfRule type="expression" dxfId="2175" priority="964">
      <formula>$E333=17</formula>
    </cfRule>
    <cfRule type="expression" dxfId="2174" priority="965">
      <formula>$E333=16</formula>
    </cfRule>
    <cfRule type="expression" dxfId="2173" priority="966">
      <formula>$E333=15</formula>
    </cfRule>
    <cfRule type="expression" dxfId="2172" priority="967">
      <formula>$E333=14</formula>
    </cfRule>
    <cfRule type="expression" dxfId="2171" priority="968">
      <formula>$E333=13</formula>
    </cfRule>
    <cfRule type="expression" dxfId="2170" priority="969">
      <formula>$E333=12</formula>
    </cfRule>
  </conditionalFormatting>
  <conditionalFormatting sqref="M333:M340">
    <cfRule type="expression" dxfId="2169" priority="953">
      <formula>$E333=10</formula>
    </cfRule>
    <cfRule type="expression" dxfId="2168" priority="954">
      <formula>$E333=11</formula>
    </cfRule>
    <cfRule type="expression" dxfId="2167" priority="955">
      <formula>$E333=18</formula>
    </cfRule>
    <cfRule type="expression" dxfId="2166" priority="956">
      <formula>$E333=17</formula>
    </cfRule>
    <cfRule type="expression" dxfId="2165" priority="957">
      <formula>$E333=16</formula>
    </cfRule>
    <cfRule type="expression" dxfId="2164" priority="958">
      <formula>$E333=15</formula>
    </cfRule>
    <cfRule type="expression" dxfId="2163" priority="959">
      <formula>$E333=14</formula>
    </cfRule>
    <cfRule type="expression" dxfId="2162" priority="960">
      <formula>$E333=13</formula>
    </cfRule>
    <cfRule type="expression" dxfId="2161" priority="961">
      <formula>$E333=12</formula>
    </cfRule>
  </conditionalFormatting>
  <conditionalFormatting sqref="L333:L340">
    <cfRule type="expression" dxfId="2160" priority="945">
      <formula>$E333&lt;12</formula>
    </cfRule>
    <cfRule type="expression" dxfId="2159" priority="946">
      <formula>$E333=18</formula>
    </cfRule>
    <cfRule type="expression" dxfId="2158" priority="947">
      <formula>$E333=17</formula>
    </cfRule>
    <cfRule type="expression" dxfId="2157" priority="948">
      <formula>$E333=16</formula>
    </cfRule>
    <cfRule type="expression" dxfId="2156" priority="949">
      <formula>$E333=15</formula>
    </cfRule>
    <cfRule type="expression" dxfId="2155" priority="950">
      <formula>$E333=14</formula>
    </cfRule>
    <cfRule type="expression" dxfId="2154" priority="951">
      <formula>$E333=13</formula>
    </cfRule>
    <cfRule type="expression" dxfId="2153" priority="952">
      <formula>$E333=12</formula>
    </cfRule>
  </conditionalFormatting>
  <conditionalFormatting sqref="L333:L340">
    <cfRule type="expression" dxfId="2152" priority="936">
      <formula>$E333=10</formula>
    </cfRule>
    <cfRule type="expression" dxfId="2151" priority="937">
      <formula>$E333=11</formula>
    </cfRule>
    <cfRule type="expression" dxfId="2150" priority="938">
      <formula>$E333=18</formula>
    </cfRule>
    <cfRule type="expression" dxfId="2149" priority="939">
      <formula>$E333=17</formula>
    </cfRule>
    <cfRule type="expression" dxfId="2148" priority="940">
      <formula>$E333=16</formula>
    </cfRule>
    <cfRule type="expression" dxfId="2147" priority="941">
      <formula>$E333=15</formula>
    </cfRule>
    <cfRule type="expression" dxfId="2146" priority="942">
      <formula>$E333=14</formula>
    </cfRule>
    <cfRule type="expression" dxfId="2145" priority="943">
      <formula>$E333=13</formula>
    </cfRule>
    <cfRule type="expression" dxfId="2144" priority="944">
      <formula>$E333=12</formula>
    </cfRule>
  </conditionalFormatting>
  <conditionalFormatting sqref="K333:K340">
    <cfRule type="expression" dxfId="2143" priority="928">
      <formula>$E333&lt;12</formula>
    </cfRule>
    <cfRule type="expression" dxfId="2142" priority="929">
      <formula>$E333=18</formula>
    </cfRule>
    <cfRule type="expression" dxfId="2141" priority="930">
      <formula>$E333=17</formula>
    </cfRule>
    <cfRule type="expression" dxfId="2140" priority="931">
      <formula>$E333=16</formula>
    </cfRule>
    <cfRule type="expression" dxfId="2139" priority="932">
      <formula>$E333=15</formula>
    </cfRule>
    <cfRule type="expression" dxfId="2138" priority="933">
      <formula>$E333=14</formula>
    </cfRule>
    <cfRule type="expression" dxfId="2137" priority="934">
      <formula>$E333=13</formula>
    </cfRule>
    <cfRule type="expression" dxfId="2136" priority="935">
      <formula>$E333=12</formula>
    </cfRule>
  </conditionalFormatting>
  <conditionalFormatting sqref="K333:K340">
    <cfRule type="expression" dxfId="2135" priority="919">
      <formula>$E333=10</formula>
    </cfRule>
    <cfRule type="expression" dxfId="2134" priority="920">
      <formula>$E333=11</formula>
    </cfRule>
    <cfRule type="expression" dxfId="2133" priority="921">
      <formula>$E333=18</formula>
    </cfRule>
    <cfRule type="expression" dxfId="2132" priority="922">
      <formula>$E333=17</formula>
    </cfRule>
    <cfRule type="expression" dxfId="2131" priority="923">
      <formula>$E333=16</formula>
    </cfRule>
    <cfRule type="expression" dxfId="2130" priority="924">
      <formula>$E333=15</formula>
    </cfRule>
    <cfRule type="expression" dxfId="2129" priority="925">
      <formula>$E333=14</formula>
    </cfRule>
    <cfRule type="expression" dxfId="2128" priority="926">
      <formula>$E333=13</formula>
    </cfRule>
    <cfRule type="expression" dxfId="2127" priority="927">
      <formula>$E333=12</formula>
    </cfRule>
  </conditionalFormatting>
  <conditionalFormatting sqref="K327:K332">
    <cfRule type="expression" dxfId="2126" priority="979">
      <formula>$E327&lt;12</formula>
    </cfRule>
    <cfRule type="expression" dxfId="2125" priority="980">
      <formula>$E327=18</formula>
    </cfRule>
    <cfRule type="expression" dxfId="2124" priority="981">
      <formula>$E327=17</formula>
    </cfRule>
    <cfRule type="expression" dxfId="2123" priority="982">
      <formula>$E327=16</formula>
    </cfRule>
    <cfRule type="expression" dxfId="2122" priority="983">
      <formula>$E327=15</formula>
    </cfRule>
    <cfRule type="expression" dxfId="2121" priority="984">
      <formula>$E327=14</formula>
    </cfRule>
    <cfRule type="expression" dxfId="2120" priority="985">
      <formula>$E327=13</formula>
    </cfRule>
    <cfRule type="expression" dxfId="2119" priority="986">
      <formula>$E327=12</formula>
    </cfRule>
  </conditionalFormatting>
  <conditionalFormatting sqref="K327:K332">
    <cfRule type="expression" dxfId="2118" priority="970">
      <formula>$E327=10</formula>
    </cfRule>
    <cfRule type="expression" dxfId="2117" priority="971">
      <formula>$E327=11</formula>
    </cfRule>
    <cfRule type="expression" dxfId="2116" priority="972">
      <formula>$E327=18</formula>
    </cfRule>
    <cfRule type="expression" dxfId="2115" priority="973">
      <formula>$E327=17</formula>
    </cfRule>
    <cfRule type="expression" dxfId="2114" priority="974">
      <formula>$E327=16</formula>
    </cfRule>
    <cfRule type="expression" dxfId="2113" priority="975">
      <formula>$E327=15</formula>
    </cfRule>
    <cfRule type="expression" dxfId="2112" priority="976">
      <formula>$E327=14</formula>
    </cfRule>
    <cfRule type="expression" dxfId="2111" priority="977">
      <formula>$E327=13</formula>
    </cfRule>
    <cfRule type="expression" dxfId="2110" priority="978">
      <formula>$E327=12</formula>
    </cfRule>
  </conditionalFormatting>
  <conditionalFormatting sqref="J2:J3">
    <cfRule type="expression" dxfId="2109" priority="911">
      <formula>$E2&lt;12</formula>
    </cfRule>
    <cfRule type="expression" dxfId="2108" priority="912">
      <formula>$E2=18</formula>
    </cfRule>
    <cfRule type="expression" dxfId="2107" priority="913">
      <formula>$E2=17</formula>
    </cfRule>
    <cfRule type="expression" dxfId="2106" priority="914">
      <formula>$E2=16</formula>
    </cfRule>
    <cfRule type="expression" dxfId="2105" priority="915">
      <formula>$E2=15</formula>
    </cfRule>
    <cfRule type="expression" dxfId="2104" priority="916">
      <formula>$E2=14</formula>
    </cfRule>
    <cfRule type="expression" dxfId="2103" priority="917">
      <formula>$E2=13</formula>
    </cfRule>
    <cfRule type="expression" dxfId="2102" priority="918">
      <formula>$E2=12</formula>
    </cfRule>
  </conditionalFormatting>
  <conditionalFormatting sqref="J2:J3">
    <cfRule type="expression" dxfId="2101" priority="902">
      <formula>$E2=10</formula>
    </cfRule>
    <cfRule type="expression" dxfId="2100" priority="903">
      <formula>$E2=11</formula>
    </cfRule>
    <cfRule type="expression" dxfId="2099" priority="904">
      <formula>$E2=18</formula>
    </cfRule>
    <cfRule type="expression" dxfId="2098" priority="905">
      <formula>$E2=17</formula>
    </cfRule>
    <cfRule type="expression" dxfId="2097" priority="906">
      <formula>$E2=16</formula>
    </cfRule>
    <cfRule type="expression" dxfId="2096" priority="907">
      <formula>$E2=15</formula>
    </cfRule>
    <cfRule type="expression" dxfId="2095" priority="908">
      <formula>$E2=14</formula>
    </cfRule>
    <cfRule type="expression" dxfId="2094" priority="909">
      <formula>$E2=13</formula>
    </cfRule>
    <cfRule type="expression" dxfId="2093" priority="910">
      <formula>$E2=12</formula>
    </cfRule>
  </conditionalFormatting>
  <conditionalFormatting sqref="L342:L353">
    <cfRule type="expression" dxfId="2092" priority="860">
      <formula>$E342&lt;12</formula>
    </cfRule>
    <cfRule type="expression" dxfId="2091" priority="861">
      <formula>$E342=18</formula>
    </cfRule>
    <cfRule type="expression" dxfId="2090" priority="862">
      <formula>$E342=17</formula>
    </cfRule>
    <cfRule type="expression" dxfId="2089" priority="863">
      <formula>$E342=16</formula>
    </cfRule>
    <cfRule type="expression" dxfId="2088" priority="864">
      <formula>$E342=15</formula>
    </cfRule>
    <cfRule type="expression" dxfId="2087" priority="865">
      <formula>$E342=14</formula>
    </cfRule>
    <cfRule type="expression" dxfId="2086" priority="866">
      <formula>$E342=13</formula>
    </cfRule>
    <cfRule type="expression" dxfId="2085" priority="867">
      <formula>$E342=12</formula>
    </cfRule>
  </conditionalFormatting>
  <conditionalFormatting sqref="L342:L353">
    <cfRule type="expression" dxfId="2084" priority="851">
      <formula>$E342=10</formula>
    </cfRule>
    <cfRule type="expression" dxfId="2083" priority="852">
      <formula>$E342=11</formula>
    </cfRule>
    <cfRule type="expression" dxfId="2082" priority="853">
      <formula>$E342=18</formula>
    </cfRule>
    <cfRule type="expression" dxfId="2081" priority="854">
      <formula>$E342=17</formula>
    </cfRule>
    <cfRule type="expression" dxfId="2080" priority="855">
      <formula>$E342=16</formula>
    </cfRule>
    <cfRule type="expression" dxfId="2079" priority="856">
      <formula>$E342=15</formula>
    </cfRule>
    <cfRule type="expression" dxfId="2078" priority="857">
      <formula>$E342=14</formula>
    </cfRule>
    <cfRule type="expression" dxfId="2077" priority="858">
      <formula>$E342=13</formula>
    </cfRule>
    <cfRule type="expression" dxfId="2076" priority="859">
      <formula>$E342=12</formula>
    </cfRule>
  </conditionalFormatting>
  <conditionalFormatting sqref="K342:K353">
    <cfRule type="expression" dxfId="2075" priority="843">
      <formula>$E342&lt;12</formula>
    </cfRule>
    <cfRule type="expression" dxfId="2074" priority="844">
      <formula>$E342=18</formula>
    </cfRule>
    <cfRule type="expression" dxfId="2073" priority="845">
      <formula>$E342=17</formula>
    </cfRule>
    <cfRule type="expression" dxfId="2072" priority="846">
      <formula>$E342=16</formula>
    </cfRule>
    <cfRule type="expression" dxfId="2071" priority="847">
      <formula>$E342=15</formula>
    </cfRule>
    <cfRule type="expression" dxfId="2070" priority="848">
      <formula>$E342=14</formula>
    </cfRule>
    <cfRule type="expression" dxfId="2069" priority="849">
      <formula>$E342=13</formula>
    </cfRule>
    <cfRule type="expression" dxfId="2068" priority="850">
      <formula>$E342=12</formula>
    </cfRule>
  </conditionalFormatting>
  <conditionalFormatting sqref="K342:K353">
    <cfRule type="expression" dxfId="2067" priority="834">
      <formula>$E342=10</formula>
    </cfRule>
    <cfRule type="expression" dxfId="2066" priority="835">
      <formula>$E342=11</formula>
    </cfRule>
    <cfRule type="expression" dxfId="2065" priority="836">
      <formula>$E342=18</formula>
    </cfRule>
    <cfRule type="expression" dxfId="2064" priority="837">
      <formula>$E342=17</formula>
    </cfRule>
    <cfRule type="expression" dxfId="2063" priority="838">
      <formula>$E342=16</formula>
    </cfRule>
    <cfRule type="expression" dxfId="2062" priority="839">
      <formula>$E342=15</formula>
    </cfRule>
    <cfRule type="expression" dxfId="2061" priority="840">
      <formula>$E342=14</formula>
    </cfRule>
    <cfRule type="expression" dxfId="2060" priority="841">
      <formula>$E342=13</formula>
    </cfRule>
    <cfRule type="expression" dxfId="2059" priority="842">
      <formula>$E342=12</formula>
    </cfRule>
  </conditionalFormatting>
  <conditionalFormatting sqref="M342:N353">
    <cfRule type="expression" dxfId="2058" priority="877">
      <formula>$E342&lt;12</formula>
    </cfRule>
    <cfRule type="expression" dxfId="2057" priority="878">
      <formula>$E342=18</formula>
    </cfRule>
    <cfRule type="expression" dxfId="2056" priority="879">
      <formula>$E342=17</formula>
    </cfRule>
    <cfRule type="expression" dxfId="2055" priority="880">
      <formula>$E342=16</formula>
    </cfRule>
    <cfRule type="expression" dxfId="2054" priority="881">
      <formula>$E342=15</formula>
    </cfRule>
    <cfRule type="expression" dxfId="2053" priority="882">
      <formula>$E342=14</formula>
    </cfRule>
    <cfRule type="expression" dxfId="2052" priority="883">
      <formula>$E342=13</formula>
    </cfRule>
    <cfRule type="expression" dxfId="2051" priority="884">
      <formula>$E342=12</formula>
    </cfRule>
  </conditionalFormatting>
  <conditionalFormatting sqref="M342:N353">
    <cfRule type="expression" dxfId="2050" priority="868">
      <formula>$E342=10</formula>
    </cfRule>
    <cfRule type="expression" dxfId="2049" priority="869">
      <formula>$E342=11</formula>
    </cfRule>
    <cfRule type="expression" dxfId="2048" priority="870">
      <formula>$E342=18</formula>
    </cfRule>
    <cfRule type="expression" dxfId="2047" priority="871">
      <formula>$E342=17</formula>
    </cfRule>
    <cfRule type="expression" dxfId="2046" priority="872">
      <formula>$E342=16</formula>
    </cfRule>
    <cfRule type="expression" dxfId="2045" priority="873">
      <formula>$E342=15</formula>
    </cfRule>
    <cfRule type="expression" dxfId="2044" priority="874">
      <formula>$E342=14</formula>
    </cfRule>
    <cfRule type="expression" dxfId="2043" priority="875">
      <formula>$E342=13</formula>
    </cfRule>
    <cfRule type="expression" dxfId="2042" priority="876">
      <formula>$E342=12</formula>
    </cfRule>
  </conditionalFormatting>
  <conditionalFormatting sqref="A342:J353">
    <cfRule type="expression" dxfId="2041" priority="894">
      <formula>$E342&lt;12</formula>
    </cfRule>
    <cfRule type="expression" dxfId="2040" priority="895">
      <formula>$E342=18</formula>
    </cfRule>
    <cfRule type="expression" dxfId="2039" priority="896">
      <formula>$E342=17</formula>
    </cfRule>
    <cfRule type="expression" dxfId="2038" priority="897">
      <formula>$E342=16</formula>
    </cfRule>
    <cfRule type="expression" dxfId="2037" priority="898">
      <formula>$E342=15</formula>
    </cfRule>
    <cfRule type="expression" dxfId="2036" priority="899">
      <formula>$E342=14</formula>
    </cfRule>
    <cfRule type="expression" dxfId="2035" priority="900">
      <formula>$E342=13</formula>
    </cfRule>
    <cfRule type="expression" dxfId="2034" priority="901">
      <formula>$E342=12</formula>
    </cfRule>
  </conditionalFormatting>
  <conditionalFormatting sqref="A342:J353">
    <cfRule type="expression" dxfId="2033" priority="885">
      <formula>$E342=10</formula>
    </cfRule>
    <cfRule type="expression" dxfId="2032" priority="886">
      <formula>$E342=11</formula>
    </cfRule>
    <cfRule type="expression" dxfId="2031" priority="887">
      <formula>$E342=18</formula>
    </cfRule>
    <cfRule type="expression" dxfId="2030" priority="888">
      <formula>$E342=17</formula>
    </cfRule>
    <cfRule type="expression" dxfId="2029" priority="889">
      <formula>$E342=16</formula>
    </cfRule>
    <cfRule type="expression" dxfId="2028" priority="890">
      <formula>$E342=15</formula>
    </cfRule>
    <cfRule type="expression" dxfId="2027" priority="891">
      <formula>$E342=14</formula>
    </cfRule>
    <cfRule type="expression" dxfId="2026" priority="892">
      <formula>$E342=13</formula>
    </cfRule>
    <cfRule type="expression" dxfId="2025" priority="893">
      <formula>$E342=12</formula>
    </cfRule>
  </conditionalFormatting>
  <conditionalFormatting sqref="A354:J354">
    <cfRule type="expression" dxfId="2024" priority="809">
      <formula>$E354&lt;12</formula>
    </cfRule>
    <cfRule type="expression" dxfId="2023" priority="810">
      <formula>$E354=18</formula>
    </cfRule>
    <cfRule type="expression" dxfId="2022" priority="811">
      <formula>$E354=17</formula>
    </cfRule>
    <cfRule type="expression" dxfId="2021" priority="812">
      <formula>$E354=16</formula>
    </cfRule>
    <cfRule type="expression" dxfId="2020" priority="813">
      <formula>$E354=15</formula>
    </cfRule>
    <cfRule type="expression" dxfId="2019" priority="814">
      <formula>$E354=14</formula>
    </cfRule>
    <cfRule type="expression" dxfId="2018" priority="815">
      <formula>$E354=13</formula>
    </cfRule>
    <cfRule type="expression" dxfId="2017" priority="816">
      <formula>$E354=12</formula>
    </cfRule>
  </conditionalFormatting>
  <conditionalFormatting sqref="A354:J354">
    <cfRule type="expression" dxfId="2016" priority="800">
      <formula>$E354=10</formula>
    </cfRule>
    <cfRule type="expression" dxfId="2015" priority="801">
      <formula>$E354=11</formula>
    </cfRule>
    <cfRule type="expression" dxfId="2014" priority="802">
      <formula>$E354=18</formula>
    </cfRule>
    <cfRule type="expression" dxfId="2013" priority="803">
      <formula>$E354=17</formula>
    </cfRule>
    <cfRule type="expression" dxfId="2012" priority="804">
      <formula>$E354=16</formula>
    </cfRule>
    <cfRule type="expression" dxfId="2011" priority="805">
      <formula>$E354=15</formula>
    </cfRule>
    <cfRule type="expression" dxfId="2010" priority="806">
      <formula>$E354=14</formula>
    </cfRule>
    <cfRule type="expression" dxfId="2009" priority="807">
      <formula>$E354=13</formula>
    </cfRule>
    <cfRule type="expression" dxfId="2008" priority="808">
      <formula>$E354=12</formula>
    </cfRule>
  </conditionalFormatting>
  <conditionalFormatting sqref="M354:N354">
    <cfRule type="expression" dxfId="2007" priority="792">
      <formula>$E354&lt;12</formula>
    </cfRule>
    <cfRule type="expression" dxfId="2006" priority="793">
      <formula>$E354=18</formula>
    </cfRule>
    <cfRule type="expression" dxfId="2005" priority="794">
      <formula>$E354=17</formula>
    </cfRule>
    <cfRule type="expression" dxfId="2004" priority="795">
      <formula>$E354=16</formula>
    </cfRule>
    <cfRule type="expression" dxfId="2003" priority="796">
      <formula>$E354=15</formula>
    </cfRule>
    <cfRule type="expression" dxfId="2002" priority="797">
      <formula>$E354=14</formula>
    </cfRule>
    <cfRule type="expression" dxfId="2001" priority="798">
      <formula>$E354=13</formula>
    </cfRule>
    <cfRule type="expression" dxfId="2000" priority="799">
      <formula>$E354=12</formula>
    </cfRule>
  </conditionalFormatting>
  <conditionalFormatting sqref="M354:N354">
    <cfRule type="expression" dxfId="1999" priority="783">
      <formula>$E354=10</formula>
    </cfRule>
    <cfRule type="expression" dxfId="1998" priority="784">
      <formula>$E354=11</formula>
    </cfRule>
    <cfRule type="expression" dxfId="1997" priority="785">
      <formula>$E354=18</formula>
    </cfRule>
    <cfRule type="expression" dxfId="1996" priority="786">
      <formula>$E354=17</formula>
    </cfRule>
    <cfRule type="expression" dxfId="1995" priority="787">
      <formula>$E354=16</formula>
    </cfRule>
    <cfRule type="expression" dxfId="1994" priority="788">
      <formula>$E354=15</formula>
    </cfRule>
    <cfRule type="expression" dxfId="1993" priority="789">
      <formula>$E354=14</formula>
    </cfRule>
    <cfRule type="expression" dxfId="1992" priority="790">
      <formula>$E354=13</formula>
    </cfRule>
    <cfRule type="expression" dxfId="1991" priority="791">
      <formula>$E354=12</formula>
    </cfRule>
  </conditionalFormatting>
  <conditionalFormatting sqref="L354">
    <cfRule type="expression" dxfId="1990" priority="775">
      <formula>$E354&lt;12</formula>
    </cfRule>
    <cfRule type="expression" dxfId="1989" priority="776">
      <formula>$E354=18</formula>
    </cfRule>
    <cfRule type="expression" dxfId="1988" priority="777">
      <formula>$E354=17</formula>
    </cfRule>
    <cfRule type="expression" dxfId="1987" priority="778">
      <formula>$E354=16</formula>
    </cfRule>
    <cfRule type="expression" dxfId="1986" priority="779">
      <formula>$E354=15</formula>
    </cfRule>
    <cfRule type="expression" dxfId="1985" priority="780">
      <formula>$E354=14</formula>
    </cfRule>
    <cfRule type="expression" dxfId="1984" priority="781">
      <formula>$E354=13</formula>
    </cfRule>
    <cfRule type="expression" dxfId="1983" priority="782">
      <formula>$E354=12</formula>
    </cfRule>
  </conditionalFormatting>
  <conditionalFormatting sqref="L354">
    <cfRule type="expression" dxfId="1982" priority="766">
      <formula>$E354=10</formula>
    </cfRule>
    <cfRule type="expression" dxfId="1981" priority="767">
      <formula>$E354=11</formula>
    </cfRule>
    <cfRule type="expression" dxfId="1980" priority="768">
      <formula>$E354=18</formula>
    </cfRule>
    <cfRule type="expression" dxfId="1979" priority="769">
      <formula>$E354=17</formula>
    </cfRule>
    <cfRule type="expression" dxfId="1978" priority="770">
      <formula>$E354=16</formula>
    </cfRule>
    <cfRule type="expression" dxfId="1977" priority="771">
      <formula>$E354=15</formula>
    </cfRule>
    <cfRule type="expression" dxfId="1976" priority="772">
      <formula>$E354=14</formula>
    </cfRule>
    <cfRule type="expression" dxfId="1975" priority="773">
      <formula>$E354=13</formula>
    </cfRule>
    <cfRule type="expression" dxfId="1974" priority="774">
      <formula>$E354=12</formula>
    </cfRule>
  </conditionalFormatting>
  <conditionalFormatting sqref="L147">
    <cfRule type="expression" dxfId="1973" priority="826">
      <formula>$E147&lt;12</formula>
    </cfRule>
    <cfRule type="expression" dxfId="1972" priority="827">
      <formula>$E147=18</formula>
    </cfRule>
    <cfRule type="expression" dxfId="1971" priority="828">
      <formula>$E147=17</formula>
    </cfRule>
    <cfRule type="expression" dxfId="1970" priority="829">
      <formula>$E147=16</formula>
    </cfRule>
    <cfRule type="expression" dxfId="1969" priority="830">
      <formula>$E147=15</formula>
    </cfRule>
    <cfRule type="expression" dxfId="1968" priority="831">
      <formula>$E147=14</formula>
    </cfRule>
    <cfRule type="expression" dxfId="1967" priority="832">
      <formula>$E147=13</formula>
    </cfRule>
    <cfRule type="expression" dxfId="1966" priority="833">
      <formula>$E147=12</formula>
    </cfRule>
  </conditionalFormatting>
  <conditionalFormatting sqref="L147">
    <cfRule type="expression" dxfId="1965" priority="817">
      <formula>$E147=10</formula>
    </cfRule>
    <cfRule type="expression" dxfId="1964" priority="818">
      <formula>$E147=11</formula>
    </cfRule>
    <cfRule type="expression" dxfId="1963" priority="819">
      <formula>$E147=18</formula>
    </cfRule>
    <cfRule type="expression" dxfId="1962" priority="820">
      <formula>$E147=17</formula>
    </cfRule>
    <cfRule type="expression" dxfId="1961" priority="821">
      <formula>$E147=16</formula>
    </cfRule>
    <cfRule type="expression" dxfId="1960" priority="822">
      <formula>$E147=15</formula>
    </cfRule>
    <cfRule type="expression" dxfId="1959" priority="823">
      <formula>$E147=14</formula>
    </cfRule>
    <cfRule type="expression" dxfId="1958" priority="824">
      <formula>$E147=13</formula>
    </cfRule>
    <cfRule type="expression" dxfId="1957" priority="825">
      <formula>$E147=12</formula>
    </cfRule>
  </conditionalFormatting>
  <conditionalFormatting sqref="K354">
    <cfRule type="expression" dxfId="1956" priority="758">
      <formula>$E354&lt;12</formula>
    </cfRule>
    <cfRule type="expression" dxfId="1955" priority="759">
      <formula>$E354=18</formula>
    </cfRule>
    <cfRule type="expression" dxfId="1954" priority="760">
      <formula>$E354=17</formula>
    </cfRule>
    <cfRule type="expression" dxfId="1953" priority="761">
      <formula>$E354=16</formula>
    </cfRule>
    <cfRule type="expression" dxfId="1952" priority="762">
      <formula>$E354=15</formula>
    </cfRule>
    <cfRule type="expression" dxfId="1951" priority="763">
      <formula>$E354=14</formula>
    </cfRule>
    <cfRule type="expression" dxfId="1950" priority="764">
      <formula>$E354=13</formula>
    </cfRule>
    <cfRule type="expression" dxfId="1949" priority="765">
      <formula>$E354=12</formula>
    </cfRule>
  </conditionalFormatting>
  <conditionalFormatting sqref="K354">
    <cfRule type="expression" dxfId="1948" priority="749">
      <formula>$E354=10</formula>
    </cfRule>
    <cfRule type="expression" dxfId="1947" priority="750">
      <formula>$E354=11</formula>
    </cfRule>
    <cfRule type="expression" dxfId="1946" priority="751">
      <formula>$E354=18</formula>
    </cfRule>
    <cfRule type="expression" dxfId="1945" priority="752">
      <formula>$E354=17</formula>
    </cfRule>
    <cfRule type="expression" dxfId="1944" priority="753">
      <formula>$E354=16</formula>
    </cfRule>
    <cfRule type="expression" dxfId="1943" priority="754">
      <formula>$E354=15</formula>
    </cfRule>
    <cfRule type="expression" dxfId="1942" priority="755">
      <formula>$E354=14</formula>
    </cfRule>
    <cfRule type="expression" dxfId="1941" priority="756">
      <formula>$E354=13</formula>
    </cfRule>
    <cfRule type="expression" dxfId="1940" priority="757">
      <formula>$E354=12</formula>
    </cfRule>
  </conditionalFormatting>
  <conditionalFormatting sqref="A356:J358">
    <cfRule type="expression" dxfId="1939" priority="741">
      <formula>$E356&lt;12</formula>
    </cfRule>
    <cfRule type="expression" dxfId="1938" priority="742">
      <formula>$E356=18</formula>
    </cfRule>
    <cfRule type="expression" dxfId="1937" priority="743">
      <formula>$E356=17</formula>
    </cfRule>
    <cfRule type="expression" dxfId="1936" priority="744">
      <formula>$E356=16</formula>
    </cfRule>
    <cfRule type="expression" dxfId="1935" priority="745">
      <formula>$E356=15</formula>
    </cfRule>
    <cfRule type="expression" dxfId="1934" priority="746">
      <formula>$E356=14</formula>
    </cfRule>
    <cfRule type="expression" dxfId="1933" priority="747">
      <formula>$E356=13</formula>
    </cfRule>
    <cfRule type="expression" dxfId="1932" priority="748">
      <formula>$E356=12</formula>
    </cfRule>
  </conditionalFormatting>
  <conditionalFormatting sqref="A356:J358">
    <cfRule type="expression" dxfId="1931" priority="732">
      <formula>$E356=10</formula>
    </cfRule>
    <cfRule type="expression" dxfId="1930" priority="733">
      <formula>$E356=11</formula>
    </cfRule>
    <cfRule type="expression" dxfId="1929" priority="734">
      <formula>$E356=18</formula>
    </cfRule>
    <cfRule type="expression" dxfId="1928" priority="735">
      <formula>$E356=17</formula>
    </cfRule>
    <cfRule type="expression" dxfId="1927" priority="736">
      <formula>$E356=16</formula>
    </cfRule>
    <cfRule type="expression" dxfId="1926" priority="737">
      <formula>$E356=15</formula>
    </cfRule>
    <cfRule type="expression" dxfId="1925" priority="738">
      <formula>$E356=14</formula>
    </cfRule>
    <cfRule type="expression" dxfId="1924" priority="739">
      <formula>$E356=13</formula>
    </cfRule>
    <cfRule type="expression" dxfId="1923" priority="740">
      <formula>$E356=12</formula>
    </cfRule>
  </conditionalFormatting>
  <conditionalFormatting sqref="M356:N358">
    <cfRule type="expression" dxfId="1922" priority="724">
      <formula>$E356&lt;12</formula>
    </cfRule>
    <cfRule type="expression" dxfId="1921" priority="725">
      <formula>$E356=18</formula>
    </cfRule>
    <cfRule type="expression" dxfId="1920" priority="726">
      <formula>$E356=17</formula>
    </cfRule>
    <cfRule type="expression" dxfId="1919" priority="727">
      <formula>$E356=16</formula>
    </cfRule>
    <cfRule type="expression" dxfId="1918" priority="728">
      <formula>$E356=15</formula>
    </cfRule>
    <cfRule type="expression" dxfId="1917" priority="729">
      <formula>$E356=14</formula>
    </cfRule>
    <cfRule type="expression" dxfId="1916" priority="730">
      <formula>$E356=13</formula>
    </cfRule>
    <cfRule type="expression" dxfId="1915" priority="731">
      <formula>$E356=12</formula>
    </cfRule>
  </conditionalFormatting>
  <conditionalFormatting sqref="M356:N358">
    <cfRule type="expression" dxfId="1914" priority="715">
      <formula>$E356=10</formula>
    </cfRule>
    <cfRule type="expression" dxfId="1913" priority="716">
      <formula>$E356=11</formula>
    </cfRule>
    <cfRule type="expression" dxfId="1912" priority="717">
      <formula>$E356=18</formula>
    </cfRule>
    <cfRule type="expression" dxfId="1911" priority="718">
      <formula>$E356=17</formula>
    </cfRule>
    <cfRule type="expression" dxfId="1910" priority="719">
      <formula>$E356=16</formula>
    </cfRule>
    <cfRule type="expression" dxfId="1909" priority="720">
      <formula>$E356=15</formula>
    </cfRule>
    <cfRule type="expression" dxfId="1908" priority="721">
      <formula>$E356=14</formula>
    </cfRule>
    <cfRule type="expression" dxfId="1907" priority="722">
      <formula>$E356=13</formula>
    </cfRule>
    <cfRule type="expression" dxfId="1906" priority="723">
      <formula>$E356=12</formula>
    </cfRule>
  </conditionalFormatting>
  <conditionalFormatting sqref="L356:L358">
    <cfRule type="expression" dxfId="1905" priority="707">
      <formula>$E356&lt;12</formula>
    </cfRule>
    <cfRule type="expression" dxfId="1904" priority="708">
      <formula>$E356=18</formula>
    </cfRule>
    <cfRule type="expression" dxfId="1903" priority="709">
      <formula>$E356=17</formula>
    </cfRule>
    <cfRule type="expression" dxfId="1902" priority="710">
      <formula>$E356=16</formula>
    </cfRule>
    <cfRule type="expression" dxfId="1901" priority="711">
      <formula>$E356=15</formula>
    </cfRule>
    <cfRule type="expression" dxfId="1900" priority="712">
      <formula>$E356=14</formula>
    </cfRule>
    <cfRule type="expression" dxfId="1899" priority="713">
      <formula>$E356=13</formula>
    </cfRule>
    <cfRule type="expression" dxfId="1898" priority="714">
      <formula>$E356=12</formula>
    </cfRule>
  </conditionalFormatting>
  <conditionalFormatting sqref="L356:L358">
    <cfRule type="expression" dxfId="1897" priority="698">
      <formula>$E356=10</formula>
    </cfRule>
    <cfRule type="expression" dxfId="1896" priority="699">
      <formula>$E356=11</formula>
    </cfRule>
    <cfRule type="expression" dxfId="1895" priority="700">
      <formula>$E356=18</formula>
    </cfRule>
    <cfRule type="expression" dxfId="1894" priority="701">
      <formula>$E356=17</formula>
    </cfRule>
    <cfRule type="expression" dxfId="1893" priority="702">
      <formula>$E356=16</formula>
    </cfRule>
    <cfRule type="expression" dxfId="1892" priority="703">
      <formula>$E356=15</formula>
    </cfRule>
    <cfRule type="expression" dxfId="1891" priority="704">
      <formula>$E356=14</formula>
    </cfRule>
    <cfRule type="expression" dxfId="1890" priority="705">
      <formula>$E356=13</formula>
    </cfRule>
    <cfRule type="expression" dxfId="1889" priority="706">
      <formula>$E356=12</formula>
    </cfRule>
  </conditionalFormatting>
  <conditionalFormatting sqref="K356:K358">
    <cfRule type="expression" dxfId="1888" priority="690">
      <formula>$E356&lt;12</formula>
    </cfRule>
    <cfRule type="expression" dxfId="1887" priority="691">
      <formula>$E356=18</formula>
    </cfRule>
    <cfRule type="expression" dxfId="1886" priority="692">
      <formula>$E356=17</formula>
    </cfRule>
    <cfRule type="expression" dxfId="1885" priority="693">
      <formula>$E356=16</formula>
    </cfRule>
    <cfRule type="expression" dxfId="1884" priority="694">
      <formula>$E356=15</formula>
    </cfRule>
    <cfRule type="expression" dxfId="1883" priority="695">
      <formula>$E356=14</formula>
    </cfRule>
    <cfRule type="expression" dxfId="1882" priority="696">
      <formula>$E356=13</formula>
    </cfRule>
    <cfRule type="expression" dxfId="1881" priority="697">
      <formula>$E356=12</formula>
    </cfRule>
  </conditionalFormatting>
  <conditionalFormatting sqref="K356:K358">
    <cfRule type="expression" dxfId="1880" priority="681">
      <formula>$E356=10</formula>
    </cfRule>
    <cfRule type="expression" dxfId="1879" priority="682">
      <formula>$E356=11</formula>
    </cfRule>
    <cfRule type="expression" dxfId="1878" priority="683">
      <formula>$E356=18</formula>
    </cfRule>
    <cfRule type="expression" dxfId="1877" priority="684">
      <formula>$E356=17</formula>
    </cfRule>
    <cfRule type="expression" dxfId="1876" priority="685">
      <formula>$E356=16</formula>
    </cfRule>
    <cfRule type="expression" dxfId="1875" priority="686">
      <formula>$E356=15</formula>
    </cfRule>
    <cfRule type="expression" dxfId="1874" priority="687">
      <formula>$E356=14</formula>
    </cfRule>
    <cfRule type="expression" dxfId="1873" priority="688">
      <formula>$E356=13</formula>
    </cfRule>
    <cfRule type="expression" dxfId="1872" priority="689">
      <formula>$E356=12</formula>
    </cfRule>
  </conditionalFormatting>
  <conditionalFormatting sqref="G1:I1">
    <cfRule type="containsText" dxfId="1871" priority="1191" operator="containsText" text="CSRA">
      <formula>NOT(ISERROR(SEARCH("CSRA",G1)))</formula>
    </cfRule>
  </conditionalFormatting>
  <conditionalFormatting sqref="A360:B363 G360:J363">
    <cfRule type="expression" dxfId="1870" priority="673">
      <formula>$E360&lt;12</formula>
    </cfRule>
    <cfRule type="expression" dxfId="1869" priority="674">
      <formula>$E360=18</formula>
    </cfRule>
    <cfRule type="expression" dxfId="1868" priority="675">
      <formula>$E360=17</formula>
    </cfRule>
    <cfRule type="expression" dxfId="1867" priority="676">
      <formula>$E360=16</formula>
    </cfRule>
    <cfRule type="expression" dxfId="1866" priority="677">
      <formula>$E360=15</formula>
    </cfRule>
    <cfRule type="expression" dxfId="1865" priority="678">
      <formula>$E360=14</formula>
    </cfRule>
    <cfRule type="expression" dxfId="1864" priority="679">
      <formula>$E360=13</formula>
    </cfRule>
    <cfRule type="expression" dxfId="1863" priority="680">
      <formula>$E360=12</formula>
    </cfRule>
  </conditionalFormatting>
  <conditionalFormatting sqref="A360:B363 G360:J363">
    <cfRule type="expression" dxfId="1862" priority="664">
      <formula>$E360=10</formula>
    </cfRule>
    <cfRule type="expression" dxfId="1861" priority="665">
      <formula>$E360=11</formula>
    </cfRule>
    <cfRule type="expression" dxfId="1860" priority="666">
      <formula>$E360=18</formula>
    </cfRule>
    <cfRule type="expression" dxfId="1859" priority="667">
      <formula>$E360=17</formula>
    </cfRule>
    <cfRule type="expression" dxfId="1858" priority="668">
      <formula>$E360=16</formula>
    </cfRule>
    <cfRule type="expression" dxfId="1857" priority="669">
      <formula>$E360=15</formula>
    </cfRule>
    <cfRule type="expression" dxfId="1856" priority="670">
      <formula>$E360=14</formula>
    </cfRule>
    <cfRule type="expression" dxfId="1855" priority="671">
      <formula>$E360=13</formula>
    </cfRule>
    <cfRule type="expression" dxfId="1854" priority="672">
      <formula>$E360=12</formula>
    </cfRule>
  </conditionalFormatting>
  <conditionalFormatting sqref="M360:N363">
    <cfRule type="expression" dxfId="1853" priority="656">
      <formula>$E360&lt;12</formula>
    </cfRule>
    <cfRule type="expression" dxfId="1852" priority="657">
      <formula>$E360=18</formula>
    </cfRule>
    <cfRule type="expression" dxfId="1851" priority="658">
      <formula>$E360=17</formula>
    </cfRule>
    <cfRule type="expression" dxfId="1850" priority="659">
      <formula>$E360=16</formula>
    </cfRule>
    <cfRule type="expression" dxfId="1849" priority="660">
      <formula>$E360=15</formula>
    </cfRule>
    <cfRule type="expression" dxfId="1848" priority="661">
      <formula>$E360=14</formula>
    </cfRule>
    <cfRule type="expression" dxfId="1847" priority="662">
      <formula>$E360=13</formula>
    </cfRule>
    <cfRule type="expression" dxfId="1846" priority="663">
      <formula>$E360=12</formula>
    </cfRule>
  </conditionalFormatting>
  <conditionalFormatting sqref="M360:N363">
    <cfRule type="expression" dxfId="1845" priority="647">
      <formula>$E360=10</formula>
    </cfRule>
    <cfRule type="expression" dxfId="1844" priority="648">
      <formula>$E360=11</formula>
    </cfRule>
    <cfRule type="expression" dxfId="1843" priority="649">
      <formula>$E360=18</formula>
    </cfRule>
    <cfRule type="expression" dxfId="1842" priority="650">
      <formula>$E360=17</formula>
    </cfRule>
    <cfRule type="expression" dxfId="1841" priority="651">
      <formula>$E360=16</formula>
    </cfRule>
    <cfRule type="expression" dxfId="1840" priority="652">
      <formula>$E360=15</formula>
    </cfRule>
    <cfRule type="expression" dxfId="1839" priority="653">
      <formula>$E360=14</formula>
    </cfRule>
    <cfRule type="expression" dxfId="1838" priority="654">
      <formula>$E360=13</formula>
    </cfRule>
    <cfRule type="expression" dxfId="1837" priority="655">
      <formula>$E360=12</formula>
    </cfRule>
  </conditionalFormatting>
  <conditionalFormatting sqref="L360:L363">
    <cfRule type="expression" dxfId="1836" priority="639">
      <formula>$E360&lt;12</formula>
    </cfRule>
    <cfRule type="expression" dxfId="1835" priority="640">
      <formula>$E360=18</formula>
    </cfRule>
    <cfRule type="expression" dxfId="1834" priority="641">
      <formula>$E360=17</formula>
    </cfRule>
    <cfRule type="expression" dxfId="1833" priority="642">
      <formula>$E360=16</formula>
    </cfRule>
    <cfRule type="expression" dxfId="1832" priority="643">
      <formula>$E360=15</formula>
    </cfRule>
    <cfRule type="expression" dxfId="1831" priority="644">
      <formula>$E360=14</formula>
    </cfRule>
    <cfRule type="expression" dxfId="1830" priority="645">
      <formula>$E360=13</formula>
    </cfRule>
    <cfRule type="expression" dxfId="1829" priority="646">
      <formula>$E360=12</formula>
    </cfRule>
  </conditionalFormatting>
  <conditionalFormatting sqref="L360:L363">
    <cfRule type="expression" dxfId="1828" priority="630">
      <formula>$E360=10</formula>
    </cfRule>
    <cfRule type="expression" dxfId="1827" priority="631">
      <formula>$E360=11</formula>
    </cfRule>
    <cfRule type="expression" dxfId="1826" priority="632">
      <formula>$E360=18</formula>
    </cfRule>
    <cfRule type="expression" dxfId="1825" priority="633">
      <formula>$E360=17</formula>
    </cfRule>
    <cfRule type="expression" dxfId="1824" priority="634">
      <formula>$E360=16</formula>
    </cfRule>
    <cfRule type="expression" dxfId="1823" priority="635">
      <formula>$E360=15</formula>
    </cfRule>
    <cfRule type="expression" dxfId="1822" priority="636">
      <formula>$E360=14</formula>
    </cfRule>
    <cfRule type="expression" dxfId="1821" priority="637">
      <formula>$E360=13</formula>
    </cfRule>
    <cfRule type="expression" dxfId="1820" priority="638">
      <formula>$E360=12</formula>
    </cfRule>
  </conditionalFormatting>
  <conditionalFormatting sqref="K360:K363">
    <cfRule type="expression" dxfId="1819" priority="622">
      <formula>$E360&lt;12</formula>
    </cfRule>
    <cfRule type="expression" dxfId="1818" priority="623">
      <formula>$E360=18</formula>
    </cfRule>
    <cfRule type="expression" dxfId="1817" priority="624">
      <formula>$E360=17</formula>
    </cfRule>
    <cfRule type="expression" dxfId="1816" priority="625">
      <formula>$E360=16</formula>
    </cfRule>
    <cfRule type="expression" dxfId="1815" priority="626">
      <formula>$E360=15</formula>
    </cfRule>
    <cfRule type="expression" dxfId="1814" priority="627">
      <formula>$E360=14</formula>
    </cfRule>
    <cfRule type="expression" dxfId="1813" priority="628">
      <formula>$E360=13</formula>
    </cfRule>
    <cfRule type="expression" dxfId="1812" priority="629">
      <formula>$E360=12</formula>
    </cfRule>
  </conditionalFormatting>
  <conditionalFormatting sqref="K360:K363">
    <cfRule type="expression" dxfId="1811" priority="613">
      <formula>$E360=10</formula>
    </cfRule>
    <cfRule type="expression" dxfId="1810" priority="614">
      <formula>$E360=11</formula>
    </cfRule>
    <cfRule type="expression" dxfId="1809" priority="615">
      <formula>$E360=18</formula>
    </cfRule>
    <cfRule type="expression" dxfId="1808" priority="616">
      <formula>$E360=17</formula>
    </cfRule>
    <cfRule type="expression" dxfId="1807" priority="617">
      <formula>$E360=16</formula>
    </cfRule>
    <cfRule type="expression" dxfId="1806" priority="618">
      <formula>$E360=15</formula>
    </cfRule>
    <cfRule type="expression" dxfId="1805" priority="619">
      <formula>$E360=14</formula>
    </cfRule>
    <cfRule type="expression" dxfId="1804" priority="620">
      <formula>$E360=13</formula>
    </cfRule>
    <cfRule type="expression" dxfId="1803" priority="621">
      <formula>$E360=12</formula>
    </cfRule>
  </conditionalFormatting>
  <conditionalFormatting sqref="C360:F363">
    <cfRule type="expression" dxfId="1802" priority="605">
      <formula>$E360&lt;12</formula>
    </cfRule>
    <cfRule type="expression" dxfId="1801" priority="606">
      <formula>$E360=18</formula>
    </cfRule>
    <cfRule type="expression" dxfId="1800" priority="607">
      <formula>$E360=17</formula>
    </cfRule>
    <cfRule type="expression" dxfId="1799" priority="608">
      <formula>$E360=16</formula>
    </cfRule>
    <cfRule type="expression" dxfId="1798" priority="609">
      <formula>$E360=15</formula>
    </cfRule>
    <cfRule type="expression" dxfId="1797" priority="610">
      <formula>$E360=14</formula>
    </cfRule>
    <cfRule type="expression" dxfId="1796" priority="611">
      <formula>$E360=13</formula>
    </cfRule>
    <cfRule type="expression" dxfId="1795" priority="612">
      <formula>$E360=12</formula>
    </cfRule>
  </conditionalFormatting>
  <conditionalFormatting sqref="C360:F363">
    <cfRule type="expression" dxfId="1794" priority="596">
      <formula>$E360=10</formula>
    </cfRule>
    <cfRule type="expression" dxfId="1793" priority="597">
      <formula>$E360=11</formula>
    </cfRule>
    <cfRule type="expression" dxfId="1792" priority="598">
      <formula>$E360=18</formula>
    </cfRule>
    <cfRule type="expression" dxfId="1791" priority="599">
      <formula>$E360=17</formula>
    </cfRule>
    <cfRule type="expression" dxfId="1790" priority="600">
      <formula>$E360=16</formula>
    </cfRule>
    <cfRule type="expression" dxfId="1789" priority="601">
      <formula>$E360=15</formula>
    </cfRule>
    <cfRule type="expression" dxfId="1788" priority="602">
      <formula>$E360=14</formula>
    </cfRule>
    <cfRule type="expression" dxfId="1787" priority="603">
      <formula>$E360=13</formula>
    </cfRule>
    <cfRule type="expression" dxfId="1786" priority="604">
      <formula>$E360=12</formula>
    </cfRule>
  </conditionalFormatting>
  <conditionalFormatting sqref="A364:B383 G364:J383">
    <cfRule type="expression" dxfId="1785" priority="588">
      <formula>$E364&lt;12</formula>
    </cfRule>
    <cfRule type="expression" dxfId="1784" priority="589">
      <formula>$E364=18</formula>
    </cfRule>
    <cfRule type="expression" dxfId="1783" priority="590">
      <formula>$E364=17</formula>
    </cfRule>
    <cfRule type="expression" dxfId="1782" priority="591">
      <formula>$E364=16</formula>
    </cfRule>
    <cfRule type="expression" dxfId="1781" priority="592">
      <formula>$E364=15</formula>
    </cfRule>
    <cfRule type="expression" dxfId="1780" priority="593">
      <formula>$E364=14</formula>
    </cfRule>
    <cfRule type="expression" dxfId="1779" priority="594">
      <formula>$E364=13</formula>
    </cfRule>
    <cfRule type="expression" dxfId="1778" priority="595">
      <formula>$E364=12</formula>
    </cfRule>
  </conditionalFormatting>
  <conditionalFormatting sqref="A364:B383 G364:J383">
    <cfRule type="expression" dxfId="1777" priority="579">
      <formula>$E364=10</formula>
    </cfRule>
    <cfRule type="expression" dxfId="1776" priority="580">
      <formula>$E364=11</formula>
    </cfRule>
    <cfRule type="expression" dxfId="1775" priority="581">
      <formula>$E364=18</formula>
    </cfRule>
    <cfRule type="expression" dxfId="1774" priority="582">
      <formula>$E364=17</formula>
    </cfRule>
    <cfRule type="expression" dxfId="1773" priority="583">
      <formula>$E364=16</formula>
    </cfRule>
    <cfRule type="expression" dxfId="1772" priority="584">
      <formula>$E364=15</formula>
    </cfRule>
    <cfRule type="expression" dxfId="1771" priority="585">
      <formula>$E364=14</formula>
    </cfRule>
    <cfRule type="expression" dxfId="1770" priority="586">
      <formula>$E364=13</formula>
    </cfRule>
    <cfRule type="expression" dxfId="1769" priority="587">
      <formula>$E364=12</formula>
    </cfRule>
  </conditionalFormatting>
  <conditionalFormatting sqref="M364:N383">
    <cfRule type="expression" dxfId="1768" priority="571">
      <formula>$E364&lt;12</formula>
    </cfRule>
    <cfRule type="expression" dxfId="1767" priority="572">
      <formula>$E364=18</formula>
    </cfRule>
    <cfRule type="expression" dxfId="1766" priority="573">
      <formula>$E364=17</formula>
    </cfRule>
    <cfRule type="expression" dxfId="1765" priority="574">
      <formula>$E364=16</formula>
    </cfRule>
    <cfRule type="expression" dxfId="1764" priority="575">
      <formula>$E364=15</formula>
    </cfRule>
    <cfRule type="expression" dxfId="1763" priority="576">
      <formula>$E364=14</formula>
    </cfRule>
    <cfRule type="expression" dxfId="1762" priority="577">
      <formula>$E364=13</formula>
    </cfRule>
    <cfRule type="expression" dxfId="1761" priority="578">
      <formula>$E364=12</formula>
    </cfRule>
  </conditionalFormatting>
  <conditionalFormatting sqref="M364:N383">
    <cfRule type="expression" dxfId="1760" priority="562">
      <formula>$E364=10</formula>
    </cfRule>
    <cfRule type="expression" dxfId="1759" priority="563">
      <formula>$E364=11</formula>
    </cfRule>
    <cfRule type="expression" dxfId="1758" priority="564">
      <formula>$E364=18</formula>
    </cfRule>
    <cfRule type="expression" dxfId="1757" priority="565">
      <formula>$E364=17</formula>
    </cfRule>
    <cfRule type="expression" dxfId="1756" priority="566">
      <formula>$E364=16</formula>
    </cfRule>
    <cfRule type="expression" dxfId="1755" priority="567">
      <formula>$E364=15</formula>
    </cfRule>
    <cfRule type="expression" dxfId="1754" priority="568">
      <formula>$E364=14</formula>
    </cfRule>
    <cfRule type="expression" dxfId="1753" priority="569">
      <formula>$E364=13</formula>
    </cfRule>
    <cfRule type="expression" dxfId="1752" priority="570">
      <formula>$E364=12</formula>
    </cfRule>
  </conditionalFormatting>
  <conditionalFormatting sqref="L364:L383">
    <cfRule type="expression" dxfId="1751" priority="554">
      <formula>$E364&lt;12</formula>
    </cfRule>
    <cfRule type="expression" dxfId="1750" priority="555">
      <formula>$E364=18</formula>
    </cfRule>
    <cfRule type="expression" dxfId="1749" priority="556">
      <formula>$E364=17</formula>
    </cfRule>
    <cfRule type="expression" dxfId="1748" priority="557">
      <formula>$E364=16</formula>
    </cfRule>
    <cfRule type="expression" dxfId="1747" priority="558">
      <formula>$E364=15</formula>
    </cfRule>
    <cfRule type="expression" dxfId="1746" priority="559">
      <formula>$E364=14</formula>
    </cfRule>
    <cfRule type="expression" dxfId="1745" priority="560">
      <formula>$E364=13</formula>
    </cfRule>
    <cfRule type="expression" dxfId="1744" priority="561">
      <formula>$E364=12</formula>
    </cfRule>
  </conditionalFormatting>
  <conditionalFormatting sqref="L364:L383">
    <cfRule type="expression" dxfId="1743" priority="545">
      <formula>$E364=10</formula>
    </cfRule>
    <cfRule type="expression" dxfId="1742" priority="546">
      <formula>$E364=11</formula>
    </cfRule>
    <cfRule type="expression" dxfId="1741" priority="547">
      <formula>$E364=18</formula>
    </cfRule>
    <cfRule type="expression" dxfId="1740" priority="548">
      <formula>$E364=17</formula>
    </cfRule>
    <cfRule type="expression" dxfId="1739" priority="549">
      <formula>$E364=16</formula>
    </cfRule>
    <cfRule type="expression" dxfId="1738" priority="550">
      <formula>$E364=15</formula>
    </cfRule>
    <cfRule type="expression" dxfId="1737" priority="551">
      <formula>$E364=14</formula>
    </cfRule>
    <cfRule type="expression" dxfId="1736" priority="552">
      <formula>$E364=13</formula>
    </cfRule>
    <cfRule type="expression" dxfId="1735" priority="553">
      <formula>$E364=12</formula>
    </cfRule>
  </conditionalFormatting>
  <conditionalFormatting sqref="K364:K383">
    <cfRule type="expression" dxfId="1734" priority="537">
      <formula>$E364&lt;12</formula>
    </cfRule>
    <cfRule type="expression" dxfId="1733" priority="538">
      <formula>$E364=18</formula>
    </cfRule>
    <cfRule type="expression" dxfId="1732" priority="539">
      <formula>$E364=17</formula>
    </cfRule>
    <cfRule type="expression" dxfId="1731" priority="540">
      <formula>$E364=16</formula>
    </cfRule>
    <cfRule type="expression" dxfId="1730" priority="541">
      <formula>$E364=15</formula>
    </cfRule>
    <cfRule type="expression" dxfId="1729" priority="542">
      <formula>$E364=14</formula>
    </cfRule>
    <cfRule type="expression" dxfId="1728" priority="543">
      <formula>$E364=13</formula>
    </cfRule>
    <cfRule type="expression" dxfId="1727" priority="544">
      <formula>$E364=12</formula>
    </cfRule>
  </conditionalFormatting>
  <conditionalFormatting sqref="K364:K383">
    <cfRule type="expression" dxfId="1726" priority="528">
      <formula>$E364=10</formula>
    </cfRule>
    <cfRule type="expression" dxfId="1725" priority="529">
      <formula>$E364=11</formula>
    </cfRule>
    <cfRule type="expression" dxfId="1724" priority="530">
      <formula>$E364=18</formula>
    </cfRule>
    <cfRule type="expression" dxfId="1723" priority="531">
      <formula>$E364=17</formula>
    </cfRule>
    <cfRule type="expression" dxfId="1722" priority="532">
      <formula>$E364=16</formula>
    </cfRule>
    <cfRule type="expression" dxfId="1721" priority="533">
      <formula>$E364=15</formula>
    </cfRule>
    <cfRule type="expression" dxfId="1720" priority="534">
      <formula>$E364=14</formula>
    </cfRule>
    <cfRule type="expression" dxfId="1719" priority="535">
      <formula>$E364=13</formula>
    </cfRule>
    <cfRule type="expression" dxfId="1718" priority="536">
      <formula>$E364=12</formula>
    </cfRule>
  </conditionalFormatting>
  <conditionalFormatting sqref="C364:F383">
    <cfRule type="expression" dxfId="1717" priority="511">
      <formula>$E364=10</formula>
    </cfRule>
    <cfRule type="expression" dxfId="1716" priority="512">
      <formula>$E364=11</formula>
    </cfRule>
    <cfRule type="expression" dxfId="1715" priority="513">
      <formula>$E364=18</formula>
    </cfRule>
    <cfRule type="expression" dxfId="1714" priority="514">
      <formula>$E364=17</formula>
    </cfRule>
    <cfRule type="expression" dxfId="1713" priority="515">
      <formula>$E364=16</formula>
    </cfRule>
    <cfRule type="expression" dxfId="1712" priority="516">
      <formula>$E364=15</formula>
    </cfRule>
    <cfRule type="expression" dxfId="1711" priority="517">
      <formula>$E364=14</formula>
    </cfRule>
    <cfRule type="expression" dxfId="1710" priority="518">
      <formula>$E364=13</formula>
    </cfRule>
    <cfRule type="expression" dxfId="1709" priority="519">
      <formula>$E364=12</formula>
    </cfRule>
  </conditionalFormatting>
  <conditionalFormatting sqref="C364:F383">
    <cfRule type="expression" dxfId="1708" priority="520">
      <formula>$E364&lt;12</formula>
    </cfRule>
    <cfRule type="expression" dxfId="1707" priority="521">
      <formula>$E364=18</formula>
    </cfRule>
    <cfRule type="expression" dxfId="1706" priority="522">
      <formula>$E364=17</formula>
    </cfRule>
    <cfRule type="expression" dxfId="1705" priority="523">
      <formula>$E364=16</formula>
    </cfRule>
    <cfRule type="expression" dxfId="1704" priority="524">
      <formula>$E364=15</formula>
    </cfRule>
    <cfRule type="expression" dxfId="1703" priority="525">
      <formula>$E364=14</formula>
    </cfRule>
    <cfRule type="expression" dxfId="1702" priority="526">
      <formula>$E364=13</formula>
    </cfRule>
    <cfRule type="expression" dxfId="1701" priority="527">
      <formula>$E364=12</formula>
    </cfRule>
  </conditionalFormatting>
  <conditionalFormatting sqref="A387:B387 G387:J387">
    <cfRule type="expression" dxfId="1700" priority="418">
      <formula>$E387&lt;12</formula>
    </cfRule>
    <cfRule type="expression" dxfId="1699" priority="419">
      <formula>$E387=18</formula>
    </cfRule>
    <cfRule type="expression" dxfId="1698" priority="420">
      <formula>$E387=17</formula>
    </cfRule>
    <cfRule type="expression" dxfId="1697" priority="421">
      <formula>$E387=16</formula>
    </cfRule>
    <cfRule type="expression" dxfId="1696" priority="422">
      <formula>$E387=15</formula>
    </cfRule>
    <cfRule type="expression" dxfId="1695" priority="423">
      <formula>$E387=14</formula>
    </cfRule>
    <cfRule type="expression" dxfId="1694" priority="424">
      <formula>$E387=13</formula>
    </cfRule>
    <cfRule type="expression" dxfId="1693" priority="425">
      <formula>$E387=12</formula>
    </cfRule>
  </conditionalFormatting>
  <conditionalFormatting sqref="A387:B387 G387:J387">
    <cfRule type="expression" dxfId="1692" priority="409">
      <formula>$E387=10</formula>
    </cfRule>
    <cfRule type="expression" dxfId="1691" priority="410">
      <formula>$E387=11</formula>
    </cfRule>
    <cfRule type="expression" dxfId="1690" priority="411">
      <formula>$E387=18</formula>
    </cfRule>
    <cfRule type="expression" dxfId="1689" priority="412">
      <formula>$E387=17</formula>
    </cfRule>
    <cfRule type="expression" dxfId="1688" priority="413">
      <formula>$E387=16</formula>
    </cfRule>
    <cfRule type="expression" dxfId="1687" priority="414">
      <formula>$E387=15</formula>
    </cfRule>
    <cfRule type="expression" dxfId="1686" priority="415">
      <formula>$E387=14</formula>
    </cfRule>
    <cfRule type="expression" dxfId="1685" priority="416">
      <formula>$E387=13</formula>
    </cfRule>
    <cfRule type="expression" dxfId="1684" priority="417">
      <formula>$E387=12</formula>
    </cfRule>
  </conditionalFormatting>
  <conditionalFormatting sqref="M387:N387">
    <cfRule type="expression" dxfId="1683" priority="401">
      <formula>$E387&lt;12</formula>
    </cfRule>
    <cfRule type="expression" dxfId="1682" priority="402">
      <formula>$E387=18</formula>
    </cfRule>
    <cfRule type="expression" dxfId="1681" priority="403">
      <formula>$E387=17</formula>
    </cfRule>
    <cfRule type="expression" dxfId="1680" priority="404">
      <formula>$E387=16</formula>
    </cfRule>
    <cfRule type="expression" dxfId="1679" priority="405">
      <formula>$E387=15</formula>
    </cfRule>
    <cfRule type="expression" dxfId="1678" priority="406">
      <formula>$E387=14</formula>
    </cfRule>
    <cfRule type="expression" dxfId="1677" priority="407">
      <formula>$E387=13</formula>
    </cfRule>
    <cfRule type="expression" dxfId="1676" priority="408">
      <formula>$E387=12</formula>
    </cfRule>
  </conditionalFormatting>
  <conditionalFormatting sqref="M387:N387">
    <cfRule type="expression" dxfId="1675" priority="392">
      <formula>$E387=10</formula>
    </cfRule>
    <cfRule type="expression" dxfId="1674" priority="393">
      <formula>$E387=11</formula>
    </cfRule>
    <cfRule type="expression" dxfId="1673" priority="394">
      <formula>$E387=18</formula>
    </cfRule>
    <cfRule type="expression" dxfId="1672" priority="395">
      <formula>$E387=17</formula>
    </cfRule>
    <cfRule type="expression" dxfId="1671" priority="396">
      <formula>$E387=16</formula>
    </cfRule>
    <cfRule type="expression" dxfId="1670" priority="397">
      <formula>$E387=15</formula>
    </cfRule>
    <cfRule type="expression" dxfId="1669" priority="398">
      <formula>$E387=14</formula>
    </cfRule>
    <cfRule type="expression" dxfId="1668" priority="399">
      <formula>$E387=13</formula>
    </cfRule>
    <cfRule type="expression" dxfId="1667" priority="400">
      <formula>$E387=12</formula>
    </cfRule>
  </conditionalFormatting>
  <conditionalFormatting sqref="L387">
    <cfRule type="expression" dxfId="1666" priority="384">
      <formula>$E387&lt;12</formula>
    </cfRule>
    <cfRule type="expression" dxfId="1665" priority="385">
      <formula>$E387=18</formula>
    </cfRule>
    <cfRule type="expression" dxfId="1664" priority="386">
      <formula>$E387=17</formula>
    </cfRule>
    <cfRule type="expression" dxfId="1663" priority="387">
      <formula>$E387=16</formula>
    </cfRule>
    <cfRule type="expression" dxfId="1662" priority="388">
      <formula>$E387=15</formula>
    </cfRule>
    <cfRule type="expression" dxfId="1661" priority="389">
      <formula>$E387=14</formula>
    </cfRule>
    <cfRule type="expression" dxfId="1660" priority="390">
      <formula>$E387=13</formula>
    </cfRule>
    <cfRule type="expression" dxfId="1659" priority="391">
      <formula>$E387=12</formula>
    </cfRule>
  </conditionalFormatting>
  <conditionalFormatting sqref="L387">
    <cfRule type="expression" dxfId="1658" priority="375">
      <formula>$E387=10</formula>
    </cfRule>
    <cfRule type="expression" dxfId="1657" priority="376">
      <formula>$E387=11</formula>
    </cfRule>
    <cfRule type="expression" dxfId="1656" priority="377">
      <formula>$E387=18</formula>
    </cfRule>
    <cfRule type="expression" dxfId="1655" priority="378">
      <formula>$E387=17</formula>
    </cfRule>
    <cfRule type="expression" dxfId="1654" priority="379">
      <formula>$E387=16</formula>
    </cfRule>
    <cfRule type="expression" dxfId="1653" priority="380">
      <formula>$E387=15</formula>
    </cfRule>
    <cfRule type="expression" dxfId="1652" priority="381">
      <formula>$E387=14</formula>
    </cfRule>
    <cfRule type="expression" dxfId="1651" priority="382">
      <formula>$E387=13</formula>
    </cfRule>
    <cfRule type="expression" dxfId="1650" priority="383">
      <formula>$E387=12</formula>
    </cfRule>
  </conditionalFormatting>
  <conditionalFormatting sqref="K387">
    <cfRule type="expression" dxfId="1649" priority="367">
      <formula>$E387&lt;12</formula>
    </cfRule>
    <cfRule type="expression" dxfId="1648" priority="368">
      <formula>$E387=18</formula>
    </cfRule>
    <cfRule type="expression" dxfId="1647" priority="369">
      <formula>$E387=17</formula>
    </cfRule>
    <cfRule type="expression" dxfId="1646" priority="370">
      <formula>$E387=16</formula>
    </cfRule>
    <cfRule type="expression" dxfId="1645" priority="371">
      <formula>$E387=15</formula>
    </cfRule>
    <cfRule type="expression" dxfId="1644" priority="372">
      <formula>$E387=14</formula>
    </cfRule>
    <cfRule type="expression" dxfId="1643" priority="373">
      <formula>$E387=13</formula>
    </cfRule>
    <cfRule type="expression" dxfId="1642" priority="374">
      <formula>$E387=12</formula>
    </cfRule>
  </conditionalFormatting>
  <conditionalFormatting sqref="K387">
    <cfRule type="expression" dxfId="1641" priority="358">
      <formula>$E387=10</formula>
    </cfRule>
    <cfRule type="expression" dxfId="1640" priority="359">
      <formula>$E387=11</formula>
    </cfRule>
    <cfRule type="expression" dxfId="1639" priority="360">
      <formula>$E387=18</formula>
    </cfRule>
    <cfRule type="expression" dxfId="1638" priority="361">
      <formula>$E387=17</formula>
    </cfRule>
    <cfRule type="expression" dxfId="1637" priority="362">
      <formula>$E387=16</formula>
    </cfRule>
    <cfRule type="expression" dxfId="1636" priority="363">
      <formula>$E387=15</formula>
    </cfRule>
    <cfRule type="expression" dxfId="1635" priority="364">
      <formula>$E387=14</formula>
    </cfRule>
    <cfRule type="expression" dxfId="1634" priority="365">
      <formula>$E387=13</formula>
    </cfRule>
    <cfRule type="expression" dxfId="1633" priority="366">
      <formula>$E387=12</formula>
    </cfRule>
  </conditionalFormatting>
  <conditionalFormatting sqref="C387:F387">
    <cfRule type="expression" dxfId="1632" priority="341">
      <formula>$E387=10</formula>
    </cfRule>
    <cfRule type="expression" dxfId="1631" priority="342">
      <formula>$E387=11</formula>
    </cfRule>
    <cfRule type="expression" dxfId="1630" priority="343">
      <formula>$E387=18</formula>
    </cfRule>
    <cfRule type="expression" dxfId="1629" priority="344">
      <formula>$E387=17</formula>
    </cfRule>
    <cfRule type="expression" dxfId="1628" priority="345">
      <formula>$E387=16</formula>
    </cfRule>
    <cfRule type="expression" dxfId="1627" priority="346">
      <formula>$E387=15</formula>
    </cfRule>
    <cfRule type="expression" dxfId="1626" priority="347">
      <formula>$E387=14</formula>
    </cfRule>
    <cfRule type="expression" dxfId="1625" priority="348">
      <formula>$E387=13</formula>
    </cfRule>
    <cfRule type="expression" dxfId="1624" priority="349">
      <formula>$E387=12</formula>
    </cfRule>
  </conditionalFormatting>
  <conditionalFormatting sqref="C387:F387">
    <cfRule type="expression" dxfId="1623" priority="350">
      <formula>$E387&lt;12</formula>
    </cfRule>
    <cfRule type="expression" dxfId="1622" priority="351">
      <formula>$E387=18</formula>
    </cfRule>
    <cfRule type="expression" dxfId="1621" priority="352">
      <formula>$E387=17</formula>
    </cfRule>
    <cfRule type="expression" dxfId="1620" priority="353">
      <formula>$E387=16</formula>
    </cfRule>
    <cfRule type="expression" dxfId="1619" priority="354">
      <formula>$E387=15</formula>
    </cfRule>
    <cfRule type="expression" dxfId="1618" priority="355">
      <formula>$E387=14</formula>
    </cfRule>
    <cfRule type="expression" dxfId="1617" priority="356">
      <formula>$E387=13</formula>
    </cfRule>
    <cfRule type="expression" dxfId="1616" priority="357">
      <formula>$E387=12</formula>
    </cfRule>
  </conditionalFormatting>
  <conditionalFormatting sqref="A385:B385 G385:J385">
    <cfRule type="expression" dxfId="1615" priority="503">
      <formula>$E385&lt;12</formula>
    </cfRule>
    <cfRule type="expression" dxfId="1614" priority="504">
      <formula>$E385=18</formula>
    </cfRule>
    <cfRule type="expression" dxfId="1613" priority="505">
      <formula>$E385=17</formula>
    </cfRule>
    <cfRule type="expression" dxfId="1612" priority="506">
      <formula>$E385=16</formula>
    </cfRule>
    <cfRule type="expression" dxfId="1611" priority="507">
      <formula>$E385=15</formula>
    </cfRule>
    <cfRule type="expression" dxfId="1610" priority="508">
      <formula>$E385=14</formula>
    </cfRule>
    <cfRule type="expression" dxfId="1609" priority="509">
      <formula>$E385=13</formula>
    </cfRule>
    <cfRule type="expression" dxfId="1608" priority="510">
      <formula>$E385=12</formula>
    </cfRule>
  </conditionalFormatting>
  <conditionalFormatting sqref="A385:B385 G385:J385">
    <cfRule type="expression" dxfId="1607" priority="494">
      <formula>$E385=10</formula>
    </cfRule>
    <cfRule type="expression" dxfId="1606" priority="495">
      <formula>$E385=11</formula>
    </cfRule>
    <cfRule type="expression" dxfId="1605" priority="496">
      <formula>$E385=18</formula>
    </cfRule>
    <cfRule type="expression" dxfId="1604" priority="497">
      <formula>$E385=17</formula>
    </cfRule>
    <cfRule type="expression" dxfId="1603" priority="498">
      <formula>$E385=16</formula>
    </cfRule>
    <cfRule type="expression" dxfId="1602" priority="499">
      <formula>$E385=15</formula>
    </cfRule>
    <cfRule type="expression" dxfId="1601" priority="500">
      <formula>$E385=14</formula>
    </cfRule>
    <cfRule type="expression" dxfId="1600" priority="501">
      <formula>$E385=13</formula>
    </cfRule>
    <cfRule type="expression" dxfId="1599" priority="502">
      <formula>$E385=12</formula>
    </cfRule>
  </conditionalFormatting>
  <conditionalFormatting sqref="M385:N385">
    <cfRule type="expression" dxfId="1598" priority="486">
      <formula>$E385&lt;12</formula>
    </cfRule>
    <cfRule type="expression" dxfId="1597" priority="487">
      <formula>$E385=18</formula>
    </cfRule>
    <cfRule type="expression" dxfId="1596" priority="488">
      <formula>$E385=17</formula>
    </cfRule>
    <cfRule type="expression" dxfId="1595" priority="489">
      <formula>$E385=16</formula>
    </cfRule>
    <cfRule type="expression" dxfId="1594" priority="490">
      <formula>$E385=15</formula>
    </cfRule>
    <cfRule type="expression" dxfId="1593" priority="491">
      <formula>$E385=14</formula>
    </cfRule>
    <cfRule type="expression" dxfId="1592" priority="492">
      <formula>$E385=13</formula>
    </cfRule>
    <cfRule type="expression" dxfId="1591" priority="493">
      <formula>$E385=12</formula>
    </cfRule>
  </conditionalFormatting>
  <conditionalFormatting sqref="M385:N385">
    <cfRule type="expression" dxfId="1590" priority="477">
      <formula>$E385=10</formula>
    </cfRule>
    <cfRule type="expression" dxfId="1589" priority="478">
      <formula>$E385=11</formula>
    </cfRule>
    <cfRule type="expression" dxfId="1588" priority="479">
      <formula>$E385=18</formula>
    </cfRule>
    <cfRule type="expression" dxfId="1587" priority="480">
      <formula>$E385=17</formula>
    </cfRule>
    <cfRule type="expression" dxfId="1586" priority="481">
      <formula>$E385=16</formula>
    </cfRule>
    <cfRule type="expression" dxfId="1585" priority="482">
      <formula>$E385=15</formula>
    </cfRule>
    <cfRule type="expression" dxfId="1584" priority="483">
      <formula>$E385=14</formula>
    </cfRule>
    <cfRule type="expression" dxfId="1583" priority="484">
      <formula>$E385=13</formula>
    </cfRule>
    <cfRule type="expression" dxfId="1582" priority="485">
      <formula>$E385=12</formula>
    </cfRule>
  </conditionalFormatting>
  <conditionalFormatting sqref="L385">
    <cfRule type="expression" dxfId="1581" priority="469">
      <formula>$E385&lt;12</formula>
    </cfRule>
    <cfRule type="expression" dxfId="1580" priority="470">
      <formula>$E385=18</formula>
    </cfRule>
    <cfRule type="expression" dxfId="1579" priority="471">
      <formula>$E385=17</formula>
    </cfRule>
    <cfRule type="expression" dxfId="1578" priority="472">
      <formula>$E385=16</formula>
    </cfRule>
    <cfRule type="expression" dxfId="1577" priority="473">
      <formula>$E385=15</formula>
    </cfRule>
    <cfRule type="expression" dxfId="1576" priority="474">
      <formula>$E385=14</formula>
    </cfRule>
    <cfRule type="expression" dxfId="1575" priority="475">
      <formula>$E385=13</formula>
    </cfRule>
    <cfRule type="expression" dxfId="1574" priority="476">
      <formula>$E385=12</formula>
    </cfRule>
  </conditionalFormatting>
  <conditionalFormatting sqref="L385">
    <cfRule type="expression" dxfId="1573" priority="460">
      <formula>$E385=10</formula>
    </cfRule>
    <cfRule type="expression" dxfId="1572" priority="461">
      <formula>$E385=11</formula>
    </cfRule>
    <cfRule type="expression" dxfId="1571" priority="462">
      <formula>$E385=18</formula>
    </cfRule>
    <cfRule type="expression" dxfId="1570" priority="463">
      <formula>$E385=17</formula>
    </cfRule>
    <cfRule type="expression" dxfId="1569" priority="464">
      <formula>$E385=16</formula>
    </cfRule>
    <cfRule type="expression" dxfId="1568" priority="465">
      <formula>$E385=15</formula>
    </cfRule>
    <cfRule type="expression" dxfId="1567" priority="466">
      <formula>$E385=14</formula>
    </cfRule>
    <cfRule type="expression" dxfId="1566" priority="467">
      <formula>$E385=13</formula>
    </cfRule>
    <cfRule type="expression" dxfId="1565" priority="468">
      <formula>$E385=12</formula>
    </cfRule>
  </conditionalFormatting>
  <conditionalFormatting sqref="K385">
    <cfRule type="expression" dxfId="1564" priority="452">
      <formula>$E385&lt;12</formula>
    </cfRule>
    <cfRule type="expression" dxfId="1563" priority="453">
      <formula>$E385=18</formula>
    </cfRule>
    <cfRule type="expression" dxfId="1562" priority="454">
      <formula>$E385=17</formula>
    </cfRule>
    <cfRule type="expression" dxfId="1561" priority="455">
      <formula>$E385=16</formula>
    </cfRule>
    <cfRule type="expression" dxfId="1560" priority="456">
      <formula>$E385=15</formula>
    </cfRule>
    <cfRule type="expression" dxfId="1559" priority="457">
      <formula>$E385=14</formula>
    </cfRule>
    <cfRule type="expression" dxfId="1558" priority="458">
      <formula>$E385=13</formula>
    </cfRule>
    <cfRule type="expression" dxfId="1557" priority="459">
      <formula>$E385=12</formula>
    </cfRule>
  </conditionalFormatting>
  <conditionalFormatting sqref="K385">
    <cfRule type="expression" dxfId="1556" priority="443">
      <formula>$E385=10</formula>
    </cfRule>
    <cfRule type="expression" dxfId="1555" priority="444">
      <formula>$E385=11</formula>
    </cfRule>
    <cfRule type="expression" dxfId="1554" priority="445">
      <formula>$E385=18</formula>
    </cfRule>
    <cfRule type="expression" dxfId="1553" priority="446">
      <formula>$E385=17</formula>
    </cfRule>
    <cfRule type="expression" dxfId="1552" priority="447">
      <formula>$E385=16</formula>
    </cfRule>
    <cfRule type="expression" dxfId="1551" priority="448">
      <formula>$E385=15</formula>
    </cfRule>
    <cfRule type="expression" dxfId="1550" priority="449">
      <formula>$E385=14</formula>
    </cfRule>
    <cfRule type="expression" dxfId="1549" priority="450">
      <formula>$E385=13</formula>
    </cfRule>
    <cfRule type="expression" dxfId="1548" priority="451">
      <formula>$E385=12</formula>
    </cfRule>
  </conditionalFormatting>
  <conditionalFormatting sqref="C385:F385">
    <cfRule type="expression" dxfId="1547" priority="426">
      <formula>$E385=10</formula>
    </cfRule>
    <cfRule type="expression" dxfId="1546" priority="427">
      <formula>$E385=11</formula>
    </cfRule>
    <cfRule type="expression" dxfId="1545" priority="428">
      <formula>$E385=18</formula>
    </cfRule>
    <cfRule type="expression" dxfId="1544" priority="429">
      <formula>$E385=17</formula>
    </cfRule>
    <cfRule type="expression" dxfId="1543" priority="430">
      <formula>$E385=16</formula>
    </cfRule>
    <cfRule type="expression" dxfId="1542" priority="431">
      <formula>$E385=15</formula>
    </cfRule>
    <cfRule type="expression" dxfId="1541" priority="432">
      <formula>$E385=14</formula>
    </cfRule>
    <cfRule type="expression" dxfId="1540" priority="433">
      <formula>$E385=13</formula>
    </cfRule>
    <cfRule type="expression" dxfId="1539" priority="434">
      <formula>$E385=12</formula>
    </cfRule>
  </conditionalFormatting>
  <conditionalFormatting sqref="C385:F385">
    <cfRule type="expression" dxfId="1538" priority="435">
      <formula>$E385&lt;12</formula>
    </cfRule>
    <cfRule type="expression" dxfId="1537" priority="436">
      <formula>$E385=18</formula>
    </cfRule>
    <cfRule type="expression" dxfId="1536" priority="437">
      <formula>$E385=17</formula>
    </cfRule>
    <cfRule type="expression" dxfId="1535" priority="438">
      <formula>$E385=16</formula>
    </cfRule>
    <cfRule type="expression" dxfId="1534" priority="439">
      <formula>$E385=15</formula>
    </cfRule>
    <cfRule type="expression" dxfId="1533" priority="440">
      <formula>$E385=14</formula>
    </cfRule>
    <cfRule type="expression" dxfId="1532" priority="441">
      <formula>$E385=13</formula>
    </cfRule>
    <cfRule type="expression" dxfId="1531" priority="442">
      <formula>$E385=12</formula>
    </cfRule>
  </conditionalFormatting>
  <conditionalFormatting sqref="A389:B403 G389:J403">
    <cfRule type="expression" dxfId="1530" priority="333">
      <formula>$E389&lt;12</formula>
    </cfRule>
    <cfRule type="expression" dxfId="1529" priority="334">
      <formula>$E389=18</formula>
    </cfRule>
    <cfRule type="expression" dxfId="1528" priority="335">
      <formula>$E389=17</formula>
    </cfRule>
    <cfRule type="expression" dxfId="1527" priority="336">
      <formula>$E389=16</formula>
    </cfRule>
    <cfRule type="expression" dxfId="1526" priority="337">
      <formula>$E389=15</formula>
    </cfRule>
    <cfRule type="expression" dxfId="1525" priority="338">
      <formula>$E389=14</formula>
    </cfRule>
    <cfRule type="expression" dxfId="1524" priority="339">
      <formula>$E389=13</formula>
    </cfRule>
    <cfRule type="expression" dxfId="1523" priority="340">
      <formula>$E389=12</formula>
    </cfRule>
  </conditionalFormatting>
  <conditionalFormatting sqref="A389:B403 G389:J403">
    <cfRule type="expression" dxfId="1522" priority="324">
      <formula>$E389=10</formula>
    </cfRule>
    <cfRule type="expression" dxfId="1521" priority="325">
      <formula>$E389=11</formula>
    </cfRule>
    <cfRule type="expression" dxfId="1520" priority="326">
      <formula>$E389=18</formula>
    </cfRule>
    <cfRule type="expression" dxfId="1519" priority="327">
      <formula>$E389=17</formula>
    </cfRule>
    <cfRule type="expression" dxfId="1518" priority="328">
      <formula>$E389=16</formula>
    </cfRule>
    <cfRule type="expression" dxfId="1517" priority="329">
      <formula>$E389=15</formula>
    </cfRule>
    <cfRule type="expression" dxfId="1516" priority="330">
      <formula>$E389=14</formula>
    </cfRule>
    <cfRule type="expression" dxfId="1515" priority="331">
      <formula>$E389=13</formula>
    </cfRule>
    <cfRule type="expression" dxfId="1514" priority="332">
      <formula>$E389=12</formula>
    </cfRule>
  </conditionalFormatting>
  <conditionalFormatting sqref="M389:N403">
    <cfRule type="expression" dxfId="1513" priority="316">
      <formula>$E389&lt;12</formula>
    </cfRule>
    <cfRule type="expression" dxfId="1512" priority="317">
      <formula>$E389=18</formula>
    </cfRule>
    <cfRule type="expression" dxfId="1511" priority="318">
      <formula>$E389=17</formula>
    </cfRule>
    <cfRule type="expression" dxfId="1510" priority="319">
      <formula>$E389=16</formula>
    </cfRule>
    <cfRule type="expression" dxfId="1509" priority="320">
      <formula>$E389=15</formula>
    </cfRule>
    <cfRule type="expression" dxfId="1508" priority="321">
      <formula>$E389=14</formula>
    </cfRule>
    <cfRule type="expression" dxfId="1507" priority="322">
      <formula>$E389=13</formula>
    </cfRule>
    <cfRule type="expression" dxfId="1506" priority="323">
      <formula>$E389=12</formula>
    </cfRule>
  </conditionalFormatting>
  <conditionalFormatting sqref="M389:N403">
    <cfRule type="expression" dxfId="1505" priority="307">
      <formula>$E389=10</formula>
    </cfRule>
    <cfRule type="expression" dxfId="1504" priority="308">
      <formula>$E389=11</formula>
    </cfRule>
    <cfRule type="expression" dxfId="1503" priority="309">
      <formula>$E389=18</formula>
    </cfRule>
    <cfRule type="expression" dxfId="1502" priority="310">
      <formula>$E389=17</formula>
    </cfRule>
    <cfRule type="expression" dxfId="1501" priority="311">
      <formula>$E389=16</formula>
    </cfRule>
    <cfRule type="expression" dxfId="1500" priority="312">
      <formula>$E389=15</formula>
    </cfRule>
    <cfRule type="expression" dxfId="1499" priority="313">
      <formula>$E389=14</formula>
    </cfRule>
    <cfRule type="expression" dxfId="1498" priority="314">
      <formula>$E389=13</formula>
    </cfRule>
    <cfRule type="expression" dxfId="1497" priority="315">
      <formula>$E389=12</formula>
    </cfRule>
  </conditionalFormatting>
  <conditionalFormatting sqref="L389:L403">
    <cfRule type="expression" dxfId="1496" priority="299">
      <formula>$E389&lt;12</formula>
    </cfRule>
    <cfRule type="expression" dxfId="1495" priority="300">
      <formula>$E389=18</formula>
    </cfRule>
    <cfRule type="expression" dxfId="1494" priority="301">
      <formula>$E389=17</formula>
    </cfRule>
    <cfRule type="expression" dxfId="1493" priority="302">
      <formula>$E389=16</formula>
    </cfRule>
    <cfRule type="expression" dxfId="1492" priority="303">
      <formula>$E389=15</formula>
    </cfRule>
    <cfRule type="expression" dxfId="1491" priority="304">
      <formula>$E389=14</formula>
    </cfRule>
    <cfRule type="expression" dxfId="1490" priority="305">
      <formula>$E389=13</formula>
    </cfRule>
    <cfRule type="expression" dxfId="1489" priority="306">
      <formula>$E389=12</formula>
    </cfRule>
  </conditionalFormatting>
  <conditionalFormatting sqref="L389:L403">
    <cfRule type="expression" dxfId="1488" priority="290">
      <formula>$E389=10</formula>
    </cfRule>
    <cfRule type="expression" dxfId="1487" priority="291">
      <formula>$E389=11</formula>
    </cfRule>
    <cfRule type="expression" dxfId="1486" priority="292">
      <formula>$E389=18</formula>
    </cfRule>
    <cfRule type="expression" dxfId="1485" priority="293">
      <formula>$E389=17</formula>
    </cfRule>
    <cfRule type="expression" dxfId="1484" priority="294">
      <formula>$E389=16</formula>
    </cfRule>
    <cfRule type="expression" dxfId="1483" priority="295">
      <formula>$E389=15</formula>
    </cfRule>
    <cfRule type="expression" dxfId="1482" priority="296">
      <formula>$E389=14</formula>
    </cfRule>
    <cfRule type="expression" dxfId="1481" priority="297">
      <formula>$E389=13</formula>
    </cfRule>
    <cfRule type="expression" dxfId="1480" priority="298">
      <formula>$E389=12</formula>
    </cfRule>
  </conditionalFormatting>
  <conditionalFormatting sqref="K389:K403">
    <cfRule type="expression" dxfId="1479" priority="282">
      <formula>$E389&lt;12</formula>
    </cfRule>
    <cfRule type="expression" dxfId="1478" priority="283">
      <formula>$E389=18</formula>
    </cfRule>
    <cfRule type="expression" dxfId="1477" priority="284">
      <formula>$E389=17</formula>
    </cfRule>
    <cfRule type="expression" dxfId="1476" priority="285">
      <formula>$E389=16</formula>
    </cfRule>
    <cfRule type="expression" dxfId="1475" priority="286">
      <formula>$E389=15</formula>
    </cfRule>
    <cfRule type="expression" dxfId="1474" priority="287">
      <formula>$E389=14</formula>
    </cfRule>
    <cfRule type="expression" dxfId="1473" priority="288">
      <formula>$E389=13</formula>
    </cfRule>
    <cfRule type="expression" dxfId="1472" priority="289">
      <formula>$E389=12</formula>
    </cfRule>
  </conditionalFormatting>
  <conditionalFormatting sqref="K389:K403">
    <cfRule type="expression" dxfId="1471" priority="273">
      <formula>$E389=10</formula>
    </cfRule>
    <cfRule type="expression" dxfId="1470" priority="274">
      <formula>$E389=11</formula>
    </cfRule>
    <cfRule type="expression" dxfId="1469" priority="275">
      <formula>$E389=18</formula>
    </cfRule>
    <cfRule type="expression" dxfId="1468" priority="276">
      <formula>$E389=17</formula>
    </cfRule>
    <cfRule type="expression" dxfId="1467" priority="277">
      <formula>$E389=16</formula>
    </cfRule>
    <cfRule type="expression" dxfId="1466" priority="278">
      <formula>$E389=15</formula>
    </cfRule>
    <cfRule type="expression" dxfId="1465" priority="279">
      <formula>$E389=14</formula>
    </cfRule>
    <cfRule type="expression" dxfId="1464" priority="280">
      <formula>$E389=13</formula>
    </cfRule>
    <cfRule type="expression" dxfId="1463" priority="281">
      <formula>$E389=12</formula>
    </cfRule>
  </conditionalFormatting>
  <conditionalFormatting sqref="C389:F403">
    <cfRule type="expression" dxfId="1462" priority="256">
      <formula>$E389=10</formula>
    </cfRule>
    <cfRule type="expression" dxfId="1461" priority="257">
      <formula>$E389=11</formula>
    </cfRule>
    <cfRule type="expression" dxfId="1460" priority="258">
      <formula>$E389=18</formula>
    </cfRule>
    <cfRule type="expression" dxfId="1459" priority="259">
      <formula>$E389=17</formula>
    </cfRule>
    <cfRule type="expression" dxfId="1458" priority="260">
      <formula>$E389=16</formula>
    </cfRule>
    <cfRule type="expression" dxfId="1457" priority="261">
      <formula>$E389=15</formula>
    </cfRule>
    <cfRule type="expression" dxfId="1456" priority="262">
      <formula>$E389=14</formula>
    </cfRule>
    <cfRule type="expression" dxfId="1455" priority="263">
      <formula>$E389=13</formula>
    </cfRule>
    <cfRule type="expression" dxfId="1454" priority="264">
      <formula>$E389=12</formula>
    </cfRule>
  </conditionalFormatting>
  <conditionalFormatting sqref="C389:F403">
    <cfRule type="expression" dxfId="1453" priority="265">
      <formula>$E389&lt;12</formula>
    </cfRule>
    <cfRule type="expression" dxfId="1452" priority="266">
      <formula>$E389=18</formula>
    </cfRule>
    <cfRule type="expression" dxfId="1451" priority="267">
      <formula>$E389=17</formula>
    </cfRule>
    <cfRule type="expression" dxfId="1450" priority="268">
      <formula>$E389=16</formula>
    </cfRule>
    <cfRule type="expression" dxfId="1449" priority="269">
      <formula>$E389=15</formula>
    </cfRule>
    <cfRule type="expression" dxfId="1448" priority="270">
      <formula>$E389=14</formula>
    </cfRule>
    <cfRule type="expression" dxfId="1447" priority="271">
      <formula>$E389=13</formula>
    </cfRule>
    <cfRule type="expression" dxfId="1446" priority="272">
      <formula>$E389=12</formula>
    </cfRule>
  </conditionalFormatting>
  <conditionalFormatting sqref="A405:B405 G405:J405">
    <cfRule type="expression" dxfId="1445" priority="248">
      <formula>$E405&lt;12</formula>
    </cfRule>
    <cfRule type="expression" dxfId="1444" priority="249">
      <formula>$E405=18</formula>
    </cfRule>
    <cfRule type="expression" dxfId="1443" priority="250">
      <formula>$E405=17</formula>
    </cfRule>
    <cfRule type="expression" dxfId="1442" priority="251">
      <formula>$E405=16</formula>
    </cfRule>
    <cfRule type="expression" dxfId="1441" priority="252">
      <formula>$E405=15</formula>
    </cfRule>
    <cfRule type="expression" dxfId="1440" priority="253">
      <formula>$E405=14</formula>
    </cfRule>
    <cfRule type="expression" dxfId="1439" priority="254">
      <formula>$E405=13</formula>
    </cfRule>
    <cfRule type="expression" dxfId="1438" priority="255">
      <formula>$E405=12</formula>
    </cfRule>
  </conditionalFormatting>
  <conditionalFormatting sqref="A405:B405 G405:J405">
    <cfRule type="expression" dxfId="1437" priority="239">
      <formula>$E405=10</formula>
    </cfRule>
    <cfRule type="expression" dxfId="1436" priority="240">
      <formula>$E405=11</formula>
    </cfRule>
    <cfRule type="expression" dxfId="1435" priority="241">
      <formula>$E405=18</formula>
    </cfRule>
    <cfRule type="expression" dxfId="1434" priority="242">
      <formula>$E405=17</formula>
    </cfRule>
    <cfRule type="expression" dxfId="1433" priority="243">
      <formula>$E405=16</formula>
    </cfRule>
    <cfRule type="expression" dxfId="1432" priority="244">
      <formula>$E405=15</formula>
    </cfRule>
    <cfRule type="expression" dxfId="1431" priority="245">
      <formula>$E405=14</formula>
    </cfRule>
    <cfRule type="expression" dxfId="1430" priority="246">
      <formula>$E405=13</formula>
    </cfRule>
    <cfRule type="expression" dxfId="1429" priority="247">
      <formula>$E405=12</formula>
    </cfRule>
  </conditionalFormatting>
  <conditionalFormatting sqref="M405:N405">
    <cfRule type="expression" dxfId="1428" priority="231">
      <formula>$E405&lt;12</formula>
    </cfRule>
    <cfRule type="expression" dxfId="1427" priority="232">
      <formula>$E405=18</formula>
    </cfRule>
    <cfRule type="expression" dxfId="1426" priority="233">
      <formula>$E405=17</formula>
    </cfRule>
    <cfRule type="expression" dxfId="1425" priority="234">
      <formula>$E405=16</formula>
    </cfRule>
    <cfRule type="expression" dxfId="1424" priority="235">
      <formula>$E405=15</formula>
    </cfRule>
    <cfRule type="expression" dxfId="1423" priority="236">
      <formula>$E405=14</formula>
    </cfRule>
    <cfRule type="expression" dxfId="1422" priority="237">
      <formula>$E405=13</formula>
    </cfRule>
    <cfRule type="expression" dxfId="1421" priority="238">
      <formula>$E405=12</formula>
    </cfRule>
  </conditionalFormatting>
  <conditionalFormatting sqref="M405:N405">
    <cfRule type="expression" dxfId="1420" priority="222">
      <formula>$E405=10</formula>
    </cfRule>
    <cfRule type="expression" dxfId="1419" priority="223">
      <formula>$E405=11</formula>
    </cfRule>
    <cfRule type="expression" dxfId="1418" priority="224">
      <formula>$E405=18</formula>
    </cfRule>
    <cfRule type="expression" dxfId="1417" priority="225">
      <formula>$E405=17</formula>
    </cfRule>
    <cfRule type="expression" dxfId="1416" priority="226">
      <formula>$E405=16</formula>
    </cfRule>
    <cfRule type="expression" dxfId="1415" priority="227">
      <formula>$E405=15</formula>
    </cfRule>
    <cfRule type="expression" dxfId="1414" priority="228">
      <formula>$E405=14</formula>
    </cfRule>
    <cfRule type="expression" dxfId="1413" priority="229">
      <formula>$E405=13</formula>
    </cfRule>
    <cfRule type="expression" dxfId="1412" priority="230">
      <formula>$E405=12</formula>
    </cfRule>
  </conditionalFormatting>
  <conditionalFormatting sqref="L405">
    <cfRule type="expression" dxfId="1411" priority="214">
      <formula>$E405&lt;12</formula>
    </cfRule>
    <cfRule type="expression" dxfId="1410" priority="215">
      <formula>$E405=18</formula>
    </cfRule>
    <cfRule type="expression" dxfId="1409" priority="216">
      <formula>$E405=17</formula>
    </cfRule>
    <cfRule type="expression" dxfId="1408" priority="217">
      <formula>$E405=16</formula>
    </cfRule>
    <cfRule type="expression" dxfId="1407" priority="218">
      <formula>$E405=15</formula>
    </cfRule>
    <cfRule type="expression" dxfId="1406" priority="219">
      <formula>$E405=14</formula>
    </cfRule>
    <cfRule type="expression" dxfId="1405" priority="220">
      <formula>$E405=13</formula>
    </cfRule>
    <cfRule type="expression" dxfId="1404" priority="221">
      <formula>$E405=12</formula>
    </cfRule>
  </conditionalFormatting>
  <conditionalFormatting sqref="L405">
    <cfRule type="expression" dxfId="1403" priority="205">
      <formula>$E405=10</formula>
    </cfRule>
    <cfRule type="expression" dxfId="1402" priority="206">
      <formula>$E405=11</formula>
    </cfRule>
    <cfRule type="expression" dxfId="1401" priority="207">
      <formula>$E405=18</formula>
    </cfRule>
    <cfRule type="expression" dxfId="1400" priority="208">
      <formula>$E405=17</formula>
    </cfRule>
    <cfRule type="expression" dxfId="1399" priority="209">
      <formula>$E405=16</formula>
    </cfRule>
    <cfRule type="expression" dxfId="1398" priority="210">
      <formula>$E405=15</formula>
    </cfRule>
    <cfRule type="expression" dxfId="1397" priority="211">
      <formula>$E405=14</formula>
    </cfRule>
    <cfRule type="expression" dxfId="1396" priority="212">
      <formula>$E405=13</formula>
    </cfRule>
    <cfRule type="expression" dxfId="1395" priority="213">
      <formula>$E405=12</formula>
    </cfRule>
  </conditionalFormatting>
  <conditionalFormatting sqref="K405">
    <cfRule type="expression" dxfId="1394" priority="197">
      <formula>$E405&lt;12</formula>
    </cfRule>
    <cfRule type="expression" dxfId="1393" priority="198">
      <formula>$E405=18</formula>
    </cfRule>
    <cfRule type="expression" dxfId="1392" priority="199">
      <formula>$E405=17</formula>
    </cfRule>
    <cfRule type="expression" dxfId="1391" priority="200">
      <formula>$E405=16</formula>
    </cfRule>
    <cfRule type="expression" dxfId="1390" priority="201">
      <formula>$E405=15</formula>
    </cfRule>
    <cfRule type="expression" dxfId="1389" priority="202">
      <formula>$E405=14</formula>
    </cfRule>
    <cfRule type="expression" dxfId="1388" priority="203">
      <formula>$E405=13</formula>
    </cfRule>
    <cfRule type="expression" dxfId="1387" priority="204">
      <formula>$E405=12</formula>
    </cfRule>
  </conditionalFormatting>
  <conditionalFormatting sqref="K405">
    <cfRule type="expression" dxfId="1386" priority="188">
      <formula>$E405=10</formula>
    </cfRule>
    <cfRule type="expression" dxfId="1385" priority="189">
      <formula>$E405=11</formula>
    </cfRule>
    <cfRule type="expression" dxfId="1384" priority="190">
      <formula>$E405=18</formula>
    </cfRule>
    <cfRule type="expression" dxfId="1383" priority="191">
      <formula>$E405=17</formula>
    </cfRule>
    <cfRule type="expression" dxfId="1382" priority="192">
      <formula>$E405=16</formula>
    </cfRule>
    <cfRule type="expression" dxfId="1381" priority="193">
      <formula>$E405=15</formula>
    </cfRule>
    <cfRule type="expression" dxfId="1380" priority="194">
      <formula>$E405=14</formula>
    </cfRule>
    <cfRule type="expression" dxfId="1379" priority="195">
      <formula>$E405=13</formula>
    </cfRule>
    <cfRule type="expression" dxfId="1378" priority="196">
      <formula>$E405=12</formula>
    </cfRule>
  </conditionalFormatting>
  <conditionalFormatting sqref="C405:F405">
    <cfRule type="expression" dxfId="1377" priority="171">
      <formula>$E405=10</formula>
    </cfRule>
    <cfRule type="expression" dxfId="1376" priority="172">
      <formula>$E405=11</formula>
    </cfRule>
    <cfRule type="expression" dxfId="1375" priority="173">
      <formula>$E405=18</formula>
    </cfRule>
    <cfRule type="expression" dxfId="1374" priority="174">
      <formula>$E405=17</formula>
    </cfRule>
    <cfRule type="expression" dxfId="1373" priority="175">
      <formula>$E405=16</formula>
    </cfRule>
    <cfRule type="expression" dxfId="1372" priority="176">
      <formula>$E405=15</formula>
    </cfRule>
    <cfRule type="expression" dxfId="1371" priority="177">
      <formula>$E405=14</formula>
    </cfRule>
    <cfRule type="expression" dxfId="1370" priority="178">
      <formula>$E405=13</formula>
    </cfRule>
    <cfRule type="expression" dxfId="1369" priority="179">
      <formula>$E405=12</formula>
    </cfRule>
  </conditionalFormatting>
  <conditionalFormatting sqref="C405:F405">
    <cfRule type="expression" dxfId="1368" priority="180">
      <formula>$E405&lt;12</formula>
    </cfRule>
    <cfRule type="expression" dxfId="1367" priority="181">
      <formula>$E405=18</formula>
    </cfRule>
    <cfRule type="expression" dxfId="1366" priority="182">
      <formula>$E405=17</formula>
    </cfRule>
    <cfRule type="expression" dxfId="1365" priority="183">
      <formula>$E405=16</formula>
    </cfRule>
    <cfRule type="expression" dxfId="1364" priority="184">
      <formula>$E405=15</formula>
    </cfRule>
    <cfRule type="expression" dxfId="1363" priority="185">
      <formula>$E405=14</formula>
    </cfRule>
    <cfRule type="expression" dxfId="1362" priority="186">
      <formula>$E405=13</formula>
    </cfRule>
    <cfRule type="expression" dxfId="1361" priority="187">
      <formula>$E405=12</formula>
    </cfRule>
  </conditionalFormatting>
  <conditionalFormatting sqref="A407:B407 G407:J407">
    <cfRule type="expression" dxfId="1360" priority="163">
      <formula>$E407&lt;12</formula>
    </cfRule>
    <cfRule type="expression" dxfId="1359" priority="164">
      <formula>$E407=18</formula>
    </cfRule>
    <cfRule type="expression" dxfId="1358" priority="165">
      <formula>$E407=17</formula>
    </cfRule>
    <cfRule type="expression" dxfId="1357" priority="166">
      <formula>$E407=16</formula>
    </cfRule>
    <cfRule type="expression" dxfId="1356" priority="167">
      <formula>$E407=15</formula>
    </cfRule>
    <cfRule type="expression" dxfId="1355" priority="168">
      <formula>$E407=14</formula>
    </cfRule>
    <cfRule type="expression" dxfId="1354" priority="169">
      <formula>$E407=13</formula>
    </cfRule>
    <cfRule type="expression" dxfId="1353" priority="170">
      <formula>$E407=12</formula>
    </cfRule>
  </conditionalFormatting>
  <conditionalFormatting sqref="A407:B407 G407:J407">
    <cfRule type="expression" dxfId="1352" priority="154">
      <formula>$E407=10</formula>
    </cfRule>
    <cfRule type="expression" dxfId="1351" priority="155">
      <formula>$E407=11</formula>
    </cfRule>
    <cfRule type="expression" dxfId="1350" priority="156">
      <formula>$E407=18</formula>
    </cfRule>
    <cfRule type="expression" dxfId="1349" priority="157">
      <formula>$E407=17</formula>
    </cfRule>
    <cfRule type="expression" dxfId="1348" priority="158">
      <formula>$E407=16</formula>
    </cfRule>
    <cfRule type="expression" dxfId="1347" priority="159">
      <formula>$E407=15</formula>
    </cfRule>
    <cfRule type="expression" dxfId="1346" priority="160">
      <formula>$E407=14</formula>
    </cfRule>
    <cfRule type="expression" dxfId="1345" priority="161">
      <formula>$E407=13</formula>
    </cfRule>
    <cfRule type="expression" dxfId="1344" priority="162">
      <formula>$E407=12</formula>
    </cfRule>
  </conditionalFormatting>
  <conditionalFormatting sqref="M407:N407">
    <cfRule type="expression" dxfId="1343" priority="146">
      <formula>$E407&lt;12</formula>
    </cfRule>
    <cfRule type="expression" dxfId="1342" priority="147">
      <formula>$E407=18</formula>
    </cfRule>
    <cfRule type="expression" dxfId="1341" priority="148">
      <formula>$E407=17</formula>
    </cfRule>
    <cfRule type="expression" dxfId="1340" priority="149">
      <formula>$E407=16</formula>
    </cfRule>
    <cfRule type="expression" dxfId="1339" priority="150">
      <formula>$E407=15</formula>
    </cfRule>
    <cfRule type="expression" dxfId="1338" priority="151">
      <formula>$E407=14</formula>
    </cfRule>
    <cfRule type="expression" dxfId="1337" priority="152">
      <formula>$E407=13</formula>
    </cfRule>
    <cfRule type="expression" dxfId="1336" priority="153">
      <formula>$E407=12</formula>
    </cfRule>
  </conditionalFormatting>
  <conditionalFormatting sqref="M407:N407">
    <cfRule type="expression" dxfId="1335" priority="137">
      <formula>$E407=10</formula>
    </cfRule>
    <cfRule type="expression" dxfId="1334" priority="138">
      <formula>$E407=11</formula>
    </cfRule>
    <cfRule type="expression" dxfId="1333" priority="139">
      <formula>$E407=18</formula>
    </cfRule>
    <cfRule type="expression" dxfId="1332" priority="140">
      <formula>$E407=17</formula>
    </cfRule>
    <cfRule type="expression" dxfId="1331" priority="141">
      <formula>$E407=16</formula>
    </cfRule>
    <cfRule type="expression" dxfId="1330" priority="142">
      <formula>$E407=15</formula>
    </cfRule>
    <cfRule type="expression" dxfId="1329" priority="143">
      <formula>$E407=14</formula>
    </cfRule>
    <cfRule type="expression" dxfId="1328" priority="144">
      <formula>$E407=13</formula>
    </cfRule>
    <cfRule type="expression" dxfId="1327" priority="145">
      <formula>$E407=12</formula>
    </cfRule>
  </conditionalFormatting>
  <conditionalFormatting sqref="L407">
    <cfRule type="expression" dxfId="1326" priority="129">
      <formula>$E407&lt;12</formula>
    </cfRule>
    <cfRule type="expression" dxfId="1325" priority="130">
      <formula>$E407=18</formula>
    </cfRule>
    <cfRule type="expression" dxfId="1324" priority="131">
      <formula>$E407=17</formula>
    </cfRule>
    <cfRule type="expression" dxfId="1323" priority="132">
      <formula>$E407=16</formula>
    </cfRule>
    <cfRule type="expression" dxfId="1322" priority="133">
      <formula>$E407=15</formula>
    </cfRule>
    <cfRule type="expression" dxfId="1321" priority="134">
      <formula>$E407=14</formula>
    </cfRule>
    <cfRule type="expression" dxfId="1320" priority="135">
      <formula>$E407=13</formula>
    </cfRule>
    <cfRule type="expression" dxfId="1319" priority="136">
      <formula>$E407=12</formula>
    </cfRule>
  </conditionalFormatting>
  <conditionalFormatting sqref="L407">
    <cfRule type="expression" dxfId="1318" priority="120">
      <formula>$E407=10</formula>
    </cfRule>
    <cfRule type="expression" dxfId="1317" priority="121">
      <formula>$E407=11</formula>
    </cfRule>
    <cfRule type="expression" dxfId="1316" priority="122">
      <formula>$E407=18</formula>
    </cfRule>
    <cfRule type="expression" dxfId="1315" priority="123">
      <formula>$E407=17</formula>
    </cfRule>
    <cfRule type="expression" dxfId="1314" priority="124">
      <formula>$E407=16</formula>
    </cfRule>
    <cfRule type="expression" dxfId="1313" priority="125">
      <formula>$E407=15</formula>
    </cfRule>
    <cfRule type="expression" dxfId="1312" priority="126">
      <formula>$E407=14</formula>
    </cfRule>
    <cfRule type="expression" dxfId="1311" priority="127">
      <formula>$E407=13</formula>
    </cfRule>
    <cfRule type="expression" dxfId="1310" priority="128">
      <formula>$E407=12</formula>
    </cfRule>
  </conditionalFormatting>
  <conditionalFormatting sqref="K407">
    <cfRule type="expression" dxfId="1309" priority="112">
      <formula>$E407&lt;12</formula>
    </cfRule>
    <cfRule type="expression" dxfId="1308" priority="113">
      <formula>$E407=18</formula>
    </cfRule>
    <cfRule type="expression" dxfId="1307" priority="114">
      <formula>$E407=17</formula>
    </cfRule>
    <cfRule type="expression" dxfId="1306" priority="115">
      <formula>$E407=16</formula>
    </cfRule>
    <cfRule type="expression" dxfId="1305" priority="116">
      <formula>$E407=15</formula>
    </cfRule>
    <cfRule type="expression" dxfId="1304" priority="117">
      <formula>$E407=14</formula>
    </cfRule>
    <cfRule type="expression" dxfId="1303" priority="118">
      <formula>$E407=13</formula>
    </cfRule>
    <cfRule type="expression" dxfId="1302" priority="119">
      <formula>$E407=12</formula>
    </cfRule>
  </conditionalFormatting>
  <conditionalFormatting sqref="K407">
    <cfRule type="expression" dxfId="1301" priority="103">
      <formula>$E407=10</formula>
    </cfRule>
    <cfRule type="expression" dxfId="1300" priority="104">
      <formula>$E407=11</formula>
    </cfRule>
    <cfRule type="expression" dxfId="1299" priority="105">
      <formula>$E407=18</formula>
    </cfRule>
    <cfRule type="expression" dxfId="1298" priority="106">
      <formula>$E407=17</formula>
    </cfRule>
    <cfRule type="expression" dxfId="1297" priority="107">
      <formula>$E407=16</formula>
    </cfRule>
    <cfRule type="expression" dxfId="1296" priority="108">
      <formula>$E407=15</formula>
    </cfRule>
    <cfRule type="expression" dxfId="1295" priority="109">
      <formula>$E407=14</formula>
    </cfRule>
    <cfRule type="expression" dxfId="1294" priority="110">
      <formula>$E407=13</formula>
    </cfRule>
    <cfRule type="expression" dxfId="1293" priority="111">
      <formula>$E407=12</formula>
    </cfRule>
  </conditionalFormatting>
  <conditionalFormatting sqref="C407:F407">
    <cfRule type="expression" dxfId="1292" priority="86">
      <formula>$E407=10</formula>
    </cfRule>
    <cfRule type="expression" dxfId="1291" priority="87">
      <formula>$E407=11</formula>
    </cfRule>
    <cfRule type="expression" dxfId="1290" priority="88">
      <formula>$E407=18</formula>
    </cfRule>
    <cfRule type="expression" dxfId="1289" priority="89">
      <formula>$E407=17</formula>
    </cfRule>
    <cfRule type="expression" dxfId="1288" priority="90">
      <formula>$E407=16</formula>
    </cfRule>
    <cfRule type="expression" dxfId="1287" priority="91">
      <formula>$E407=15</formula>
    </cfRule>
    <cfRule type="expression" dxfId="1286" priority="92">
      <formula>$E407=14</formula>
    </cfRule>
    <cfRule type="expression" dxfId="1285" priority="93">
      <formula>$E407=13</formula>
    </cfRule>
    <cfRule type="expression" dxfId="1284" priority="94">
      <formula>$E407=12</formula>
    </cfRule>
  </conditionalFormatting>
  <conditionalFormatting sqref="C407:F407">
    <cfRule type="expression" dxfId="1283" priority="95">
      <formula>$E407&lt;12</formula>
    </cfRule>
    <cfRule type="expression" dxfId="1282" priority="96">
      <formula>$E407=18</formula>
    </cfRule>
    <cfRule type="expression" dxfId="1281" priority="97">
      <formula>$E407=17</formula>
    </cfRule>
    <cfRule type="expression" dxfId="1280" priority="98">
      <formula>$E407=16</formula>
    </cfRule>
    <cfRule type="expression" dxfId="1279" priority="99">
      <formula>$E407=15</formula>
    </cfRule>
    <cfRule type="expression" dxfId="1278" priority="100">
      <formula>$E407=14</formula>
    </cfRule>
    <cfRule type="expression" dxfId="1277" priority="101">
      <formula>$E407=13</formula>
    </cfRule>
    <cfRule type="expression" dxfId="1276" priority="102">
      <formula>$E407=12</formula>
    </cfRule>
  </conditionalFormatting>
  <conditionalFormatting sqref="A409:B411 G409:J411">
    <cfRule type="expression" dxfId="1275" priority="78">
      <formula>$E409&lt;12</formula>
    </cfRule>
    <cfRule type="expression" dxfId="1274" priority="79">
      <formula>$E409=18</formula>
    </cfRule>
    <cfRule type="expression" dxfId="1273" priority="80">
      <formula>$E409=17</formula>
    </cfRule>
    <cfRule type="expression" dxfId="1272" priority="81">
      <formula>$E409=16</formula>
    </cfRule>
    <cfRule type="expression" dxfId="1271" priority="82">
      <formula>$E409=15</formula>
    </cfRule>
    <cfRule type="expression" dxfId="1270" priority="83">
      <formula>$E409=14</formula>
    </cfRule>
    <cfRule type="expression" dxfId="1269" priority="84">
      <formula>$E409=13</formula>
    </cfRule>
    <cfRule type="expression" dxfId="1268" priority="85">
      <formula>$E409=12</formula>
    </cfRule>
  </conditionalFormatting>
  <conditionalFormatting sqref="A409:B411 G409:J411">
    <cfRule type="expression" dxfId="1267" priority="69">
      <formula>$E409=10</formula>
    </cfRule>
    <cfRule type="expression" dxfId="1266" priority="70">
      <formula>$E409=11</formula>
    </cfRule>
    <cfRule type="expression" dxfId="1265" priority="71">
      <formula>$E409=18</formula>
    </cfRule>
    <cfRule type="expression" dxfId="1264" priority="72">
      <formula>$E409=17</formula>
    </cfRule>
    <cfRule type="expression" dxfId="1263" priority="73">
      <formula>$E409=16</formula>
    </cfRule>
    <cfRule type="expression" dxfId="1262" priority="74">
      <formula>$E409=15</formula>
    </cfRule>
    <cfRule type="expression" dxfId="1261" priority="75">
      <formula>$E409=14</formula>
    </cfRule>
    <cfRule type="expression" dxfId="1260" priority="76">
      <formula>$E409=13</formula>
    </cfRule>
    <cfRule type="expression" dxfId="1259" priority="77">
      <formula>$E409=12</formula>
    </cfRule>
  </conditionalFormatting>
  <conditionalFormatting sqref="M409:N411">
    <cfRule type="expression" dxfId="1258" priority="61">
      <formula>$E409&lt;12</formula>
    </cfRule>
    <cfRule type="expression" dxfId="1257" priority="62">
      <formula>$E409=18</formula>
    </cfRule>
    <cfRule type="expression" dxfId="1256" priority="63">
      <formula>$E409=17</formula>
    </cfRule>
    <cfRule type="expression" dxfId="1255" priority="64">
      <formula>$E409=16</formula>
    </cfRule>
    <cfRule type="expression" dxfId="1254" priority="65">
      <formula>$E409=15</formula>
    </cfRule>
    <cfRule type="expression" dxfId="1253" priority="66">
      <formula>$E409=14</formula>
    </cfRule>
    <cfRule type="expression" dxfId="1252" priority="67">
      <formula>$E409=13</formula>
    </cfRule>
    <cfRule type="expression" dxfId="1251" priority="68">
      <formula>$E409=12</formula>
    </cfRule>
  </conditionalFormatting>
  <conditionalFormatting sqref="M409:N411">
    <cfRule type="expression" dxfId="1250" priority="52">
      <formula>$E409=10</formula>
    </cfRule>
    <cfRule type="expression" dxfId="1249" priority="53">
      <formula>$E409=11</formula>
    </cfRule>
    <cfRule type="expression" dxfId="1248" priority="54">
      <formula>$E409=18</formula>
    </cfRule>
    <cfRule type="expression" dxfId="1247" priority="55">
      <formula>$E409=17</formula>
    </cfRule>
    <cfRule type="expression" dxfId="1246" priority="56">
      <formula>$E409=16</formula>
    </cfRule>
    <cfRule type="expression" dxfId="1245" priority="57">
      <formula>$E409=15</formula>
    </cfRule>
    <cfRule type="expression" dxfId="1244" priority="58">
      <formula>$E409=14</formula>
    </cfRule>
    <cfRule type="expression" dxfId="1243" priority="59">
      <formula>$E409=13</formula>
    </cfRule>
    <cfRule type="expression" dxfId="1242" priority="60">
      <formula>$E409=12</formula>
    </cfRule>
  </conditionalFormatting>
  <conditionalFormatting sqref="L409:L411">
    <cfRule type="expression" dxfId="1241" priority="44">
      <formula>$E409&lt;12</formula>
    </cfRule>
    <cfRule type="expression" dxfId="1240" priority="45">
      <formula>$E409=18</formula>
    </cfRule>
    <cfRule type="expression" dxfId="1239" priority="46">
      <formula>$E409=17</formula>
    </cfRule>
    <cfRule type="expression" dxfId="1238" priority="47">
      <formula>$E409=16</formula>
    </cfRule>
    <cfRule type="expression" dxfId="1237" priority="48">
      <formula>$E409=15</formula>
    </cfRule>
    <cfRule type="expression" dxfId="1236" priority="49">
      <formula>$E409=14</formula>
    </cfRule>
    <cfRule type="expression" dxfId="1235" priority="50">
      <formula>$E409=13</formula>
    </cfRule>
    <cfRule type="expression" dxfId="1234" priority="51">
      <formula>$E409=12</formula>
    </cfRule>
  </conditionalFormatting>
  <conditionalFormatting sqref="L409:L411">
    <cfRule type="expression" dxfId="1233" priority="35">
      <formula>$E409=10</formula>
    </cfRule>
    <cfRule type="expression" dxfId="1232" priority="36">
      <formula>$E409=11</formula>
    </cfRule>
    <cfRule type="expression" dxfId="1231" priority="37">
      <formula>$E409=18</formula>
    </cfRule>
    <cfRule type="expression" dxfId="1230" priority="38">
      <formula>$E409=17</formula>
    </cfRule>
    <cfRule type="expression" dxfId="1229" priority="39">
      <formula>$E409=16</formula>
    </cfRule>
    <cfRule type="expression" dxfId="1228" priority="40">
      <formula>$E409=15</formula>
    </cfRule>
    <cfRule type="expression" dxfId="1227" priority="41">
      <formula>$E409=14</formula>
    </cfRule>
    <cfRule type="expression" dxfId="1226" priority="42">
      <formula>$E409=13</formula>
    </cfRule>
    <cfRule type="expression" dxfId="1225" priority="43">
      <formula>$E409=12</formula>
    </cfRule>
  </conditionalFormatting>
  <conditionalFormatting sqref="K409:K411">
    <cfRule type="expression" dxfId="1224" priority="27">
      <formula>$E409&lt;12</formula>
    </cfRule>
    <cfRule type="expression" dxfId="1223" priority="28">
      <formula>$E409=18</formula>
    </cfRule>
    <cfRule type="expression" dxfId="1222" priority="29">
      <formula>$E409=17</formula>
    </cfRule>
    <cfRule type="expression" dxfId="1221" priority="30">
      <formula>$E409=16</formula>
    </cfRule>
    <cfRule type="expression" dxfId="1220" priority="31">
      <formula>$E409=15</formula>
    </cfRule>
    <cfRule type="expression" dxfId="1219" priority="32">
      <formula>$E409=14</formula>
    </cfRule>
    <cfRule type="expression" dxfId="1218" priority="33">
      <formula>$E409=13</formula>
    </cfRule>
    <cfRule type="expression" dxfId="1217" priority="34">
      <formula>$E409=12</formula>
    </cfRule>
  </conditionalFormatting>
  <conditionalFormatting sqref="K409:K411">
    <cfRule type="expression" dxfId="1216" priority="18">
      <formula>$E409=10</formula>
    </cfRule>
    <cfRule type="expression" dxfId="1215" priority="19">
      <formula>$E409=11</formula>
    </cfRule>
    <cfRule type="expression" dxfId="1214" priority="20">
      <formula>$E409=18</formula>
    </cfRule>
    <cfRule type="expression" dxfId="1213" priority="21">
      <formula>$E409=17</formula>
    </cfRule>
    <cfRule type="expression" dxfId="1212" priority="22">
      <formula>$E409=16</formula>
    </cfRule>
    <cfRule type="expression" dxfId="1211" priority="23">
      <formula>$E409=15</formula>
    </cfRule>
    <cfRule type="expression" dxfId="1210" priority="24">
      <formula>$E409=14</formula>
    </cfRule>
    <cfRule type="expression" dxfId="1209" priority="25">
      <formula>$E409=13</formula>
    </cfRule>
    <cfRule type="expression" dxfId="1208" priority="26">
      <formula>$E409=12</formula>
    </cfRule>
  </conditionalFormatting>
  <conditionalFormatting sqref="C409:F411">
    <cfRule type="expression" dxfId="1207" priority="10">
      <formula>$E409&lt;12</formula>
    </cfRule>
    <cfRule type="expression" dxfId="1206" priority="11">
      <formula>$E409=18</formula>
    </cfRule>
    <cfRule type="expression" dxfId="1205" priority="12">
      <formula>$E409=17</formula>
    </cfRule>
    <cfRule type="expression" dxfId="1204" priority="13">
      <formula>$E409=16</formula>
    </cfRule>
    <cfRule type="expression" dxfId="1203" priority="14">
      <formula>$E409=15</formula>
    </cfRule>
    <cfRule type="expression" dxfId="1202" priority="15">
      <formula>$E409=14</formula>
    </cfRule>
    <cfRule type="expression" dxfId="1201" priority="16">
      <formula>$E409=13</formula>
    </cfRule>
    <cfRule type="expression" dxfId="1200" priority="17">
      <formula>$E409=12</formula>
    </cfRule>
  </conditionalFormatting>
  <conditionalFormatting sqref="C409:F411">
    <cfRule type="expression" dxfId="1199" priority="1">
      <formula>$E409=10</formula>
    </cfRule>
    <cfRule type="expression" dxfId="1198" priority="2">
      <formula>$E409=11</formula>
    </cfRule>
    <cfRule type="expression" dxfId="1197" priority="3">
      <formula>$E409=18</formula>
    </cfRule>
    <cfRule type="expression" dxfId="1196" priority="4">
      <formula>$E409=17</formula>
    </cfRule>
    <cfRule type="expression" dxfId="1195" priority="5">
      <formula>$E409=16</formula>
    </cfRule>
    <cfRule type="expression" dxfId="1194" priority="6">
      <formula>$E409=15</formula>
    </cfRule>
    <cfRule type="expression" dxfId="1193" priority="7">
      <formula>$E409=14</formula>
    </cfRule>
    <cfRule type="expression" dxfId="1192" priority="8">
      <formula>$E409=13</formula>
    </cfRule>
    <cfRule type="expression" dxfId="1191" priority="9">
      <formula>$E409=12</formula>
    </cfRule>
  </conditionalFormatting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982"/>
  <sheetViews>
    <sheetView tabSelected="1" topLeftCell="A151" workbookViewId="0">
      <selection activeCell="H277" sqref="H277"/>
    </sheetView>
  </sheetViews>
  <sheetFormatPr defaultRowHeight="15" x14ac:dyDescent="0.25"/>
  <cols>
    <col min="1" max="1" width="7.140625" style="451" bestFit="1" customWidth="1"/>
    <col min="2" max="2" width="3" style="451" customWidth="1"/>
    <col min="3" max="3" width="3" style="451" bestFit="1" customWidth="1"/>
    <col min="4" max="4" width="5.28515625" style="451" bestFit="1" customWidth="1"/>
    <col min="5" max="5" width="4.42578125" style="451" bestFit="1" customWidth="1"/>
    <col min="6" max="6" width="4.85546875" style="451" bestFit="1" customWidth="1"/>
    <col min="7" max="7" width="13.85546875" style="451" bestFit="1" customWidth="1"/>
    <col min="8" max="8" width="34.85546875" style="451" bestFit="1" customWidth="1"/>
    <col min="9" max="9" width="27.140625" style="451" bestFit="1" customWidth="1"/>
    <col min="10" max="10" width="6.7109375" style="451" bestFit="1" customWidth="1"/>
    <col min="11" max="11" width="7.7109375" style="450" bestFit="1" customWidth="1"/>
    <col min="12" max="12" width="7.5703125" style="451" bestFit="1" customWidth="1"/>
    <col min="13" max="13" width="10" style="450" bestFit="1" customWidth="1"/>
    <col min="14" max="14" width="10" style="450" customWidth="1"/>
    <col min="15" max="16" width="8.7109375" style="451" bestFit="1" customWidth="1"/>
    <col min="17" max="19" width="9.7109375" style="451" bestFit="1" customWidth="1"/>
    <col min="20" max="20" width="8.7109375" style="451" bestFit="1" customWidth="1"/>
    <col min="21" max="23" width="9.7109375" style="451" bestFit="1" customWidth="1"/>
    <col min="24" max="24" width="8.7109375" style="451" bestFit="1" customWidth="1"/>
    <col min="25" max="28" width="9.7109375" style="451" bestFit="1" customWidth="1"/>
    <col min="29" max="29" width="8.7109375" style="451" bestFit="1" customWidth="1"/>
    <col min="30" max="33" width="9.140625" style="451"/>
    <col min="36" max="16384" width="9.140625" style="451"/>
  </cols>
  <sheetData>
    <row r="1" spans="1:35" s="447" customFormat="1" ht="30" x14ac:dyDescent="0.25">
      <c r="A1" s="444" t="s">
        <v>282</v>
      </c>
      <c r="B1" s="444"/>
      <c r="C1" s="444" t="s">
        <v>283</v>
      </c>
      <c r="D1" s="444" t="s">
        <v>284</v>
      </c>
      <c r="E1" s="444" t="s">
        <v>18</v>
      </c>
      <c r="F1" s="444" t="s">
        <v>285</v>
      </c>
      <c r="G1" s="444" t="s">
        <v>286</v>
      </c>
      <c r="H1" s="444" t="s">
        <v>287</v>
      </c>
      <c r="I1" s="444" t="s">
        <v>10</v>
      </c>
      <c r="J1" s="444" t="s">
        <v>288</v>
      </c>
      <c r="K1" s="445" t="s">
        <v>289</v>
      </c>
      <c r="L1" s="444"/>
      <c r="M1" s="445" t="s">
        <v>110</v>
      </c>
      <c r="N1" s="445"/>
      <c r="O1" s="446" t="s">
        <v>290</v>
      </c>
      <c r="P1" s="446" t="s">
        <v>291</v>
      </c>
      <c r="Q1" s="446">
        <v>42383</v>
      </c>
      <c r="R1" s="446">
        <f>Q1+7</f>
        <v>42390</v>
      </c>
      <c r="S1" s="446">
        <f t="shared" ref="S1:AC1" si="0">R1+7</f>
        <v>42397</v>
      </c>
      <c r="T1" s="446">
        <f t="shared" si="0"/>
        <v>42404</v>
      </c>
      <c r="U1" s="446">
        <f t="shared" si="0"/>
        <v>42411</v>
      </c>
      <c r="V1" s="446">
        <f t="shared" si="0"/>
        <v>42418</v>
      </c>
      <c r="W1" s="446">
        <f t="shared" si="0"/>
        <v>42425</v>
      </c>
      <c r="X1" s="446">
        <f t="shared" si="0"/>
        <v>42432</v>
      </c>
      <c r="Y1" s="446">
        <f t="shared" si="0"/>
        <v>42439</v>
      </c>
      <c r="Z1" s="446">
        <f t="shared" si="0"/>
        <v>42446</v>
      </c>
      <c r="AA1" s="446">
        <f t="shared" si="0"/>
        <v>42453</v>
      </c>
      <c r="AB1" s="446">
        <f t="shared" si="0"/>
        <v>42460</v>
      </c>
      <c r="AC1" s="446">
        <f t="shared" si="0"/>
        <v>42467</v>
      </c>
      <c r="AH1"/>
      <c r="AI1"/>
    </row>
    <row r="2" spans="1:35" x14ac:dyDescent="0.25">
      <c r="A2" s="448">
        <v>3</v>
      </c>
      <c r="B2" s="448"/>
      <c r="C2" s="448">
        <f>IF(E2=E1,C1+1,1)</f>
        <v>1</v>
      </c>
      <c r="D2" s="448">
        <f>IF(M2=M1,D1,C2)</f>
        <v>1</v>
      </c>
      <c r="E2" s="448">
        <f>10+VALUE(RIGHT(LEFT(G2,3),1))</f>
        <v>11</v>
      </c>
      <c r="F2" s="448" t="str">
        <f>RIGHT(G2,2) &amp; IF(A2&lt;2,"x","")</f>
        <v>pm</v>
      </c>
      <c r="G2" s="448" t="s">
        <v>292</v>
      </c>
      <c r="H2" s="448" t="s">
        <v>293</v>
      </c>
      <c r="I2" s="448" t="s">
        <v>294</v>
      </c>
      <c r="J2" s="449" t="s">
        <v>21</v>
      </c>
      <c r="K2" s="450">
        <f>LOOKUP(1E+100,M2:AC2)</f>
        <v>1420.2491124742737</v>
      </c>
      <c r="L2" s="448"/>
      <c r="M2" s="450">
        <v>1600</v>
      </c>
      <c r="O2" s="450">
        <v>1473.3153485871062</v>
      </c>
      <c r="P2" s="450"/>
      <c r="Q2" s="450"/>
      <c r="R2" s="450"/>
      <c r="S2" s="450">
        <v>1420.2491124742737</v>
      </c>
      <c r="T2" s="450"/>
      <c r="U2" s="450"/>
      <c r="V2" s="450"/>
      <c r="W2" s="450"/>
      <c r="X2" s="450"/>
      <c r="Y2" s="450"/>
      <c r="Z2" s="450"/>
      <c r="AA2" s="450"/>
      <c r="AB2" s="450"/>
      <c r="AC2" s="450"/>
      <c r="AD2" s="450"/>
      <c r="AE2" s="450"/>
      <c r="AF2" s="450"/>
      <c r="AG2" s="450"/>
    </row>
    <row r="3" spans="1:35" x14ac:dyDescent="0.25">
      <c r="A3" s="448">
        <v>3</v>
      </c>
      <c r="B3" s="448"/>
      <c r="C3" s="448">
        <f>IF(E3=E2,C2+1,1)</f>
        <v>2</v>
      </c>
      <c r="D3" s="448">
        <f>IF(M3=M2,D2,C3)</f>
        <v>2</v>
      </c>
      <c r="E3" s="448">
        <f>10+VALUE(RIGHT(LEFT(G3,3),1))</f>
        <v>11</v>
      </c>
      <c r="F3" s="448" t="str">
        <f>RIGHT(G3,2) &amp; IF(A3&lt;2,"x","")</f>
        <v>pm</v>
      </c>
      <c r="G3" s="448" t="s">
        <v>295</v>
      </c>
      <c r="H3" s="448" t="s">
        <v>296</v>
      </c>
      <c r="I3" s="448" t="s">
        <v>297</v>
      </c>
      <c r="J3" s="449" t="s">
        <v>20</v>
      </c>
      <c r="K3" s="450">
        <f>LOOKUP(1E+100,M3:AC3)</f>
        <v>1414.1860693632427</v>
      </c>
      <c r="L3" s="448"/>
      <c r="M3" s="450">
        <v>1400</v>
      </c>
      <c r="O3" s="450"/>
      <c r="P3" s="450"/>
      <c r="Q3" s="450"/>
      <c r="R3" s="450">
        <v>1414.1860693632427</v>
      </c>
      <c r="S3" s="450"/>
      <c r="T3" s="450"/>
      <c r="U3" s="450"/>
      <c r="V3" s="450"/>
      <c r="W3" s="450"/>
      <c r="X3" s="450"/>
      <c r="Y3" s="450"/>
      <c r="Z3" s="450"/>
      <c r="AA3" s="450"/>
      <c r="AB3" s="450"/>
      <c r="AC3" s="450"/>
      <c r="AD3" s="450"/>
      <c r="AE3" s="450"/>
      <c r="AF3" s="450"/>
      <c r="AG3" s="450"/>
    </row>
    <row r="4" spans="1:35" x14ac:dyDescent="0.25">
      <c r="A4" s="448">
        <v>5</v>
      </c>
      <c r="B4" s="448"/>
      <c r="C4" s="448">
        <f>IF(E4=E3,C3+1,1)</f>
        <v>3</v>
      </c>
      <c r="D4" s="448">
        <f>IF(M4=M3,D3,C4)</f>
        <v>3</v>
      </c>
      <c r="E4" s="448">
        <f>10+VALUE(RIGHT(LEFT(G4,3),1))</f>
        <v>11</v>
      </c>
      <c r="F4" s="448" t="str">
        <f>RIGHT(G4,2) &amp; IF(A4&lt;2,"x","")</f>
        <v>pm</v>
      </c>
      <c r="G4" s="448" t="s">
        <v>298</v>
      </c>
      <c r="H4" s="448" t="s">
        <v>299</v>
      </c>
      <c r="I4" s="448" t="s">
        <v>300</v>
      </c>
      <c r="J4" s="449" t="s">
        <v>301</v>
      </c>
      <c r="K4" s="450">
        <f>LOOKUP(1E+100,M4:AC4)</f>
        <v>1295.1387328963617</v>
      </c>
      <c r="L4" s="448"/>
      <c r="M4" s="450">
        <v>1200</v>
      </c>
      <c r="O4" s="450"/>
      <c r="P4" s="450"/>
      <c r="Q4" s="450"/>
      <c r="R4" s="450">
        <v>1217.5505615019474</v>
      </c>
      <c r="S4" s="450"/>
      <c r="T4" s="450">
        <v>1216.2682939252052</v>
      </c>
      <c r="U4" s="450"/>
      <c r="V4" s="450">
        <v>1295.1387328963617</v>
      </c>
      <c r="W4" s="450"/>
      <c r="X4" s="450"/>
      <c r="Y4" s="450"/>
      <c r="Z4" s="450"/>
      <c r="AA4" s="450"/>
      <c r="AB4" s="450"/>
      <c r="AC4" s="450"/>
      <c r="AD4" s="450"/>
      <c r="AE4" s="450"/>
      <c r="AF4" s="450"/>
      <c r="AG4" s="450"/>
    </row>
    <row r="5" spans="1:35" x14ac:dyDescent="0.25">
      <c r="A5" s="448">
        <v>7</v>
      </c>
      <c r="B5" s="448"/>
      <c r="C5" s="448">
        <f>IF(E5=E4,C4+1,1)</f>
        <v>1</v>
      </c>
      <c r="D5" s="448">
        <f>IF(M5=M4,D4,C5)</f>
        <v>1</v>
      </c>
      <c r="E5" s="448">
        <f>10+VALUE(RIGHT(LEFT(G5,3),1))</f>
        <v>12</v>
      </c>
      <c r="F5" s="448" t="str">
        <f>RIGHT(G5,2) &amp; IF(A5&lt;2,"x","")</f>
        <v>pm</v>
      </c>
      <c r="G5" s="448" t="s">
        <v>308</v>
      </c>
      <c r="H5" s="448" t="s">
        <v>309</v>
      </c>
      <c r="I5" s="448" t="s">
        <v>310</v>
      </c>
      <c r="J5" s="449" t="s">
        <v>21</v>
      </c>
      <c r="K5" s="450">
        <f>LOOKUP(1E+100,M5:AC5)</f>
        <v>1806.1326638746696</v>
      </c>
      <c r="L5" s="448"/>
      <c r="M5" s="450">
        <v>1600</v>
      </c>
      <c r="O5" s="450">
        <v>1636.9148649131555</v>
      </c>
      <c r="P5" s="450"/>
      <c r="Q5" s="450">
        <v>1746.8509792457253</v>
      </c>
      <c r="R5" s="450"/>
      <c r="S5" s="450">
        <v>1730.1249302111369</v>
      </c>
      <c r="T5" s="450"/>
      <c r="U5" s="450">
        <v>1765.8607290603154</v>
      </c>
      <c r="V5" s="450"/>
      <c r="W5" s="450">
        <v>1806.1326638746696</v>
      </c>
      <c r="X5" s="450"/>
      <c r="Y5" s="450"/>
      <c r="Z5" s="450"/>
      <c r="AA5" s="450"/>
      <c r="AB5" s="450"/>
      <c r="AC5" s="450"/>
      <c r="AD5" s="450"/>
      <c r="AE5" s="450"/>
      <c r="AF5" s="450"/>
      <c r="AG5" s="450"/>
    </row>
    <row r="6" spans="1:35" x14ac:dyDescent="0.25">
      <c r="A6" s="448">
        <v>2</v>
      </c>
      <c r="B6" s="448"/>
      <c r="C6" s="448">
        <f>IF(E6=E5,C5+1,1)</f>
        <v>2</v>
      </c>
      <c r="D6" s="448">
        <f>IF(M6=M5,D5,C6)</f>
        <v>1</v>
      </c>
      <c r="E6" s="448">
        <f>10+VALUE(RIGHT(LEFT(G6,3),1))</f>
        <v>12</v>
      </c>
      <c r="F6" s="448" t="str">
        <f>RIGHT(G6,2) &amp; IF(A6&lt;2,"x","")</f>
        <v>pm</v>
      </c>
      <c r="G6" s="448" t="s">
        <v>311</v>
      </c>
      <c r="H6" s="448" t="s">
        <v>293</v>
      </c>
      <c r="I6" s="448" t="s">
        <v>312</v>
      </c>
      <c r="J6" s="449" t="s">
        <v>21</v>
      </c>
      <c r="K6" s="450">
        <f>LOOKUP(1E+100,M6:AC6)</f>
        <v>1707.8006673986267</v>
      </c>
      <c r="L6" s="448"/>
      <c r="M6" s="450">
        <v>1600</v>
      </c>
      <c r="O6" s="450">
        <v>1707.8006673986267</v>
      </c>
      <c r="P6" s="450"/>
      <c r="Q6" s="450"/>
      <c r="R6" s="450"/>
      <c r="S6" s="450"/>
      <c r="T6" s="450"/>
      <c r="U6" s="450"/>
      <c r="V6" s="450"/>
      <c r="W6" s="450"/>
      <c r="X6" s="450"/>
      <c r="Y6" s="450"/>
      <c r="Z6" s="450"/>
      <c r="AA6" s="450"/>
      <c r="AB6" s="450"/>
      <c r="AC6" s="450"/>
      <c r="AD6" s="450"/>
      <c r="AE6" s="450"/>
      <c r="AF6" s="450"/>
      <c r="AG6" s="450"/>
    </row>
    <row r="7" spans="1:35" x14ac:dyDescent="0.25">
      <c r="A7" s="448">
        <v>4</v>
      </c>
      <c r="B7" s="448"/>
      <c r="C7" s="448">
        <f>IF(E7=E6,C6+1,1)</f>
        <v>3</v>
      </c>
      <c r="D7" s="448">
        <f>IF(M7=M6,D6,C7)</f>
        <v>3</v>
      </c>
      <c r="E7" s="448">
        <f>10+VALUE(RIGHT(LEFT(G7,3),1))</f>
        <v>12</v>
      </c>
      <c r="F7" s="448" t="str">
        <f>RIGHT(G7,2) &amp; IF(A7&lt;2,"x","")</f>
        <v>pm</v>
      </c>
      <c r="G7" s="448" t="s">
        <v>322</v>
      </c>
      <c r="H7" s="448" t="s">
        <v>319</v>
      </c>
      <c r="I7" s="448" t="s">
        <v>323</v>
      </c>
      <c r="J7" s="449" t="s">
        <v>21</v>
      </c>
      <c r="K7" s="450">
        <f>LOOKUP(1E+100,M7:AC7)</f>
        <v>1706.1407986026627</v>
      </c>
      <c r="L7" s="448"/>
      <c r="M7" s="450">
        <v>1550</v>
      </c>
      <c r="O7" s="450">
        <v>1590.1567686677104</v>
      </c>
      <c r="P7" s="450"/>
      <c r="Q7" s="450"/>
      <c r="R7" s="450"/>
      <c r="S7" s="450">
        <v>1683.9371318599437</v>
      </c>
      <c r="T7" s="450">
        <v>1706.1407986026627</v>
      </c>
      <c r="U7" s="450"/>
      <c r="V7" s="450"/>
      <c r="W7" s="450"/>
      <c r="X7" s="450"/>
      <c r="Y7" s="450"/>
      <c r="Z7" s="450"/>
      <c r="AA7" s="450"/>
      <c r="AB7" s="450"/>
      <c r="AC7" s="450"/>
      <c r="AD7" s="450"/>
      <c r="AE7" s="450"/>
      <c r="AF7" s="450"/>
      <c r="AG7" s="450"/>
    </row>
    <row r="8" spans="1:35" x14ac:dyDescent="0.25">
      <c r="A8" s="448">
        <v>2</v>
      </c>
      <c r="B8" s="448"/>
      <c r="C8" s="448">
        <f>IF(E8=E7,C7+1,1)</f>
        <v>4</v>
      </c>
      <c r="D8" s="448">
        <f>IF(M8=M7,D7,C8)</f>
        <v>4</v>
      </c>
      <c r="E8" s="448">
        <f>10+VALUE(RIGHT(LEFT(G8,3),1))</f>
        <v>12</v>
      </c>
      <c r="F8" s="448" t="str">
        <f>RIGHT(G8,2) &amp; IF(A8&lt;2,"x","")</f>
        <v>pm</v>
      </c>
      <c r="G8" s="448" t="s">
        <v>302</v>
      </c>
      <c r="H8" s="448" t="s">
        <v>303</v>
      </c>
      <c r="I8" s="448" t="s">
        <v>304</v>
      </c>
      <c r="J8" s="449" t="s">
        <v>21</v>
      </c>
      <c r="K8" s="450">
        <f>LOOKUP(1E+100,M8:AC8)</f>
        <v>1608.4927494249498</v>
      </c>
      <c r="L8" s="448"/>
      <c r="M8" s="450">
        <v>1600</v>
      </c>
      <c r="O8" s="450">
        <v>1588.0546571711616</v>
      </c>
      <c r="P8" s="450"/>
      <c r="Q8" s="450"/>
      <c r="R8" s="450"/>
      <c r="S8" s="450"/>
      <c r="T8" s="450"/>
      <c r="U8" s="450">
        <v>1608.4927494249498</v>
      </c>
      <c r="V8" s="450"/>
      <c r="W8" s="450"/>
      <c r="X8" s="450"/>
      <c r="Y8" s="450"/>
      <c r="Z8" s="450"/>
      <c r="AA8" s="450"/>
      <c r="AB8" s="450"/>
      <c r="AC8" s="450"/>
      <c r="AD8" s="450"/>
      <c r="AE8" s="450"/>
      <c r="AF8" s="450"/>
      <c r="AG8" s="450"/>
    </row>
    <row r="9" spans="1:35" x14ac:dyDescent="0.25">
      <c r="A9" s="448">
        <v>3</v>
      </c>
      <c r="B9" s="448"/>
      <c r="C9" s="448">
        <f>IF(E9=E8,C8+1,1)</f>
        <v>5</v>
      </c>
      <c r="D9" s="448">
        <f>IF(M9=M8,D8,C9)</f>
        <v>5</v>
      </c>
      <c r="E9" s="448">
        <f>10+VALUE(RIGHT(LEFT(G9,3),1))</f>
        <v>12</v>
      </c>
      <c r="F9" s="448" t="str">
        <f>RIGHT(G9,2) &amp; IF(A9&lt;2,"x","")</f>
        <v>pm</v>
      </c>
      <c r="G9" s="448" t="s">
        <v>324</v>
      </c>
      <c r="H9" s="448" t="s">
        <v>299</v>
      </c>
      <c r="I9" s="448" t="s">
        <v>325</v>
      </c>
      <c r="J9" s="449" t="s">
        <v>21</v>
      </c>
      <c r="K9" s="450">
        <f>LOOKUP(1E+100,M9:AC9)</f>
        <v>1601.107366554467</v>
      </c>
      <c r="L9" s="448"/>
      <c r="M9" s="450">
        <v>1533.3333333333333</v>
      </c>
      <c r="O9" s="450">
        <v>1601.107366554467</v>
      </c>
      <c r="P9" s="450"/>
      <c r="Q9" s="450"/>
      <c r="R9" s="450"/>
      <c r="S9" s="450"/>
      <c r="T9" s="450"/>
      <c r="U9" s="450"/>
      <c r="V9" s="450"/>
      <c r="W9" s="450"/>
      <c r="X9" s="450"/>
      <c r="Y9" s="450"/>
      <c r="Z9" s="450"/>
      <c r="AA9" s="450"/>
      <c r="AB9" s="450"/>
      <c r="AC9" s="450"/>
      <c r="AD9" s="450"/>
      <c r="AE9" s="450"/>
      <c r="AF9" s="450"/>
      <c r="AG9" s="450"/>
    </row>
    <row r="10" spans="1:35" x14ac:dyDescent="0.25">
      <c r="A10" s="448">
        <v>2</v>
      </c>
      <c r="B10" s="448"/>
      <c r="C10" s="448">
        <f>IF(E10=E9,C9+1,1)</f>
        <v>6</v>
      </c>
      <c r="D10" s="448">
        <f>IF(M10=M9,D9,C10)</f>
        <v>6</v>
      </c>
      <c r="E10" s="448">
        <f>10+VALUE(RIGHT(LEFT(G10,3),1))</f>
        <v>12</v>
      </c>
      <c r="F10" s="448" t="str">
        <f>RIGHT(G10,2) &amp; IF(A10&lt;2,"x","")</f>
        <v>pm</v>
      </c>
      <c r="G10" s="448" t="s">
        <v>315</v>
      </c>
      <c r="H10" s="448" t="s">
        <v>316</v>
      </c>
      <c r="I10" s="448" t="s">
        <v>317</v>
      </c>
      <c r="J10" s="449" t="s">
        <v>21</v>
      </c>
      <c r="K10" s="450">
        <f>LOOKUP(1E+100,M10:AC10)</f>
        <v>1600</v>
      </c>
      <c r="L10" s="448"/>
      <c r="M10" s="450">
        <v>1600</v>
      </c>
      <c r="O10" s="450"/>
      <c r="P10" s="450"/>
      <c r="Q10" s="450"/>
      <c r="R10" s="450"/>
      <c r="S10" s="450"/>
      <c r="T10" s="450"/>
      <c r="U10" s="450"/>
      <c r="V10" s="450"/>
      <c r="W10" s="450"/>
      <c r="X10" s="450"/>
      <c r="Y10" s="450"/>
      <c r="Z10" s="450"/>
      <c r="AA10" s="450"/>
      <c r="AB10" s="450"/>
      <c r="AC10" s="450"/>
      <c r="AD10" s="450"/>
      <c r="AE10" s="450"/>
      <c r="AF10" s="450"/>
      <c r="AG10" s="450"/>
    </row>
    <row r="11" spans="1:35" x14ac:dyDescent="0.25">
      <c r="A11" s="448">
        <v>4</v>
      </c>
      <c r="B11" s="448"/>
      <c r="C11" s="448">
        <f>IF(E11=E10,C10+1,1)</f>
        <v>7</v>
      </c>
      <c r="D11" s="448">
        <f>IF(M11=M10,D10,C11)</f>
        <v>7</v>
      </c>
      <c r="E11" s="448">
        <f>10+VALUE(RIGHT(LEFT(G11,3),1))</f>
        <v>12</v>
      </c>
      <c r="F11" s="448" t="str">
        <f>RIGHT(G11,2) &amp; IF(A11&lt;2,"x","")</f>
        <v>pm</v>
      </c>
      <c r="G11" s="448" t="s">
        <v>329</v>
      </c>
      <c r="H11" s="448" t="s">
        <v>330</v>
      </c>
      <c r="I11" s="448" t="s">
        <v>331</v>
      </c>
      <c r="J11" s="449" t="s">
        <v>21</v>
      </c>
      <c r="K11" s="450">
        <f>LOOKUP(1E+100,M11:AC11)</f>
        <v>1579.837673206011</v>
      </c>
      <c r="L11" s="448"/>
      <c r="M11" s="450">
        <v>1500</v>
      </c>
      <c r="O11" s="450"/>
      <c r="P11" s="450">
        <v>1529.0989384029981</v>
      </c>
      <c r="Q11" s="450"/>
      <c r="R11" s="450">
        <v>1587.0203486316693</v>
      </c>
      <c r="S11" s="450">
        <v>1579.837673206011</v>
      </c>
      <c r="T11" s="450"/>
      <c r="U11" s="450"/>
      <c r="V11" s="450"/>
      <c r="W11" s="450"/>
      <c r="X11" s="450"/>
      <c r="Y11" s="450"/>
      <c r="Z11" s="450"/>
      <c r="AA11" s="450"/>
      <c r="AB11" s="450"/>
      <c r="AC11" s="450"/>
      <c r="AD11" s="450"/>
      <c r="AE11" s="450"/>
      <c r="AF11" s="450"/>
      <c r="AG11" s="450"/>
    </row>
    <row r="12" spans="1:35" x14ac:dyDescent="0.25">
      <c r="A12" s="448">
        <v>3</v>
      </c>
      <c r="B12" s="448"/>
      <c r="C12" s="448">
        <f>IF(E12=E11,C11+1,1)</f>
        <v>8</v>
      </c>
      <c r="D12" s="448">
        <f>IF(M12=M11,D11,C12)</f>
        <v>8</v>
      </c>
      <c r="E12" s="448">
        <f>10+VALUE(RIGHT(LEFT(G12,3),1))</f>
        <v>12</v>
      </c>
      <c r="F12" s="448" t="str">
        <f>RIGHT(G12,2) &amp; IF(A12&lt;2,"x","")</f>
        <v>pm</v>
      </c>
      <c r="G12" s="448" t="s">
        <v>380</v>
      </c>
      <c r="H12" s="448" t="s">
        <v>330</v>
      </c>
      <c r="I12" s="448" t="s">
        <v>381</v>
      </c>
      <c r="J12" s="449" t="s">
        <v>20</v>
      </c>
      <c r="K12" s="450">
        <f>LOOKUP(1E+100,M12:AC12)</f>
        <v>1557.6316958008827</v>
      </c>
      <c r="L12" s="448"/>
      <c r="M12" s="450">
        <v>1400</v>
      </c>
      <c r="O12" s="450"/>
      <c r="P12" s="450"/>
      <c r="Q12" s="450"/>
      <c r="R12" s="450">
        <v>1503.5614357480144</v>
      </c>
      <c r="S12" s="450"/>
      <c r="T12" s="450"/>
      <c r="U12" s="450"/>
      <c r="V12" s="450">
        <v>1557.6316958008827</v>
      </c>
      <c r="W12" s="450"/>
      <c r="X12" s="450"/>
      <c r="Y12" s="450"/>
      <c r="Z12" s="450"/>
      <c r="AA12" s="450"/>
      <c r="AB12" s="450"/>
      <c r="AC12" s="450"/>
      <c r="AD12" s="450"/>
      <c r="AE12" s="450"/>
      <c r="AF12" s="450"/>
      <c r="AG12" s="450"/>
    </row>
    <row r="13" spans="1:35" x14ac:dyDescent="0.25">
      <c r="A13" s="448">
        <v>6</v>
      </c>
      <c r="B13" s="448"/>
      <c r="C13" s="448">
        <f>IF(E13=E12,C12+1,1)</f>
        <v>9</v>
      </c>
      <c r="D13" s="448">
        <f>IF(M13=M12,D12,C13)</f>
        <v>9</v>
      </c>
      <c r="E13" s="448">
        <f>10+VALUE(RIGHT(LEFT(G13,3),1))</f>
        <v>12</v>
      </c>
      <c r="F13" s="448" t="str">
        <f>RIGHT(G13,2) &amp; IF(A13&lt;2,"x","")</f>
        <v>pm</v>
      </c>
      <c r="G13" s="448" t="s">
        <v>398</v>
      </c>
      <c r="H13" s="448" t="s">
        <v>338</v>
      </c>
      <c r="I13" s="448" t="s">
        <v>399</v>
      </c>
      <c r="J13" s="449" t="s">
        <v>20</v>
      </c>
      <c r="K13" s="450">
        <f>LOOKUP(1E+100,M13:AC13)</f>
        <v>1541.7446072243681</v>
      </c>
      <c r="L13" s="448"/>
      <c r="M13" s="450">
        <v>1333.3333333333333</v>
      </c>
      <c r="O13" s="450"/>
      <c r="P13" s="450"/>
      <c r="Q13" s="450"/>
      <c r="R13" s="450">
        <v>1456.291164140775</v>
      </c>
      <c r="S13" s="450"/>
      <c r="T13" s="450">
        <v>1541.7446072243681</v>
      </c>
      <c r="U13" s="450"/>
      <c r="V13" s="450"/>
      <c r="W13" s="450"/>
      <c r="X13" s="450"/>
      <c r="Y13" s="450"/>
      <c r="Z13" s="450"/>
      <c r="AA13" s="450"/>
      <c r="AB13" s="450"/>
      <c r="AC13" s="450"/>
      <c r="AD13" s="450"/>
      <c r="AE13" s="450"/>
      <c r="AF13" s="450"/>
      <c r="AG13" s="450"/>
    </row>
    <row r="14" spans="1:35" x14ac:dyDescent="0.25">
      <c r="A14" s="448">
        <v>6</v>
      </c>
      <c r="B14" s="448"/>
      <c r="C14" s="448">
        <f>IF(E14=E13,C13+1,1)</f>
        <v>10</v>
      </c>
      <c r="D14" s="448">
        <f>IF(M14=M13,D13,C14)</f>
        <v>10</v>
      </c>
      <c r="E14" s="448">
        <f>10+VALUE(RIGHT(LEFT(G14,3),1))</f>
        <v>12</v>
      </c>
      <c r="F14" s="448" t="str">
        <f>RIGHT(G14,2) &amp; IF(A14&lt;2,"x","")</f>
        <v>pm</v>
      </c>
      <c r="G14" s="448" t="s">
        <v>352</v>
      </c>
      <c r="H14" s="448" t="s">
        <v>353</v>
      </c>
      <c r="I14" s="448" t="s">
        <v>354</v>
      </c>
      <c r="J14" s="449" t="s">
        <v>20</v>
      </c>
      <c r="K14" s="450">
        <f>LOOKUP(1E+100,M14:AC14)</f>
        <v>1537.7382146778934</v>
      </c>
      <c r="L14" s="448"/>
      <c r="M14" s="450">
        <v>1400</v>
      </c>
      <c r="O14" s="450"/>
      <c r="P14" s="450"/>
      <c r="Q14" s="450"/>
      <c r="R14" s="450">
        <v>1417.7394943703641</v>
      </c>
      <c r="S14" s="450"/>
      <c r="T14" s="450">
        <v>1516.8809749614643</v>
      </c>
      <c r="U14" s="450"/>
      <c r="V14" s="450">
        <v>1537.7382146778934</v>
      </c>
      <c r="W14" s="450"/>
      <c r="X14" s="450"/>
      <c r="Y14" s="450"/>
      <c r="Z14" s="450"/>
      <c r="AA14" s="450"/>
      <c r="AB14" s="450"/>
      <c r="AC14" s="450"/>
      <c r="AD14" s="450"/>
      <c r="AE14" s="450"/>
      <c r="AF14" s="450"/>
      <c r="AG14" s="450"/>
    </row>
    <row r="15" spans="1:35" x14ac:dyDescent="0.25">
      <c r="A15" s="448">
        <v>2</v>
      </c>
      <c r="B15" s="448"/>
      <c r="C15" s="448">
        <f>IF(E15=E14,C14+1,1)</f>
        <v>11</v>
      </c>
      <c r="D15" s="448">
        <f>IF(M15=M14,D14,C15)</f>
        <v>11</v>
      </c>
      <c r="E15" s="448">
        <f>10+VALUE(RIGHT(LEFT(G15,3),1))</f>
        <v>12</v>
      </c>
      <c r="F15" s="448" t="str">
        <f>RIGHT(G15,2) &amp; IF(A15&lt;2,"x","")</f>
        <v>pm</v>
      </c>
      <c r="G15" s="448" t="s">
        <v>313</v>
      </c>
      <c r="H15" s="448" t="s">
        <v>293</v>
      </c>
      <c r="I15" s="448" t="s">
        <v>314</v>
      </c>
      <c r="J15" s="449" t="s">
        <v>21</v>
      </c>
      <c r="K15" s="450">
        <f>LOOKUP(1E+100,M15:AC15)</f>
        <v>1536.8245779108793</v>
      </c>
      <c r="L15" s="448"/>
      <c r="M15" s="450">
        <v>1600</v>
      </c>
      <c r="O15" s="450">
        <v>1536.8245779108793</v>
      </c>
      <c r="P15" s="450"/>
      <c r="Q15" s="450"/>
      <c r="R15" s="450"/>
      <c r="S15" s="450"/>
      <c r="T15" s="450"/>
      <c r="U15" s="450"/>
      <c r="V15" s="450"/>
      <c r="W15" s="450"/>
      <c r="X15" s="450"/>
      <c r="Y15" s="450"/>
      <c r="Z15" s="450"/>
      <c r="AA15" s="450"/>
      <c r="AB15" s="450"/>
      <c r="AC15" s="450"/>
      <c r="AD15" s="450"/>
      <c r="AE15" s="450"/>
      <c r="AF15" s="450"/>
      <c r="AG15" s="450"/>
    </row>
    <row r="16" spans="1:35" x14ac:dyDescent="0.25">
      <c r="A16" s="448">
        <v>4</v>
      </c>
      <c r="B16" s="448"/>
      <c r="C16" s="448">
        <f>IF(E16=E15,C15+1,1)</f>
        <v>12</v>
      </c>
      <c r="D16" s="448">
        <f>IF(M16=M15,D15,C16)</f>
        <v>11</v>
      </c>
      <c r="E16" s="448">
        <f>10+VALUE(RIGHT(LEFT(G16,3),1))</f>
        <v>12</v>
      </c>
      <c r="F16" s="448" t="str">
        <f>RIGHT(G16,2) &amp; IF(A16&lt;2,"x","")</f>
        <v>pm</v>
      </c>
      <c r="G16" s="448" t="s">
        <v>305</v>
      </c>
      <c r="H16" s="448" t="s">
        <v>306</v>
      </c>
      <c r="I16" s="448" t="s">
        <v>307</v>
      </c>
      <c r="J16" s="449" t="s">
        <v>21</v>
      </c>
      <c r="K16" s="450">
        <f>LOOKUP(1E+100,M16:AC16)</f>
        <v>1511.6178648947346</v>
      </c>
      <c r="L16" s="448"/>
      <c r="M16" s="450">
        <v>1600</v>
      </c>
      <c r="O16" s="450"/>
      <c r="P16" s="450"/>
      <c r="Q16" s="450"/>
      <c r="R16" s="450"/>
      <c r="S16" s="450"/>
      <c r="T16" s="450"/>
      <c r="U16" s="450">
        <v>1599.5723816566881</v>
      </c>
      <c r="V16" s="450"/>
      <c r="W16" s="450">
        <v>1511.6178648947346</v>
      </c>
      <c r="X16" s="450"/>
      <c r="Y16" s="450"/>
      <c r="Z16" s="450"/>
      <c r="AA16" s="450"/>
      <c r="AB16" s="450"/>
      <c r="AC16" s="450"/>
      <c r="AD16" s="450"/>
      <c r="AE16" s="450"/>
      <c r="AF16" s="450"/>
      <c r="AG16" s="450"/>
    </row>
    <row r="17" spans="1:35" s="450" customFormat="1" x14ac:dyDescent="0.25">
      <c r="A17" s="448">
        <v>5</v>
      </c>
      <c r="B17" s="448"/>
      <c r="C17" s="448">
        <f>IF(E17=E16,C16+1,1)</f>
        <v>13</v>
      </c>
      <c r="D17" s="448">
        <f>IF(M17=M16,D16,C17)</f>
        <v>13</v>
      </c>
      <c r="E17" s="448">
        <f>10+VALUE(RIGHT(LEFT(G17,3),1))</f>
        <v>12</v>
      </c>
      <c r="F17" s="448" t="str">
        <f>RIGHT(G17,2) &amp; IF(A17&lt;2,"x","")</f>
        <v>pm</v>
      </c>
      <c r="G17" s="448" t="s">
        <v>390</v>
      </c>
      <c r="H17" s="448" t="s">
        <v>391</v>
      </c>
      <c r="I17" s="448" t="s">
        <v>392</v>
      </c>
      <c r="J17" s="449" t="s">
        <v>20</v>
      </c>
      <c r="K17" s="450">
        <f>LOOKUP(1E+100,M17:AC17)</f>
        <v>1500.3554410797956</v>
      </c>
      <c r="L17" s="448"/>
      <c r="M17" s="450">
        <v>1400</v>
      </c>
      <c r="R17" s="450">
        <v>1450.7912672511281</v>
      </c>
      <c r="T17" s="450">
        <v>1453.397960125621</v>
      </c>
      <c r="V17" s="450">
        <v>1500.3554410797956</v>
      </c>
      <c r="AH17"/>
      <c r="AI17"/>
    </row>
    <row r="18" spans="1:35" s="450" customFormat="1" x14ac:dyDescent="0.25">
      <c r="A18" s="448">
        <v>4</v>
      </c>
      <c r="B18" s="448"/>
      <c r="C18" s="448">
        <f>IF(E18=E17,C17+1,1)</f>
        <v>14</v>
      </c>
      <c r="D18" s="448">
        <f>IF(M18=M17,D17,C18)</f>
        <v>13</v>
      </c>
      <c r="E18" s="448">
        <f>10+VALUE(RIGHT(LEFT(G18,3),1))</f>
        <v>12</v>
      </c>
      <c r="F18" s="448" t="str">
        <f>RIGHT(G18,2) &amp; IF(A18&lt;2,"x","")</f>
        <v>pm</v>
      </c>
      <c r="G18" s="448" t="s">
        <v>364</v>
      </c>
      <c r="H18" s="448" t="s">
        <v>365</v>
      </c>
      <c r="I18" s="448" t="s">
        <v>366</v>
      </c>
      <c r="J18" s="449" t="s">
        <v>20</v>
      </c>
      <c r="K18" s="450">
        <f>LOOKUP(1E+100,M18:AC18)</f>
        <v>1497.1340685933187</v>
      </c>
      <c r="L18" s="448"/>
      <c r="M18" s="450">
        <v>1400</v>
      </c>
      <c r="P18" s="450">
        <v>1437.3487614330793</v>
      </c>
      <c r="R18" s="450">
        <v>1497.5998860297041</v>
      </c>
      <c r="V18" s="450">
        <v>1497.1340685933187</v>
      </c>
      <c r="AH18"/>
      <c r="AI18"/>
    </row>
    <row r="19" spans="1:35" s="450" customFormat="1" x14ac:dyDescent="0.25">
      <c r="A19" s="448">
        <v>6</v>
      </c>
      <c r="B19" s="448"/>
      <c r="C19" s="448">
        <f>IF(E19=E18,C18+1,1)</f>
        <v>15</v>
      </c>
      <c r="D19" s="448">
        <f>IF(M19=M18,D18,C19)</f>
        <v>15</v>
      </c>
      <c r="E19" s="448">
        <f>10+VALUE(RIGHT(LEFT(G19,3),1))</f>
        <v>12</v>
      </c>
      <c r="F19" s="448" t="str">
        <f>RIGHT(G19,2) &amp; IF(A19&lt;2,"x","")</f>
        <v>pm</v>
      </c>
      <c r="G19" s="448" t="s">
        <v>337</v>
      </c>
      <c r="H19" s="448" t="s">
        <v>338</v>
      </c>
      <c r="I19" s="448" t="s">
        <v>339</v>
      </c>
      <c r="J19" s="449" t="s">
        <v>20</v>
      </c>
      <c r="K19" s="450">
        <f>LOOKUP(1E+100,M19:AC19)</f>
        <v>1495.9470417104681</v>
      </c>
      <c r="L19" s="448"/>
      <c r="M19" s="450">
        <v>1466.6666666666667</v>
      </c>
      <c r="R19" s="450">
        <v>1393.502057373001</v>
      </c>
      <c r="T19" s="450">
        <v>1425.664964424519</v>
      </c>
      <c r="W19" s="450">
        <v>1495.9470417104681</v>
      </c>
      <c r="AH19"/>
      <c r="AI19"/>
    </row>
    <row r="20" spans="1:35" s="450" customFormat="1" x14ac:dyDescent="0.25">
      <c r="A20" s="448">
        <v>2</v>
      </c>
      <c r="B20" s="448"/>
      <c r="C20" s="448">
        <f>IF(E20=E19,C19+1,1)</f>
        <v>16</v>
      </c>
      <c r="D20" s="448">
        <f>IF(M20=M19,D19,C20)</f>
        <v>16</v>
      </c>
      <c r="E20" s="448">
        <f>10+VALUE(RIGHT(LEFT(G20,3),1))</f>
        <v>12</v>
      </c>
      <c r="F20" s="448" t="str">
        <f>RIGHT(G20,2) &amp; IF(A20&lt;2,"x","")</f>
        <v>pm</v>
      </c>
      <c r="G20" s="448" t="s">
        <v>334</v>
      </c>
      <c r="H20" s="448" t="s">
        <v>335</v>
      </c>
      <c r="I20" s="448" t="s">
        <v>336</v>
      </c>
      <c r="J20" s="449" t="s">
        <v>21</v>
      </c>
      <c r="K20" s="450">
        <f>LOOKUP(1E+100,M20:AC20)</f>
        <v>1495.1518906606425</v>
      </c>
      <c r="L20" s="448"/>
      <c r="M20" s="450">
        <v>1500</v>
      </c>
      <c r="R20" s="450">
        <v>1495.1518906606425</v>
      </c>
      <c r="AH20"/>
      <c r="AI20"/>
    </row>
    <row r="21" spans="1:35" s="450" customFormat="1" x14ac:dyDescent="0.25">
      <c r="A21" s="448">
        <v>6</v>
      </c>
      <c r="B21" s="448"/>
      <c r="C21" s="448">
        <f>IF(E21=E20,C20+1,1)</f>
        <v>17</v>
      </c>
      <c r="D21" s="448">
        <f>IF(M21=M20,D20,C21)</f>
        <v>17</v>
      </c>
      <c r="E21" s="448">
        <f>10+VALUE(RIGHT(LEFT(G21,3),1))</f>
        <v>12</v>
      </c>
      <c r="F21" s="448" t="str">
        <f>RIGHT(G21,2) &amp; IF(A21&lt;2,"x","")</f>
        <v>pm</v>
      </c>
      <c r="G21" s="448" t="s">
        <v>357</v>
      </c>
      <c r="H21" s="448" t="s">
        <v>358</v>
      </c>
      <c r="I21" s="448" t="s">
        <v>359</v>
      </c>
      <c r="J21" s="449" t="s">
        <v>20</v>
      </c>
      <c r="K21" s="450">
        <f>LOOKUP(1E+100,M21:AC21)</f>
        <v>1474.4556011761406</v>
      </c>
      <c r="L21" s="448"/>
      <c r="M21" s="450">
        <v>1400</v>
      </c>
      <c r="R21" s="450">
        <v>1375.6647897871101</v>
      </c>
      <c r="T21" s="450">
        <v>1421.4642724843534</v>
      </c>
      <c r="V21" s="450">
        <v>1474.4556011761406</v>
      </c>
      <c r="AH21"/>
      <c r="AI21"/>
    </row>
    <row r="22" spans="1:35" s="450" customFormat="1" x14ac:dyDescent="0.25">
      <c r="A22" s="448">
        <v>4</v>
      </c>
      <c r="B22" s="448"/>
      <c r="C22" s="448">
        <f>IF(E22=E21,C21+1,1)</f>
        <v>18</v>
      </c>
      <c r="D22" s="448">
        <f>IF(M22=M21,D21,C22)</f>
        <v>17</v>
      </c>
      <c r="E22" s="448">
        <f>10+VALUE(RIGHT(LEFT(G22,3),1))</f>
        <v>12</v>
      </c>
      <c r="F22" s="448" t="str">
        <f>RIGHT(G22,2) &amp; IF(A22&lt;2,"x","")</f>
        <v>pm</v>
      </c>
      <c r="G22" s="448" t="s">
        <v>349</v>
      </c>
      <c r="H22" s="448" t="s">
        <v>350</v>
      </c>
      <c r="I22" s="448" t="s">
        <v>351</v>
      </c>
      <c r="J22" s="449" t="s">
        <v>20</v>
      </c>
      <c r="K22" s="450">
        <f>LOOKUP(1E+100,M22:AC22)</f>
        <v>1463.1894432027352</v>
      </c>
      <c r="L22" s="448"/>
      <c r="M22" s="450">
        <v>1400</v>
      </c>
      <c r="R22" s="450">
        <v>1400.1815869502536</v>
      </c>
      <c r="T22" s="450">
        <v>1498.9080818919695</v>
      </c>
      <c r="V22" s="450">
        <v>1463.1894432027352</v>
      </c>
      <c r="AH22"/>
      <c r="AI22"/>
    </row>
    <row r="23" spans="1:35" s="450" customFormat="1" x14ac:dyDescent="0.25">
      <c r="A23" s="448">
        <v>3</v>
      </c>
      <c r="B23" s="448"/>
      <c r="C23" s="448">
        <f>IF(E23=E22,C22+1,1)</f>
        <v>19</v>
      </c>
      <c r="D23" s="448">
        <f>IF(M23=M22,D22,C23)</f>
        <v>17</v>
      </c>
      <c r="E23" s="448">
        <f>10+VALUE(RIGHT(LEFT(G23,3),1))</f>
        <v>12</v>
      </c>
      <c r="F23" s="448" t="str">
        <f>RIGHT(G23,2) &amp; IF(A23&lt;2,"x","")</f>
        <v>pm</v>
      </c>
      <c r="G23" s="448" t="s">
        <v>367</v>
      </c>
      <c r="H23" s="448" t="s">
        <v>368</v>
      </c>
      <c r="I23" s="448" t="s">
        <v>369</v>
      </c>
      <c r="J23" s="449" t="s">
        <v>20</v>
      </c>
      <c r="K23" s="450">
        <f>LOOKUP(1E+100,M23:AC23)</f>
        <v>1460.4507880808455</v>
      </c>
      <c r="L23" s="448"/>
      <c r="M23" s="450">
        <v>1400</v>
      </c>
      <c r="T23" s="450">
        <v>1460.4507880808455</v>
      </c>
      <c r="AH23"/>
      <c r="AI23"/>
    </row>
    <row r="24" spans="1:35" s="450" customFormat="1" x14ac:dyDescent="0.25">
      <c r="A24" s="448">
        <v>4</v>
      </c>
      <c r="B24" s="448"/>
      <c r="C24" s="448">
        <f>IF(E24=E23,C23+1,1)</f>
        <v>20</v>
      </c>
      <c r="D24" s="448">
        <f>IF(M24=M23,D23,C24)</f>
        <v>20</v>
      </c>
      <c r="E24" s="448">
        <f>10+VALUE(RIGHT(LEFT(G24,3),1))</f>
        <v>12</v>
      </c>
      <c r="F24" s="448" t="str">
        <f>RIGHT(G24,2) &amp; IF(A24&lt;2,"x","")</f>
        <v>pm</v>
      </c>
      <c r="G24" s="448" t="s">
        <v>332</v>
      </c>
      <c r="H24" s="448" t="s">
        <v>319</v>
      </c>
      <c r="I24" s="448" t="s">
        <v>333</v>
      </c>
      <c r="J24" s="449" t="s">
        <v>21</v>
      </c>
      <c r="K24" s="450">
        <f>LOOKUP(1E+100,M24:AC24)</f>
        <v>1445.0590104301564</v>
      </c>
      <c r="L24" s="448"/>
      <c r="M24" s="450">
        <v>1500</v>
      </c>
      <c r="O24" s="450">
        <v>1497.2124647290968</v>
      </c>
      <c r="S24" s="450">
        <v>1545.8627202771247</v>
      </c>
      <c r="T24" s="450">
        <v>1445.0590104301564</v>
      </c>
      <c r="AH24"/>
      <c r="AI24"/>
    </row>
    <row r="25" spans="1:35" s="450" customFormat="1" x14ac:dyDescent="0.25">
      <c r="A25" s="448">
        <v>6</v>
      </c>
      <c r="B25" s="448"/>
      <c r="C25" s="448">
        <f>IF(E25=E24,C24+1,1)</f>
        <v>21</v>
      </c>
      <c r="D25" s="448">
        <f>IF(M25=M24,D24,C25)</f>
        <v>21</v>
      </c>
      <c r="E25" s="448">
        <f>10+VALUE(RIGHT(LEFT(G25,3),1))</f>
        <v>12</v>
      </c>
      <c r="F25" s="448" t="str">
        <f>RIGHT(G25,2) &amp; IF(A25&lt;2,"x","")</f>
        <v>pm</v>
      </c>
      <c r="G25" s="448" t="s">
        <v>376</v>
      </c>
      <c r="H25" s="448" t="s">
        <v>374</v>
      </c>
      <c r="I25" s="448" t="s">
        <v>377</v>
      </c>
      <c r="J25" s="449" t="s">
        <v>20</v>
      </c>
      <c r="K25" s="450">
        <f>LOOKUP(1E+100,M25:AC25)</f>
        <v>1443.7437121655691</v>
      </c>
      <c r="L25" s="448"/>
      <c r="M25" s="450">
        <v>1400</v>
      </c>
      <c r="R25" s="450">
        <v>1443.6793957766529</v>
      </c>
      <c r="T25" s="450">
        <v>1361.4639314907565</v>
      </c>
      <c r="V25" s="450">
        <v>1443.7437121655691</v>
      </c>
      <c r="AH25"/>
      <c r="AI25"/>
    </row>
    <row r="26" spans="1:35" s="450" customFormat="1" x14ac:dyDescent="0.25">
      <c r="A26" s="448">
        <v>3</v>
      </c>
      <c r="B26" s="448"/>
      <c r="C26" s="448">
        <f>IF(E26=E25,C25+1,1)</f>
        <v>22</v>
      </c>
      <c r="D26" s="448">
        <f>IF(M26=M25,D25,C26)</f>
        <v>21</v>
      </c>
      <c r="E26" s="448">
        <f>10+VALUE(RIGHT(LEFT(G26,3),1))</f>
        <v>12</v>
      </c>
      <c r="F26" s="448" t="str">
        <f>RIGHT(G26,2) &amp; IF(A26&lt;2,"x","")</f>
        <v>pm</v>
      </c>
      <c r="G26" s="448" t="s">
        <v>343</v>
      </c>
      <c r="H26" s="448" t="s">
        <v>296</v>
      </c>
      <c r="I26" s="448" t="s">
        <v>344</v>
      </c>
      <c r="J26" s="449" t="s">
        <v>20</v>
      </c>
      <c r="K26" s="450">
        <f>LOOKUP(1E+100,M26:AC26)</f>
        <v>1441.797756397913</v>
      </c>
      <c r="L26" s="448"/>
      <c r="M26" s="450">
        <v>1400</v>
      </c>
      <c r="P26" s="450">
        <v>1354.5958072424739</v>
      </c>
      <c r="R26" s="450">
        <v>1441.797756397913</v>
      </c>
      <c r="AH26"/>
      <c r="AI26"/>
    </row>
    <row r="27" spans="1:35" s="450" customFormat="1" x14ac:dyDescent="0.25">
      <c r="A27" s="448">
        <v>3</v>
      </c>
      <c r="B27" s="448"/>
      <c r="C27" s="448">
        <f>IF(E27=E26,C26+1,1)</f>
        <v>23</v>
      </c>
      <c r="D27" s="448">
        <f>IF(M27=M26,D26,C27)</f>
        <v>21</v>
      </c>
      <c r="E27" s="448">
        <f>10+VALUE(RIGHT(LEFT(G27,3),1))</f>
        <v>12</v>
      </c>
      <c r="F27" s="448" t="str">
        <f>RIGHT(G27,2) &amp; IF(A27&lt;2,"x","")</f>
        <v>pm</v>
      </c>
      <c r="G27" s="448" t="s">
        <v>347</v>
      </c>
      <c r="H27" s="448" t="s">
        <v>296</v>
      </c>
      <c r="I27" s="448" t="s">
        <v>348</v>
      </c>
      <c r="J27" s="449" t="s">
        <v>20</v>
      </c>
      <c r="K27" s="450">
        <f>LOOKUP(1E+100,M27:AC27)</f>
        <v>1441.0927735916528</v>
      </c>
      <c r="L27" s="448"/>
      <c r="M27" s="450">
        <v>1400</v>
      </c>
      <c r="R27" s="450">
        <v>1441.0927735916528</v>
      </c>
      <c r="AH27"/>
      <c r="AI27"/>
    </row>
    <row r="28" spans="1:35" s="450" customFormat="1" x14ac:dyDescent="0.25">
      <c r="A28" s="448">
        <v>5</v>
      </c>
      <c r="B28" s="448"/>
      <c r="C28" s="448">
        <f>IF(E28=E27,C27+1,1)</f>
        <v>24</v>
      </c>
      <c r="D28" s="448">
        <f>IF(M28=M27,D27,C28)</f>
        <v>24</v>
      </c>
      <c r="E28" s="448">
        <f>10+VALUE(RIGHT(LEFT(G28,3),1))</f>
        <v>12</v>
      </c>
      <c r="F28" s="448" t="str">
        <f>RIGHT(G28,2) &amp; IF(A28&lt;2,"x","")</f>
        <v>pm</v>
      </c>
      <c r="G28" s="448" t="s">
        <v>326</v>
      </c>
      <c r="H28" s="448" t="s">
        <v>327</v>
      </c>
      <c r="I28" s="448" t="s">
        <v>328</v>
      </c>
      <c r="J28" s="449" t="s">
        <v>21</v>
      </c>
      <c r="K28" s="450">
        <f>LOOKUP(1E+100,M28:AC28)</f>
        <v>1426.951274684269</v>
      </c>
      <c r="L28" s="448"/>
      <c r="M28" s="450">
        <v>1520</v>
      </c>
      <c r="O28" s="450">
        <v>1522.1891036154591</v>
      </c>
      <c r="S28" s="450">
        <v>1449.5507700226187</v>
      </c>
      <c r="W28" s="450">
        <v>1426.951274684269</v>
      </c>
      <c r="AH28"/>
      <c r="AI28"/>
    </row>
    <row r="29" spans="1:35" s="450" customFormat="1" x14ac:dyDescent="0.25">
      <c r="A29" s="448">
        <v>6</v>
      </c>
      <c r="B29" s="448"/>
      <c r="C29" s="448">
        <f>IF(E29=E28,C28+1,1)</f>
        <v>25</v>
      </c>
      <c r="D29" s="448">
        <f>IF(M29=M28,D28,C29)</f>
        <v>25</v>
      </c>
      <c r="E29" s="448">
        <f>10+VALUE(RIGHT(LEFT(G29,3),1))</f>
        <v>12</v>
      </c>
      <c r="F29" s="448" t="str">
        <f>RIGHT(G29,2) &amp; IF(A29&lt;2,"x","")</f>
        <v>pm</v>
      </c>
      <c r="G29" s="448" t="s">
        <v>373</v>
      </c>
      <c r="H29" s="448" t="s">
        <v>374</v>
      </c>
      <c r="I29" s="448" t="s">
        <v>375</v>
      </c>
      <c r="J29" s="449" t="s">
        <v>20</v>
      </c>
      <c r="K29" s="450">
        <f>LOOKUP(1E+100,M29:AC29)</f>
        <v>1407.4123000681666</v>
      </c>
      <c r="L29" s="448"/>
      <c r="M29" s="450">
        <v>1400</v>
      </c>
      <c r="R29" s="450">
        <v>1368.3041030693962</v>
      </c>
      <c r="T29" s="450">
        <v>1389.3253833869005</v>
      </c>
      <c r="V29" s="450">
        <v>1407.4123000681666</v>
      </c>
      <c r="AH29"/>
      <c r="AI29"/>
    </row>
    <row r="30" spans="1:35" s="450" customFormat="1" x14ac:dyDescent="0.25">
      <c r="A30" s="448">
        <v>3</v>
      </c>
      <c r="B30" s="448"/>
      <c r="C30" s="448">
        <f>IF(E30=E29,C29+1,1)</f>
        <v>26</v>
      </c>
      <c r="D30" s="448">
        <f>IF(M30=M29,D29,C30)</f>
        <v>25</v>
      </c>
      <c r="E30" s="448">
        <f>10+VALUE(RIGHT(LEFT(G30,3),1))</f>
        <v>12</v>
      </c>
      <c r="F30" s="448" t="str">
        <f>RIGHT(G30,2) &amp; IF(A30&lt;2,"x","")</f>
        <v>pm</v>
      </c>
      <c r="G30" s="448" t="s">
        <v>345</v>
      </c>
      <c r="H30" s="448" t="s">
        <v>296</v>
      </c>
      <c r="I30" s="448" t="s">
        <v>346</v>
      </c>
      <c r="J30" s="449" t="s">
        <v>20</v>
      </c>
      <c r="K30" s="450">
        <f>LOOKUP(1E+100,M30:AC30)</f>
        <v>1396.2512544527322</v>
      </c>
      <c r="L30" s="448"/>
      <c r="M30" s="450">
        <v>1400</v>
      </c>
      <c r="R30" s="450">
        <v>1396.2512544527322</v>
      </c>
      <c r="AH30"/>
      <c r="AI30"/>
    </row>
    <row r="31" spans="1:35" s="450" customFormat="1" x14ac:dyDescent="0.25">
      <c r="A31" s="448">
        <v>4</v>
      </c>
      <c r="B31" s="448"/>
      <c r="C31" s="448">
        <f>IF(E31=E30,C30+1,1)</f>
        <v>27</v>
      </c>
      <c r="D31" s="448">
        <f>IF(M31=M30,D30,C31)</f>
        <v>25</v>
      </c>
      <c r="E31" s="448">
        <f>10+VALUE(RIGHT(LEFT(G31,3),1))</f>
        <v>12</v>
      </c>
      <c r="F31" s="448" t="str">
        <f>RIGHT(G31,2) &amp; IF(A31&lt;2,"x","")</f>
        <v>pm</v>
      </c>
      <c r="G31" s="448" t="s">
        <v>362</v>
      </c>
      <c r="H31" s="448" t="s">
        <v>299</v>
      </c>
      <c r="I31" s="448" t="s">
        <v>363</v>
      </c>
      <c r="J31" s="449" t="s">
        <v>20</v>
      </c>
      <c r="K31" s="450">
        <f>LOOKUP(1E+100,M31:AC31)</f>
        <v>1367.9021761426804</v>
      </c>
      <c r="L31" s="448"/>
      <c r="M31" s="450">
        <v>1400</v>
      </c>
      <c r="P31" s="450">
        <v>1375.0523383535012</v>
      </c>
      <c r="R31" s="450">
        <v>1318.2541648485399</v>
      </c>
      <c r="V31" s="450">
        <v>1367.9021761426804</v>
      </c>
      <c r="AH31"/>
      <c r="AI31"/>
    </row>
    <row r="32" spans="1:35" s="450" customFormat="1" x14ac:dyDescent="0.25">
      <c r="A32" s="448">
        <v>4</v>
      </c>
      <c r="B32" s="448"/>
      <c r="C32" s="448">
        <f>IF(E32=E31,C31+1,1)</f>
        <v>28</v>
      </c>
      <c r="D32" s="448">
        <f>IF(M32=M31,D31,C32)</f>
        <v>28</v>
      </c>
      <c r="E32" s="448">
        <f>10+VALUE(RIGHT(LEFT(G32,3),1))</f>
        <v>12</v>
      </c>
      <c r="F32" s="448" t="str">
        <f>RIGHT(G32,2) &amp; IF(A32&lt;2,"x","")</f>
        <v>pm</v>
      </c>
      <c r="G32" s="448" t="s">
        <v>408</v>
      </c>
      <c r="H32" s="448" t="s">
        <v>409</v>
      </c>
      <c r="I32" s="448" t="s">
        <v>410</v>
      </c>
      <c r="J32" s="449" t="s">
        <v>301</v>
      </c>
      <c r="K32" s="450">
        <f>LOOKUP(1E+100,M32:AC32)</f>
        <v>1349.0901439792528</v>
      </c>
      <c r="L32" s="448"/>
      <c r="M32" s="450">
        <v>1200</v>
      </c>
      <c r="R32" s="450">
        <v>1274.9503770355423</v>
      </c>
      <c r="T32" s="450">
        <v>1314.5144620222545</v>
      </c>
      <c r="V32" s="450">
        <v>1349.0901439792528</v>
      </c>
      <c r="AH32"/>
      <c r="AI32"/>
    </row>
    <row r="33" spans="1:35" s="450" customFormat="1" x14ac:dyDescent="0.25">
      <c r="A33" s="448">
        <v>6</v>
      </c>
      <c r="B33" s="448"/>
      <c r="C33" s="448">
        <f>IF(E33=E32,C32+1,1)</f>
        <v>29</v>
      </c>
      <c r="D33" s="448">
        <f>IF(M33=M32,D32,C33)</f>
        <v>29</v>
      </c>
      <c r="E33" s="448">
        <f>10+VALUE(RIGHT(LEFT(G33,3),1))</f>
        <v>12</v>
      </c>
      <c r="F33" s="448" t="str">
        <f>RIGHT(G33,2) &amp; IF(A33&lt;2,"x","")</f>
        <v>pm</v>
      </c>
      <c r="G33" s="448" t="s">
        <v>360</v>
      </c>
      <c r="H33" s="448" t="s">
        <v>358</v>
      </c>
      <c r="I33" s="448" t="s">
        <v>361</v>
      </c>
      <c r="J33" s="449" t="s">
        <v>20</v>
      </c>
      <c r="K33" s="450">
        <f>LOOKUP(1E+100,M33:AC33)</f>
        <v>1341.5862543706771</v>
      </c>
      <c r="L33" s="448"/>
      <c r="M33" s="450">
        <v>1400</v>
      </c>
      <c r="R33" s="450">
        <v>1418.8311236422678</v>
      </c>
      <c r="T33" s="450">
        <v>1400.8863763371542</v>
      </c>
      <c r="V33" s="450">
        <v>1341.5862543706771</v>
      </c>
      <c r="AH33"/>
      <c r="AI33"/>
    </row>
    <row r="34" spans="1:35" s="450" customFormat="1" x14ac:dyDescent="0.25">
      <c r="A34" s="448">
        <v>2</v>
      </c>
      <c r="B34" s="448"/>
      <c r="C34" s="448">
        <f>IF(E34=E33,C33+1,1)</f>
        <v>30</v>
      </c>
      <c r="D34" s="448">
        <f>IF(M34=M33,D33,C34)</f>
        <v>29</v>
      </c>
      <c r="E34" s="448">
        <f>10+VALUE(RIGHT(LEFT(G34,3),1))</f>
        <v>12</v>
      </c>
      <c r="F34" s="448" t="str">
        <f>RIGHT(G34,2) &amp; IF(A34&lt;2,"x","")</f>
        <v>pm</v>
      </c>
      <c r="G34" s="448" t="s">
        <v>382</v>
      </c>
      <c r="H34" s="448" t="s">
        <v>330</v>
      </c>
      <c r="I34" s="448" t="s">
        <v>383</v>
      </c>
      <c r="J34" s="449" t="s">
        <v>20</v>
      </c>
      <c r="K34" s="450">
        <f>LOOKUP(1E+100,M34:AC34)</f>
        <v>1339.761735911097</v>
      </c>
      <c r="L34" s="448"/>
      <c r="M34" s="450">
        <v>1400</v>
      </c>
      <c r="R34" s="450">
        <v>1339.761735911097</v>
      </c>
      <c r="AH34"/>
      <c r="AI34"/>
    </row>
    <row r="35" spans="1:35" s="450" customFormat="1" x14ac:dyDescent="0.25">
      <c r="A35" s="448">
        <v>7</v>
      </c>
      <c r="B35" s="448"/>
      <c r="C35" s="448">
        <f>IF(E35=E34,C34+1,1)</f>
        <v>31</v>
      </c>
      <c r="D35" s="448">
        <f>IF(M35=M34,D34,C35)</f>
        <v>31</v>
      </c>
      <c r="E35" s="448">
        <f>10+VALUE(RIGHT(LEFT(G35,3),1))</f>
        <v>12</v>
      </c>
      <c r="F35" s="448" t="str">
        <f>RIGHT(G35,2) &amp; IF(A35&lt;2,"x","")</f>
        <v>pm</v>
      </c>
      <c r="G35" s="448" t="s">
        <v>393</v>
      </c>
      <c r="H35" s="448" t="s">
        <v>374</v>
      </c>
      <c r="I35" s="448" t="s">
        <v>394</v>
      </c>
      <c r="J35" s="449" t="s">
        <v>20</v>
      </c>
      <c r="K35" s="450">
        <f>LOOKUP(1E+100,M35:AC35)</f>
        <v>1312.1560854954805</v>
      </c>
      <c r="L35" s="448"/>
      <c r="M35" s="450">
        <v>1371.4285714285713</v>
      </c>
      <c r="R35" s="450">
        <v>1345.1281772310635</v>
      </c>
      <c r="T35" s="450">
        <v>1391.547816818643</v>
      </c>
      <c r="V35" s="450">
        <v>1312.1560854954805</v>
      </c>
      <c r="AH35"/>
      <c r="AI35"/>
    </row>
    <row r="36" spans="1:35" s="450" customFormat="1" x14ac:dyDescent="0.25">
      <c r="A36" s="448">
        <v>4</v>
      </c>
      <c r="B36" s="448"/>
      <c r="C36" s="448">
        <f>IF(E36=E35,C35+1,1)</f>
        <v>32</v>
      </c>
      <c r="D36" s="448">
        <f>IF(M36=M35,D35,C36)</f>
        <v>32</v>
      </c>
      <c r="E36" s="448">
        <f>10+VALUE(RIGHT(LEFT(G36,3),1))</f>
        <v>12</v>
      </c>
      <c r="F36" s="448" t="str">
        <f>RIGHT(G36,2) &amp; IF(A36&lt;2,"x","")</f>
        <v>pm</v>
      </c>
      <c r="G36" s="448" t="s">
        <v>340</v>
      </c>
      <c r="H36" s="448" t="s">
        <v>341</v>
      </c>
      <c r="I36" s="448" t="s">
        <v>342</v>
      </c>
      <c r="J36" s="449" t="s">
        <v>20</v>
      </c>
      <c r="K36" s="450">
        <f>LOOKUP(1E+100,M36:AC36)</f>
        <v>1305.2213636020242</v>
      </c>
      <c r="L36" s="448"/>
      <c r="M36" s="450">
        <v>1450</v>
      </c>
      <c r="Q36" s="450">
        <v>1426.4507672949526</v>
      </c>
      <c r="T36" s="450">
        <v>1354.9820024523272</v>
      </c>
      <c r="V36" s="450">
        <v>1305.2213636020242</v>
      </c>
      <c r="AH36"/>
      <c r="AI36"/>
    </row>
    <row r="37" spans="1:35" s="450" customFormat="1" x14ac:dyDescent="0.25">
      <c r="A37" s="448">
        <v>2</v>
      </c>
      <c r="B37" s="448"/>
      <c r="C37" s="448">
        <f>IF(E37=E36,C36+1,1)</f>
        <v>33</v>
      </c>
      <c r="D37" s="448">
        <f>IF(M37=M36,D36,C37)</f>
        <v>33</v>
      </c>
      <c r="E37" s="448">
        <f>10+VALUE(RIGHT(LEFT(G37,3),1))</f>
        <v>12</v>
      </c>
      <c r="F37" s="448" t="str">
        <f>RIGHT(G37,2) &amp; IF(A37&lt;2,"x","")</f>
        <v>pm</v>
      </c>
      <c r="G37" s="448" t="s">
        <v>400</v>
      </c>
      <c r="H37" s="448" t="s">
        <v>335</v>
      </c>
      <c r="I37" s="448" t="s">
        <v>401</v>
      </c>
      <c r="J37" s="449" t="s">
        <v>20</v>
      </c>
      <c r="K37" s="450">
        <f>LOOKUP(1E+100,M37:AC37)</f>
        <v>1293.619933628122</v>
      </c>
      <c r="L37" s="448"/>
      <c r="M37" s="450">
        <v>1300</v>
      </c>
      <c r="R37" s="450">
        <v>1293.619933628122</v>
      </c>
      <c r="AH37"/>
      <c r="AI37"/>
    </row>
    <row r="38" spans="1:35" s="450" customFormat="1" x14ac:dyDescent="0.25">
      <c r="A38" s="448">
        <v>4</v>
      </c>
      <c r="B38" s="448"/>
      <c r="C38" s="448">
        <f>IF(E38=E37,C37+1,1)</f>
        <v>34</v>
      </c>
      <c r="D38" s="448">
        <f>IF(M38=M37,D37,C38)</f>
        <v>34</v>
      </c>
      <c r="E38" s="448">
        <f>10+VALUE(RIGHT(LEFT(G38,3),1))</f>
        <v>12</v>
      </c>
      <c r="F38" s="448" t="str">
        <f>RIGHT(G38,2) &amp; IF(A38&lt;2,"x","")</f>
        <v>pm</v>
      </c>
      <c r="G38" s="448" t="s">
        <v>413</v>
      </c>
      <c r="H38" s="448" t="s">
        <v>365</v>
      </c>
      <c r="I38" s="448" t="s">
        <v>414</v>
      </c>
      <c r="J38" s="449" t="s">
        <v>301</v>
      </c>
      <c r="K38" s="450">
        <f>LOOKUP(1E+100,M38:AC38)</f>
        <v>1291.6672494374643</v>
      </c>
      <c r="L38" s="448"/>
      <c r="M38" s="450">
        <v>1200</v>
      </c>
      <c r="R38" s="450">
        <v>1202.1576214335375</v>
      </c>
      <c r="T38" s="450">
        <v>1237.8733435233182</v>
      </c>
      <c r="V38" s="450">
        <v>1291.6672494374643</v>
      </c>
      <c r="AH38"/>
      <c r="AI38"/>
    </row>
    <row r="39" spans="1:35" s="450" customFormat="1" x14ac:dyDescent="0.25">
      <c r="A39" s="448">
        <v>6</v>
      </c>
      <c r="B39" s="448"/>
      <c r="C39" s="448">
        <f>IF(E39=E38,C38+1,1)</f>
        <v>35</v>
      </c>
      <c r="D39" s="448">
        <f>IF(M39=M38,D38,C39)</f>
        <v>35</v>
      </c>
      <c r="E39" s="448">
        <f>10+VALUE(RIGHT(LEFT(G39,3),1))</f>
        <v>12</v>
      </c>
      <c r="F39" s="448" t="str">
        <f>RIGHT(G39,2) &amp; IF(A39&lt;2,"x","")</f>
        <v>pm</v>
      </c>
      <c r="G39" s="448" t="s">
        <v>388</v>
      </c>
      <c r="H39" s="448" t="s">
        <v>338</v>
      </c>
      <c r="I39" s="448" t="s">
        <v>389</v>
      </c>
      <c r="J39" s="449" t="s">
        <v>20</v>
      </c>
      <c r="K39" s="450">
        <f>LOOKUP(1E+100,M39:AC39)</f>
        <v>1291.4848792296757</v>
      </c>
      <c r="L39" s="448"/>
      <c r="M39" s="450">
        <v>1400</v>
      </c>
      <c r="R39" s="450">
        <v>1321.2738836240517</v>
      </c>
      <c r="T39" s="450">
        <v>1307.0130824494734</v>
      </c>
      <c r="V39" s="450">
        <v>1291.4848792296757</v>
      </c>
      <c r="AH39"/>
      <c r="AI39"/>
    </row>
    <row r="40" spans="1:35" s="450" customFormat="1" x14ac:dyDescent="0.25">
      <c r="A40" s="448">
        <v>4</v>
      </c>
      <c r="B40" s="448"/>
      <c r="C40" s="448">
        <f>IF(E40=E39,C39+1,1)</f>
        <v>36</v>
      </c>
      <c r="D40" s="448">
        <f>IF(M40=M39,D39,C40)</f>
        <v>35</v>
      </c>
      <c r="E40" s="448">
        <f>10+VALUE(RIGHT(LEFT(G40,3),1))</f>
        <v>12</v>
      </c>
      <c r="F40" s="448" t="str">
        <f>RIGHT(G40,2) &amp; IF(A40&lt;2,"x","")</f>
        <v>pm</v>
      </c>
      <c r="G40" s="448" t="s">
        <v>378</v>
      </c>
      <c r="H40" s="448" t="s">
        <v>306</v>
      </c>
      <c r="I40" s="448" t="s">
        <v>379</v>
      </c>
      <c r="J40" s="449" t="s">
        <v>20</v>
      </c>
      <c r="K40" s="450">
        <f>LOOKUP(1E+100,M40:AC40)</f>
        <v>1289.6307267867726</v>
      </c>
      <c r="L40" s="448"/>
      <c r="M40" s="450">
        <v>1400</v>
      </c>
      <c r="T40" s="450">
        <v>1289.6307267867726</v>
      </c>
      <c r="AH40"/>
      <c r="AI40"/>
    </row>
    <row r="41" spans="1:35" s="450" customFormat="1" x14ac:dyDescent="0.25">
      <c r="A41" s="448">
        <v>6</v>
      </c>
      <c r="B41" s="448"/>
      <c r="C41" s="448">
        <f>IF(E41=E40,C40+1,1)</f>
        <v>37</v>
      </c>
      <c r="D41" s="448">
        <f>IF(M41=M40,D40,C41)</f>
        <v>35</v>
      </c>
      <c r="E41" s="448">
        <f>10+VALUE(RIGHT(LEFT(G41,3),1))</f>
        <v>12</v>
      </c>
      <c r="F41" s="448" t="str">
        <f>RIGHT(G41,2) &amp; IF(A41&lt;2,"x","")</f>
        <v>pm</v>
      </c>
      <c r="G41" s="448" t="s">
        <v>355</v>
      </c>
      <c r="H41" s="448" t="s">
        <v>353</v>
      </c>
      <c r="I41" s="448" t="s">
        <v>356</v>
      </c>
      <c r="J41" s="449" t="s">
        <v>20</v>
      </c>
      <c r="K41" s="450">
        <f>LOOKUP(1E+100,M41:AC41)</f>
        <v>1279.6658022562799</v>
      </c>
      <c r="L41" s="448"/>
      <c r="M41" s="450">
        <v>1400</v>
      </c>
      <c r="R41" s="450">
        <v>1373.7743082657332</v>
      </c>
      <c r="T41" s="450">
        <v>1288.8770288740386</v>
      </c>
      <c r="V41" s="450">
        <v>1279.6658022562799</v>
      </c>
      <c r="AH41"/>
      <c r="AI41"/>
    </row>
    <row r="42" spans="1:35" s="450" customFormat="1" x14ac:dyDescent="0.25">
      <c r="A42" s="448">
        <v>2</v>
      </c>
      <c r="B42" s="448"/>
      <c r="C42" s="448">
        <f>IF(E42=E41,C41+1,1)</f>
        <v>38</v>
      </c>
      <c r="D42" s="448">
        <f>IF(M42=M41,D41,C42)</f>
        <v>35</v>
      </c>
      <c r="E42" s="448">
        <f>10+VALUE(RIGHT(LEFT(G42,3),1))</f>
        <v>12</v>
      </c>
      <c r="F42" s="448" t="str">
        <f>RIGHT(G42,2) &amp; IF(A42&lt;2,"x","")</f>
        <v>pm</v>
      </c>
      <c r="G42" s="448" t="s">
        <v>384</v>
      </c>
      <c r="H42" s="448" t="s">
        <v>330</v>
      </c>
      <c r="I42" s="448" t="s">
        <v>385</v>
      </c>
      <c r="J42" s="449" t="s">
        <v>20</v>
      </c>
      <c r="K42" s="450">
        <f>LOOKUP(1E+100,M42:AC42)</f>
        <v>1279.5314323800401</v>
      </c>
      <c r="L42" s="448"/>
      <c r="M42" s="450">
        <v>1400</v>
      </c>
      <c r="R42" s="450">
        <v>1279.5314323800401</v>
      </c>
      <c r="AH42"/>
      <c r="AI42"/>
    </row>
    <row r="43" spans="1:35" s="450" customFormat="1" x14ac:dyDescent="0.25">
      <c r="A43" s="448">
        <v>4</v>
      </c>
      <c r="B43" s="448"/>
      <c r="C43" s="448">
        <f>IF(E43=E42,C42+1,1)</f>
        <v>39</v>
      </c>
      <c r="D43" s="448">
        <f>IF(M43=M42,D42,C43)</f>
        <v>39</v>
      </c>
      <c r="E43" s="448">
        <f>10+VALUE(RIGHT(LEFT(G43,3),1))</f>
        <v>12</v>
      </c>
      <c r="F43" s="448" t="str">
        <f>RIGHT(G43,2) &amp; IF(A43&lt;2,"x","")</f>
        <v>pm</v>
      </c>
      <c r="G43" s="448" t="s">
        <v>415</v>
      </c>
      <c r="H43" s="448" t="s">
        <v>365</v>
      </c>
      <c r="I43" s="448" t="s">
        <v>416</v>
      </c>
      <c r="J43" s="449" t="s">
        <v>301</v>
      </c>
      <c r="K43" s="450">
        <f>LOOKUP(1E+100,M43:AC43)</f>
        <v>1277.1888079106297</v>
      </c>
      <c r="L43" s="448"/>
      <c r="M43" s="450">
        <v>1200</v>
      </c>
      <c r="R43" s="450">
        <v>1203.1411394635875</v>
      </c>
      <c r="T43" s="450">
        <v>1225.2301659580562</v>
      </c>
      <c r="V43" s="450">
        <v>1277.1888079106297</v>
      </c>
      <c r="AH43"/>
      <c r="AI43"/>
    </row>
    <row r="44" spans="1:35" s="450" customFormat="1" x14ac:dyDescent="0.25">
      <c r="A44" s="448">
        <v>3</v>
      </c>
      <c r="B44" s="448"/>
      <c r="C44" s="448">
        <f>IF(E44=E43,C43+1,1)</f>
        <v>40</v>
      </c>
      <c r="D44" s="448">
        <f>IF(M44=M43,D43,C44)</f>
        <v>40</v>
      </c>
      <c r="E44" s="448">
        <f>10+VALUE(RIGHT(LEFT(G44,3),1))</f>
        <v>12</v>
      </c>
      <c r="F44" s="448" t="str">
        <f>RIGHT(G44,2) &amp; IF(A44&lt;2,"x","")</f>
        <v>pm</v>
      </c>
      <c r="G44" s="448" t="s">
        <v>386</v>
      </c>
      <c r="H44" s="448" t="s">
        <v>330</v>
      </c>
      <c r="I44" s="448" t="s">
        <v>387</v>
      </c>
      <c r="J44" s="449" t="s">
        <v>20</v>
      </c>
      <c r="K44" s="450">
        <f>LOOKUP(1E+100,M44:AC44)</f>
        <v>1260.9158287077748</v>
      </c>
      <c r="L44" s="448"/>
      <c r="M44" s="450">
        <v>1400</v>
      </c>
      <c r="R44" s="450">
        <v>1371.0061506271329</v>
      </c>
      <c r="V44" s="450">
        <v>1260.9158287077748</v>
      </c>
      <c r="AH44"/>
      <c r="AI44"/>
    </row>
    <row r="45" spans="1:35" s="450" customFormat="1" x14ac:dyDescent="0.25">
      <c r="A45" s="448">
        <v>3</v>
      </c>
      <c r="B45" s="448"/>
      <c r="C45" s="448">
        <f>IF(E45=E44,C44+1,1)</f>
        <v>41</v>
      </c>
      <c r="D45" s="448">
        <f>IF(M45=M44,D44,C45)</f>
        <v>41</v>
      </c>
      <c r="E45" s="448">
        <f>10+VALUE(RIGHT(LEFT(G45,3),1))</f>
        <v>12</v>
      </c>
      <c r="F45" s="448" t="str">
        <f>RIGHT(G45,2) &amp; IF(A45&lt;2,"x","")</f>
        <v>pm</v>
      </c>
      <c r="G45" s="448" t="s">
        <v>404</v>
      </c>
      <c r="H45" s="448" t="s">
        <v>296</v>
      </c>
      <c r="I45" s="448" t="s">
        <v>405</v>
      </c>
      <c r="J45" s="449" t="s">
        <v>301</v>
      </c>
      <c r="K45" s="450">
        <f>LOOKUP(1E+100,M45:AC45)</f>
        <v>1259.4640372039044</v>
      </c>
      <c r="L45" s="448"/>
      <c r="M45" s="450">
        <v>1200</v>
      </c>
      <c r="R45" s="450">
        <v>1292.6373253209092</v>
      </c>
      <c r="V45" s="450">
        <v>1259.4640372039044</v>
      </c>
      <c r="AH45"/>
      <c r="AI45"/>
    </row>
    <row r="46" spans="1:35" s="450" customFormat="1" x14ac:dyDescent="0.25">
      <c r="A46" s="448">
        <v>3</v>
      </c>
      <c r="B46" s="448"/>
      <c r="C46" s="448">
        <f>IF(E46=E45,C45+1,1)</f>
        <v>42</v>
      </c>
      <c r="D46" s="448">
        <f>IF(M46=M45,D45,C46)</f>
        <v>41</v>
      </c>
      <c r="E46" s="448">
        <f>10+VALUE(RIGHT(LEFT(G46,3),1))</f>
        <v>12</v>
      </c>
      <c r="F46" s="448" t="str">
        <f>RIGHT(G46,2) &amp; IF(A46&lt;2,"x","")</f>
        <v>pm</v>
      </c>
      <c r="G46" s="448" t="s">
        <v>417</v>
      </c>
      <c r="H46" s="448" t="s">
        <v>374</v>
      </c>
      <c r="I46" s="448" t="s">
        <v>418</v>
      </c>
      <c r="J46" s="449" t="s">
        <v>301</v>
      </c>
      <c r="K46" s="450">
        <f>LOOKUP(1E+100,M46:AC46)</f>
        <v>1238.2996717476778</v>
      </c>
      <c r="L46" s="448"/>
      <c r="M46" s="450">
        <v>1200</v>
      </c>
      <c r="R46" s="450">
        <v>1238.5911205484977</v>
      </c>
      <c r="T46" s="450">
        <v>1254.0220353337193</v>
      </c>
      <c r="V46" s="450">
        <v>1238.2996717476778</v>
      </c>
      <c r="AH46"/>
      <c r="AI46"/>
    </row>
    <row r="47" spans="1:35" s="450" customFormat="1" x14ac:dyDescent="0.25">
      <c r="A47" s="448">
        <v>3</v>
      </c>
      <c r="B47" s="448"/>
      <c r="C47" s="448">
        <f>IF(E47=E46,C46+1,1)</f>
        <v>43</v>
      </c>
      <c r="D47" s="448">
        <f>IF(M47=M46,D46,C47)</f>
        <v>41</v>
      </c>
      <c r="E47" s="448">
        <f>10+VALUE(RIGHT(LEFT(G47,3),1))</f>
        <v>12</v>
      </c>
      <c r="F47" s="448" t="str">
        <f>RIGHT(G47,2) &amp; IF(A47&lt;2,"x","")</f>
        <v>pm</v>
      </c>
      <c r="G47" s="448" t="s">
        <v>406</v>
      </c>
      <c r="H47" s="448" t="s">
        <v>296</v>
      </c>
      <c r="I47" s="448" t="s">
        <v>407</v>
      </c>
      <c r="J47" s="449" t="s">
        <v>301</v>
      </c>
      <c r="K47" s="450">
        <f>LOOKUP(1E+100,M47:AC47)</f>
        <v>1235.3295353093363</v>
      </c>
      <c r="L47" s="448"/>
      <c r="M47" s="450">
        <v>1200</v>
      </c>
      <c r="R47" s="450">
        <v>1233.1715808383456</v>
      </c>
      <c r="V47" s="450">
        <v>1235.3295353093363</v>
      </c>
      <c r="AH47"/>
      <c r="AI47"/>
    </row>
    <row r="48" spans="1:35" s="450" customFormat="1" x14ac:dyDescent="0.25">
      <c r="A48" s="448">
        <v>3</v>
      </c>
      <c r="B48" s="448"/>
      <c r="C48" s="448">
        <f>IF(E48=E47,C47+1,1)</f>
        <v>44</v>
      </c>
      <c r="D48" s="448">
        <f>IF(M48=M47,D47,C48)</f>
        <v>41</v>
      </c>
      <c r="E48" s="448">
        <f>10+VALUE(RIGHT(LEFT(G48,3),1))</f>
        <v>12</v>
      </c>
      <c r="F48" s="448" t="str">
        <f>RIGHT(G48,2) &amp; IF(A48&lt;2,"x","")</f>
        <v>pm</v>
      </c>
      <c r="G48" s="448" t="s">
        <v>430</v>
      </c>
      <c r="H48" s="448" t="s">
        <v>431</v>
      </c>
      <c r="I48" s="448" t="s">
        <v>432</v>
      </c>
      <c r="J48" s="449" t="s">
        <v>301</v>
      </c>
      <c r="K48" s="450">
        <f>LOOKUP(1E+100,M48:AC48)</f>
        <v>1225.5441183253949</v>
      </c>
      <c r="L48" s="448"/>
      <c r="M48" s="450">
        <v>1200</v>
      </c>
      <c r="R48" s="450">
        <v>1231.5000238061393</v>
      </c>
      <c r="V48" s="450">
        <v>1225.5441183253949</v>
      </c>
      <c r="AH48"/>
      <c r="AI48"/>
    </row>
    <row r="49" spans="1:35" s="450" customFormat="1" x14ac:dyDescent="0.25">
      <c r="A49" s="448">
        <v>3</v>
      </c>
      <c r="B49" s="448"/>
      <c r="C49" s="448">
        <f>IF(E49=E48,C48+1,1)</f>
        <v>45</v>
      </c>
      <c r="D49" s="448">
        <f>IF(M49=M48,D48,C49)</f>
        <v>41</v>
      </c>
      <c r="E49" s="448">
        <f>10+VALUE(RIGHT(LEFT(G49,3),1))</f>
        <v>12</v>
      </c>
      <c r="F49" s="448" t="str">
        <f>RIGHT(G49,2) &amp; IF(A49&lt;2,"x","")</f>
        <v>pm</v>
      </c>
      <c r="G49" s="448" t="s">
        <v>419</v>
      </c>
      <c r="H49" s="448" t="s">
        <v>374</v>
      </c>
      <c r="I49" s="448" t="s">
        <v>420</v>
      </c>
      <c r="J49" s="449" t="s">
        <v>301</v>
      </c>
      <c r="K49" s="450">
        <f>LOOKUP(1E+100,M49:AC49)</f>
        <v>1198.7779068321081</v>
      </c>
      <c r="L49" s="448"/>
      <c r="M49" s="450">
        <v>1200</v>
      </c>
      <c r="R49" s="450">
        <v>1110.6532770275439</v>
      </c>
      <c r="T49" s="450">
        <v>1156.9377403644455</v>
      </c>
      <c r="V49" s="450">
        <v>1198.7779068321081</v>
      </c>
      <c r="AH49"/>
      <c r="AI49"/>
    </row>
    <row r="50" spans="1:35" s="450" customFormat="1" x14ac:dyDescent="0.25">
      <c r="A50" s="448">
        <v>2</v>
      </c>
      <c r="B50" s="448"/>
      <c r="C50" s="448">
        <f>IF(E50=E49,C49+1,1)</f>
        <v>46</v>
      </c>
      <c r="D50" s="448">
        <f>IF(M50=M49,D49,C50)</f>
        <v>41</v>
      </c>
      <c r="E50" s="448">
        <f>10+VALUE(RIGHT(LEFT(G50,3),1))</f>
        <v>12</v>
      </c>
      <c r="F50" s="448" t="str">
        <f>RIGHT(G50,2) &amp; IF(A50&lt;2,"x","")</f>
        <v>pm</v>
      </c>
      <c r="G50" s="448" t="s">
        <v>421</v>
      </c>
      <c r="H50" s="448" t="s">
        <v>306</v>
      </c>
      <c r="I50" s="448" t="s">
        <v>422</v>
      </c>
      <c r="J50" s="449" t="s">
        <v>301</v>
      </c>
      <c r="K50" s="450">
        <f>LOOKUP(1E+100,M50:AC50)</f>
        <v>1190.2613111223468</v>
      </c>
      <c r="L50" s="448"/>
      <c r="M50" s="450">
        <v>1200</v>
      </c>
      <c r="T50" s="450">
        <v>1190.2613111223468</v>
      </c>
      <c r="AH50"/>
      <c r="AI50"/>
    </row>
    <row r="51" spans="1:35" s="450" customFormat="1" x14ac:dyDescent="0.25">
      <c r="A51" s="448">
        <v>4</v>
      </c>
      <c r="B51" s="448"/>
      <c r="C51" s="448">
        <f>IF(E51=E50,C50+1,1)</f>
        <v>47</v>
      </c>
      <c r="D51" s="448">
        <f>IF(M51=M50,D50,C51)</f>
        <v>47</v>
      </c>
      <c r="E51" s="448">
        <f>10+VALUE(RIGHT(LEFT(G51,3),1))</f>
        <v>12</v>
      </c>
      <c r="F51" s="448" t="str">
        <f>RIGHT(G51,2) &amp; IF(A51&lt;2,"x","")</f>
        <v>pm</v>
      </c>
      <c r="G51" s="448" t="s">
        <v>395</v>
      </c>
      <c r="H51" s="448" t="s">
        <v>396</v>
      </c>
      <c r="I51" s="448" t="s">
        <v>397</v>
      </c>
      <c r="J51" s="449" t="s">
        <v>20</v>
      </c>
      <c r="K51" s="450">
        <f>LOOKUP(1E+100,M51:AC51)</f>
        <v>1178.6422198857679</v>
      </c>
      <c r="L51" s="448"/>
      <c r="M51" s="450">
        <v>1350</v>
      </c>
      <c r="P51" s="450">
        <v>1262.0861010337815</v>
      </c>
      <c r="R51" s="450">
        <v>1212.6460682694362</v>
      </c>
      <c r="T51" s="450">
        <v>1178.6422198857679</v>
      </c>
      <c r="AH51"/>
      <c r="AI51"/>
    </row>
    <row r="52" spans="1:35" s="450" customFormat="1" x14ac:dyDescent="0.25">
      <c r="A52" s="448">
        <v>5</v>
      </c>
      <c r="B52" s="448"/>
      <c r="C52" s="448">
        <f>IF(E52=E51,C51+1,1)</f>
        <v>48</v>
      </c>
      <c r="D52" s="448">
        <f>IF(M52=M51,D51,C52)</f>
        <v>48</v>
      </c>
      <c r="E52" s="448">
        <f>10+VALUE(RIGHT(LEFT(G52,3),1))</f>
        <v>12</v>
      </c>
      <c r="F52" s="448" t="str">
        <f>RIGHT(G52,2) &amp; IF(A52&lt;2,"x","")</f>
        <v>pm</v>
      </c>
      <c r="G52" s="448" t="s">
        <v>433</v>
      </c>
      <c r="H52" s="448" t="s">
        <v>338</v>
      </c>
      <c r="I52" s="448" t="s">
        <v>434</v>
      </c>
      <c r="J52" s="449" t="s">
        <v>301</v>
      </c>
      <c r="K52" s="450">
        <f>LOOKUP(1E+100,M52:AC52)</f>
        <v>1174.2782340237165</v>
      </c>
      <c r="L52" s="448"/>
      <c r="M52" s="450">
        <v>1200</v>
      </c>
      <c r="R52" s="450">
        <v>1166.1154316050067</v>
      </c>
      <c r="T52" s="450">
        <v>1124.1168813812924</v>
      </c>
      <c r="V52" s="450">
        <v>1174.2782340237165</v>
      </c>
      <c r="AH52"/>
      <c r="AI52"/>
    </row>
    <row r="53" spans="1:35" s="450" customFormat="1" x14ac:dyDescent="0.25">
      <c r="A53" s="448">
        <v>3</v>
      </c>
      <c r="B53" s="448"/>
      <c r="C53" s="448">
        <f>IF(E53=E52,C52+1,1)</f>
        <v>49</v>
      </c>
      <c r="D53" s="448">
        <f>IF(M53=M52,D52,C53)</f>
        <v>48</v>
      </c>
      <c r="E53" s="448">
        <f>10+VALUE(RIGHT(LEFT(G53,3),1))</f>
        <v>12</v>
      </c>
      <c r="F53" s="448" t="str">
        <f>RIGHT(G53,2) &amp; IF(A53&lt;2,"x","")</f>
        <v>pm</v>
      </c>
      <c r="G53" s="448" t="s">
        <v>402</v>
      </c>
      <c r="H53" s="448" t="s">
        <v>296</v>
      </c>
      <c r="I53" s="448" t="s">
        <v>403</v>
      </c>
      <c r="J53" s="449" t="s">
        <v>301</v>
      </c>
      <c r="K53" s="450">
        <f>LOOKUP(1E+100,M53:AC53)</f>
        <v>1167.1631014180109</v>
      </c>
      <c r="L53" s="448"/>
      <c r="M53" s="450">
        <v>1200</v>
      </c>
      <c r="R53" s="450">
        <v>1208.4683851329539</v>
      </c>
      <c r="V53" s="450">
        <v>1167.1631014180109</v>
      </c>
      <c r="AH53"/>
      <c r="AI53"/>
    </row>
    <row r="54" spans="1:35" s="450" customFormat="1" x14ac:dyDescent="0.25">
      <c r="A54" s="448">
        <v>5</v>
      </c>
      <c r="B54" s="448"/>
      <c r="C54" s="448">
        <f>IF(E54=E53,C53+1,1)</f>
        <v>50</v>
      </c>
      <c r="D54" s="448">
        <f>IF(M54=M53,D53,C54)</f>
        <v>48</v>
      </c>
      <c r="E54" s="448">
        <f>10+VALUE(RIGHT(LEFT(G54,3),1))</f>
        <v>12</v>
      </c>
      <c r="F54" s="448" t="str">
        <f>RIGHT(G54,2) &amp; IF(A54&lt;2,"x","")</f>
        <v>pm</v>
      </c>
      <c r="G54" s="448" t="s">
        <v>435</v>
      </c>
      <c r="H54" s="448" t="s">
        <v>338</v>
      </c>
      <c r="I54" s="448" t="s">
        <v>436</v>
      </c>
      <c r="J54" s="449" t="s">
        <v>301</v>
      </c>
      <c r="K54" s="450">
        <f>LOOKUP(1E+100,M54:AC54)</f>
        <v>1138.9992153970975</v>
      </c>
      <c r="L54" s="448"/>
      <c r="M54" s="450">
        <v>1200</v>
      </c>
      <c r="R54" s="450">
        <v>1166.3348618337313</v>
      </c>
      <c r="T54" s="450">
        <v>1160.1293279867637</v>
      </c>
      <c r="V54" s="450">
        <v>1138.9992153970975</v>
      </c>
      <c r="AH54"/>
      <c r="AI54"/>
    </row>
    <row r="55" spans="1:35" s="450" customFormat="1" x14ac:dyDescent="0.25">
      <c r="A55" s="448">
        <v>2</v>
      </c>
      <c r="B55" s="448"/>
      <c r="C55" s="448">
        <f>IF(E55=E54,C54+1,1)</f>
        <v>51</v>
      </c>
      <c r="D55" s="448">
        <f>IF(M55=M54,D54,C55)</f>
        <v>48</v>
      </c>
      <c r="E55" s="448">
        <f>10+VALUE(RIGHT(LEFT(G55,3),1))</f>
        <v>12</v>
      </c>
      <c r="F55" s="448" t="str">
        <f>RIGHT(G55,2) &amp; IF(A55&lt;2,"x","")</f>
        <v>pm</v>
      </c>
      <c r="G55" s="448" t="s">
        <v>423</v>
      </c>
      <c r="H55" s="448" t="s">
        <v>306</v>
      </c>
      <c r="I55" s="448" t="s">
        <v>424</v>
      </c>
      <c r="J55" s="449" t="s">
        <v>301</v>
      </c>
      <c r="K55" s="450">
        <f>LOOKUP(1E+100,M55:AC55)</f>
        <v>1104.9764908703403</v>
      </c>
      <c r="L55" s="448"/>
      <c r="M55" s="450">
        <v>1200</v>
      </c>
      <c r="T55" s="450">
        <v>1104.9764908703403</v>
      </c>
      <c r="AH55"/>
      <c r="AI55"/>
    </row>
    <row r="56" spans="1:35" s="450" customFormat="1" x14ac:dyDescent="0.25">
      <c r="A56" s="448">
        <v>4</v>
      </c>
      <c r="B56" s="448"/>
      <c r="C56" s="448">
        <f>IF(E56=E55,C55+1,1)</f>
        <v>52</v>
      </c>
      <c r="D56" s="448">
        <f>IF(M56=M55,D55,C56)</f>
        <v>48</v>
      </c>
      <c r="E56" s="448">
        <f>10+VALUE(RIGHT(LEFT(G56,3),1))</f>
        <v>12</v>
      </c>
      <c r="F56" s="448" t="str">
        <f>RIGHT(G56,2) &amp; IF(A56&lt;2,"x","")</f>
        <v>pm</v>
      </c>
      <c r="G56" s="448" t="s">
        <v>411</v>
      </c>
      <c r="H56" s="448" t="s">
        <v>365</v>
      </c>
      <c r="I56" s="448" t="s">
        <v>412</v>
      </c>
      <c r="J56" s="449" t="s">
        <v>301</v>
      </c>
      <c r="K56" s="450">
        <f>LOOKUP(1E+100,M56:AC56)</f>
        <v>1037.6144600253788</v>
      </c>
      <c r="L56" s="448"/>
      <c r="M56" s="450">
        <v>1200</v>
      </c>
      <c r="R56" s="450">
        <v>1157.9314597187015</v>
      </c>
      <c r="T56" s="450">
        <v>1129.3970315328922</v>
      </c>
      <c r="V56" s="450">
        <v>1037.6144600253788</v>
      </c>
      <c r="AH56"/>
      <c r="AI56"/>
    </row>
    <row r="57" spans="1:35" s="450" customFormat="1" x14ac:dyDescent="0.25">
      <c r="A57" s="448">
        <v>3</v>
      </c>
      <c r="B57" s="448"/>
      <c r="C57" s="448">
        <f>IF(E57=E56,C56+1,1)</f>
        <v>1</v>
      </c>
      <c r="D57" s="448">
        <f>IF(M57=M56,D56,C57)</f>
        <v>1</v>
      </c>
      <c r="E57" s="448">
        <f>10+VALUE(RIGHT(LEFT(G57,3),1))</f>
        <v>13</v>
      </c>
      <c r="F57" s="448" t="str">
        <f>RIGHT(G57,2) &amp; IF(A57&lt;2,"x","")</f>
        <v>pm</v>
      </c>
      <c r="G57" s="448" t="s">
        <v>438</v>
      </c>
      <c r="H57" s="448" t="s">
        <v>296</v>
      </c>
      <c r="I57" s="448" t="s">
        <v>439</v>
      </c>
      <c r="J57" s="449" t="s">
        <v>21</v>
      </c>
      <c r="K57" s="450">
        <f>LOOKUP(1E+100,M57:AC57)</f>
        <v>2263.6995845511233</v>
      </c>
      <c r="L57" s="448"/>
      <c r="M57" s="450">
        <v>2000</v>
      </c>
      <c r="O57" s="450">
        <v>2152.6882339125423</v>
      </c>
      <c r="U57" s="450">
        <v>2263.6995845511233</v>
      </c>
      <c r="AH57"/>
      <c r="AI57"/>
    </row>
    <row r="58" spans="1:35" s="450" customFormat="1" x14ac:dyDescent="0.25">
      <c r="A58" s="448">
        <v>5</v>
      </c>
      <c r="B58" s="448"/>
      <c r="C58" s="448">
        <f>IF(E58=E57,C57+1,1)</f>
        <v>2</v>
      </c>
      <c r="D58" s="448">
        <f>IF(M58=M57,D57,C58)</f>
        <v>1</v>
      </c>
      <c r="E58" s="448">
        <f>10+VALUE(RIGHT(LEFT(G58,3),1))</f>
        <v>13</v>
      </c>
      <c r="F58" s="448" t="str">
        <f>RIGHT(G58,2) &amp; IF(A58&lt;2,"x","")</f>
        <v>pm</v>
      </c>
      <c r="G58" s="448" t="s">
        <v>23</v>
      </c>
      <c r="H58" s="448" t="s">
        <v>350</v>
      </c>
      <c r="I58" s="448" t="s">
        <v>22</v>
      </c>
      <c r="J58" s="449" t="s">
        <v>21</v>
      </c>
      <c r="K58" s="450">
        <f>LOOKUP(1E+100,M58:AC58)</f>
        <v>2214.4906569405434</v>
      </c>
      <c r="L58" s="448"/>
      <c r="M58" s="450">
        <v>2000</v>
      </c>
      <c r="O58" s="450">
        <v>2090.0660361022765</v>
      </c>
      <c r="U58" s="450">
        <v>2157.74321750217</v>
      </c>
      <c r="W58" s="450">
        <v>2214.4906569405434</v>
      </c>
      <c r="AH58"/>
      <c r="AI58"/>
    </row>
    <row r="59" spans="1:35" s="450" customFormat="1" x14ac:dyDescent="0.25">
      <c r="A59" s="448">
        <v>3</v>
      </c>
      <c r="B59" s="448"/>
      <c r="C59" s="448">
        <f>IF(E59=E58,C58+1,1)</f>
        <v>3</v>
      </c>
      <c r="D59" s="448">
        <f>IF(M59=M58,D58,C59)</f>
        <v>1</v>
      </c>
      <c r="E59" s="448">
        <f>10+VALUE(RIGHT(LEFT(G59,3),1))</f>
        <v>13</v>
      </c>
      <c r="F59" s="448" t="str">
        <f>RIGHT(G59,2) &amp; IF(A59&lt;2,"x","")</f>
        <v>pm</v>
      </c>
      <c r="G59" s="448" t="s">
        <v>448</v>
      </c>
      <c r="H59" s="448" t="s">
        <v>319</v>
      </c>
      <c r="I59" s="448" t="s">
        <v>449</v>
      </c>
      <c r="J59" s="449" t="s">
        <v>21</v>
      </c>
      <c r="K59" s="450">
        <f>LOOKUP(1E+100,M59:AC59)</f>
        <v>2100.0545135197281</v>
      </c>
      <c r="L59" s="448"/>
      <c r="M59" s="450">
        <v>2000</v>
      </c>
      <c r="O59" s="450">
        <v>2039.0534480015622</v>
      </c>
      <c r="S59" s="450">
        <v>2100.0545135197281</v>
      </c>
      <c r="AH59"/>
      <c r="AI59"/>
    </row>
    <row r="60" spans="1:35" s="450" customFormat="1" x14ac:dyDescent="0.25">
      <c r="A60" s="448">
        <v>2</v>
      </c>
      <c r="B60" s="448"/>
      <c r="C60" s="448">
        <f>IF(E60=E59,C59+1,1)</f>
        <v>4</v>
      </c>
      <c r="D60" s="448">
        <f>IF(M60=M59,D59,C60)</f>
        <v>1</v>
      </c>
      <c r="E60" s="448">
        <f>10+VALUE(RIGHT(LEFT(G60,3),1))</f>
        <v>13</v>
      </c>
      <c r="F60" s="448" t="str">
        <f>RIGHT(G60,2) &amp; IF(A60&lt;2,"x","")</f>
        <v>pm</v>
      </c>
      <c r="G60" s="448" t="s">
        <v>450</v>
      </c>
      <c r="H60" s="448" t="s">
        <v>316</v>
      </c>
      <c r="I60" s="448" t="s">
        <v>451</v>
      </c>
      <c r="J60" s="449" t="s">
        <v>21</v>
      </c>
      <c r="K60" s="450">
        <f>LOOKUP(1E+100,M60:AC60)</f>
        <v>2033.2515181332528</v>
      </c>
      <c r="L60" s="448"/>
      <c r="M60" s="450">
        <v>2000</v>
      </c>
      <c r="S60" s="450">
        <v>2033.2515181332528</v>
      </c>
      <c r="AH60"/>
      <c r="AI60"/>
    </row>
    <row r="61" spans="1:35" s="450" customFormat="1" x14ac:dyDescent="0.25">
      <c r="A61" s="448">
        <v>7</v>
      </c>
      <c r="B61" s="448"/>
      <c r="C61" s="448">
        <f>IF(E61=E60,C60+1,1)</f>
        <v>5</v>
      </c>
      <c r="D61" s="448">
        <f>IF(M61=M60,D60,C61)</f>
        <v>1</v>
      </c>
      <c r="E61" s="448">
        <f>10+VALUE(RIGHT(LEFT(G61,3),1))</f>
        <v>13</v>
      </c>
      <c r="F61" s="448" t="str">
        <f>RIGHT(G61,2) &amp; IF(A61&lt;2,"x","")</f>
        <v>pm</v>
      </c>
      <c r="G61" s="448" t="s">
        <v>30</v>
      </c>
      <c r="H61" s="448" t="s">
        <v>353</v>
      </c>
      <c r="I61" s="448" t="s">
        <v>29</v>
      </c>
      <c r="J61" s="449" t="s">
        <v>21</v>
      </c>
      <c r="K61" s="450">
        <f>LOOKUP(1E+100,M61:AC61)</f>
        <v>2017.703291174091</v>
      </c>
      <c r="L61" s="448"/>
      <c r="M61" s="450">
        <v>2000</v>
      </c>
      <c r="O61" s="450">
        <v>1943.416124532403</v>
      </c>
      <c r="Q61" s="450">
        <v>1966.1656268304903</v>
      </c>
      <c r="S61" s="450">
        <v>1958.1634755038049</v>
      </c>
      <c r="U61" s="450">
        <v>1991.6720830602626</v>
      </c>
      <c r="W61" s="450">
        <v>2017.703291174091</v>
      </c>
      <c r="AH61"/>
      <c r="AI61"/>
    </row>
    <row r="62" spans="1:35" s="450" customFormat="1" x14ac:dyDescent="0.25">
      <c r="A62" s="448">
        <v>4</v>
      </c>
      <c r="B62" s="448"/>
      <c r="C62" s="448">
        <f>IF(E62=E61,C61+1,1)</f>
        <v>6</v>
      </c>
      <c r="D62" s="448">
        <f>IF(M62=M61,D61,C62)</f>
        <v>1</v>
      </c>
      <c r="E62" s="448">
        <f>10+VALUE(RIGHT(LEFT(G62,3),1))</f>
        <v>13</v>
      </c>
      <c r="F62" s="448" t="str">
        <f>RIGHT(G62,2) &amp; IF(A62&lt;2,"x","")</f>
        <v>pm</v>
      </c>
      <c r="G62" s="448" t="s">
        <v>38</v>
      </c>
      <c r="H62" s="448" t="s">
        <v>296</v>
      </c>
      <c r="I62" s="448" t="s">
        <v>37</v>
      </c>
      <c r="J62" s="449" t="s">
        <v>21</v>
      </c>
      <c r="K62" s="450">
        <f>LOOKUP(1E+100,M62:AC62)</f>
        <v>1987.3050777336375</v>
      </c>
      <c r="L62" s="448"/>
      <c r="M62" s="450">
        <v>2000</v>
      </c>
      <c r="O62" s="450">
        <v>1942.7428613495103</v>
      </c>
      <c r="U62" s="450">
        <v>1978.9631245417181</v>
      </c>
      <c r="W62" s="450">
        <v>1987.3050777336375</v>
      </c>
      <c r="AH62"/>
      <c r="AI62"/>
    </row>
    <row r="63" spans="1:35" s="450" customFormat="1" x14ac:dyDescent="0.25">
      <c r="A63" s="448">
        <v>4</v>
      </c>
      <c r="B63" s="448"/>
      <c r="C63" s="448">
        <f>IF(E63=E62,C62+1,1)</f>
        <v>7</v>
      </c>
      <c r="D63" s="448">
        <f>IF(M63=M62,D62,C63)</f>
        <v>1</v>
      </c>
      <c r="E63" s="448">
        <f>10+VALUE(RIGHT(LEFT(G63,3),1))</f>
        <v>13</v>
      </c>
      <c r="F63" s="448" t="str">
        <f>RIGHT(G63,2) &amp; IF(A63&lt;2,"x","")</f>
        <v>pm</v>
      </c>
      <c r="G63" s="448" t="s">
        <v>33</v>
      </c>
      <c r="H63" s="448" t="s">
        <v>374</v>
      </c>
      <c r="I63" s="448" t="s">
        <v>32</v>
      </c>
      <c r="J63" s="449" t="s">
        <v>21</v>
      </c>
      <c r="K63" s="450">
        <f>LOOKUP(1E+100,M63:AC63)</f>
        <v>1976.9474327790549</v>
      </c>
      <c r="L63" s="448"/>
      <c r="M63" s="450">
        <v>2000</v>
      </c>
      <c r="U63" s="450">
        <v>1985.6455041357583</v>
      </c>
      <c r="W63" s="450">
        <v>1976.9474327790549</v>
      </c>
      <c r="AH63"/>
      <c r="AI63"/>
    </row>
    <row r="64" spans="1:35" s="450" customFormat="1" x14ac:dyDescent="0.25">
      <c r="A64" s="448">
        <v>4</v>
      </c>
      <c r="B64" s="448"/>
      <c r="C64" s="448">
        <f>IF(E64=E63,C63+1,1)</f>
        <v>8</v>
      </c>
      <c r="D64" s="448">
        <f>IF(M64=M63,D63,C64)</f>
        <v>8</v>
      </c>
      <c r="E64" s="448">
        <f>10+VALUE(RIGHT(LEFT(G64,3),1))</f>
        <v>13</v>
      </c>
      <c r="F64" s="448" t="str">
        <f>RIGHT(G64,2) &amp; IF(A64&lt;2,"x","")</f>
        <v>pm</v>
      </c>
      <c r="G64" s="448" t="s">
        <v>452</v>
      </c>
      <c r="H64" s="448" t="s">
        <v>319</v>
      </c>
      <c r="I64" s="448" t="s">
        <v>453</v>
      </c>
      <c r="J64" s="449" t="s">
        <v>21</v>
      </c>
      <c r="K64" s="450">
        <f>LOOKUP(1E+100,M64:AC64)</f>
        <v>1896.502812306353</v>
      </c>
      <c r="L64" s="448"/>
      <c r="M64" s="450">
        <v>1900</v>
      </c>
      <c r="O64" s="450">
        <v>1896.502812306353</v>
      </c>
      <c r="AH64"/>
      <c r="AI64"/>
    </row>
    <row r="65" spans="1:35" s="450" customFormat="1" x14ac:dyDescent="0.25">
      <c r="A65" s="448">
        <v>3</v>
      </c>
      <c r="B65" s="448"/>
      <c r="C65" s="448">
        <f>IF(E65=E64,C64+1,1)</f>
        <v>9</v>
      </c>
      <c r="D65" s="448">
        <f>IF(M65=M64,D64,C65)</f>
        <v>9</v>
      </c>
      <c r="E65" s="448">
        <f>10+VALUE(RIGHT(LEFT(G65,3),1))</f>
        <v>13</v>
      </c>
      <c r="F65" s="448" t="str">
        <f>RIGHT(G65,2) &amp; IF(A65&lt;2,"x","")</f>
        <v>pm</v>
      </c>
      <c r="G65" s="448" t="s">
        <v>456</v>
      </c>
      <c r="H65" s="448" t="s">
        <v>316</v>
      </c>
      <c r="I65" s="448" t="s">
        <v>457</v>
      </c>
      <c r="J65" s="449" t="s">
        <v>20</v>
      </c>
      <c r="K65" s="450">
        <f>LOOKUP(1E+100,M65:AC65)</f>
        <v>1889.9786980074723</v>
      </c>
      <c r="L65" s="448"/>
      <c r="M65" s="450">
        <v>1733.3333333333333</v>
      </c>
      <c r="O65" s="450">
        <v>1854.2018399827273</v>
      </c>
      <c r="R65" s="450">
        <v>1889.9786980074723</v>
      </c>
      <c r="AH65"/>
      <c r="AI65"/>
    </row>
    <row r="66" spans="1:35" s="450" customFormat="1" x14ac:dyDescent="0.25">
      <c r="A66" s="448">
        <v>3</v>
      </c>
      <c r="B66" s="448"/>
      <c r="C66" s="448">
        <f>IF(E66=E65,C65+1,1)</f>
        <v>10</v>
      </c>
      <c r="D66" s="448">
        <f>IF(M66=M65,D65,C66)</f>
        <v>10</v>
      </c>
      <c r="E66" s="448">
        <f>10+VALUE(RIGHT(LEFT(G66,3),1))</f>
        <v>13</v>
      </c>
      <c r="F66" s="448" t="str">
        <f>RIGHT(G66,2) &amp; IF(A66&lt;2,"x","")</f>
        <v>pm</v>
      </c>
      <c r="G66" s="448" t="s">
        <v>47</v>
      </c>
      <c r="H66" s="448" t="s">
        <v>437</v>
      </c>
      <c r="I66" s="448" t="s">
        <v>46</v>
      </c>
      <c r="J66" s="449" t="s">
        <v>21</v>
      </c>
      <c r="K66" s="450">
        <f>LOOKUP(1E+100,M66:AC66)</f>
        <v>1873.3196550996381</v>
      </c>
      <c r="L66" s="448"/>
      <c r="M66" s="450">
        <v>2000</v>
      </c>
      <c r="O66" s="450">
        <v>1937.4919528089513</v>
      </c>
      <c r="W66" s="450">
        <v>1873.3196550996381</v>
      </c>
      <c r="AH66"/>
      <c r="AI66"/>
    </row>
    <row r="67" spans="1:35" s="450" customFormat="1" x14ac:dyDescent="0.25">
      <c r="A67" s="448">
        <v>7</v>
      </c>
      <c r="B67" s="448"/>
      <c r="C67" s="448">
        <f>IF(E67=E66,C66+1,1)</f>
        <v>11</v>
      </c>
      <c r="D67" s="448">
        <f>IF(M67=M66,D66,C67)</f>
        <v>11</v>
      </c>
      <c r="E67" s="448">
        <f>10+VALUE(RIGHT(LEFT(G67,3),1))</f>
        <v>13</v>
      </c>
      <c r="F67" s="448" t="str">
        <f>RIGHT(G67,2) &amp; IF(A67&lt;2,"x","")</f>
        <v>pm</v>
      </c>
      <c r="G67" s="448" t="s">
        <v>50</v>
      </c>
      <c r="H67" s="448" t="s">
        <v>338</v>
      </c>
      <c r="I67" s="448" t="s">
        <v>49</v>
      </c>
      <c r="J67" s="449" t="s">
        <v>21</v>
      </c>
      <c r="K67" s="450">
        <f>LOOKUP(1E+100,M67:AC67)</f>
        <v>1857.267256722582</v>
      </c>
      <c r="L67" s="448"/>
      <c r="M67" s="450">
        <v>1942.8571428571429</v>
      </c>
      <c r="Q67" s="450">
        <v>1852.3713067755587</v>
      </c>
      <c r="S67" s="450">
        <v>1873.5532472996633</v>
      </c>
      <c r="U67" s="450">
        <v>1856.0832418209029</v>
      </c>
      <c r="W67" s="450">
        <v>1857.267256722582</v>
      </c>
      <c r="AH67"/>
      <c r="AI67"/>
    </row>
    <row r="68" spans="1:35" s="450" customFormat="1" x14ac:dyDescent="0.25">
      <c r="A68" s="448">
        <v>6</v>
      </c>
      <c r="B68" s="448"/>
      <c r="C68" s="448">
        <f>IF(E68=E67,C67+1,1)</f>
        <v>12</v>
      </c>
      <c r="D68" s="448">
        <f>IF(M68=M67,D67,C68)</f>
        <v>12</v>
      </c>
      <c r="E68" s="448">
        <f>10+VALUE(RIGHT(LEFT(G68,3),1))</f>
        <v>13</v>
      </c>
      <c r="F68" s="448" t="str">
        <f>RIGHT(G68,2) &amp; IF(A68&lt;2,"x","")</f>
        <v>pm</v>
      </c>
      <c r="G68" s="448" t="s">
        <v>462</v>
      </c>
      <c r="H68" s="448" t="s">
        <v>368</v>
      </c>
      <c r="I68" s="448" t="s">
        <v>463</v>
      </c>
      <c r="J68" s="449" t="s">
        <v>20</v>
      </c>
      <c r="K68" s="450">
        <f>LOOKUP(1E+100,M68:AC68)</f>
        <v>1853.9788599591745</v>
      </c>
      <c r="L68" s="448"/>
      <c r="M68" s="450">
        <v>1666.6666666666667</v>
      </c>
      <c r="P68" s="450">
        <v>1728.1310461413079</v>
      </c>
      <c r="T68" s="450">
        <v>1804.7578750763826</v>
      </c>
      <c r="V68" s="450">
        <v>1853.9788599591745</v>
      </c>
      <c r="AH68"/>
      <c r="AI68"/>
    </row>
    <row r="69" spans="1:35" s="450" customFormat="1" x14ac:dyDescent="0.25">
      <c r="A69" s="448">
        <v>5</v>
      </c>
      <c r="B69" s="448"/>
      <c r="C69" s="448">
        <f>IF(E69=E68,C68+1,1)</f>
        <v>13</v>
      </c>
      <c r="D69" s="448">
        <f>IF(M69=M68,D68,C69)</f>
        <v>13</v>
      </c>
      <c r="E69" s="448">
        <f>10+VALUE(RIGHT(LEFT(G69,3),1))</f>
        <v>13</v>
      </c>
      <c r="F69" s="448" t="str">
        <f>RIGHT(G69,2) &amp; IF(A69&lt;2,"x","")</f>
        <v>pm</v>
      </c>
      <c r="G69" s="448" t="s">
        <v>53</v>
      </c>
      <c r="H69" s="448" t="s">
        <v>368</v>
      </c>
      <c r="I69" s="448" t="s">
        <v>52</v>
      </c>
      <c r="J69" s="449" t="s">
        <v>20</v>
      </c>
      <c r="K69" s="450">
        <f>LOOKUP(1E+100,M69:AC69)</f>
        <v>1841.4291853599461</v>
      </c>
      <c r="L69" s="448"/>
      <c r="M69" s="450">
        <v>1600</v>
      </c>
      <c r="P69" s="450">
        <v>1715.7263580857598</v>
      </c>
      <c r="R69" s="450">
        <v>1789.2595678161492</v>
      </c>
      <c r="T69" s="450">
        <v>1846.0824249958619</v>
      </c>
      <c r="W69" s="450">
        <v>1841.4291853599461</v>
      </c>
      <c r="AH69"/>
      <c r="AI69"/>
    </row>
    <row r="70" spans="1:35" s="450" customFormat="1" x14ac:dyDescent="0.25">
      <c r="A70" s="448">
        <v>3</v>
      </c>
      <c r="B70" s="448"/>
      <c r="C70" s="448">
        <f>IF(E70=E69,C69+1,1)</f>
        <v>14</v>
      </c>
      <c r="D70" s="448">
        <f>IF(M70=M69,D69,C70)</f>
        <v>14</v>
      </c>
      <c r="E70" s="448">
        <f>10+VALUE(RIGHT(LEFT(G70,3),1))</f>
        <v>13</v>
      </c>
      <c r="F70" s="448" t="str">
        <f>RIGHT(G70,2) &amp; IF(A70&lt;2,"x","")</f>
        <v>pm</v>
      </c>
      <c r="G70" s="448" t="s">
        <v>446</v>
      </c>
      <c r="H70" s="448" t="s">
        <v>293</v>
      </c>
      <c r="I70" s="448" t="s">
        <v>447</v>
      </c>
      <c r="J70" s="449" t="s">
        <v>21</v>
      </c>
      <c r="K70" s="450">
        <f>LOOKUP(1E+100,M70:AC70)</f>
        <v>1821.6037506813182</v>
      </c>
      <c r="L70" s="448"/>
      <c r="M70" s="450">
        <v>2000</v>
      </c>
      <c r="O70" s="450">
        <v>1915.8645173769876</v>
      </c>
      <c r="S70" s="450">
        <v>1821.6037506813182</v>
      </c>
      <c r="AH70"/>
      <c r="AI70"/>
    </row>
    <row r="71" spans="1:35" s="450" customFormat="1" x14ac:dyDescent="0.25">
      <c r="A71" s="448">
        <v>5</v>
      </c>
      <c r="B71" s="448"/>
      <c r="C71" s="448">
        <f>IF(E71=E70,C70+1,1)</f>
        <v>15</v>
      </c>
      <c r="D71" s="448">
        <f>IF(M71=M70,D70,C71)</f>
        <v>15</v>
      </c>
      <c r="E71" s="448">
        <f>10+VALUE(RIGHT(LEFT(G71,3),1))</f>
        <v>13</v>
      </c>
      <c r="F71" s="448" t="str">
        <f>RIGHT(G71,2) &amp; IF(A71&lt;2,"x","")</f>
        <v>pm</v>
      </c>
      <c r="G71" s="448" t="s">
        <v>501</v>
      </c>
      <c r="H71" s="448" t="s">
        <v>391</v>
      </c>
      <c r="I71" s="448" t="s">
        <v>502</v>
      </c>
      <c r="J71" s="449" t="s">
        <v>20</v>
      </c>
      <c r="K71" s="450">
        <f>LOOKUP(1E+100,M71:AC71)</f>
        <v>1753.9958516551837</v>
      </c>
      <c r="L71" s="448"/>
      <c r="M71" s="450">
        <v>1600</v>
      </c>
      <c r="R71" s="450">
        <v>1647.4740230165003</v>
      </c>
      <c r="T71" s="450">
        <v>1726.3713626144149</v>
      </c>
      <c r="V71" s="450">
        <v>1753.9958516551837</v>
      </c>
      <c r="AH71"/>
      <c r="AI71"/>
    </row>
    <row r="72" spans="1:35" s="450" customFormat="1" x14ac:dyDescent="0.25">
      <c r="A72" s="448">
        <v>5</v>
      </c>
      <c r="B72" s="448"/>
      <c r="C72" s="448">
        <f>IF(E72=E71,C71+1,1)</f>
        <v>16</v>
      </c>
      <c r="D72" s="448">
        <f>IF(M72=M71,D71,C72)</f>
        <v>15</v>
      </c>
      <c r="E72" s="448">
        <f>10+VALUE(RIGHT(LEFT(G72,3),1))</f>
        <v>13</v>
      </c>
      <c r="F72" s="448" t="str">
        <f>RIGHT(G72,2) &amp; IF(A72&lt;2,"x","")</f>
        <v>pm</v>
      </c>
      <c r="G72" s="448" t="s">
        <v>470</v>
      </c>
      <c r="H72" s="448" t="s">
        <v>350</v>
      </c>
      <c r="I72" s="448" t="s">
        <v>471</v>
      </c>
      <c r="J72" s="449" t="s">
        <v>20</v>
      </c>
      <c r="K72" s="450">
        <f>LOOKUP(1E+100,M72:AC72)</f>
        <v>1700.7528131422339</v>
      </c>
      <c r="L72" s="448"/>
      <c r="M72" s="450">
        <v>1600</v>
      </c>
      <c r="P72" s="450">
        <v>1633.9324219018492</v>
      </c>
      <c r="R72" s="450">
        <v>1640.1661561444348</v>
      </c>
      <c r="V72" s="450">
        <v>1700.7528131422339</v>
      </c>
      <c r="AH72"/>
      <c r="AI72"/>
    </row>
    <row r="73" spans="1:35" s="450" customFormat="1" x14ac:dyDescent="0.25">
      <c r="A73" s="448">
        <v>3</v>
      </c>
      <c r="B73" s="448"/>
      <c r="C73" s="448">
        <f>IF(E73=E72,C72+1,1)</f>
        <v>17</v>
      </c>
      <c r="D73" s="448">
        <f>IF(M73=M72,D72,C73)</f>
        <v>15</v>
      </c>
      <c r="E73" s="448">
        <f>10+VALUE(RIGHT(LEFT(G73,3),1))</f>
        <v>13</v>
      </c>
      <c r="F73" s="448" t="str">
        <f>RIGHT(G73,2) &amp; IF(A73&lt;2,"x","")</f>
        <v>pm</v>
      </c>
      <c r="G73" s="448" t="s">
        <v>464</v>
      </c>
      <c r="H73" s="448" t="s">
        <v>296</v>
      </c>
      <c r="I73" s="448" t="s">
        <v>465</v>
      </c>
      <c r="J73" s="449" t="s">
        <v>20</v>
      </c>
      <c r="K73" s="450">
        <f>LOOKUP(1E+100,M73:AC73)</f>
        <v>1684.9021174510051</v>
      </c>
      <c r="L73" s="448"/>
      <c r="M73" s="450">
        <v>1600</v>
      </c>
      <c r="P73" s="450">
        <v>1559.7550744981997</v>
      </c>
      <c r="R73" s="450">
        <v>1684.9021174510051</v>
      </c>
      <c r="AH73"/>
      <c r="AI73"/>
    </row>
    <row r="74" spans="1:35" s="450" customFormat="1" x14ac:dyDescent="0.25">
      <c r="A74" s="448">
        <v>6</v>
      </c>
      <c r="B74" s="448"/>
      <c r="C74" s="448">
        <f>IF(E74=E73,C73+1,1)</f>
        <v>18</v>
      </c>
      <c r="D74" s="448">
        <f>IF(M74=M73,D73,C74)</f>
        <v>18</v>
      </c>
      <c r="E74" s="448">
        <f>10+VALUE(RIGHT(LEFT(G74,3),1))</f>
        <v>13</v>
      </c>
      <c r="F74" s="448" t="str">
        <f>RIGHT(G74,2) &amp; IF(A74&lt;2,"x","")</f>
        <v>pm</v>
      </c>
      <c r="G74" s="448" t="s">
        <v>460</v>
      </c>
      <c r="H74" s="448" t="s">
        <v>437</v>
      </c>
      <c r="I74" s="448" t="s">
        <v>461</v>
      </c>
      <c r="J74" s="449" t="s">
        <v>20</v>
      </c>
      <c r="K74" s="450">
        <f>LOOKUP(1E+100,M74:AC74)</f>
        <v>1677.2690977446232</v>
      </c>
      <c r="L74" s="448"/>
      <c r="M74" s="450">
        <v>1666.6666666666667</v>
      </c>
      <c r="O74" s="450">
        <v>1693.5789788646412</v>
      </c>
      <c r="R74" s="450">
        <v>1641.6440767325234</v>
      </c>
      <c r="T74" s="450">
        <v>1623.8204049929316</v>
      </c>
      <c r="V74" s="450">
        <v>1677.2690977446232</v>
      </c>
      <c r="AH74"/>
      <c r="AI74"/>
    </row>
    <row r="75" spans="1:35" s="450" customFormat="1" x14ac:dyDescent="0.25">
      <c r="A75" s="448">
        <v>4</v>
      </c>
      <c r="B75" s="448"/>
      <c r="C75" s="448">
        <f>IF(E75=E74,C74+1,1)</f>
        <v>19</v>
      </c>
      <c r="D75" s="448">
        <f>IF(M75=M74,D74,C75)</f>
        <v>19</v>
      </c>
      <c r="E75" s="448">
        <f>10+VALUE(RIGHT(LEFT(G75,3),1))</f>
        <v>13</v>
      </c>
      <c r="F75" s="448" t="str">
        <f>RIGHT(G75,2) &amp; IF(A75&lt;2,"x","")</f>
        <v>pm</v>
      </c>
      <c r="G75" s="448" t="s">
        <v>458</v>
      </c>
      <c r="H75" s="448" t="s">
        <v>319</v>
      </c>
      <c r="I75" s="448" t="s">
        <v>459</v>
      </c>
      <c r="J75" s="449" t="s">
        <v>20</v>
      </c>
      <c r="K75" s="450">
        <f>LOOKUP(1E+100,M75:AC75)</f>
        <v>1669.2299346493558</v>
      </c>
      <c r="L75" s="448"/>
      <c r="M75" s="450">
        <v>1700</v>
      </c>
      <c r="O75" s="450">
        <v>1693.6375418300127</v>
      </c>
      <c r="R75" s="450">
        <v>1657.3872938785414</v>
      </c>
      <c r="T75" s="450">
        <v>1669.2299346493558</v>
      </c>
      <c r="AH75"/>
      <c r="AI75"/>
    </row>
    <row r="76" spans="1:35" s="450" customFormat="1" x14ac:dyDescent="0.25">
      <c r="A76" s="448">
        <v>3</v>
      </c>
      <c r="B76" s="448"/>
      <c r="C76" s="448">
        <f>IF(E76=E75,C75+1,1)</f>
        <v>20</v>
      </c>
      <c r="D76" s="448">
        <f>IF(M76=M75,D75,C76)</f>
        <v>20</v>
      </c>
      <c r="E76" s="448">
        <f>10+VALUE(RIGHT(LEFT(G76,3),1))</f>
        <v>13</v>
      </c>
      <c r="F76" s="448" t="str">
        <f>RIGHT(G76,2) &amp; IF(A76&lt;2,"x","")</f>
        <v>pm</v>
      </c>
      <c r="G76" s="448" t="s">
        <v>466</v>
      </c>
      <c r="H76" s="448" t="s">
        <v>296</v>
      </c>
      <c r="I76" s="448" t="s">
        <v>467</v>
      </c>
      <c r="J76" s="449" t="s">
        <v>20</v>
      </c>
      <c r="K76" s="450">
        <f>LOOKUP(1E+100,M76:AC76)</f>
        <v>1663.7820960089477</v>
      </c>
      <c r="L76" s="448"/>
      <c r="M76" s="450">
        <v>1600</v>
      </c>
      <c r="P76" s="450">
        <v>1590.1315477575743</v>
      </c>
      <c r="R76" s="450">
        <v>1663.7820960089477</v>
      </c>
      <c r="AH76"/>
      <c r="AI76"/>
    </row>
    <row r="77" spans="1:35" s="450" customFormat="1" x14ac:dyDescent="0.25">
      <c r="A77" s="448">
        <v>6</v>
      </c>
      <c r="B77" s="448"/>
      <c r="C77" s="448">
        <f>IF(E77=E76,C76+1,1)</f>
        <v>21</v>
      </c>
      <c r="D77" s="448">
        <f>IF(M77=M76,D76,C77)</f>
        <v>20</v>
      </c>
      <c r="E77" s="448">
        <f>10+VALUE(RIGHT(LEFT(G77,3),1))</f>
        <v>13</v>
      </c>
      <c r="F77" s="448" t="str">
        <f>RIGHT(G77,2) &amp; IF(A77&lt;2,"x","")</f>
        <v>pm</v>
      </c>
      <c r="G77" s="448" t="s">
        <v>476</v>
      </c>
      <c r="H77" s="448" t="s">
        <v>374</v>
      </c>
      <c r="I77" s="448" t="s">
        <v>477</v>
      </c>
      <c r="J77" s="449" t="s">
        <v>20</v>
      </c>
      <c r="K77" s="450">
        <f>LOOKUP(1E+100,M77:AC77)</f>
        <v>1635.5777991113016</v>
      </c>
      <c r="L77" s="448"/>
      <c r="M77" s="450">
        <v>1600</v>
      </c>
      <c r="R77" s="450">
        <v>1568.3090521625732</v>
      </c>
      <c r="T77" s="450">
        <v>1616.1193355748426</v>
      </c>
      <c r="V77" s="450">
        <v>1635.5777991113016</v>
      </c>
      <c r="AH77"/>
      <c r="AI77"/>
    </row>
    <row r="78" spans="1:35" s="450" customFormat="1" x14ac:dyDescent="0.25">
      <c r="A78" s="448">
        <v>6</v>
      </c>
      <c r="B78" s="448"/>
      <c r="C78" s="448">
        <f>IF(E78=E77,C77+1,1)</f>
        <v>22</v>
      </c>
      <c r="D78" s="448">
        <f>IF(M78=M77,D77,C78)</f>
        <v>20</v>
      </c>
      <c r="E78" s="448">
        <f>10+VALUE(RIGHT(LEFT(G78,3),1))</f>
        <v>13</v>
      </c>
      <c r="F78" s="448" t="str">
        <f>RIGHT(G78,2) &amp; IF(A78&lt;2,"x","")</f>
        <v>pm</v>
      </c>
      <c r="G78" s="448" t="s">
        <v>497</v>
      </c>
      <c r="H78" s="448" t="s">
        <v>338</v>
      </c>
      <c r="I78" s="448" t="s">
        <v>498</v>
      </c>
      <c r="J78" s="449" t="s">
        <v>20</v>
      </c>
      <c r="K78" s="450">
        <f>LOOKUP(1E+100,M78:AC78)</f>
        <v>1634.3041815697231</v>
      </c>
      <c r="L78" s="448"/>
      <c r="M78" s="450">
        <v>1600</v>
      </c>
      <c r="R78" s="450">
        <v>1616.8234096527883</v>
      </c>
      <c r="T78" s="450">
        <v>1595.6889931925523</v>
      </c>
      <c r="V78" s="450">
        <v>1634.3041815697231</v>
      </c>
      <c r="AH78"/>
      <c r="AI78"/>
    </row>
    <row r="79" spans="1:35" s="450" customFormat="1" x14ac:dyDescent="0.25">
      <c r="A79" s="448">
        <v>5</v>
      </c>
      <c r="B79" s="448"/>
      <c r="C79" s="448">
        <f>IF(E79=E78,C78+1,1)</f>
        <v>23</v>
      </c>
      <c r="D79" s="448">
        <f>IF(M79=M78,D78,C79)</f>
        <v>20</v>
      </c>
      <c r="E79" s="448">
        <f>10+VALUE(RIGHT(LEFT(G79,3),1))</f>
        <v>13</v>
      </c>
      <c r="F79" s="448" t="str">
        <f>RIGHT(G79,2) &amp; IF(A79&lt;2,"x","")</f>
        <v>pm</v>
      </c>
      <c r="G79" s="448" t="s">
        <v>487</v>
      </c>
      <c r="H79" s="448" t="s">
        <v>485</v>
      </c>
      <c r="I79" s="448" t="s">
        <v>488</v>
      </c>
      <c r="J79" s="449" t="s">
        <v>20</v>
      </c>
      <c r="K79" s="450">
        <f>LOOKUP(1E+100,M79:AC79)</f>
        <v>1624.3375045624421</v>
      </c>
      <c r="L79" s="448"/>
      <c r="M79" s="450">
        <v>1600</v>
      </c>
      <c r="R79" s="450">
        <v>1624.3375045624421</v>
      </c>
      <c r="AH79"/>
      <c r="AI79"/>
    </row>
    <row r="80" spans="1:35" s="450" customFormat="1" x14ac:dyDescent="0.25">
      <c r="A80" s="448">
        <v>3</v>
      </c>
      <c r="B80" s="448"/>
      <c r="C80" s="448">
        <f>IF(E80=E79,C79+1,1)</f>
        <v>24</v>
      </c>
      <c r="D80" s="448">
        <f>IF(M80=M79,D79,C80)</f>
        <v>20</v>
      </c>
      <c r="E80" s="448">
        <f>10+VALUE(RIGHT(LEFT(G80,3),1))</f>
        <v>13</v>
      </c>
      <c r="F80" s="448" t="str">
        <f>RIGHT(G80,2) &amp; IF(A80&lt;2,"x","")</f>
        <v>pm</v>
      </c>
      <c r="G80" s="448" t="s">
        <v>468</v>
      </c>
      <c r="H80" s="448" t="s">
        <v>296</v>
      </c>
      <c r="I80" s="448" t="s">
        <v>469</v>
      </c>
      <c r="J80" s="449" t="s">
        <v>20</v>
      </c>
      <c r="K80" s="450">
        <f>LOOKUP(1E+100,M80:AC80)</f>
        <v>1602.913856020094</v>
      </c>
      <c r="L80" s="448"/>
      <c r="M80" s="450">
        <v>1600</v>
      </c>
      <c r="R80" s="450">
        <v>1602.913856020094</v>
      </c>
      <c r="AH80"/>
      <c r="AI80"/>
    </row>
    <row r="81" spans="1:35" s="450" customFormat="1" x14ac:dyDescent="0.25">
      <c r="A81" s="448">
        <v>7</v>
      </c>
      <c r="B81" s="448"/>
      <c r="C81" s="448">
        <f>IF(E81=E80,C80+1,1)</f>
        <v>25</v>
      </c>
      <c r="D81" s="448">
        <f>IF(M81=M80,D80,C81)</f>
        <v>20</v>
      </c>
      <c r="E81" s="448">
        <f>10+VALUE(RIGHT(LEFT(G81,3),1))</f>
        <v>13</v>
      </c>
      <c r="F81" s="448" t="str">
        <f>RIGHT(G81,2) &amp; IF(A81&lt;2,"x","")</f>
        <v>pm</v>
      </c>
      <c r="G81" s="448" t="s">
        <v>489</v>
      </c>
      <c r="H81" s="448" t="s">
        <v>490</v>
      </c>
      <c r="I81" s="448" t="s">
        <v>491</v>
      </c>
      <c r="J81" s="449" t="s">
        <v>20</v>
      </c>
      <c r="K81" s="450">
        <f>LOOKUP(1E+100,M81:AC81)</f>
        <v>1593.8895537160881</v>
      </c>
      <c r="L81" s="448"/>
      <c r="M81" s="450">
        <v>1600</v>
      </c>
      <c r="P81" s="450">
        <v>1540.0355769325172</v>
      </c>
      <c r="R81" s="450">
        <v>1576.7047718940707</v>
      </c>
      <c r="T81" s="450">
        <v>1622.9329591490934</v>
      </c>
      <c r="V81" s="450">
        <v>1593.8895537160881</v>
      </c>
      <c r="AH81"/>
      <c r="AI81"/>
    </row>
    <row r="82" spans="1:35" s="450" customFormat="1" x14ac:dyDescent="0.25">
      <c r="A82" s="448">
        <v>3</v>
      </c>
      <c r="B82" s="448"/>
      <c r="C82" s="448">
        <f>IF(E82=E81,C81+1,1)</f>
        <v>26</v>
      </c>
      <c r="D82" s="448">
        <f>IF(M82=M81,D81,C82)</f>
        <v>20</v>
      </c>
      <c r="E82" s="448">
        <f>10+VALUE(RIGHT(LEFT(G82,3),1))</f>
        <v>13</v>
      </c>
      <c r="F82" s="448" t="str">
        <f>RIGHT(G82,2) &amp; IF(A82&lt;2,"x","")</f>
        <v>pm</v>
      </c>
      <c r="G82" s="448" t="s">
        <v>492</v>
      </c>
      <c r="H82" s="448" t="s">
        <v>431</v>
      </c>
      <c r="I82" s="448" t="s">
        <v>493</v>
      </c>
      <c r="J82" s="449" t="s">
        <v>20</v>
      </c>
      <c r="K82" s="450">
        <f>LOOKUP(1E+100,M82:AC82)</f>
        <v>1590.7069587238871</v>
      </c>
      <c r="L82" s="448"/>
      <c r="M82" s="450">
        <v>1600</v>
      </c>
      <c r="R82" s="450">
        <v>1590.7069587238871</v>
      </c>
      <c r="AH82"/>
      <c r="AI82"/>
    </row>
    <row r="83" spans="1:35" s="450" customFormat="1" x14ac:dyDescent="0.25">
      <c r="A83" s="448">
        <v>5</v>
      </c>
      <c r="B83" s="448"/>
      <c r="C83" s="448">
        <f>IF(E83=E82,C82+1,1)</f>
        <v>27</v>
      </c>
      <c r="D83" s="448">
        <f>IF(M83=M82,D82,C83)</f>
        <v>20</v>
      </c>
      <c r="E83" s="448">
        <f>10+VALUE(RIGHT(LEFT(G83,3),1))</f>
        <v>13</v>
      </c>
      <c r="F83" s="448" t="str">
        <f>RIGHT(G83,2) &amp; IF(A83&lt;2,"x","")</f>
        <v>pm</v>
      </c>
      <c r="G83" s="448" t="s">
        <v>503</v>
      </c>
      <c r="H83" s="448" t="s">
        <v>504</v>
      </c>
      <c r="I83" s="448" t="s">
        <v>505</v>
      </c>
      <c r="J83" s="449" t="s">
        <v>20</v>
      </c>
      <c r="K83" s="450">
        <f>LOOKUP(1E+100,M83:AC83)</f>
        <v>1585.9506762402145</v>
      </c>
      <c r="L83" s="448"/>
      <c r="M83" s="450">
        <v>1600</v>
      </c>
      <c r="R83" s="450">
        <v>1639.4730821157075</v>
      </c>
      <c r="T83" s="450">
        <v>1613.0329052350071</v>
      </c>
      <c r="V83" s="450">
        <v>1585.9506762402145</v>
      </c>
      <c r="AH83"/>
      <c r="AI83"/>
    </row>
    <row r="84" spans="1:35" s="450" customFormat="1" x14ac:dyDescent="0.25">
      <c r="A84" s="448">
        <v>6</v>
      </c>
      <c r="B84" s="448"/>
      <c r="C84" s="448">
        <f>IF(E84=E83,C83+1,1)</f>
        <v>28</v>
      </c>
      <c r="D84" s="448">
        <f>IF(M84=M83,D83,C84)</f>
        <v>20</v>
      </c>
      <c r="E84" s="448">
        <f>10+VALUE(RIGHT(LEFT(G84,3),1))</f>
        <v>13</v>
      </c>
      <c r="F84" s="448" t="str">
        <f>RIGHT(G84,2) &amp; IF(A84&lt;2,"x","")</f>
        <v>pm</v>
      </c>
      <c r="G84" s="448" t="s">
        <v>472</v>
      </c>
      <c r="H84" s="448" t="s">
        <v>353</v>
      </c>
      <c r="I84" s="448" t="s">
        <v>473</v>
      </c>
      <c r="J84" s="449" t="s">
        <v>20</v>
      </c>
      <c r="K84" s="450">
        <f>LOOKUP(1E+100,M84:AC84)</f>
        <v>1585.6650654510097</v>
      </c>
      <c r="L84" s="448"/>
      <c r="M84" s="450">
        <v>1600</v>
      </c>
      <c r="R84" s="450">
        <v>1568.2233091455873</v>
      </c>
      <c r="T84" s="450">
        <v>1509.7586404382946</v>
      </c>
      <c r="V84" s="450">
        <v>1585.6650654510097</v>
      </c>
      <c r="AH84"/>
      <c r="AI84"/>
    </row>
    <row r="85" spans="1:35" s="450" customFormat="1" x14ac:dyDescent="0.25">
      <c r="A85" s="448">
        <v>4</v>
      </c>
      <c r="B85" s="448"/>
      <c r="C85" s="448">
        <f>IF(E85=E84,C84+1,1)</f>
        <v>29</v>
      </c>
      <c r="D85" s="448">
        <f>IF(M85=M84,D84,C85)</f>
        <v>20</v>
      </c>
      <c r="E85" s="448">
        <f>10+VALUE(RIGHT(LEFT(G85,3),1))</f>
        <v>13</v>
      </c>
      <c r="F85" s="448" t="str">
        <f>RIGHT(G85,2) &amp; IF(A85&lt;2,"x","")</f>
        <v>pm</v>
      </c>
      <c r="G85" s="448" t="s">
        <v>474</v>
      </c>
      <c r="H85" s="448" t="s">
        <v>365</v>
      </c>
      <c r="I85" s="448" t="s">
        <v>475</v>
      </c>
      <c r="J85" s="449" t="s">
        <v>20</v>
      </c>
      <c r="K85" s="450">
        <f>LOOKUP(1E+100,M85:AC85)</f>
        <v>1583.1178074464576</v>
      </c>
      <c r="L85" s="448"/>
      <c r="M85" s="450">
        <v>1600</v>
      </c>
      <c r="P85" s="450">
        <v>1552.9187728513743</v>
      </c>
      <c r="R85" s="450">
        <v>1638.9168688111979</v>
      </c>
      <c r="V85" s="450">
        <v>1583.1178074464576</v>
      </c>
      <c r="AH85"/>
      <c r="AI85"/>
    </row>
    <row r="86" spans="1:35" s="450" customFormat="1" x14ac:dyDescent="0.25">
      <c r="A86" s="448">
        <v>3</v>
      </c>
      <c r="B86" s="448"/>
      <c r="C86" s="448">
        <f>IF(E86=E85,C85+1,1)</f>
        <v>30</v>
      </c>
      <c r="D86" s="448">
        <f>IF(M86=M85,D85,C86)</f>
        <v>30</v>
      </c>
      <c r="E86" s="448">
        <f>10+VALUE(RIGHT(LEFT(G86,3),1))</f>
        <v>13</v>
      </c>
      <c r="F86" s="448" t="str">
        <f>RIGHT(G86,2) &amp; IF(A86&lt;2,"x","")</f>
        <v>pm</v>
      </c>
      <c r="G86" s="448" t="s">
        <v>454</v>
      </c>
      <c r="H86" s="448" t="s">
        <v>330</v>
      </c>
      <c r="I86" s="448" t="s">
        <v>455</v>
      </c>
      <c r="J86" s="449" t="s">
        <v>20</v>
      </c>
      <c r="K86" s="450">
        <f>LOOKUP(1E+100,M86:AC86)</f>
        <v>1581.2933664625068</v>
      </c>
      <c r="L86" s="448"/>
      <c r="M86" s="450">
        <v>1733.3333333333333</v>
      </c>
      <c r="R86" s="450">
        <v>1596.5625330002313</v>
      </c>
      <c r="S86" s="450">
        <v>1581.2933664625068</v>
      </c>
      <c r="AH86"/>
      <c r="AI86"/>
    </row>
    <row r="87" spans="1:35" s="450" customFormat="1" x14ac:dyDescent="0.25">
      <c r="A87" s="448">
        <v>4</v>
      </c>
      <c r="B87" s="448"/>
      <c r="C87" s="448">
        <f>IF(E87=E86,C86+1,1)</f>
        <v>31</v>
      </c>
      <c r="D87" s="448">
        <f>IF(M87=M86,D86,C87)</f>
        <v>31</v>
      </c>
      <c r="E87" s="448">
        <f>10+VALUE(RIGHT(LEFT(G87,3),1))</f>
        <v>13</v>
      </c>
      <c r="F87" s="448" t="str">
        <f>RIGHT(G87,2) &amp; IF(A87&lt;2,"x","")</f>
        <v>pm</v>
      </c>
      <c r="G87" s="448" t="s">
        <v>482</v>
      </c>
      <c r="H87" s="448" t="s">
        <v>306</v>
      </c>
      <c r="I87" s="448" t="s">
        <v>483</v>
      </c>
      <c r="J87" s="449" t="s">
        <v>20</v>
      </c>
      <c r="K87" s="450">
        <f>LOOKUP(1E+100,M87:AC87)</f>
        <v>1570.670589341255</v>
      </c>
      <c r="L87" s="448"/>
      <c r="M87" s="450">
        <v>1600</v>
      </c>
      <c r="T87" s="450">
        <v>1611.1186992330199</v>
      </c>
      <c r="V87" s="450">
        <v>1570.670589341255</v>
      </c>
      <c r="AH87"/>
      <c r="AI87"/>
    </row>
    <row r="88" spans="1:35" s="450" customFormat="1" x14ac:dyDescent="0.25">
      <c r="A88" s="448">
        <v>4</v>
      </c>
      <c r="B88" s="448"/>
      <c r="C88" s="448">
        <f>IF(E88=E87,C87+1,1)</f>
        <v>32</v>
      </c>
      <c r="D88" s="448">
        <f>IF(M88=M87,D87,C88)</f>
        <v>31</v>
      </c>
      <c r="E88" s="448">
        <f>10+VALUE(RIGHT(LEFT(G88,3),1))</f>
        <v>13</v>
      </c>
      <c r="F88" s="448" t="str">
        <f>RIGHT(G88,2) &amp; IF(A88&lt;2,"x","")</f>
        <v>pm</v>
      </c>
      <c r="G88" s="448" t="s">
        <v>494</v>
      </c>
      <c r="H88" s="448" t="s">
        <v>495</v>
      </c>
      <c r="I88" s="448" t="s">
        <v>496</v>
      </c>
      <c r="J88" s="449" t="s">
        <v>20</v>
      </c>
      <c r="K88" s="450">
        <f>LOOKUP(1E+100,M88:AC88)</f>
        <v>1543.1249027046999</v>
      </c>
      <c r="L88" s="448"/>
      <c r="M88" s="450">
        <v>1600</v>
      </c>
      <c r="P88" s="450">
        <v>1546.0358684980845</v>
      </c>
      <c r="T88" s="450">
        <v>1543.1249027046999</v>
      </c>
      <c r="AH88"/>
      <c r="AI88"/>
    </row>
    <row r="89" spans="1:35" s="450" customFormat="1" x14ac:dyDescent="0.25">
      <c r="A89" s="448">
        <v>3</v>
      </c>
      <c r="B89" s="448"/>
      <c r="C89" s="448">
        <f>IF(E89=E88,C88+1,1)</f>
        <v>33</v>
      </c>
      <c r="D89" s="448">
        <f>IF(M89=M88,D88,C89)</f>
        <v>31</v>
      </c>
      <c r="E89" s="448">
        <f>10+VALUE(RIGHT(LEFT(G89,3),1))</f>
        <v>13</v>
      </c>
      <c r="F89" s="448" t="str">
        <f>RIGHT(G89,2) &amp; IF(A89&lt;2,"x","")</f>
        <v>pm</v>
      </c>
      <c r="G89" s="448" t="s">
        <v>506</v>
      </c>
      <c r="H89" s="448" t="s">
        <v>335</v>
      </c>
      <c r="I89" s="448" t="s">
        <v>507</v>
      </c>
      <c r="J89" s="449" t="s">
        <v>20</v>
      </c>
      <c r="K89" s="450">
        <f>LOOKUP(1E+100,M89:AC89)</f>
        <v>1519.2343150248782</v>
      </c>
      <c r="L89" s="448"/>
      <c r="M89" s="450">
        <v>1600</v>
      </c>
      <c r="V89" s="450">
        <v>1519.2343150248782</v>
      </c>
      <c r="AH89"/>
      <c r="AI89"/>
    </row>
    <row r="90" spans="1:35" s="450" customFormat="1" x14ac:dyDescent="0.25">
      <c r="A90" s="448">
        <v>6</v>
      </c>
      <c r="B90" s="448"/>
      <c r="C90" s="448">
        <f>IF(E90=E89,C89+1,1)</f>
        <v>34</v>
      </c>
      <c r="D90" s="448">
        <f>IF(M90=M89,D89,C90)</f>
        <v>31</v>
      </c>
      <c r="E90" s="448">
        <f>10+VALUE(RIGHT(LEFT(G90,3),1))</f>
        <v>13</v>
      </c>
      <c r="F90" s="448" t="str">
        <f>RIGHT(G90,2) &amp; IF(A90&lt;2,"x","")</f>
        <v>pm</v>
      </c>
      <c r="G90" s="448" t="s">
        <v>480</v>
      </c>
      <c r="H90" s="448" t="s">
        <v>374</v>
      </c>
      <c r="I90" s="448" t="s">
        <v>481</v>
      </c>
      <c r="J90" s="449" t="s">
        <v>20</v>
      </c>
      <c r="K90" s="450">
        <f>LOOKUP(1E+100,M90:AC90)</f>
        <v>1507.6966129179052</v>
      </c>
      <c r="L90" s="448"/>
      <c r="M90" s="450">
        <v>1600</v>
      </c>
      <c r="R90" s="450">
        <v>1624.823853549269</v>
      </c>
      <c r="T90" s="450">
        <v>1520.7107114660023</v>
      </c>
      <c r="V90" s="450">
        <v>1507.6966129179052</v>
      </c>
      <c r="AH90"/>
      <c r="AI90"/>
    </row>
    <row r="91" spans="1:35" s="450" customFormat="1" x14ac:dyDescent="0.25">
      <c r="A91" s="448">
        <v>5</v>
      </c>
      <c r="B91" s="448"/>
      <c r="C91" s="448">
        <f>IF(E91=E90,C90+1,1)</f>
        <v>35</v>
      </c>
      <c r="D91" s="448">
        <f>IF(M91=M90,D90,C91)</f>
        <v>31</v>
      </c>
      <c r="E91" s="448">
        <f>10+VALUE(RIGHT(LEFT(G91,3),1))</f>
        <v>13</v>
      </c>
      <c r="F91" s="448" t="str">
        <f>RIGHT(G91,2) &amp; IF(A91&lt;2,"x","")</f>
        <v>pm</v>
      </c>
      <c r="G91" s="448" t="s">
        <v>484</v>
      </c>
      <c r="H91" s="448" t="s">
        <v>485</v>
      </c>
      <c r="I91" s="448" t="s">
        <v>486</v>
      </c>
      <c r="J91" s="449" t="s">
        <v>20</v>
      </c>
      <c r="K91" s="450">
        <f>LOOKUP(1E+100,M91:AC91)</f>
        <v>1482.1099170701641</v>
      </c>
      <c r="L91" s="448"/>
      <c r="M91" s="450">
        <v>1600</v>
      </c>
      <c r="R91" s="450">
        <v>1540.9289312215133</v>
      </c>
      <c r="T91" s="450">
        <v>1471.7276842658753</v>
      </c>
      <c r="V91" s="450">
        <v>1482.1099170701641</v>
      </c>
      <c r="AH91"/>
      <c r="AI91"/>
    </row>
    <row r="92" spans="1:35" s="450" customFormat="1" x14ac:dyDescent="0.25">
      <c r="A92" s="448">
        <v>6</v>
      </c>
      <c r="B92" s="448"/>
      <c r="C92" s="448">
        <f>IF(E92=E91,C91+1,1)</f>
        <v>36</v>
      </c>
      <c r="D92" s="448">
        <f>IF(M92=M91,D91,C92)</f>
        <v>31</v>
      </c>
      <c r="E92" s="448">
        <f>10+VALUE(RIGHT(LEFT(G92,3),1))</f>
        <v>13</v>
      </c>
      <c r="F92" s="448" t="str">
        <f>RIGHT(G92,2) &amp; IF(A92&lt;2,"x","")</f>
        <v>pm</v>
      </c>
      <c r="G92" s="448" t="s">
        <v>499</v>
      </c>
      <c r="H92" s="448" t="s">
        <v>338</v>
      </c>
      <c r="I92" s="448" t="s">
        <v>500</v>
      </c>
      <c r="J92" s="449" t="s">
        <v>20</v>
      </c>
      <c r="K92" s="450">
        <f>LOOKUP(1E+100,M92:AC92)</f>
        <v>1424.539517337709</v>
      </c>
      <c r="L92" s="448"/>
      <c r="M92" s="450">
        <v>1600</v>
      </c>
      <c r="R92" s="450">
        <v>1511.9591340892896</v>
      </c>
      <c r="T92" s="450">
        <v>1466.8482393616123</v>
      </c>
      <c r="V92" s="450">
        <v>1424.539517337709</v>
      </c>
      <c r="AH92"/>
      <c r="AI92"/>
    </row>
    <row r="93" spans="1:35" s="450" customFormat="1" x14ac:dyDescent="0.25">
      <c r="A93" s="448">
        <v>6</v>
      </c>
      <c r="B93" s="448"/>
      <c r="C93" s="448">
        <f>IF(E93=E92,C92+1,1)</f>
        <v>37</v>
      </c>
      <c r="D93" s="448">
        <f>IF(M93=M92,D92,C93)</f>
        <v>31</v>
      </c>
      <c r="E93" s="448">
        <f>10+VALUE(RIGHT(LEFT(G93,3),1))</f>
        <v>13</v>
      </c>
      <c r="F93" s="448" t="str">
        <f>RIGHT(G93,2) &amp; IF(A93&lt;2,"x","")</f>
        <v>pm</v>
      </c>
      <c r="G93" s="448" t="s">
        <v>478</v>
      </c>
      <c r="H93" s="448" t="s">
        <v>374</v>
      </c>
      <c r="I93" s="448" t="s">
        <v>479</v>
      </c>
      <c r="J93" s="449" t="s">
        <v>20</v>
      </c>
      <c r="K93" s="450">
        <f>LOOKUP(1E+100,M93:AC93)</f>
        <v>1347.213525205284</v>
      </c>
      <c r="L93" s="448"/>
      <c r="M93" s="450">
        <v>1600</v>
      </c>
      <c r="R93" s="450">
        <v>1475.1822078119806</v>
      </c>
      <c r="T93" s="450">
        <v>1401.235994520837</v>
      </c>
      <c r="V93" s="450">
        <v>1347.213525205284</v>
      </c>
      <c r="AH93"/>
      <c r="AI93"/>
    </row>
    <row r="94" spans="1:35" s="450" customFormat="1" x14ac:dyDescent="0.25">
      <c r="A94" s="448">
        <v>3</v>
      </c>
      <c r="B94" s="448"/>
      <c r="C94" s="448">
        <f>IF(E94=E93,C93+1,1)</f>
        <v>38</v>
      </c>
      <c r="D94" s="448">
        <f>IF(M94=M93,D93,C94)</f>
        <v>38</v>
      </c>
      <c r="E94" s="448">
        <f>10+VALUE(RIGHT(LEFT(G94,3),1))</f>
        <v>13</v>
      </c>
      <c r="F94" s="448" t="str">
        <f>RIGHT(G94,2) &amp; IF(A94&lt;2,"x","")</f>
        <v>pm</v>
      </c>
      <c r="G94" s="448" t="s">
        <v>508</v>
      </c>
      <c r="H94" s="448" t="s">
        <v>365</v>
      </c>
      <c r="I94" s="448" t="s">
        <v>509</v>
      </c>
      <c r="J94" s="449" t="s">
        <v>301</v>
      </c>
      <c r="K94" s="450">
        <f>LOOKUP(1E+100,M94:AC94)</f>
        <v>1261.8357619275132</v>
      </c>
      <c r="L94" s="448"/>
      <c r="M94" s="450">
        <v>1200</v>
      </c>
      <c r="R94" s="450">
        <v>1251.7655011857189</v>
      </c>
      <c r="T94" s="450">
        <v>1278.4897521966338</v>
      </c>
      <c r="V94" s="450">
        <v>1261.8357619275132</v>
      </c>
      <c r="AH94"/>
      <c r="AI94"/>
    </row>
    <row r="95" spans="1:35" s="450" customFormat="1" x14ac:dyDescent="0.25">
      <c r="A95" s="448">
        <v>2</v>
      </c>
      <c r="B95" s="448"/>
      <c r="C95" s="448">
        <f>IF(E95=E94,C94+1,1)</f>
        <v>1</v>
      </c>
      <c r="D95" s="448">
        <f>IF(M95=M94,D94,C95)</f>
        <v>1</v>
      </c>
      <c r="E95" s="448">
        <f>10+VALUE(RIGHT(LEFT(G95,3),1))</f>
        <v>14</v>
      </c>
      <c r="F95" s="448" t="str">
        <f>RIGHT(G95,2) &amp; IF(A95&lt;2,"x","")</f>
        <v>pm</v>
      </c>
      <c r="G95" s="448" t="s">
        <v>510</v>
      </c>
      <c r="H95" s="448" t="s">
        <v>303</v>
      </c>
      <c r="I95" s="448" t="s">
        <v>511</v>
      </c>
      <c r="J95" s="449" t="s">
        <v>21</v>
      </c>
      <c r="K95" s="450">
        <f>LOOKUP(1E+100,M95:AC95)</f>
        <v>2398.996097103628</v>
      </c>
      <c r="L95" s="448"/>
      <c r="M95" s="450">
        <v>2200</v>
      </c>
      <c r="S95" s="450">
        <v>2311.0807161779258</v>
      </c>
      <c r="U95" s="450">
        <v>2398.996097103628</v>
      </c>
      <c r="AH95"/>
      <c r="AI95"/>
    </row>
    <row r="96" spans="1:35" s="450" customFormat="1" x14ac:dyDescent="0.25">
      <c r="A96" s="448">
        <v>5</v>
      </c>
      <c r="B96" s="448"/>
      <c r="C96" s="448">
        <f>IF(E96=E95,C95+1,1)</f>
        <v>2</v>
      </c>
      <c r="D96" s="448">
        <f>IF(M96=M95,D95,C96)</f>
        <v>1</v>
      </c>
      <c r="E96" s="448">
        <f>10+VALUE(RIGHT(LEFT(G96,3),1))</f>
        <v>14</v>
      </c>
      <c r="F96" s="448" t="str">
        <f>RIGHT(G96,2) &amp; IF(A96&lt;2,"x","")</f>
        <v>pm</v>
      </c>
      <c r="G96" s="448" t="s">
        <v>516</v>
      </c>
      <c r="H96" s="448" t="s">
        <v>353</v>
      </c>
      <c r="I96" s="448" t="s">
        <v>517</v>
      </c>
      <c r="J96" s="449" t="s">
        <v>21</v>
      </c>
      <c r="K96" s="450">
        <f>LOOKUP(1E+100,M96:AC96)</f>
        <v>2377.0953269100501</v>
      </c>
      <c r="L96" s="448"/>
      <c r="M96" s="450">
        <v>2200</v>
      </c>
      <c r="O96" s="450">
        <v>2180.5987194531212</v>
      </c>
      <c r="S96" s="450">
        <v>2250.3476060341486</v>
      </c>
      <c r="U96" s="450">
        <v>2316.2969734080621</v>
      </c>
      <c r="W96" s="450">
        <v>2377.0953269100501</v>
      </c>
      <c r="AH96"/>
      <c r="AI96"/>
    </row>
    <row r="97" spans="1:35" s="450" customFormat="1" x14ac:dyDescent="0.25">
      <c r="A97" s="448">
        <v>5</v>
      </c>
      <c r="B97" s="448"/>
      <c r="C97" s="448">
        <f>IF(E97=E96,C96+1,1)</f>
        <v>3</v>
      </c>
      <c r="D97" s="448">
        <f>IF(M97=M96,D96,C97)</f>
        <v>1</v>
      </c>
      <c r="E97" s="448">
        <f>10+VALUE(RIGHT(LEFT(G97,3),1))</f>
        <v>14</v>
      </c>
      <c r="F97" s="448" t="str">
        <f>RIGHT(G97,2) &amp; IF(A97&lt;2,"x","")</f>
        <v>pm</v>
      </c>
      <c r="G97" s="448" t="s">
        <v>166</v>
      </c>
      <c r="H97" s="448" t="s">
        <v>338</v>
      </c>
      <c r="I97" s="448" t="s">
        <v>165</v>
      </c>
      <c r="J97" s="449" t="s">
        <v>21</v>
      </c>
      <c r="K97" s="450">
        <f>LOOKUP(1E+100,M97:AC97)</f>
        <v>2355.8674998817319</v>
      </c>
      <c r="L97" s="448"/>
      <c r="M97" s="450">
        <v>2200</v>
      </c>
      <c r="S97" s="450">
        <v>2214.1140087089798</v>
      </c>
      <c r="U97" s="450">
        <v>2278.9585369408887</v>
      </c>
      <c r="W97" s="450">
        <v>2355.8674998817319</v>
      </c>
      <c r="AH97"/>
      <c r="AI97"/>
    </row>
    <row r="98" spans="1:35" s="450" customFormat="1" x14ac:dyDescent="0.25">
      <c r="A98" s="448">
        <v>3</v>
      </c>
      <c r="B98" s="448"/>
      <c r="C98" s="448">
        <f>IF(E98=E97,C97+1,1)</f>
        <v>4</v>
      </c>
      <c r="D98" s="448">
        <f>IF(M98=M97,D97,C98)</f>
        <v>1</v>
      </c>
      <c r="E98" s="448">
        <f>10+VALUE(RIGHT(LEFT(G98,3),1))</f>
        <v>14</v>
      </c>
      <c r="F98" s="448" t="str">
        <f>RIGHT(G98,2) &amp; IF(A98&lt;2,"x","")</f>
        <v>pm</v>
      </c>
      <c r="G98" s="448" t="s">
        <v>514</v>
      </c>
      <c r="H98" s="448" t="s">
        <v>296</v>
      </c>
      <c r="I98" s="448" t="s">
        <v>515</v>
      </c>
      <c r="J98" s="449" t="s">
        <v>21</v>
      </c>
      <c r="K98" s="450">
        <f>LOOKUP(1E+100,M98:AC98)</f>
        <v>2315.2483412329166</v>
      </c>
      <c r="L98" s="448"/>
      <c r="M98" s="450">
        <v>2200</v>
      </c>
      <c r="O98" s="450">
        <v>2257.1292784787197</v>
      </c>
      <c r="U98" s="450">
        <v>2315.2483412329166</v>
      </c>
      <c r="AH98"/>
      <c r="AI98"/>
    </row>
    <row r="99" spans="1:35" s="450" customFormat="1" x14ac:dyDescent="0.25">
      <c r="A99" s="448">
        <v>2</v>
      </c>
      <c r="B99" s="448"/>
      <c r="C99" s="448">
        <f>IF(E99=E98,C98+1,1)</f>
        <v>5</v>
      </c>
      <c r="D99" s="448">
        <f>IF(M99=M98,D98,C99)</f>
        <v>1</v>
      </c>
      <c r="E99" s="448">
        <f>10+VALUE(RIGHT(LEFT(G99,3),1))</f>
        <v>14</v>
      </c>
      <c r="F99" s="448" t="str">
        <f>RIGHT(G99,2) &amp; IF(A99&lt;2,"x","")</f>
        <v>pm</v>
      </c>
      <c r="G99" s="448" t="s">
        <v>537</v>
      </c>
      <c r="H99" s="448" t="s">
        <v>335</v>
      </c>
      <c r="I99" s="448" t="s">
        <v>538</v>
      </c>
      <c r="J99" s="449" t="s">
        <v>21</v>
      </c>
      <c r="K99" s="450">
        <f>LOOKUP(1E+100,M99:AC99)</f>
        <v>2312.9812528642774</v>
      </c>
      <c r="L99" s="448"/>
      <c r="M99" s="450">
        <v>2200</v>
      </c>
      <c r="O99" s="450">
        <v>2312.9812528642774</v>
      </c>
      <c r="AH99"/>
      <c r="AI99"/>
    </row>
    <row r="100" spans="1:35" s="450" customFormat="1" x14ac:dyDescent="0.25">
      <c r="A100" s="448">
        <v>6</v>
      </c>
      <c r="B100" s="448"/>
      <c r="C100" s="448">
        <f>IF(E100=E99,C99+1,1)</f>
        <v>6</v>
      </c>
      <c r="D100" s="448">
        <f>IF(M100=M99,D99,C100)</f>
        <v>1</v>
      </c>
      <c r="E100" s="448">
        <f>10+VALUE(RIGHT(LEFT(G100,3),1))</f>
        <v>14</v>
      </c>
      <c r="F100" s="448" t="str">
        <f>RIGHT(G100,2) &amp; IF(A100&lt;2,"x","")</f>
        <v>pm</v>
      </c>
      <c r="G100" s="448" t="s">
        <v>563</v>
      </c>
      <c r="H100" s="448" t="s">
        <v>490</v>
      </c>
      <c r="I100" s="448" t="s">
        <v>564</v>
      </c>
      <c r="J100" s="449" t="s">
        <v>20</v>
      </c>
      <c r="K100" s="450">
        <f>LOOKUP(1E+100,M100:AC100)</f>
        <v>2303.7999889493012</v>
      </c>
      <c r="L100" s="450">
        <v>1866.6666666666667</v>
      </c>
      <c r="M100" s="450">
        <v>2200</v>
      </c>
      <c r="P100" s="450">
        <v>2232.5282669272556</v>
      </c>
      <c r="T100" s="450">
        <v>2259.1775396240569</v>
      </c>
      <c r="U100" s="450">
        <v>2303.7999889493012</v>
      </c>
      <c r="AH100"/>
      <c r="AI100"/>
    </row>
    <row r="101" spans="1:35" s="450" customFormat="1" x14ac:dyDescent="0.25">
      <c r="A101" s="448">
        <v>2</v>
      </c>
      <c r="B101" s="448"/>
      <c r="C101" s="448">
        <f>IF(E101=E100,C100+1,1)</f>
        <v>7</v>
      </c>
      <c r="D101" s="448">
        <f>IF(M101=M100,D100,C101)</f>
        <v>1</v>
      </c>
      <c r="E101" s="448">
        <f>10+VALUE(RIGHT(LEFT(G101,3),1))</f>
        <v>14</v>
      </c>
      <c r="F101" s="448" t="str">
        <f>RIGHT(G101,2) &amp; IF(A101&lt;2,"x","")</f>
        <v>pm</v>
      </c>
      <c r="G101" s="448" t="s">
        <v>168</v>
      </c>
      <c r="H101" s="448" t="s">
        <v>330</v>
      </c>
      <c r="I101" s="448" t="s">
        <v>167</v>
      </c>
      <c r="J101" s="449" t="s">
        <v>21</v>
      </c>
      <c r="K101" s="450">
        <f>LOOKUP(1E+100,M101:AC101)</f>
        <v>2289.1242881784647</v>
      </c>
      <c r="L101" s="448"/>
      <c r="M101" s="450">
        <v>2200</v>
      </c>
      <c r="S101" s="450">
        <v>2267.1704673081986</v>
      </c>
      <c r="W101" s="450">
        <v>2289.1242881784647</v>
      </c>
      <c r="AH101"/>
      <c r="AI101"/>
    </row>
    <row r="102" spans="1:35" s="450" customFormat="1" x14ac:dyDescent="0.25">
      <c r="A102" s="448">
        <v>2</v>
      </c>
      <c r="B102" s="448"/>
      <c r="C102" s="448">
        <f>IF(E102=E101,C101+1,1)</f>
        <v>8</v>
      </c>
      <c r="D102" s="448">
        <f>IF(M102=M101,D101,C102)</f>
        <v>1</v>
      </c>
      <c r="E102" s="448">
        <f>10+VALUE(RIGHT(LEFT(G102,3),1))</f>
        <v>14</v>
      </c>
      <c r="F102" s="448" t="str">
        <f>RIGHT(G102,2) &amp; IF(A102&lt;2,"x","")</f>
        <v>pm</v>
      </c>
      <c r="G102" s="448" t="s">
        <v>535</v>
      </c>
      <c r="H102" s="448" t="s">
        <v>316</v>
      </c>
      <c r="I102" s="448" t="s">
        <v>536</v>
      </c>
      <c r="J102" s="449" t="s">
        <v>21</v>
      </c>
      <c r="K102" s="450">
        <f>LOOKUP(1E+100,M102:AC102)</f>
        <v>2257.5203872558918</v>
      </c>
      <c r="L102" s="448"/>
      <c r="M102" s="450">
        <v>2200</v>
      </c>
      <c r="O102" s="450">
        <v>2257.5203872558918</v>
      </c>
      <c r="AH102"/>
      <c r="AI102"/>
    </row>
    <row r="103" spans="1:35" s="450" customFormat="1" x14ac:dyDescent="0.25">
      <c r="A103" s="448">
        <v>3</v>
      </c>
      <c r="B103" s="448"/>
      <c r="C103" s="448">
        <f>IF(E103=E102,C102+1,1)</f>
        <v>9</v>
      </c>
      <c r="D103" s="448">
        <f>IF(M103=M102,D102,C103)</f>
        <v>1</v>
      </c>
      <c r="E103" s="448">
        <f>10+VALUE(RIGHT(LEFT(G103,3),1))</f>
        <v>14</v>
      </c>
      <c r="F103" s="448" t="str">
        <f>RIGHT(G103,2) &amp; IF(A103&lt;2,"x","")</f>
        <v>pm</v>
      </c>
      <c r="G103" s="448" t="s">
        <v>170</v>
      </c>
      <c r="H103" s="448" t="s">
        <v>330</v>
      </c>
      <c r="I103" s="448" t="s">
        <v>169</v>
      </c>
      <c r="J103" s="449" t="s">
        <v>21</v>
      </c>
      <c r="K103" s="450">
        <f>LOOKUP(1E+100,M103:AC103)</f>
        <v>2251.8869834915113</v>
      </c>
      <c r="L103" s="448"/>
      <c r="M103" s="450">
        <v>2200</v>
      </c>
      <c r="S103" s="450">
        <v>2229.3799913634903</v>
      </c>
      <c r="V103" s="450">
        <v>2220.2025999969192</v>
      </c>
      <c r="W103" s="450">
        <v>2251.8869834915113</v>
      </c>
      <c r="AH103"/>
      <c r="AI103"/>
    </row>
    <row r="104" spans="1:35" s="450" customFormat="1" x14ac:dyDescent="0.25">
      <c r="A104" s="448">
        <v>4</v>
      </c>
      <c r="B104" s="448"/>
      <c r="C104" s="448">
        <f>IF(E104=E103,C103+1,1)</f>
        <v>10</v>
      </c>
      <c r="D104" s="448">
        <f>IF(M104=M103,D103,C104)</f>
        <v>1</v>
      </c>
      <c r="E104" s="448">
        <f>10+VALUE(RIGHT(LEFT(G104,3),1))</f>
        <v>14</v>
      </c>
      <c r="F104" s="448" t="str">
        <f>RIGHT(G104,2) &amp; IF(A104&lt;2,"x","")</f>
        <v>pm</v>
      </c>
      <c r="G104" s="448" t="s">
        <v>531</v>
      </c>
      <c r="H104" s="448" t="s">
        <v>319</v>
      </c>
      <c r="I104" s="448" t="s">
        <v>532</v>
      </c>
      <c r="J104" s="449" t="s">
        <v>21</v>
      </c>
      <c r="K104" s="450">
        <f>LOOKUP(1E+100,M104:AC104)</f>
        <v>2227.7056095642806</v>
      </c>
      <c r="L104" s="448"/>
      <c r="M104" s="450">
        <v>2200</v>
      </c>
      <c r="O104" s="450">
        <v>2237.4859062594396</v>
      </c>
      <c r="S104" s="450">
        <v>2234.6390291425291</v>
      </c>
      <c r="U104" s="450">
        <v>2227.7056095642806</v>
      </c>
      <c r="AH104"/>
      <c r="AI104"/>
    </row>
    <row r="105" spans="1:35" s="450" customFormat="1" x14ac:dyDescent="0.25">
      <c r="A105" s="448">
        <v>4</v>
      </c>
      <c r="B105" s="448"/>
      <c r="C105" s="448">
        <f>IF(E105=E104,C104+1,1)</f>
        <v>11</v>
      </c>
      <c r="D105" s="448">
        <f>IF(M105=M104,D104,C105)</f>
        <v>1</v>
      </c>
      <c r="E105" s="448">
        <f>10+VALUE(RIGHT(LEFT(G105,3),1))</f>
        <v>14</v>
      </c>
      <c r="F105" s="448" t="str">
        <f>RIGHT(G105,2) &amp; IF(A105&lt;2,"x","")</f>
        <v>pm</v>
      </c>
      <c r="G105" s="448" t="s">
        <v>178</v>
      </c>
      <c r="H105" s="448" t="s">
        <v>374</v>
      </c>
      <c r="I105" s="448" t="s">
        <v>177</v>
      </c>
      <c r="J105" s="449" t="s">
        <v>21</v>
      </c>
      <c r="K105" s="450">
        <f>LOOKUP(1E+100,M105:AC105)</f>
        <v>2225.1716306926123</v>
      </c>
      <c r="L105" s="448"/>
      <c r="M105" s="450">
        <v>2200</v>
      </c>
      <c r="U105" s="450">
        <v>2183.6636711289457</v>
      </c>
      <c r="W105" s="450">
        <v>2225.1716306926123</v>
      </c>
      <c r="AH105"/>
      <c r="AI105"/>
    </row>
    <row r="106" spans="1:35" s="450" customFormat="1" x14ac:dyDescent="0.25">
      <c r="A106" s="448">
        <v>3</v>
      </c>
      <c r="B106" s="448"/>
      <c r="C106" s="448">
        <f>IF(E106=E105,C105+1,1)</f>
        <v>12</v>
      </c>
      <c r="D106" s="448">
        <f>IF(M106=M105,D105,C106)</f>
        <v>1</v>
      </c>
      <c r="E106" s="448">
        <f>10+VALUE(RIGHT(LEFT(G106,3),1))</f>
        <v>14</v>
      </c>
      <c r="F106" s="448" t="str">
        <f>RIGHT(G106,2) &amp; IF(A106&lt;2,"x","")</f>
        <v>pm</v>
      </c>
      <c r="G106" s="448" t="s">
        <v>525</v>
      </c>
      <c r="H106" s="448" t="s">
        <v>523</v>
      </c>
      <c r="I106" s="448" t="s">
        <v>526</v>
      </c>
      <c r="J106" s="449" t="s">
        <v>21</v>
      </c>
      <c r="K106" s="450">
        <f>LOOKUP(1E+100,M106:AC106)</f>
        <v>2202.1728034434786</v>
      </c>
      <c r="L106" s="448"/>
      <c r="M106" s="450">
        <v>2200</v>
      </c>
      <c r="O106" s="450">
        <v>2202.1728034434786</v>
      </c>
      <c r="AH106"/>
      <c r="AI106"/>
    </row>
    <row r="107" spans="1:35" s="450" customFormat="1" x14ac:dyDescent="0.25">
      <c r="A107" s="448">
        <v>3</v>
      </c>
      <c r="B107" s="448"/>
      <c r="C107" s="448">
        <f>IF(E107=E106,C106+1,1)</f>
        <v>13</v>
      </c>
      <c r="D107" s="448">
        <f>IF(M107=M106,D106,C107)</f>
        <v>13</v>
      </c>
      <c r="E107" s="448">
        <f>10+VALUE(RIGHT(LEFT(G107,3),1))</f>
        <v>14</v>
      </c>
      <c r="F107" s="448" t="str">
        <f>RIGHT(G107,2) &amp; IF(A107&lt;2,"x","")</f>
        <v>pm</v>
      </c>
      <c r="G107" s="448" t="s">
        <v>547</v>
      </c>
      <c r="H107" s="448" t="s">
        <v>316</v>
      </c>
      <c r="I107" s="448" t="s">
        <v>548</v>
      </c>
      <c r="J107" s="449" t="s">
        <v>21</v>
      </c>
      <c r="K107" s="450">
        <f>LOOKUP(1E+100,M107:AC107)</f>
        <v>2201.9753930179209</v>
      </c>
      <c r="L107" s="448"/>
      <c r="M107" s="450">
        <v>2066.6666666666665</v>
      </c>
      <c r="O107" s="450">
        <v>2201.9753930179209</v>
      </c>
      <c r="AH107"/>
      <c r="AI107"/>
    </row>
    <row r="108" spans="1:35" s="450" customFormat="1" x14ac:dyDescent="0.25">
      <c r="A108" s="448">
        <v>2</v>
      </c>
      <c r="B108" s="448"/>
      <c r="C108" s="448">
        <f>IF(E108=E107,C107+1,1)</f>
        <v>14</v>
      </c>
      <c r="D108" s="448">
        <f>IF(M108=M107,D107,C108)</f>
        <v>14</v>
      </c>
      <c r="E108" s="448">
        <f>10+VALUE(RIGHT(LEFT(G108,3),1))</f>
        <v>14</v>
      </c>
      <c r="F108" s="448" t="str">
        <f>RIGHT(G108,2) &amp; IF(A108&lt;2,"x","")</f>
        <v>pm</v>
      </c>
      <c r="G108" s="448" t="s">
        <v>186</v>
      </c>
      <c r="H108" s="448" t="s">
        <v>437</v>
      </c>
      <c r="I108" s="448" t="s">
        <v>185</v>
      </c>
      <c r="J108" s="449" t="s">
        <v>21</v>
      </c>
      <c r="K108" s="450">
        <f>LOOKUP(1E+100,M108:AC108)</f>
        <v>2196.0325393983621</v>
      </c>
      <c r="L108" s="448"/>
      <c r="M108" s="450">
        <v>2200</v>
      </c>
      <c r="O108" s="450">
        <v>2120.4974639095253</v>
      </c>
      <c r="W108" s="450">
        <v>2196.0325393983621</v>
      </c>
      <c r="AH108"/>
      <c r="AI108"/>
    </row>
    <row r="109" spans="1:35" s="450" customFormat="1" x14ac:dyDescent="0.25">
      <c r="A109" s="448">
        <v>5</v>
      </c>
      <c r="B109" s="448"/>
      <c r="C109" s="448">
        <f>IF(E109=E108,C108+1,1)</f>
        <v>15</v>
      </c>
      <c r="D109" s="448">
        <f>IF(M109=M108,D108,C109)</f>
        <v>14</v>
      </c>
      <c r="E109" s="448">
        <f>10+VALUE(RIGHT(LEFT(G109,3),1))</f>
        <v>14</v>
      </c>
      <c r="F109" s="448" t="str">
        <f>RIGHT(G109,2) &amp; IF(A109&lt;2,"x","")</f>
        <v>pm</v>
      </c>
      <c r="G109" s="448" t="s">
        <v>172</v>
      </c>
      <c r="H109" s="448" t="s">
        <v>350</v>
      </c>
      <c r="I109" s="448" t="s">
        <v>171</v>
      </c>
      <c r="J109" s="449" t="s">
        <v>21</v>
      </c>
      <c r="K109" s="450">
        <f>LOOKUP(1E+100,M109:AC109)</f>
        <v>2184.2316563500076</v>
      </c>
      <c r="L109" s="448"/>
      <c r="M109" s="450">
        <v>2200</v>
      </c>
      <c r="O109" s="450">
        <v>2166.7823153530389</v>
      </c>
      <c r="U109" s="450">
        <v>2197.2309027352453</v>
      </c>
      <c r="W109" s="450">
        <v>2184.2316563500076</v>
      </c>
      <c r="AH109"/>
      <c r="AI109"/>
    </row>
    <row r="110" spans="1:35" s="450" customFormat="1" x14ac:dyDescent="0.25">
      <c r="A110" s="448">
        <v>4</v>
      </c>
      <c r="B110" s="448"/>
      <c r="C110" s="448">
        <f>IF(E110=E109,C109+1,1)</f>
        <v>16</v>
      </c>
      <c r="D110" s="448">
        <f>IF(M110=M109,D109,C110)</f>
        <v>14</v>
      </c>
      <c r="E110" s="448">
        <f>10+VALUE(RIGHT(LEFT(G110,3),1))</f>
        <v>14</v>
      </c>
      <c r="F110" s="448" t="str">
        <f>RIGHT(G110,2) &amp; IF(A110&lt;2,"x","")</f>
        <v>pm</v>
      </c>
      <c r="G110" s="448" t="s">
        <v>533</v>
      </c>
      <c r="H110" s="448" t="s">
        <v>319</v>
      </c>
      <c r="I110" s="448" t="s">
        <v>534</v>
      </c>
      <c r="J110" s="449" t="s">
        <v>21</v>
      </c>
      <c r="K110" s="450">
        <f>LOOKUP(1E+100,M110:AC110)</f>
        <v>2181.6712479640219</v>
      </c>
      <c r="L110" s="448"/>
      <c r="M110" s="450">
        <v>2200</v>
      </c>
      <c r="O110" s="450">
        <v>2210.6639227494029</v>
      </c>
      <c r="S110" s="450">
        <v>2180.5396784301838</v>
      </c>
      <c r="U110" s="450">
        <v>2181.6712479640219</v>
      </c>
      <c r="AH110"/>
      <c r="AI110"/>
    </row>
    <row r="111" spans="1:35" s="450" customFormat="1" x14ac:dyDescent="0.25">
      <c r="A111" s="448">
        <v>4</v>
      </c>
      <c r="B111" s="448"/>
      <c r="C111" s="448">
        <f>IF(E111=E110,C110+1,1)</f>
        <v>17</v>
      </c>
      <c r="D111" s="448">
        <f>IF(M111=M110,D110,C111)</f>
        <v>14</v>
      </c>
      <c r="E111" s="448">
        <f>10+VALUE(RIGHT(LEFT(G111,3),1))</f>
        <v>14</v>
      </c>
      <c r="F111" s="448" t="str">
        <f>RIGHT(G111,2) &amp; IF(A111&lt;2,"x","")</f>
        <v>pm</v>
      </c>
      <c r="G111" s="448" t="s">
        <v>180</v>
      </c>
      <c r="H111" s="448" t="s">
        <v>296</v>
      </c>
      <c r="I111" s="448" t="s">
        <v>179</v>
      </c>
      <c r="J111" s="449" t="s">
        <v>21</v>
      </c>
      <c r="K111" s="450">
        <f>LOOKUP(1E+100,M111:AC111)</f>
        <v>2173.2017572431046</v>
      </c>
      <c r="L111" s="448"/>
      <c r="M111" s="450">
        <v>2200</v>
      </c>
      <c r="O111" s="450">
        <v>2175.0809426337946</v>
      </c>
      <c r="U111" s="450">
        <v>2169.631559284067</v>
      </c>
      <c r="W111" s="450">
        <v>2173.2017572431046</v>
      </c>
      <c r="AH111"/>
      <c r="AI111"/>
    </row>
    <row r="112" spans="1:35" s="450" customFormat="1" x14ac:dyDescent="0.25">
      <c r="A112" s="448">
        <v>4</v>
      </c>
      <c r="B112" s="448"/>
      <c r="C112" s="448">
        <f>IF(E112=E111,C111+1,1)</f>
        <v>18</v>
      </c>
      <c r="D112" s="448">
        <f>IF(M112=M111,D111,C112)</f>
        <v>14</v>
      </c>
      <c r="E112" s="448">
        <f>10+VALUE(RIGHT(LEFT(G112,3),1))</f>
        <v>14</v>
      </c>
      <c r="F112" s="448" t="str">
        <f>RIGHT(G112,2) &amp; IF(A112&lt;2,"x","")</f>
        <v>pm</v>
      </c>
      <c r="G112" s="448" t="s">
        <v>182</v>
      </c>
      <c r="H112" s="448" t="s">
        <v>306</v>
      </c>
      <c r="I112" s="448" t="s">
        <v>181</v>
      </c>
      <c r="J112" s="449" t="s">
        <v>21</v>
      </c>
      <c r="K112" s="450">
        <f>LOOKUP(1E+100,M112:AC112)</f>
        <v>2171.9219347845096</v>
      </c>
      <c r="L112" s="448"/>
      <c r="M112" s="450">
        <v>2200</v>
      </c>
      <c r="U112" s="450">
        <v>2134.1731065083045</v>
      </c>
      <c r="W112" s="450">
        <v>2171.9219347845096</v>
      </c>
      <c r="AH112"/>
      <c r="AI112"/>
    </row>
    <row r="113" spans="1:35" s="450" customFormat="1" x14ac:dyDescent="0.25">
      <c r="A113" s="448">
        <v>2</v>
      </c>
      <c r="B113" s="448"/>
      <c r="C113" s="448">
        <f>IF(E113=E112,C112+1,1)</f>
        <v>19</v>
      </c>
      <c r="D113" s="448">
        <f>IF(M113=M112,D112,C113)</f>
        <v>14</v>
      </c>
      <c r="E113" s="448">
        <f>10+VALUE(RIGHT(LEFT(G113,3),1))</f>
        <v>14</v>
      </c>
      <c r="F113" s="448" t="str">
        <f>RIGHT(G113,2) &amp; IF(A113&lt;2,"x","")</f>
        <v>pm</v>
      </c>
      <c r="G113" s="448" t="s">
        <v>539</v>
      </c>
      <c r="H113" s="448" t="s">
        <v>303</v>
      </c>
      <c r="I113" s="448" t="s">
        <v>540</v>
      </c>
      <c r="J113" s="449" t="s">
        <v>21</v>
      </c>
      <c r="K113" s="450">
        <f>LOOKUP(1E+100,M113:AC113)</f>
        <v>2164.4049745183374</v>
      </c>
      <c r="L113" s="448"/>
      <c r="M113" s="450">
        <v>2200</v>
      </c>
      <c r="O113" s="450">
        <v>2175.4488963954454</v>
      </c>
      <c r="U113" s="450">
        <v>2164.4049745183374</v>
      </c>
      <c r="AH113"/>
      <c r="AI113"/>
    </row>
    <row r="114" spans="1:35" s="450" customFormat="1" x14ac:dyDescent="0.25">
      <c r="A114" s="448">
        <v>3</v>
      </c>
      <c r="B114" s="448"/>
      <c r="C114" s="448">
        <f>IF(E114=E113,C113+1,1)</f>
        <v>20</v>
      </c>
      <c r="D114" s="448">
        <f>IF(M114=M113,D113,C114)</f>
        <v>14</v>
      </c>
      <c r="E114" s="448">
        <f>10+VALUE(RIGHT(LEFT(G114,3),1))</f>
        <v>14</v>
      </c>
      <c r="F114" s="448" t="str">
        <f>RIGHT(G114,2) &amp; IF(A114&lt;2,"x","")</f>
        <v>pm</v>
      </c>
      <c r="G114" s="448" t="s">
        <v>522</v>
      </c>
      <c r="H114" s="448" t="s">
        <v>523</v>
      </c>
      <c r="I114" s="448" t="s">
        <v>524</v>
      </c>
      <c r="J114" s="449" t="s">
        <v>21</v>
      </c>
      <c r="K114" s="450">
        <f>LOOKUP(1E+100,M114:AC114)</f>
        <v>2156.2324864205407</v>
      </c>
      <c r="L114" s="448"/>
      <c r="M114" s="450">
        <v>2200</v>
      </c>
      <c r="O114" s="450">
        <v>2156.2324864205407</v>
      </c>
      <c r="AH114"/>
      <c r="AI114"/>
    </row>
    <row r="115" spans="1:35" s="450" customFormat="1" x14ac:dyDescent="0.25">
      <c r="A115" s="448">
        <v>5</v>
      </c>
      <c r="B115" s="448"/>
      <c r="C115" s="448">
        <f>IF(E115=E114,C114+1,1)</f>
        <v>21</v>
      </c>
      <c r="D115" s="448">
        <f>IF(M115=M114,D114,C115)</f>
        <v>14</v>
      </c>
      <c r="E115" s="448">
        <f>10+VALUE(RIGHT(LEFT(G115,3),1))</f>
        <v>14</v>
      </c>
      <c r="F115" s="448" t="str">
        <f>RIGHT(G115,2) &amp; IF(A115&lt;2,"x","")</f>
        <v>pm</v>
      </c>
      <c r="G115" s="448" t="s">
        <v>174</v>
      </c>
      <c r="H115" s="448" t="s">
        <v>374</v>
      </c>
      <c r="I115" s="448" t="s">
        <v>173</v>
      </c>
      <c r="J115" s="449" t="s">
        <v>21</v>
      </c>
      <c r="K115" s="450">
        <f>LOOKUP(1E+100,M115:AC115)</f>
        <v>2146.3221088039863</v>
      </c>
      <c r="L115" s="448"/>
      <c r="M115" s="450">
        <v>2200</v>
      </c>
      <c r="O115" s="450">
        <v>2192.5369343564885</v>
      </c>
      <c r="W115" s="450">
        <v>2146.3221088039863</v>
      </c>
      <c r="AH115"/>
      <c r="AI115"/>
    </row>
    <row r="116" spans="1:35" s="450" customFormat="1" x14ac:dyDescent="0.25">
      <c r="A116" s="448">
        <v>4</v>
      </c>
      <c r="B116" s="448"/>
      <c r="C116" s="448">
        <f>IF(E116=E115,C115+1,1)</f>
        <v>22</v>
      </c>
      <c r="D116" s="448">
        <f>IF(M116=M115,D115,C116)</f>
        <v>22</v>
      </c>
      <c r="E116" s="448">
        <f>10+VALUE(RIGHT(LEFT(G116,3),1))</f>
        <v>14</v>
      </c>
      <c r="F116" s="448" t="str">
        <f>RIGHT(G116,2) &amp; IF(A116&lt;2,"x","")</f>
        <v>pm</v>
      </c>
      <c r="G116" s="448" t="s">
        <v>190</v>
      </c>
      <c r="H116" s="448" t="s">
        <v>335</v>
      </c>
      <c r="I116" s="448" t="s">
        <v>189</v>
      </c>
      <c r="J116" s="449" t="s">
        <v>21</v>
      </c>
      <c r="K116" s="450">
        <f>LOOKUP(1E+100,M116:AC116)</f>
        <v>2142.9156187872968</v>
      </c>
      <c r="L116" s="448"/>
      <c r="M116" s="450">
        <v>2150</v>
      </c>
      <c r="S116" s="450">
        <v>2111.5716033290137</v>
      </c>
      <c r="W116" s="450">
        <v>2142.9156187872968</v>
      </c>
      <c r="AH116"/>
      <c r="AI116"/>
    </row>
    <row r="117" spans="1:35" s="450" customFormat="1" x14ac:dyDescent="0.25">
      <c r="A117" s="448">
        <v>6</v>
      </c>
      <c r="B117" s="448"/>
      <c r="C117" s="448">
        <f>IF(E117=E116,C116+1,1)</f>
        <v>23</v>
      </c>
      <c r="D117" s="448">
        <f>IF(M117=M116,D116,C117)</f>
        <v>23</v>
      </c>
      <c r="E117" s="448">
        <f>10+VALUE(RIGHT(LEFT(G117,3),1))</f>
        <v>14</v>
      </c>
      <c r="F117" s="448" t="str">
        <f>RIGHT(G117,2) &amp; IF(A117&lt;2,"x","")</f>
        <v>pm</v>
      </c>
      <c r="G117" s="448" t="s">
        <v>184</v>
      </c>
      <c r="H117" s="448" t="s">
        <v>368</v>
      </c>
      <c r="I117" s="448" t="s">
        <v>183</v>
      </c>
      <c r="J117" s="449" t="s">
        <v>20</v>
      </c>
      <c r="K117" s="450">
        <f>LOOKUP(1E+100,M117:AC117)</f>
        <v>2138.4450849967739</v>
      </c>
      <c r="L117" s="448"/>
      <c r="M117" s="450">
        <v>2000</v>
      </c>
      <c r="P117" s="450">
        <v>2046.5213833507919</v>
      </c>
      <c r="R117" s="450">
        <v>2056.3147376237139</v>
      </c>
      <c r="T117" s="450">
        <v>2125.9014593645511</v>
      </c>
      <c r="W117" s="450">
        <v>2138.4450849967739</v>
      </c>
      <c r="AH117"/>
      <c r="AI117"/>
    </row>
    <row r="118" spans="1:35" s="450" customFormat="1" x14ac:dyDescent="0.25">
      <c r="A118" s="448">
        <v>2</v>
      </c>
      <c r="B118" s="448"/>
      <c r="C118" s="448">
        <f>IF(E118=E117,C117+1,1)</f>
        <v>24</v>
      </c>
      <c r="D118" s="448">
        <f>IF(M118=M117,D117,C118)</f>
        <v>24</v>
      </c>
      <c r="E118" s="448">
        <f>10+VALUE(RIGHT(LEFT(G118,3),1))</f>
        <v>14</v>
      </c>
      <c r="F118" s="448" t="str">
        <f>RIGHT(G118,2) &amp; IF(A118&lt;2,"x","")</f>
        <v>pm</v>
      </c>
      <c r="G118" s="448" t="s">
        <v>545</v>
      </c>
      <c r="H118" s="448" t="s">
        <v>431</v>
      </c>
      <c r="I118" s="448" t="s">
        <v>546</v>
      </c>
      <c r="J118" s="449" t="s">
        <v>21</v>
      </c>
      <c r="K118" s="450">
        <f>LOOKUP(1E+100,M118:AC118)</f>
        <v>2113.396842419188</v>
      </c>
      <c r="L118" s="448"/>
      <c r="M118" s="450">
        <v>2100</v>
      </c>
      <c r="O118" s="450">
        <v>2113.396842419188</v>
      </c>
      <c r="AH118"/>
      <c r="AI118"/>
    </row>
    <row r="119" spans="1:35" s="450" customFormat="1" x14ac:dyDescent="0.25">
      <c r="A119" s="448">
        <v>6</v>
      </c>
      <c r="B119" s="448"/>
      <c r="C119" s="448">
        <f>IF(E119=E118,C118+1,1)</f>
        <v>25</v>
      </c>
      <c r="D119" s="448">
        <f>IF(M119=M118,D118,C119)</f>
        <v>25</v>
      </c>
      <c r="E119" s="448">
        <f>10+VALUE(RIGHT(LEFT(G119,3),1))</f>
        <v>14</v>
      </c>
      <c r="F119" s="448" t="str">
        <f>RIGHT(G119,2) &amp; IF(A119&lt;2,"x","")</f>
        <v>pm</v>
      </c>
      <c r="G119" s="448" t="s">
        <v>188</v>
      </c>
      <c r="H119" s="448" t="s">
        <v>353</v>
      </c>
      <c r="I119" s="448" t="s">
        <v>187</v>
      </c>
      <c r="J119" s="449" t="s">
        <v>21</v>
      </c>
      <c r="K119" s="450">
        <f>LOOKUP(1E+100,M119:AC119)</f>
        <v>2110.9821884141811</v>
      </c>
      <c r="L119" s="448"/>
      <c r="M119" s="450">
        <v>2200</v>
      </c>
      <c r="O119" s="450">
        <v>2136.9547286873108</v>
      </c>
      <c r="Q119" s="450">
        <v>2208.3131101752324</v>
      </c>
      <c r="S119" s="450">
        <v>2195.9003251665326</v>
      </c>
      <c r="U119" s="450">
        <v>2118.0809304980062</v>
      </c>
      <c r="W119" s="450">
        <v>2110.9821884141811</v>
      </c>
      <c r="AH119"/>
      <c r="AI119"/>
    </row>
    <row r="120" spans="1:35" s="450" customFormat="1" x14ac:dyDescent="0.25">
      <c r="A120" s="448">
        <v>4</v>
      </c>
      <c r="B120" s="448"/>
      <c r="C120" s="448">
        <f>IF(E120=E119,C119+1,1)</f>
        <v>26</v>
      </c>
      <c r="D120" s="448">
        <f>IF(M120=M119,D119,C120)</f>
        <v>25</v>
      </c>
      <c r="E120" s="448">
        <f>10+VALUE(RIGHT(LEFT(G120,3),1))</f>
        <v>14</v>
      </c>
      <c r="F120" s="448" t="str">
        <f>RIGHT(G120,2) &amp; IF(A120&lt;2,"x","")</f>
        <v>pm</v>
      </c>
      <c r="G120" s="448" t="s">
        <v>176</v>
      </c>
      <c r="H120" s="448" t="s">
        <v>374</v>
      </c>
      <c r="I120" s="448" t="s">
        <v>175</v>
      </c>
      <c r="J120" s="449" t="s">
        <v>21</v>
      </c>
      <c r="K120" s="450">
        <f>LOOKUP(1E+100,M120:AC120)</f>
        <v>2107.8946708286217</v>
      </c>
      <c r="L120" s="448"/>
      <c r="M120" s="450">
        <v>2200</v>
      </c>
      <c r="U120" s="450">
        <v>2186.8300605333634</v>
      </c>
      <c r="W120" s="450">
        <v>2107.8946708286217</v>
      </c>
      <c r="AH120"/>
      <c r="AI120"/>
    </row>
    <row r="121" spans="1:35" s="450" customFormat="1" x14ac:dyDescent="0.25">
      <c r="A121" s="448">
        <v>5</v>
      </c>
      <c r="B121" s="448"/>
      <c r="C121" s="448">
        <f>IF(E121=E120,C120+1,1)</f>
        <v>27</v>
      </c>
      <c r="D121" s="448">
        <f>IF(M121=M120,D120,C121)</f>
        <v>27</v>
      </c>
      <c r="E121" s="448">
        <f>10+VALUE(RIGHT(LEFT(G121,3),1))</f>
        <v>14</v>
      </c>
      <c r="F121" s="448" t="str">
        <f>RIGHT(G121,2) &amp; IF(A121&lt;2,"x","")</f>
        <v>pm</v>
      </c>
      <c r="G121" s="448" t="s">
        <v>192</v>
      </c>
      <c r="H121" s="448" t="s">
        <v>327</v>
      </c>
      <c r="I121" s="448" t="s">
        <v>191</v>
      </c>
      <c r="J121" s="449" t="s">
        <v>21</v>
      </c>
      <c r="K121" s="450">
        <f>LOOKUP(1E+100,M121:AC121)</f>
        <v>2082.1425556197441</v>
      </c>
      <c r="L121" s="448"/>
      <c r="M121" s="450">
        <v>2040</v>
      </c>
      <c r="O121" s="450">
        <v>2039.2796529523846</v>
      </c>
      <c r="S121" s="450">
        <v>2065.5934655640858</v>
      </c>
      <c r="W121" s="450">
        <v>2082.1425556197441</v>
      </c>
      <c r="AH121"/>
      <c r="AI121"/>
    </row>
    <row r="122" spans="1:35" s="450" customFormat="1" x14ac:dyDescent="0.25">
      <c r="A122" s="448">
        <v>2</v>
      </c>
      <c r="B122" s="448"/>
      <c r="C122" s="448">
        <f>IF(E122=E121,C121+1,1)</f>
        <v>28</v>
      </c>
      <c r="D122" s="448">
        <f>IF(M122=M121,D121,C122)</f>
        <v>28</v>
      </c>
      <c r="E122" s="448">
        <f>10+VALUE(RIGHT(LEFT(G122,3),1))</f>
        <v>14</v>
      </c>
      <c r="F122" s="448" t="str">
        <f>RIGHT(G122,2) &amp; IF(A122&lt;2,"x","")</f>
        <v>pm</v>
      </c>
      <c r="G122" s="448" t="s">
        <v>520</v>
      </c>
      <c r="H122" s="448" t="s">
        <v>371</v>
      </c>
      <c r="I122" s="448" t="s">
        <v>521</v>
      </c>
      <c r="J122" s="449" t="s">
        <v>21</v>
      </c>
      <c r="K122" s="450">
        <f>LOOKUP(1E+100,M122:AC122)</f>
        <v>2075.0837694627789</v>
      </c>
      <c r="L122" s="448"/>
      <c r="M122" s="450">
        <v>2200</v>
      </c>
      <c r="O122" s="450">
        <v>2104.8159469865618</v>
      </c>
      <c r="U122" s="450">
        <v>2075.0837694627789</v>
      </c>
      <c r="AH122"/>
      <c r="AI122"/>
    </row>
    <row r="123" spans="1:35" s="450" customFormat="1" x14ac:dyDescent="0.25">
      <c r="A123" s="448">
        <v>6</v>
      </c>
      <c r="B123" s="448"/>
      <c r="C123" s="448">
        <f>IF(E123=E122,C122+1,1)</f>
        <v>29</v>
      </c>
      <c r="D123" s="448">
        <f>IF(M123=M122,D122,C123)</f>
        <v>29</v>
      </c>
      <c r="E123" s="448">
        <f>10+VALUE(RIGHT(LEFT(G123,3),1))</f>
        <v>14</v>
      </c>
      <c r="F123" s="448" t="str">
        <f>RIGHT(G123,2) &amp; IF(A123&lt;2,"x","")</f>
        <v>pm</v>
      </c>
      <c r="G123" s="448" t="s">
        <v>594</v>
      </c>
      <c r="H123" s="448" t="s">
        <v>309</v>
      </c>
      <c r="I123" s="448" t="s">
        <v>595</v>
      </c>
      <c r="J123" s="449" t="s">
        <v>20</v>
      </c>
      <c r="K123" s="450">
        <f>LOOKUP(1E+100,M123:AC123)</f>
        <v>2071.7297456703855</v>
      </c>
      <c r="L123" s="448"/>
      <c r="M123" s="450">
        <v>1800</v>
      </c>
      <c r="P123" s="450">
        <v>1884.515075674077</v>
      </c>
      <c r="R123" s="450">
        <v>1952.1722411424284</v>
      </c>
      <c r="T123" s="450">
        <v>2033.1069131537579</v>
      </c>
      <c r="V123" s="450">
        <v>2071.7297456703855</v>
      </c>
      <c r="AH123"/>
      <c r="AI123"/>
    </row>
    <row r="124" spans="1:35" s="450" customFormat="1" x14ac:dyDescent="0.25">
      <c r="A124" s="448">
        <v>4</v>
      </c>
      <c r="B124" s="448"/>
      <c r="C124" s="448">
        <f>IF(E124=E123,C123+1,1)</f>
        <v>30</v>
      </c>
      <c r="D124" s="448">
        <f>IF(M124=M123,D123,C124)</f>
        <v>30</v>
      </c>
      <c r="E124" s="448">
        <f>10+VALUE(RIGHT(LEFT(G124,3),1))</f>
        <v>14</v>
      </c>
      <c r="F124" s="448" t="str">
        <f>RIGHT(G124,2) &amp; IF(A124&lt;2,"x","")</f>
        <v>pm</v>
      </c>
      <c r="G124" s="448" t="s">
        <v>542</v>
      </c>
      <c r="H124" s="448" t="s">
        <v>543</v>
      </c>
      <c r="I124" s="448" t="s">
        <v>544</v>
      </c>
      <c r="J124" s="449" t="s">
        <v>21</v>
      </c>
      <c r="K124" s="450">
        <f>LOOKUP(1E+100,M124:AC124)</f>
        <v>2043.0775176055329</v>
      </c>
      <c r="L124" s="448"/>
      <c r="M124" s="450">
        <v>2100</v>
      </c>
      <c r="U124" s="450">
        <v>2043.0775176055329</v>
      </c>
      <c r="AH124"/>
      <c r="AI124"/>
    </row>
    <row r="125" spans="1:35" s="450" customFormat="1" x14ac:dyDescent="0.25">
      <c r="A125" s="448">
        <v>3</v>
      </c>
      <c r="B125" s="448"/>
      <c r="C125" s="448">
        <f>IF(E125=E124,C124+1,1)</f>
        <v>31</v>
      </c>
      <c r="D125" s="448">
        <f>IF(M125=M124,D124,C125)</f>
        <v>31</v>
      </c>
      <c r="E125" s="448">
        <f>10+VALUE(RIGHT(LEFT(G125,3),1))</f>
        <v>14</v>
      </c>
      <c r="F125" s="448" t="str">
        <f>RIGHT(G125,2) &amp; IF(A125&lt;2,"x","")</f>
        <v>pm</v>
      </c>
      <c r="G125" s="448" t="s">
        <v>512</v>
      </c>
      <c r="H125" s="448" t="s">
        <v>303</v>
      </c>
      <c r="I125" s="448" t="s">
        <v>513</v>
      </c>
      <c r="J125" s="449" t="s">
        <v>21</v>
      </c>
      <c r="K125" s="450">
        <f>LOOKUP(1E+100,M125:AC125)</f>
        <v>2019.8522816770092</v>
      </c>
      <c r="L125" s="448"/>
      <c r="M125" s="450">
        <v>2200</v>
      </c>
      <c r="S125" s="450">
        <v>2092.2750042388857</v>
      </c>
      <c r="U125" s="450">
        <v>2019.8522816770092</v>
      </c>
      <c r="AH125"/>
      <c r="AI125"/>
    </row>
    <row r="126" spans="1:35" s="450" customFormat="1" x14ac:dyDescent="0.25">
      <c r="A126" s="448">
        <v>5</v>
      </c>
      <c r="B126" s="448"/>
      <c r="C126" s="448">
        <f>IF(E126=E125,C125+1,1)</f>
        <v>32</v>
      </c>
      <c r="D126" s="448">
        <f>IF(M126=M125,D125,C126)</f>
        <v>31</v>
      </c>
      <c r="E126" s="448">
        <f>10+VALUE(RIGHT(LEFT(G126,3),1))</f>
        <v>14</v>
      </c>
      <c r="F126" s="448" t="str">
        <f>RIGHT(G126,2) &amp; IF(A126&lt;2,"x","")</f>
        <v>pm</v>
      </c>
      <c r="G126" s="448" t="s">
        <v>197</v>
      </c>
      <c r="H126" s="448" t="s">
        <v>338</v>
      </c>
      <c r="I126" s="448" t="s">
        <v>196</v>
      </c>
      <c r="J126" s="449" t="s">
        <v>21</v>
      </c>
      <c r="K126" s="450">
        <f>LOOKUP(1E+100,M126:AC126)</f>
        <v>2014.1456827590919</v>
      </c>
      <c r="L126" s="448"/>
      <c r="M126" s="450">
        <v>2200</v>
      </c>
      <c r="S126" s="450">
        <v>2101.7123322867064</v>
      </c>
      <c r="U126" s="450">
        <v>2029.7385368406767</v>
      </c>
      <c r="W126" s="450">
        <v>2014.1456827590919</v>
      </c>
      <c r="AH126"/>
      <c r="AI126"/>
    </row>
    <row r="127" spans="1:35" s="450" customFormat="1" x14ac:dyDescent="0.25">
      <c r="A127" s="448">
        <v>6</v>
      </c>
      <c r="B127" s="448"/>
      <c r="C127" s="448">
        <f>IF(E127=E126,C126+1,1)</f>
        <v>33</v>
      </c>
      <c r="D127" s="448">
        <f>IF(M127=M126,D126,C127)</f>
        <v>31</v>
      </c>
      <c r="E127" s="448">
        <f>10+VALUE(RIGHT(LEFT(G127,3),1))</f>
        <v>14</v>
      </c>
      <c r="F127" s="448" t="str">
        <f>RIGHT(G127,2) &amp; IF(A127&lt;2,"x","")</f>
        <v>pm</v>
      </c>
      <c r="G127" s="448" t="s">
        <v>194</v>
      </c>
      <c r="H127" s="448" t="s">
        <v>374</v>
      </c>
      <c r="I127" s="448" t="s">
        <v>193</v>
      </c>
      <c r="J127" s="449" t="s">
        <v>21</v>
      </c>
      <c r="K127" s="450">
        <f>LOOKUP(1E+100,M127:AC127)</f>
        <v>1999.2074170421029</v>
      </c>
      <c r="L127" s="448"/>
      <c r="M127" s="450">
        <v>2200</v>
      </c>
      <c r="Q127" s="450">
        <v>2163.7344821514484</v>
      </c>
      <c r="S127" s="450">
        <v>2076.1154229393692</v>
      </c>
      <c r="U127" s="450">
        <v>2047.8105361849766</v>
      </c>
      <c r="W127" s="450">
        <v>1999.2074170421029</v>
      </c>
      <c r="AH127"/>
      <c r="AI127"/>
    </row>
    <row r="128" spans="1:35" s="450" customFormat="1" x14ac:dyDescent="0.25">
      <c r="A128" s="448">
        <v>5</v>
      </c>
      <c r="B128" s="448"/>
      <c r="C128" s="448">
        <f>IF(E128=E127,C127+1,1)</f>
        <v>34</v>
      </c>
      <c r="D128" s="448">
        <f>IF(M128=M127,D127,C128)</f>
        <v>34</v>
      </c>
      <c r="E128" s="448">
        <f>10+VALUE(RIGHT(LEFT(G128,3),1))</f>
        <v>14</v>
      </c>
      <c r="F128" s="448" t="str">
        <f>RIGHT(G128,2) &amp; IF(A128&lt;2,"x","")</f>
        <v>pm</v>
      </c>
      <c r="G128" s="448" t="s">
        <v>608</v>
      </c>
      <c r="H128" s="448" t="s">
        <v>391</v>
      </c>
      <c r="I128" s="448" t="s">
        <v>609</v>
      </c>
      <c r="J128" s="449" t="s">
        <v>20</v>
      </c>
      <c r="K128" s="450">
        <f>LOOKUP(1E+100,M128:AC128)</f>
        <v>1948.6460425066778</v>
      </c>
      <c r="L128" s="448"/>
      <c r="M128" s="450">
        <v>1800</v>
      </c>
      <c r="R128" s="450">
        <v>1876.31367263991</v>
      </c>
      <c r="T128" s="450">
        <v>1947.5770451023341</v>
      </c>
      <c r="V128" s="450">
        <v>1948.6460425066778</v>
      </c>
      <c r="AH128"/>
      <c r="AI128"/>
    </row>
    <row r="129" spans="1:35" s="450" customFormat="1" x14ac:dyDescent="0.25">
      <c r="A129" s="448">
        <v>5</v>
      </c>
      <c r="B129" s="448"/>
      <c r="C129" s="448">
        <f>IF(E129=E128,C128+1,1)</f>
        <v>35</v>
      </c>
      <c r="D129" s="448">
        <f>IF(M129=M128,D128,C129)</f>
        <v>34</v>
      </c>
      <c r="E129" s="448">
        <f>10+VALUE(RIGHT(LEFT(G129,3),1))</f>
        <v>14</v>
      </c>
      <c r="F129" s="448" t="str">
        <f>RIGHT(G129,2) &amp; IF(A129&lt;2,"x","")</f>
        <v>pm</v>
      </c>
      <c r="G129" s="448" t="s">
        <v>576</v>
      </c>
      <c r="H129" s="448" t="s">
        <v>350</v>
      </c>
      <c r="I129" s="448" t="s">
        <v>577</v>
      </c>
      <c r="J129" s="449" t="s">
        <v>20</v>
      </c>
      <c r="K129" s="450">
        <f>LOOKUP(1E+100,M129:AC129)</f>
        <v>1903.4201689696713</v>
      </c>
      <c r="L129" s="448"/>
      <c r="M129" s="450">
        <v>1800</v>
      </c>
      <c r="P129" s="450">
        <v>1853.5993664092457</v>
      </c>
      <c r="R129" s="450">
        <v>1866.2716900036432</v>
      </c>
      <c r="V129" s="450">
        <v>1903.4201689696713</v>
      </c>
      <c r="AH129"/>
      <c r="AI129"/>
    </row>
    <row r="130" spans="1:35" s="450" customFormat="1" x14ac:dyDescent="0.25">
      <c r="A130" s="448">
        <v>4</v>
      </c>
      <c r="B130" s="448"/>
      <c r="C130" s="448">
        <f>IF(E130=E129,C129+1,1)</f>
        <v>36</v>
      </c>
      <c r="D130" s="448">
        <f>IF(M130=M129,D129,C130)</f>
        <v>34</v>
      </c>
      <c r="E130" s="448">
        <f>10+VALUE(RIGHT(LEFT(G130,3),1))</f>
        <v>14</v>
      </c>
      <c r="F130" s="448" t="str">
        <f>RIGHT(G130,2) &amp; IF(A130&lt;2,"x","")</f>
        <v>pm</v>
      </c>
      <c r="G130" s="448" t="s">
        <v>588</v>
      </c>
      <c r="H130" s="448" t="s">
        <v>365</v>
      </c>
      <c r="I130" s="448" t="s">
        <v>589</v>
      </c>
      <c r="J130" s="449" t="s">
        <v>20</v>
      </c>
      <c r="K130" s="450">
        <f>LOOKUP(1E+100,M130:AC130)</f>
        <v>1896.3579642330565</v>
      </c>
      <c r="L130" s="448"/>
      <c r="M130" s="450">
        <v>1800</v>
      </c>
      <c r="P130" s="450">
        <v>1819.9309139814898</v>
      </c>
      <c r="R130" s="450">
        <v>1851.9753031841728</v>
      </c>
      <c r="V130" s="450">
        <v>1896.3579642330565</v>
      </c>
      <c r="AH130"/>
      <c r="AI130"/>
    </row>
    <row r="131" spans="1:35" s="450" customFormat="1" x14ac:dyDescent="0.25">
      <c r="A131" s="448">
        <v>2</v>
      </c>
      <c r="B131" s="448"/>
      <c r="C131" s="448">
        <f>IF(E131=E130,C130+1,1)</f>
        <v>37</v>
      </c>
      <c r="D131" s="448">
        <f>IF(M131=M130,D130,C131)</f>
        <v>34</v>
      </c>
      <c r="E131" s="448">
        <f>10+VALUE(RIGHT(LEFT(G131,3),1))</f>
        <v>14</v>
      </c>
      <c r="F131" s="448" t="str">
        <f>RIGHT(G131,2) &amp; IF(A131&lt;2,"x","")</f>
        <v>pm</v>
      </c>
      <c r="G131" s="448" t="s">
        <v>592</v>
      </c>
      <c r="H131" s="448" t="s">
        <v>426</v>
      </c>
      <c r="I131" s="448" t="s">
        <v>593</v>
      </c>
      <c r="J131" s="449" t="s">
        <v>20</v>
      </c>
      <c r="K131" s="450">
        <f>LOOKUP(1E+100,M131:AC131)</f>
        <v>1891.4062864972918</v>
      </c>
      <c r="L131" s="448"/>
      <c r="M131" s="450">
        <v>1800</v>
      </c>
      <c r="V131" s="450">
        <v>1891.4062864972918</v>
      </c>
      <c r="AH131"/>
      <c r="AI131"/>
    </row>
    <row r="132" spans="1:35" s="450" customFormat="1" x14ac:dyDescent="0.25">
      <c r="A132" s="448">
        <v>3</v>
      </c>
      <c r="B132" s="448"/>
      <c r="C132" s="448">
        <f>IF(E132=E131,C131+1,1)</f>
        <v>38</v>
      </c>
      <c r="D132" s="448">
        <f>IF(M132=M131,D131,C132)</f>
        <v>34</v>
      </c>
      <c r="E132" s="448">
        <f>10+VALUE(RIGHT(LEFT(G132,3),1))</f>
        <v>14</v>
      </c>
      <c r="F132" s="448" t="str">
        <f>RIGHT(G132,2) &amp; IF(A132&lt;2,"x","")</f>
        <v>pm</v>
      </c>
      <c r="G132" s="448" t="s">
        <v>574</v>
      </c>
      <c r="H132" s="448" t="s">
        <v>296</v>
      </c>
      <c r="I132" s="448" t="s">
        <v>575</v>
      </c>
      <c r="J132" s="449" t="s">
        <v>20</v>
      </c>
      <c r="K132" s="450">
        <f>LOOKUP(1E+100,M132:AC132)</f>
        <v>1890.6902473066109</v>
      </c>
      <c r="L132" s="448"/>
      <c r="M132" s="450">
        <v>1800</v>
      </c>
      <c r="R132" s="450">
        <v>1890.6902473066109</v>
      </c>
      <c r="AH132"/>
      <c r="AI132"/>
    </row>
    <row r="133" spans="1:35" s="450" customFormat="1" x14ac:dyDescent="0.25">
      <c r="A133" s="448">
        <v>4</v>
      </c>
      <c r="B133" s="448"/>
      <c r="C133" s="448">
        <f>IF(E133=E132,C132+1,1)</f>
        <v>39</v>
      </c>
      <c r="D133" s="448">
        <f>IF(M133=M132,D132,C133)</f>
        <v>39</v>
      </c>
      <c r="E133" s="448">
        <f>10+VALUE(RIGHT(LEFT(G133,3),1))</f>
        <v>14</v>
      </c>
      <c r="F133" s="448" t="str">
        <f>RIGHT(G133,2) &amp; IF(A133&lt;2,"x","")</f>
        <v>pm</v>
      </c>
      <c r="G133" s="448" t="s">
        <v>551</v>
      </c>
      <c r="H133" s="448" t="s">
        <v>319</v>
      </c>
      <c r="I133" s="448" t="s">
        <v>552</v>
      </c>
      <c r="J133" s="449" t="s">
        <v>20</v>
      </c>
      <c r="K133" s="450">
        <f>LOOKUP(1E+100,M133:AC133)</f>
        <v>1890.3332168465452</v>
      </c>
      <c r="L133" s="448"/>
      <c r="M133" s="450">
        <v>2000</v>
      </c>
      <c r="O133" s="450">
        <v>1987.3948411288115</v>
      </c>
      <c r="R133" s="450">
        <v>1890.3332168465452</v>
      </c>
      <c r="AH133"/>
      <c r="AI133"/>
    </row>
    <row r="134" spans="1:35" s="450" customFormat="1" x14ac:dyDescent="0.25">
      <c r="A134" s="448">
        <v>3</v>
      </c>
      <c r="B134" s="448"/>
      <c r="C134" s="448">
        <f>IF(E134=E133,C133+1,1)</f>
        <v>40</v>
      </c>
      <c r="D134" s="448">
        <f>IF(M134=M133,D133,C134)</f>
        <v>40</v>
      </c>
      <c r="E134" s="448">
        <f>10+VALUE(RIGHT(LEFT(G134,3),1))</f>
        <v>14</v>
      </c>
      <c r="F134" s="448" t="str">
        <f>RIGHT(G134,2) &amp; IF(A134&lt;2,"x","")</f>
        <v>pm</v>
      </c>
      <c r="G134" s="448" t="s">
        <v>598</v>
      </c>
      <c r="H134" s="448" t="s">
        <v>330</v>
      </c>
      <c r="I134" s="448" t="s">
        <v>599</v>
      </c>
      <c r="J134" s="449" t="s">
        <v>20</v>
      </c>
      <c r="K134" s="450">
        <f>LOOKUP(1E+100,M134:AC134)</f>
        <v>1887.0177572843741</v>
      </c>
      <c r="L134" s="448"/>
      <c r="M134" s="450">
        <v>1800</v>
      </c>
      <c r="R134" s="450">
        <v>1828.715389683282</v>
      </c>
      <c r="V134" s="450">
        <v>1887.0177572843741</v>
      </c>
      <c r="AH134"/>
      <c r="AI134"/>
    </row>
    <row r="135" spans="1:35" s="450" customFormat="1" x14ac:dyDescent="0.25">
      <c r="A135" s="448">
        <v>2</v>
      </c>
      <c r="B135" s="448"/>
      <c r="C135" s="448">
        <f>IF(E135=E134,C134+1,1)</f>
        <v>41</v>
      </c>
      <c r="D135" s="448">
        <f>IF(M135=M134,D134,C135)</f>
        <v>40</v>
      </c>
      <c r="E135" s="448">
        <f>10+VALUE(RIGHT(LEFT(G135,3),1))</f>
        <v>14</v>
      </c>
      <c r="F135" s="448" t="str">
        <f>RIGHT(G135,2) &amp; IF(A135&lt;2,"x","")</f>
        <v>pm</v>
      </c>
      <c r="G135" s="448" t="s">
        <v>600</v>
      </c>
      <c r="H135" s="448" t="s">
        <v>330</v>
      </c>
      <c r="I135" s="448" t="s">
        <v>601</v>
      </c>
      <c r="J135" s="449" t="s">
        <v>20</v>
      </c>
      <c r="K135" s="450">
        <f>LOOKUP(1E+100,M135:AC135)</f>
        <v>1883.6554537840855</v>
      </c>
      <c r="L135" s="448"/>
      <c r="M135" s="450">
        <v>1800</v>
      </c>
      <c r="R135" s="450">
        <v>1883.6554537840855</v>
      </c>
      <c r="AH135"/>
      <c r="AI135"/>
    </row>
    <row r="136" spans="1:35" s="450" customFormat="1" x14ac:dyDescent="0.25">
      <c r="A136" s="448">
        <v>6</v>
      </c>
      <c r="B136" s="448"/>
      <c r="C136" s="448">
        <f>IF(E136=E135,C135+1,1)</f>
        <v>42</v>
      </c>
      <c r="D136" s="448">
        <f>IF(M136=M135,D135,C136)</f>
        <v>42</v>
      </c>
      <c r="E136" s="448">
        <f>10+VALUE(RIGHT(LEFT(G136,3),1))</f>
        <v>14</v>
      </c>
      <c r="F136" s="448" t="str">
        <f>RIGHT(G136,2) &amp; IF(A136&lt;2,"x","")</f>
        <v>pm</v>
      </c>
      <c r="G136" s="448" t="s">
        <v>549</v>
      </c>
      <c r="H136" s="448" t="s">
        <v>396</v>
      </c>
      <c r="I136" s="448" t="s">
        <v>550</v>
      </c>
      <c r="J136" s="449" t="s">
        <v>20</v>
      </c>
      <c r="K136" s="450">
        <f>LOOKUP(1E+100,M136:AC136)</f>
        <v>1882.1510640657773</v>
      </c>
      <c r="L136" s="448"/>
      <c r="M136" s="450">
        <v>2000</v>
      </c>
      <c r="P136" s="450">
        <v>1895.6498384460454</v>
      </c>
      <c r="S136" s="450">
        <v>1878.2752759660921</v>
      </c>
      <c r="U136" s="450">
        <v>1841.279855537357</v>
      </c>
      <c r="V136" s="450">
        <v>1882.1510640657773</v>
      </c>
      <c r="AH136"/>
      <c r="AI136"/>
    </row>
    <row r="137" spans="1:35" s="450" customFormat="1" x14ac:dyDescent="0.25">
      <c r="A137" s="448">
        <v>3</v>
      </c>
      <c r="B137" s="448"/>
      <c r="C137" s="448">
        <f>IF(E137=E136,C136+1,1)</f>
        <v>43</v>
      </c>
      <c r="D137" s="448">
        <f>IF(M137=M136,D136,C137)</f>
        <v>43</v>
      </c>
      <c r="E137" s="448">
        <f>10+VALUE(RIGHT(LEFT(G137,3),1))</f>
        <v>14</v>
      </c>
      <c r="F137" s="448" t="str">
        <f>RIGHT(G137,2) &amp; IF(A137&lt;2,"x","")</f>
        <v>pm</v>
      </c>
      <c r="G137" s="448" t="s">
        <v>553</v>
      </c>
      <c r="H137" s="448" t="s">
        <v>554</v>
      </c>
      <c r="I137" s="448" t="s">
        <v>555</v>
      </c>
      <c r="J137" s="449" t="s">
        <v>20</v>
      </c>
      <c r="K137" s="450">
        <f>LOOKUP(1E+100,M137:AC137)</f>
        <v>1879.2335628365884</v>
      </c>
      <c r="L137" s="448"/>
      <c r="M137" s="450">
        <v>1933.3333333333333</v>
      </c>
      <c r="O137" s="451"/>
      <c r="P137" s="451"/>
      <c r="Q137" s="451">
        <v>1916.9532749111102</v>
      </c>
      <c r="R137" s="451"/>
      <c r="S137" s="451"/>
      <c r="T137" s="451"/>
      <c r="U137" s="451"/>
      <c r="V137" s="451">
        <v>1879.2335628365884</v>
      </c>
      <c r="W137" s="451"/>
      <c r="X137" s="451"/>
      <c r="Y137" s="451"/>
      <c r="Z137" s="451"/>
      <c r="AA137" s="451"/>
      <c r="AB137" s="451"/>
      <c r="AC137" s="451"/>
      <c r="AD137" s="451"/>
      <c r="AE137" s="451"/>
      <c r="AF137" s="451"/>
      <c r="AG137" s="451"/>
      <c r="AH137"/>
      <c r="AI137"/>
    </row>
    <row r="138" spans="1:35" s="450" customFormat="1" x14ac:dyDescent="0.25">
      <c r="A138" s="448">
        <v>3</v>
      </c>
      <c r="B138" s="448"/>
      <c r="C138" s="448">
        <f>IF(E138=E137,C137+1,1)</f>
        <v>44</v>
      </c>
      <c r="D138" s="448">
        <f>IF(M138=M137,D137,C138)</f>
        <v>43</v>
      </c>
      <c r="E138" s="448">
        <f>10+VALUE(RIGHT(LEFT(G138,3),1))</f>
        <v>14</v>
      </c>
      <c r="F138" s="448" t="str">
        <f>RIGHT(G138,2) &amp; IF(A138&lt;2,"x","")</f>
        <v>pm</v>
      </c>
      <c r="G138" s="448" t="s">
        <v>203</v>
      </c>
      <c r="H138" s="448" t="s">
        <v>558</v>
      </c>
      <c r="I138" s="448" t="s">
        <v>202</v>
      </c>
      <c r="J138" s="449" t="s">
        <v>20</v>
      </c>
      <c r="K138" s="450">
        <f>LOOKUP(1E+100,M138:AC138)</f>
        <v>1878.4980070891529</v>
      </c>
      <c r="L138" s="448"/>
      <c r="M138" s="450">
        <v>1933.3333333333333</v>
      </c>
      <c r="P138" s="450">
        <v>1921.8901473006756</v>
      </c>
      <c r="T138" s="450">
        <v>1929.3910828969913</v>
      </c>
      <c r="W138" s="450">
        <v>1878.4980070891529</v>
      </c>
      <c r="AH138"/>
      <c r="AI138"/>
    </row>
    <row r="139" spans="1:35" s="450" customFormat="1" x14ac:dyDescent="0.25">
      <c r="A139" s="448">
        <v>5</v>
      </c>
      <c r="B139" s="448"/>
      <c r="C139" s="448">
        <f>IF(E139=E138,C138+1,1)</f>
        <v>45</v>
      </c>
      <c r="D139" s="448">
        <f>IF(M139=M138,D138,C139)</f>
        <v>45</v>
      </c>
      <c r="E139" s="448">
        <f>10+VALUE(RIGHT(LEFT(G139,3),1))</f>
        <v>14</v>
      </c>
      <c r="F139" s="448" t="str">
        <f>RIGHT(G139,2) &amp; IF(A139&lt;2,"x","")</f>
        <v>pm</v>
      </c>
      <c r="G139" s="448" t="s">
        <v>561</v>
      </c>
      <c r="H139" s="448" t="s">
        <v>485</v>
      </c>
      <c r="I139" s="448" t="s">
        <v>562</v>
      </c>
      <c r="J139" s="449" t="s">
        <v>20</v>
      </c>
      <c r="K139" s="450">
        <f>LOOKUP(1E+100,M139:AC139)</f>
        <v>1869.2345247091835</v>
      </c>
      <c r="L139" s="448"/>
      <c r="M139" s="450">
        <v>1880</v>
      </c>
      <c r="S139" s="450">
        <v>1918.746719402327</v>
      </c>
      <c r="T139" s="450">
        <v>1928.6532904156654</v>
      </c>
      <c r="V139" s="450">
        <v>1869.2345247091835</v>
      </c>
      <c r="AH139"/>
      <c r="AI139"/>
    </row>
    <row r="140" spans="1:35" s="450" customFormat="1" x14ac:dyDescent="0.25">
      <c r="A140" s="448">
        <v>7</v>
      </c>
      <c r="B140" s="448"/>
      <c r="C140" s="448">
        <f>IF(E140=E139,C139+1,1)</f>
        <v>46</v>
      </c>
      <c r="D140" s="448">
        <f>IF(M140=M139,D139,C140)</f>
        <v>46</v>
      </c>
      <c r="E140" s="448">
        <f>10+VALUE(RIGHT(LEFT(G140,3),1))</f>
        <v>14</v>
      </c>
      <c r="F140" s="448" t="str">
        <f>RIGHT(G140,2) &amp; IF(A140&lt;2,"x","")</f>
        <v>pm</v>
      </c>
      <c r="G140" s="448" t="s">
        <v>578</v>
      </c>
      <c r="H140" s="448" t="s">
        <v>353</v>
      </c>
      <c r="I140" s="448" t="s">
        <v>579</v>
      </c>
      <c r="J140" s="449" t="s">
        <v>20</v>
      </c>
      <c r="K140" s="450">
        <f>LOOKUP(1E+100,M140:AC140)</f>
        <v>1869.0816372048744</v>
      </c>
      <c r="L140" s="448"/>
      <c r="M140" s="450">
        <v>1800</v>
      </c>
      <c r="P140" s="450">
        <v>1835.2847547112133</v>
      </c>
      <c r="R140" s="450">
        <v>1889.110814092702</v>
      </c>
      <c r="T140" s="450">
        <v>1852.5892192097544</v>
      </c>
      <c r="V140" s="450">
        <v>1883.8626441487413</v>
      </c>
      <c r="W140" s="450">
        <v>1869.0816372048744</v>
      </c>
      <c r="AH140"/>
      <c r="AI140"/>
    </row>
    <row r="141" spans="1:35" s="450" customFormat="1" x14ac:dyDescent="0.25">
      <c r="A141" s="448">
        <v>5</v>
      </c>
      <c r="B141" s="448"/>
      <c r="C141" s="448">
        <f>IF(E141=E140,C140+1,1)</f>
        <v>47</v>
      </c>
      <c r="D141" s="448">
        <f>IF(M141=M140,D140,C141)</f>
        <v>46</v>
      </c>
      <c r="E141" s="448">
        <f>10+VALUE(RIGHT(LEFT(G141,3),1))</f>
        <v>14</v>
      </c>
      <c r="F141" s="448" t="str">
        <f>RIGHT(G141,2) &amp; IF(A141&lt;2,"x","")</f>
        <v>pm</v>
      </c>
      <c r="G141" s="448" t="s">
        <v>610</v>
      </c>
      <c r="H141" s="448" t="s">
        <v>391</v>
      </c>
      <c r="I141" s="448" t="s">
        <v>611</v>
      </c>
      <c r="J141" s="449" t="s">
        <v>20</v>
      </c>
      <c r="K141" s="450">
        <f>LOOKUP(1E+100,M141:AC141)</f>
        <v>1863.7825780060989</v>
      </c>
      <c r="L141" s="448"/>
      <c r="M141" s="450">
        <v>1800</v>
      </c>
      <c r="O141" s="451"/>
      <c r="P141" s="451"/>
      <c r="Q141" s="451"/>
      <c r="R141" s="451">
        <v>1809.8475028761886</v>
      </c>
      <c r="S141" s="451"/>
      <c r="T141" s="451">
        <v>1842.3261282509975</v>
      </c>
      <c r="U141" s="451"/>
      <c r="V141" s="451">
        <v>1863.7825780060989</v>
      </c>
      <c r="W141" s="451"/>
      <c r="X141" s="451"/>
      <c r="Y141" s="451"/>
      <c r="Z141" s="451"/>
      <c r="AA141" s="451"/>
      <c r="AB141" s="451"/>
      <c r="AC141" s="451"/>
      <c r="AH141"/>
      <c r="AI141"/>
    </row>
    <row r="142" spans="1:35" s="450" customFormat="1" x14ac:dyDescent="0.25">
      <c r="A142" s="448">
        <v>3</v>
      </c>
      <c r="B142" s="448"/>
      <c r="C142" s="448">
        <f>IF(E142=E141,C141+1,1)</f>
        <v>48</v>
      </c>
      <c r="D142" s="448">
        <f>IF(M142=M141,D141,C142)</f>
        <v>46</v>
      </c>
      <c r="E142" s="448">
        <f>10+VALUE(RIGHT(LEFT(G142,3),1))</f>
        <v>14</v>
      </c>
      <c r="F142" s="448" t="str">
        <f>RIGHT(G142,2) &amp; IF(A142&lt;2,"x","")</f>
        <v>pm</v>
      </c>
      <c r="G142" s="448" t="s">
        <v>570</v>
      </c>
      <c r="H142" s="448" t="s">
        <v>296</v>
      </c>
      <c r="I142" s="448" t="s">
        <v>571</v>
      </c>
      <c r="J142" s="449" t="s">
        <v>20</v>
      </c>
      <c r="K142" s="450">
        <f>LOOKUP(1E+100,M142:AC142)</f>
        <v>1862.9777228164949</v>
      </c>
      <c r="L142" s="448"/>
      <c r="M142" s="450">
        <v>1800</v>
      </c>
      <c r="P142" s="450">
        <v>1841.8890710091171</v>
      </c>
      <c r="R142" s="450">
        <v>1862.9777228164949</v>
      </c>
      <c r="AH142"/>
      <c r="AI142"/>
    </row>
    <row r="143" spans="1:35" s="450" customFormat="1" x14ac:dyDescent="0.25">
      <c r="A143" s="448">
        <v>5</v>
      </c>
      <c r="B143" s="448"/>
      <c r="C143" s="448">
        <f>IF(E143=E142,C142+1,1)</f>
        <v>49</v>
      </c>
      <c r="D143" s="448">
        <f>IF(M143=M142,D142,C143)</f>
        <v>49</v>
      </c>
      <c r="E143" s="448">
        <f>10+VALUE(RIGHT(LEFT(G143,3),1))</f>
        <v>14</v>
      </c>
      <c r="F143" s="448" t="str">
        <f>RIGHT(G143,2) &amp; IF(A143&lt;2,"x","")</f>
        <v>pm</v>
      </c>
      <c r="G143" s="448" t="s">
        <v>201</v>
      </c>
      <c r="H143" s="448" t="s">
        <v>327</v>
      </c>
      <c r="I143" s="448" t="s">
        <v>200</v>
      </c>
      <c r="J143" s="449" t="s">
        <v>21</v>
      </c>
      <c r="K143" s="450">
        <f>LOOKUP(1E+100,M143:AC143)</f>
        <v>1847.3911239226065</v>
      </c>
      <c r="L143" s="448"/>
      <c r="M143" s="450">
        <v>2040</v>
      </c>
      <c r="O143" s="450">
        <v>1896.3415220391612</v>
      </c>
      <c r="S143" s="450">
        <v>1894.2272816119016</v>
      </c>
      <c r="W143" s="450">
        <v>1847.3911239226065</v>
      </c>
      <c r="AH143"/>
      <c r="AI143"/>
    </row>
    <row r="144" spans="1:35" s="450" customFormat="1" x14ac:dyDescent="0.25">
      <c r="A144" s="448">
        <v>6</v>
      </c>
      <c r="B144" s="448"/>
      <c r="C144" s="448">
        <f>IF(E144=E143,C143+1,1)</f>
        <v>50</v>
      </c>
      <c r="D144" s="448">
        <f>IF(M144=M143,D143,C144)</f>
        <v>50</v>
      </c>
      <c r="E144" s="448">
        <f>10+VALUE(RIGHT(LEFT(G144,3),1))</f>
        <v>14</v>
      </c>
      <c r="F144" s="448" t="str">
        <f>RIGHT(G144,2) &amp; IF(A144&lt;2,"x","")</f>
        <v>pm</v>
      </c>
      <c r="G144" s="448" t="s">
        <v>584</v>
      </c>
      <c r="H144" s="448" t="s">
        <v>358</v>
      </c>
      <c r="I144" s="448" t="s">
        <v>585</v>
      </c>
      <c r="J144" s="449" t="s">
        <v>20</v>
      </c>
      <c r="K144" s="450">
        <f>LOOKUP(1E+100,M144:AC144)</f>
        <v>1840.5251094339849</v>
      </c>
      <c r="L144" s="448"/>
      <c r="M144" s="450">
        <v>1800</v>
      </c>
      <c r="R144" s="450">
        <v>1729.7293688033053</v>
      </c>
      <c r="T144" s="450">
        <v>1791.8211586686618</v>
      </c>
      <c r="V144" s="450">
        <v>1840.5251094339849</v>
      </c>
      <c r="AH144"/>
      <c r="AI144"/>
    </row>
    <row r="145" spans="1:35" s="450" customFormat="1" x14ac:dyDescent="0.25">
      <c r="A145" s="448">
        <v>6</v>
      </c>
      <c r="B145" s="448"/>
      <c r="C145" s="448">
        <f>IF(E145=E144,C144+1,1)</f>
        <v>51</v>
      </c>
      <c r="D145" s="448">
        <f>IF(M145=M144,D144,C145)</f>
        <v>51</v>
      </c>
      <c r="E145" s="448">
        <f>10+VALUE(RIGHT(LEFT(G145,3),1))</f>
        <v>14</v>
      </c>
      <c r="F145" s="448" t="str">
        <f>RIGHT(G145,2) &amp; IF(A145&lt;2,"x","")</f>
        <v>pm</v>
      </c>
      <c r="G145" s="448" t="s">
        <v>199</v>
      </c>
      <c r="H145" s="448" t="s">
        <v>374</v>
      </c>
      <c r="I145" s="448" t="s">
        <v>198</v>
      </c>
      <c r="J145" s="449" t="s">
        <v>21</v>
      </c>
      <c r="K145" s="450">
        <f>LOOKUP(1E+100,M145:AC145)</f>
        <v>1833.752728897409</v>
      </c>
      <c r="L145" s="448"/>
      <c r="M145" s="450">
        <v>2200</v>
      </c>
      <c r="Q145" s="450">
        <v>2088.3530041259473</v>
      </c>
      <c r="S145" s="450">
        <v>1955.6661733617088</v>
      </c>
      <c r="U145" s="450">
        <v>1875.9252781891223</v>
      </c>
      <c r="W145" s="450">
        <v>1833.752728897409</v>
      </c>
      <c r="AH145"/>
      <c r="AI145"/>
    </row>
    <row r="146" spans="1:35" s="450" customFormat="1" x14ac:dyDescent="0.25">
      <c r="A146" s="448">
        <v>6</v>
      </c>
      <c r="B146" s="448"/>
      <c r="C146" s="448">
        <f>IF(E146=E145,C145+1,1)</f>
        <v>52</v>
      </c>
      <c r="D146" s="448">
        <f>IF(M146=M145,D145,C146)</f>
        <v>52</v>
      </c>
      <c r="E146" s="448">
        <f>10+VALUE(RIGHT(LEFT(G146,3),1))</f>
        <v>14</v>
      </c>
      <c r="F146" s="448" t="str">
        <f>RIGHT(G146,2) &amp; IF(A146&lt;2,"x","")</f>
        <v>pm</v>
      </c>
      <c r="G146" s="448" t="s">
        <v>604</v>
      </c>
      <c r="H146" s="448" t="s">
        <v>338</v>
      </c>
      <c r="I146" s="448" t="s">
        <v>605</v>
      </c>
      <c r="J146" s="449" t="s">
        <v>20</v>
      </c>
      <c r="K146" s="450">
        <f>LOOKUP(1E+100,M146:AC146)</f>
        <v>1814.1018016892203</v>
      </c>
      <c r="L146" s="448"/>
      <c r="M146" s="450">
        <v>1800</v>
      </c>
      <c r="R146" s="450">
        <v>1805.8700188425732</v>
      </c>
      <c r="T146" s="450">
        <v>1811.9546724182255</v>
      </c>
      <c r="V146" s="450">
        <v>1814.1018016892203</v>
      </c>
      <c r="AH146"/>
      <c r="AI146"/>
    </row>
    <row r="147" spans="1:35" s="450" customFormat="1" x14ac:dyDescent="0.25">
      <c r="A147" s="448">
        <v>5</v>
      </c>
      <c r="B147" s="448"/>
      <c r="C147" s="448">
        <f>IF(E147=E146,C146+1,1)</f>
        <v>53</v>
      </c>
      <c r="D147" s="448">
        <f>IF(M147=M146,D146,C147)</f>
        <v>52</v>
      </c>
      <c r="E147" s="448">
        <f>10+VALUE(RIGHT(LEFT(G147,3),1))</f>
        <v>14</v>
      </c>
      <c r="F147" s="448" t="str">
        <f>RIGHT(G147,2) &amp; IF(A147&lt;2,"x","")</f>
        <v>pm</v>
      </c>
      <c r="G147" s="448" t="s">
        <v>602</v>
      </c>
      <c r="H147" s="448" t="s">
        <v>495</v>
      </c>
      <c r="I147" s="448" t="s">
        <v>603</v>
      </c>
      <c r="J147" s="449" t="s">
        <v>20</v>
      </c>
      <c r="K147" s="450">
        <f>LOOKUP(1E+100,M147:AC147)</f>
        <v>1792.2971263265672</v>
      </c>
      <c r="L147" s="448"/>
      <c r="M147" s="450">
        <v>1800</v>
      </c>
      <c r="P147" s="450">
        <v>1772.9124733588862</v>
      </c>
      <c r="R147" s="450">
        <v>1792.2971263265672</v>
      </c>
      <c r="AH147"/>
      <c r="AI147"/>
    </row>
    <row r="148" spans="1:35" s="450" customFormat="1" x14ac:dyDescent="0.25">
      <c r="A148" s="448">
        <v>3</v>
      </c>
      <c r="B148" s="448"/>
      <c r="C148" s="448">
        <f>IF(E148=E147,C147+1,1)</f>
        <v>54</v>
      </c>
      <c r="D148" s="448">
        <f>IF(M148=M147,D147,C148)</f>
        <v>52</v>
      </c>
      <c r="E148" s="448">
        <f>10+VALUE(RIGHT(LEFT(G148,3),1))</f>
        <v>14</v>
      </c>
      <c r="F148" s="448" t="str">
        <f>RIGHT(G148,2) &amp; IF(A148&lt;2,"x","")</f>
        <v>pm</v>
      </c>
      <c r="G148" s="448" t="s">
        <v>572</v>
      </c>
      <c r="H148" s="448" t="s">
        <v>296</v>
      </c>
      <c r="I148" s="448" t="s">
        <v>573</v>
      </c>
      <c r="J148" s="449" t="s">
        <v>20</v>
      </c>
      <c r="K148" s="450">
        <f>LOOKUP(1E+100,M148:AC148)</f>
        <v>1787.9889007294696</v>
      </c>
      <c r="L148" s="448"/>
      <c r="M148" s="450">
        <v>1800</v>
      </c>
      <c r="P148" s="450">
        <v>1836.7243012650156</v>
      </c>
      <c r="R148" s="450">
        <v>1787.9889007294696</v>
      </c>
      <c r="AH148"/>
      <c r="AI148"/>
    </row>
    <row r="149" spans="1:35" s="450" customFormat="1" x14ac:dyDescent="0.25">
      <c r="A149" s="448">
        <v>2</v>
      </c>
      <c r="B149" s="448"/>
      <c r="C149" s="448">
        <f>IF(E149=E148,C148+1,1)</f>
        <v>55</v>
      </c>
      <c r="D149" s="448">
        <f>IF(M149=M148,D148,C149)</f>
        <v>52</v>
      </c>
      <c r="E149" s="448">
        <f>10+VALUE(RIGHT(LEFT(G149,3),1))</f>
        <v>14</v>
      </c>
      <c r="F149" s="448" t="str">
        <f>RIGHT(G149,2) &amp; IF(A149&lt;2,"x","")</f>
        <v>pm</v>
      </c>
      <c r="G149" s="448" t="s">
        <v>596</v>
      </c>
      <c r="H149" s="448" t="s">
        <v>330</v>
      </c>
      <c r="I149" s="448" t="s">
        <v>597</v>
      </c>
      <c r="J149" s="449" t="s">
        <v>20</v>
      </c>
      <c r="K149" s="450">
        <f>LOOKUP(1E+100,M149:AC149)</f>
        <v>1772.6800095339315</v>
      </c>
      <c r="L149" s="448"/>
      <c r="M149" s="450">
        <v>1800</v>
      </c>
      <c r="R149" s="450">
        <v>1763.399773723718</v>
      </c>
      <c r="S149" s="450">
        <v>1772.6800095339315</v>
      </c>
      <c r="AH149"/>
      <c r="AI149"/>
    </row>
    <row r="150" spans="1:35" s="450" customFormat="1" x14ac:dyDescent="0.25">
      <c r="A150" s="448">
        <v>3</v>
      </c>
      <c r="B150" s="448"/>
      <c r="C150" s="448">
        <f>IF(E150=E149,C149+1,1)</f>
        <v>56</v>
      </c>
      <c r="D150" s="448">
        <f>IF(M150=M149,D149,C150)</f>
        <v>56</v>
      </c>
      <c r="E150" s="448">
        <f>10+VALUE(RIGHT(LEFT(G150,3),1))</f>
        <v>14</v>
      </c>
      <c r="F150" s="448" t="str">
        <f>RIGHT(G150,2) &amp; IF(A150&lt;2,"x","")</f>
        <v>pm</v>
      </c>
      <c r="G150" s="448" t="s">
        <v>556</v>
      </c>
      <c r="H150" s="448" t="s">
        <v>437</v>
      </c>
      <c r="I150" s="448" t="s">
        <v>557</v>
      </c>
      <c r="J150" s="449" t="s">
        <v>20</v>
      </c>
      <c r="K150" s="450">
        <f>LOOKUP(1E+100,M150:AC150)</f>
        <v>1759.1551334434296</v>
      </c>
      <c r="L150" s="448"/>
      <c r="M150" s="450">
        <v>1933.3333333333333</v>
      </c>
      <c r="O150" s="450">
        <v>1895.4654161275282</v>
      </c>
      <c r="T150" s="450">
        <v>1819.6878315091337</v>
      </c>
      <c r="V150" s="450">
        <v>1759.1551334434296</v>
      </c>
      <c r="AH150"/>
      <c r="AI150"/>
    </row>
    <row r="151" spans="1:35" s="450" customFormat="1" x14ac:dyDescent="0.25">
      <c r="A151" s="448">
        <v>6</v>
      </c>
      <c r="B151" s="448"/>
      <c r="C151" s="448">
        <f>IF(E151=E150,C150+1,1)</f>
        <v>57</v>
      </c>
      <c r="D151" s="448">
        <f>IF(M151=M150,D150,C151)</f>
        <v>57</v>
      </c>
      <c r="E151" s="448">
        <f>10+VALUE(RIGHT(LEFT(G151,3),1))</f>
        <v>14</v>
      </c>
      <c r="F151" s="448" t="str">
        <f>RIGHT(G151,2) &amp; IF(A151&lt;2,"x","")</f>
        <v>pm</v>
      </c>
      <c r="G151" s="448" t="s">
        <v>567</v>
      </c>
      <c r="H151" s="448" t="s">
        <v>568</v>
      </c>
      <c r="I151" s="448" t="s">
        <v>569</v>
      </c>
      <c r="J151" s="449" t="s">
        <v>20</v>
      </c>
      <c r="K151" s="450">
        <f>LOOKUP(1E+100,M151:AC151)</f>
        <v>1737.9169156030787</v>
      </c>
      <c r="L151" s="448"/>
      <c r="M151" s="450">
        <v>1800</v>
      </c>
      <c r="P151" s="450">
        <v>1729.4670159274219</v>
      </c>
      <c r="R151" s="450">
        <v>1809.1480647862352</v>
      </c>
      <c r="T151" s="450">
        <v>1780.5921122747741</v>
      </c>
      <c r="V151" s="450">
        <v>1737.9169156030787</v>
      </c>
      <c r="AH151"/>
      <c r="AI151"/>
    </row>
    <row r="152" spans="1:35" s="450" customFormat="1" x14ac:dyDescent="0.25">
      <c r="A152" s="448">
        <v>4</v>
      </c>
      <c r="B152" s="448"/>
      <c r="C152" s="448">
        <f>IF(E152=E151,C151+1,1)</f>
        <v>58</v>
      </c>
      <c r="D152" s="448">
        <f>IF(M152=M151,D151,C152)</f>
        <v>57</v>
      </c>
      <c r="E152" s="448">
        <f>10+VALUE(RIGHT(LEFT(G152,3),1))</f>
        <v>14</v>
      </c>
      <c r="F152" s="448" t="str">
        <f>RIGHT(G152,2) &amp; IF(A152&lt;2,"x","")</f>
        <v>pm</v>
      </c>
      <c r="G152" s="448" t="s">
        <v>565</v>
      </c>
      <c r="H152" s="448" t="s">
        <v>396</v>
      </c>
      <c r="I152" s="448" t="s">
        <v>566</v>
      </c>
      <c r="J152" s="449" t="s">
        <v>20</v>
      </c>
      <c r="K152" s="450">
        <f>LOOKUP(1E+100,M152:AC152)</f>
        <v>1712.2144655286952</v>
      </c>
      <c r="L152" s="448"/>
      <c r="M152" s="450">
        <v>1800</v>
      </c>
      <c r="P152" s="450">
        <v>1733.1802264513806</v>
      </c>
      <c r="T152" s="450">
        <v>1654.9795718834444</v>
      </c>
      <c r="V152" s="450">
        <v>1712.2144655286952</v>
      </c>
      <c r="AH152"/>
      <c r="AI152"/>
    </row>
    <row r="153" spans="1:35" s="450" customFormat="1" x14ac:dyDescent="0.25">
      <c r="A153" s="448">
        <v>4</v>
      </c>
      <c r="B153" s="448"/>
      <c r="C153" s="448">
        <f>IF(E153=E152,C152+1,1)</f>
        <v>59</v>
      </c>
      <c r="D153" s="448">
        <f>IF(M153=M152,D152,C153)</f>
        <v>57</v>
      </c>
      <c r="E153" s="448">
        <f>10+VALUE(RIGHT(LEFT(G153,3),1))</f>
        <v>14</v>
      </c>
      <c r="F153" s="448" t="str">
        <f>RIGHT(G153,2) &amp; IF(A153&lt;2,"x","")</f>
        <v>pm</v>
      </c>
      <c r="G153" s="448" t="s">
        <v>582</v>
      </c>
      <c r="H153" s="448" t="s">
        <v>353</v>
      </c>
      <c r="I153" s="448" t="s">
        <v>583</v>
      </c>
      <c r="J153" s="449" t="s">
        <v>20</v>
      </c>
      <c r="K153" s="450">
        <f>LOOKUP(1E+100,M153:AC153)</f>
        <v>1701.7743581563075</v>
      </c>
      <c r="L153" s="448"/>
      <c r="M153" s="450">
        <v>1800</v>
      </c>
      <c r="R153" s="450">
        <v>1748.8001298774316</v>
      </c>
      <c r="T153" s="450">
        <v>1685.4617602962937</v>
      </c>
      <c r="V153" s="450">
        <v>1701.7743581563075</v>
      </c>
      <c r="AH153"/>
      <c r="AI153"/>
    </row>
    <row r="154" spans="1:35" s="450" customFormat="1" x14ac:dyDescent="0.25">
      <c r="A154" s="448">
        <v>4</v>
      </c>
      <c r="B154" s="448"/>
      <c r="C154" s="448">
        <f>IF(E154=E153,C153+1,1)</f>
        <v>60</v>
      </c>
      <c r="D154" s="448">
        <f>IF(M154=M153,D153,C154)</f>
        <v>60</v>
      </c>
      <c r="E154" s="448">
        <f>10+VALUE(RIGHT(LEFT(G154,3),1))</f>
        <v>14</v>
      </c>
      <c r="F154" s="448" t="str">
        <f>RIGHT(G154,2) &amp; IF(A154&lt;2,"x","")</f>
        <v>pm</v>
      </c>
      <c r="G154" s="448" t="s">
        <v>559</v>
      </c>
      <c r="H154" s="448" t="s">
        <v>341</v>
      </c>
      <c r="I154" s="448" t="s">
        <v>560</v>
      </c>
      <c r="J154" s="449" t="s">
        <v>20</v>
      </c>
      <c r="K154" s="450">
        <f>LOOKUP(1E+100,M154:AC154)</f>
        <v>1692.4696826543368</v>
      </c>
      <c r="L154" s="448"/>
      <c r="M154" s="450">
        <v>1900</v>
      </c>
      <c r="Q154" s="450">
        <v>1885.2929818149187</v>
      </c>
      <c r="T154" s="450">
        <v>1780.8711874278245</v>
      </c>
      <c r="V154" s="450">
        <v>1692.4696826543368</v>
      </c>
      <c r="AH154"/>
      <c r="AI154"/>
    </row>
    <row r="155" spans="1:35" s="450" customFormat="1" x14ac:dyDescent="0.25">
      <c r="A155" s="448">
        <v>6</v>
      </c>
      <c r="B155" s="448"/>
      <c r="C155" s="448">
        <f>IF(E155=E154,C154+1,1)</f>
        <v>61</v>
      </c>
      <c r="D155" s="448">
        <f>IF(M155=M154,D154,C155)</f>
        <v>61</v>
      </c>
      <c r="E155" s="448">
        <f>10+VALUE(RIGHT(LEFT(G155,3),1))</f>
        <v>14</v>
      </c>
      <c r="F155" s="448" t="str">
        <f>RIGHT(G155,2) &amp; IF(A155&lt;2,"x","")</f>
        <v>pm</v>
      </c>
      <c r="G155" s="448" t="s">
        <v>590</v>
      </c>
      <c r="H155" s="448" t="s">
        <v>374</v>
      </c>
      <c r="I155" s="448" t="s">
        <v>591</v>
      </c>
      <c r="J155" s="449" t="s">
        <v>20</v>
      </c>
      <c r="K155" s="450">
        <f>LOOKUP(1E+100,M155:AC155)</f>
        <v>1668.0341830996538</v>
      </c>
      <c r="L155" s="448"/>
      <c r="M155" s="450">
        <v>1800</v>
      </c>
      <c r="R155" s="450">
        <v>1746.3122871137466</v>
      </c>
      <c r="T155" s="450">
        <v>1746.2697448355425</v>
      </c>
      <c r="V155" s="450">
        <v>1668.0341830996538</v>
      </c>
      <c r="AH155"/>
      <c r="AI155"/>
    </row>
    <row r="156" spans="1:35" s="450" customFormat="1" x14ac:dyDescent="0.25">
      <c r="A156" s="448">
        <v>6</v>
      </c>
      <c r="B156" s="448"/>
      <c r="C156" s="448">
        <f>IF(E156=E155,C155+1,1)</f>
        <v>62</v>
      </c>
      <c r="D156" s="448">
        <f>IF(M156=M155,D155,C156)</f>
        <v>61</v>
      </c>
      <c r="E156" s="448">
        <f>10+VALUE(RIGHT(LEFT(G156,3),1))</f>
        <v>14</v>
      </c>
      <c r="F156" s="448" t="str">
        <f>RIGHT(G156,2) &amp; IF(A156&lt;2,"x","")</f>
        <v>pm</v>
      </c>
      <c r="G156" s="448" t="s">
        <v>586</v>
      </c>
      <c r="H156" s="448" t="s">
        <v>358</v>
      </c>
      <c r="I156" s="448" t="s">
        <v>587</v>
      </c>
      <c r="J156" s="449" t="s">
        <v>20</v>
      </c>
      <c r="K156" s="450">
        <f>LOOKUP(1E+100,M156:AC156)</f>
        <v>1648.153322818715</v>
      </c>
      <c r="L156" s="448"/>
      <c r="M156" s="450">
        <v>1800</v>
      </c>
      <c r="R156" s="450">
        <v>1773.2758988569869</v>
      </c>
      <c r="T156" s="450">
        <v>1696.7559274545094</v>
      </c>
      <c r="V156" s="450">
        <v>1648.153322818715</v>
      </c>
      <c r="AH156"/>
      <c r="AI156"/>
    </row>
    <row r="157" spans="1:35" s="450" customFormat="1" x14ac:dyDescent="0.25">
      <c r="A157" s="448">
        <v>5</v>
      </c>
      <c r="B157" s="448"/>
      <c r="C157" s="448">
        <f>IF(E157=E156,C156+1,1)</f>
        <v>63</v>
      </c>
      <c r="D157" s="448">
        <f>IF(M157=M156,D156,C157)</f>
        <v>61</v>
      </c>
      <c r="E157" s="448">
        <f>10+VALUE(RIGHT(LEFT(G157,3),1))</f>
        <v>14</v>
      </c>
      <c r="F157" s="448" t="str">
        <f>RIGHT(G157,2) &amp; IF(A157&lt;2,"x","")</f>
        <v>pm</v>
      </c>
      <c r="G157" s="448" t="s">
        <v>612</v>
      </c>
      <c r="H157" s="448" t="s">
        <v>504</v>
      </c>
      <c r="I157" s="448" t="s">
        <v>613</v>
      </c>
      <c r="J157" s="449" t="s">
        <v>20</v>
      </c>
      <c r="K157" s="450">
        <f>LOOKUP(1E+100,M157:AC157)</f>
        <v>1624.9148650715144</v>
      </c>
      <c r="L157" s="448"/>
      <c r="M157" s="450">
        <v>1800</v>
      </c>
      <c r="R157" s="450">
        <v>1705.4420103544176</v>
      </c>
      <c r="T157" s="450">
        <v>1614.0203729802658</v>
      </c>
      <c r="V157" s="450">
        <v>1624.9148650715144</v>
      </c>
      <c r="AH157"/>
      <c r="AI157"/>
    </row>
    <row r="158" spans="1:35" s="450" customFormat="1" x14ac:dyDescent="0.25">
      <c r="A158" s="448">
        <v>6</v>
      </c>
      <c r="B158" s="448"/>
      <c r="C158" s="448">
        <f>IF(E158=E157,C157+1,1)</f>
        <v>64</v>
      </c>
      <c r="D158" s="448">
        <f>IF(M158=M157,D157,C158)</f>
        <v>61</v>
      </c>
      <c r="E158" s="448">
        <f>10+VALUE(RIGHT(LEFT(G158,3),1))</f>
        <v>14</v>
      </c>
      <c r="F158" s="448" t="str">
        <f>RIGHT(G158,2) &amp; IF(A158&lt;2,"x","")</f>
        <v>pm</v>
      </c>
      <c r="G158" s="448" t="s">
        <v>606</v>
      </c>
      <c r="H158" s="448" t="s">
        <v>338</v>
      </c>
      <c r="I158" s="448" t="s">
        <v>607</v>
      </c>
      <c r="J158" s="449" t="s">
        <v>20</v>
      </c>
      <c r="K158" s="450">
        <f>LOOKUP(1E+100,M158:AC158)</f>
        <v>1624.4440390626207</v>
      </c>
      <c r="L158" s="448"/>
      <c r="M158" s="450">
        <v>1800</v>
      </c>
      <c r="R158" s="450">
        <v>1694.4816920998894</v>
      </c>
      <c r="T158" s="450">
        <v>1737.4411214731022</v>
      </c>
      <c r="V158" s="450">
        <v>1624.4440390626207</v>
      </c>
      <c r="AH158"/>
      <c r="AI158"/>
    </row>
    <row r="159" spans="1:35" s="450" customFormat="1" x14ac:dyDescent="0.25">
      <c r="A159" s="448">
        <v>7</v>
      </c>
      <c r="B159" s="448"/>
      <c r="C159" s="448">
        <f>IF(E159=E158,C158+1,1)</f>
        <v>65</v>
      </c>
      <c r="D159" s="448">
        <f>IF(M159=M158,D158,C159)</f>
        <v>61</v>
      </c>
      <c r="E159" s="448">
        <f>10+VALUE(RIGHT(LEFT(G159,3),1))</f>
        <v>14</v>
      </c>
      <c r="F159" s="448" t="str">
        <f>RIGHT(G159,2) &amp; IF(A159&lt;2,"x","")</f>
        <v>pm</v>
      </c>
      <c r="G159" s="448" t="s">
        <v>580</v>
      </c>
      <c r="H159" s="448" t="s">
        <v>353</v>
      </c>
      <c r="I159" s="448" t="s">
        <v>581</v>
      </c>
      <c r="J159" s="449" t="s">
        <v>20</v>
      </c>
      <c r="K159" s="450">
        <f>LOOKUP(1E+100,M159:AC159)</f>
        <v>1568.0436579916152</v>
      </c>
      <c r="L159" s="448"/>
      <c r="M159" s="450">
        <v>1800</v>
      </c>
      <c r="P159" s="450">
        <v>1729.2404985207163</v>
      </c>
      <c r="R159" s="450">
        <v>1648.5261762534274</v>
      </c>
      <c r="T159" s="450">
        <v>1515.9353141743402</v>
      </c>
      <c r="V159" s="450">
        <v>1568.0436579916152</v>
      </c>
      <c r="AH159"/>
      <c r="AI159"/>
    </row>
    <row r="160" spans="1:35" s="450" customFormat="1" x14ac:dyDescent="0.25">
      <c r="A160" s="448">
        <v>2</v>
      </c>
      <c r="B160" s="448"/>
      <c r="C160" s="448">
        <f>IF(E160=E159,C159+1,1)</f>
        <v>1</v>
      </c>
      <c r="D160" s="448">
        <f>IF(M160=M159,D159,C160)</f>
        <v>1</v>
      </c>
      <c r="E160" s="448">
        <f>10+VALUE(RIGHT(LEFT(G160,3),1))</f>
        <v>15</v>
      </c>
      <c r="F160" s="448" t="str">
        <f>RIGHT(G160,2) &amp; IF(A160&lt;2,"x","")</f>
        <v>pm</v>
      </c>
      <c r="G160" s="448" t="s">
        <v>619</v>
      </c>
      <c r="H160" s="448" t="s">
        <v>303</v>
      </c>
      <c r="I160" s="448" t="s">
        <v>620</v>
      </c>
      <c r="J160" s="449" t="s">
        <v>21</v>
      </c>
      <c r="K160" s="450">
        <f>LOOKUP(1E+100,M160:AC160)</f>
        <v>2611.7481368551003</v>
      </c>
      <c r="L160" s="448"/>
      <c r="M160" s="450">
        <v>2400</v>
      </c>
      <c r="S160" s="450">
        <v>2517.9197773041974</v>
      </c>
      <c r="U160" s="450">
        <v>2611.7481368551003</v>
      </c>
      <c r="AH160"/>
      <c r="AI160"/>
    </row>
    <row r="161" spans="1:35" s="450" customFormat="1" x14ac:dyDescent="0.25">
      <c r="A161" s="448">
        <v>5</v>
      </c>
      <c r="B161" s="448"/>
      <c r="C161" s="448">
        <f>IF(E161=E160,C160+1,1)</f>
        <v>2</v>
      </c>
      <c r="D161" s="448">
        <f>IF(M161=M160,D160,C161)</f>
        <v>1</v>
      </c>
      <c r="E161" s="448">
        <f>10+VALUE(RIGHT(LEFT(G161,3),1))</f>
        <v>15</v>
      </c>
      <c r="F161" s="448" t="str">
        <f>RIGHT(G161,2) &amp; IF(A161&lt;2,"x","")</f>
        <v>pm</v>
      </c>
      <c r="G161" s="448" t="s">
        <v>255</v>
      </c>
      <c r="H161" s="448" t="s">
        <v>338</v>
      </c>
      <c r="I161" s="448" t="s">
        <v>254</v>
      </c>
      <c r="J161" s="449" t="s">
        <v>21</v>
      </c>
      <c r="K161" s="450">
        <f>LOOKUP(1E+100,M161:AC161)</f>
        <v>2605.0099691087071</v>
      </c>
      <c r="L161" s="448"/>
      <c r="M161" s="450">
        <v>2400</v>
      </c>
      <c r="S161" s="450">
        <v>2498.4629299605249</v>
      </c>
      <c r="U161" s="450">
        <v>2535.7339513621905</v>
      </c>
      <c r="W161" s="450">
        <v>2605.0099691087071</v>
      </c>
      <c r="AH161"/>
      <c r="AI161"/>
    </row>
    <row r="162" spans="1:35" s="450" customFormat="1" x14ac:dyDescent="0.25">
      <c r="A162" s="448">
        <v>3</v>
      </c>
      <c r="B162" s="448"/>
      <c r="C162" s="448">
        <f>IF(E162=E161,C161+1,1)</f>
        <v>3</v>
      </c>
      <c r="D162" s="448">
        <f>IF(M162=M161,D161,C162)</f>
        <v>1</v>
      </c>
      <c r="E162" s="448">
        <f>10+VALUE(RIGHT(LEFT(G162,3),1))</f>
        <v>15</v>
      </c>
      <c r="F162" s="448" t="str">
        <f>RIGHT(G162,2) &amp; IF(A162&lt;2,"x","")</f>
        <v>pm</v>
      </c>
      <c r="G162" s="448" t="s">
        <v>631</v>
      </c>
      <c r="H162" s="448" t="s">
        <v>296</v>
      </c>
      <c r="I162" s="448" t="s">
        <v>632</v>
      </c>
      <c r="J162" s="449" t="s">
        <v>21</v>
      </c>
      <c r="K162" s="450">
        <f>LOOKUP(1E+100,M162:AC162)</f>
        <v>2602.4800707292979</v>
      </c>
      <c r="L162" s="448"/>
      <c r="M162" s="450">
        <v>2400</v>
      </c>
      <c r="P162" s="450">
        <v>2529.806341942141</v>
      </c>
      <c r="S162" s="450">
        <v>2602.4800707292979</v>
      </c>
      <c r="AH162"/>
      <c r="AI162"/>
    </row>
    <row r="163" spans="1:35" s="450" customFormat="1" x14ac:dyDescent="0.25">
      <c r="A163" s="448">
        <v>5</v>
      </c>
      <c r="B163" s="448"/>
      <c r="C163" s="448">
        <f>IF(E163=E162,C162+1,1)</f>
        <v>4</v>
      </c>
      <c r="D163" s="448">
        <f>IF(M163=M162,D162,C163)</f>
        <v>1</v>
      </c>
      <c r="E163" s="448">
        <f>10+VALUE(RIGHT(LEFT(G163,3),1))</f>
        <v>15</v>
      </c>
      <c r="F163" s="448" t="str">
        <f>RIGHT(G163,2) &amp; IF(A163&lt;2,"x","")</f>
        <v>pm</v>
      </c>
      <c r="G163" s="448" t="s">
        <v>639</v>
      </c>
      <c r="H163" s="448" t="s">
        <v>353</v>
      </c>
      <c r="I163" s="448" t="s">
        <v>640</v>
      </c>
      <c r="J163" s="449" t="s">
        <v>21</v>
      </c>
      <c r="K163" s="450">
        <f>LOOKUP(1E+100,M163:AC163)</f>
        <v>2576.6895575813751</v>
      </c>
      <c r="L163" s="448"/>
      <c r="M163" s="450">
        <v>2400</v>
      </c>
      <c r="P163" s="450">
        <v>2490.4866358168492</v>
      </c>
      <c r="S163" s="450">
        <v>2537.3268804369459</v>
      </c>
      <c r="U163" s="450">
        <v>2521.1020498080788</v>
      </c>
      <c r="W163" s="450">
        <v>2576.6895575813751</v>
      </c>
      <c r="AH163"/>
      <c r="AI163"/>
    </row>
    <row r="164" spans="1:35" s="450" customFormat="1" x14ac:dyDescent="0.25">
      <c r="A164" s="448">
        <v>5</v>
      </c>
      <c r="B164" s="448"/>
      <c r="C164" s="448">
        <f>IF(E164=E163,C163+1,1)</f>
        <v>5</v>
      </c>
      <c r="D164" s="448">
        <f>IF(M164=M163,D163,C164)</f>
        <v>1</v>
      </c>
      <c r="E164" s="448">
        <f>10+VALUE(RIGHT(LEFT(G164,3),1))</f>
        <v>15</v>
      </c>
      <c r="F164" s="448" t="str">
        <f>RIGHT(G164,2) &amp; IF(A164&lt;2,"x","")</f>
        <v>pm</v>
      </c>
      <c r="G164" s="448" t="s">
        <v>257</v>
      </c>
      <c r="H164" s="448" t="s">
        <v>374</v>
      </c>
      <c r="I164" s="448" t="s">
        <v>256</v>
      </c>
      <c r="J164" s="449" t="s">
        <v>21</v>
      </c>
      <c r="K164" s="450">
        <f>LOOKUP(1E+100,M164:AC164)</f>
        <v>2548.7547222982257</v>
      </c>
      <c r="L164" s="448"/>
      <c r="M164" s="450">
        <v>2400</v>
      </c>
      <c r="P164" s="450">
        <v>2532.8046893748628</v>
      </c>
      <c r="W164" s="450">
        <v>2548.7547222982257</v>
      </c>
      <c r="AH164"/>
      <c r="AI164"/>
    </row>
    <row r="165" spans="1:35" s="450" customFormat="1" x14ac:dyDescent="0.25">
      <c r="A165" s="448">
        <v>4</v>
      </c>
      <c r="B165" s="448"/>
      <c r="C165" s="448">
        <f>IF(E165=E164,C164+1,1)</f>
        <v>6</v>
      </c>
      <c r="D165" s="448">
        <f>IF(M165=M164,D164,C165)</f>
        <v>1</v>
      </c>
      <c r="E165" s="448">
        <f>10+VALUE(RIGHT(LEFT(G165,3),1))</f>
        <v>15</v>
      </c>
      <c r="F165" s="448" t="str">
        <f>RIGHT(G165,2) &amp; IF(A165&lt;2,"x","")</f>
        <v>pm</v>
      </c>
      <c r="G165" s="448" t="s">
        <v>661</v>
      </c>
      <c r="H165" s="448" t="s">
        <v>319</v>
      </c>
      <c r="I165" s="448" t="s">
        <v>662</v>
      </c>
      <c r="J165" s="449" t="s">
        <v>21</v>
      </c>
      <c r="K165" s="450">
        <f>LOOKUP(1E+100,M165:AC165)</f>
        <v>2522.4227199343727</v>
      </c>
      <c r="L165" s="448"/>
      <c r="M165" s="450">
        <v>2400</v>
      </c>
      <c r="P165" s="450">
        <v>2433.9655474743449</v>
      </c>
      <c r="S165" s="450">
        <v>2478.3685552215939</v>
      </c>
      <c r="U165" s="450">
        <v>2522.4227199343727</v>
      </c>
      <c r="AH165"/>
      <c r="AI165"/>
    </row>
    <row r="166" spans="1:35" s="450" customFormat="1" x14ac:dyDescent="0.25">
      <c r="A166" s="448">
        <v>2</v>
      </c>
      <c r="B166" s="448"/>
      <c r="C166" s="448">
        <f>IF(E166=E165,C165+1,1)</f>
        <v>7</v>
      </c>
      <c r="D166" s="448">
        <f>IF(M166=M165,D165,C166)</f>
        <v>1</v>
      </c>
      <c r="E166" s="448">
        <f>10+VALUE(RIGHT(LEFT(G166,3),1))</f>
        <v>15</v>
      </c>
      <c r="F166" s="448" t="str">
        <f>RIGHT(G166,2) &amp; IF(A166&lt;2,"x","")</f>
        <v>pm</v>
      </c>
      <c r="G166" s="448" t="s">
        <v>655</v>
      </c>
      <c r="H166" s="448" t="s">
        <v>330</v>
      </c>
      <c r="I166" s="448" t="s">
        <v>656</v>
      </c>
      <c r="J166" s="449" t="s">
        <v>21</v>
      </c>
      <c r="K166" s="450">
        <f>LOOKUP(1E+100,M166:AC166)</f>
        <v>2510.3988721585351</v>
      </c>
      <c r="L166" s="448"/>
      <c r="M166" s="450">
        <v>2400</v>
      </c>
      <c r="S166" s="450">
        <v>2510.3988721585351</v>
      </c>
      <c r="AH166"/>
      <c r="AI166"/>
    </row>
    <row r="167" spans="1:35" s="450" customFormat="1" x14ac:dyDescent="0.25">
      <c r="A167" s="448">
        <v>2</v>
      </c>
      <c r="B167" s="448"/>
      <c r="C167" s="448">
        <f>IF(E167=E166,C166+1,1)</f>
        <v>8</v>
      </c>
      <c r="D167" s="448">
        <f>IF(M167=M166,D166,C167)</f>
        <v>1</v>
      </c>
      <c r="E167" s="448">
        <f>10+VALUE(RIGHT(LEFT(G167,3),1))</f>
        <v>15</v>
      </c>
      <c r="F167" s="448" t="str">
        <f>RIGHT(G167,2) &amp; IF(A167&lt;2,"x","")</f>
        <v>pm</v>
      </c>
      <c r="G167" s="448" t="s">
        <v>643</v>
      </c>
      <c r="H167" s="448" t="s">
        <v>299</v>
      </c>
      <c r="I167" s="448" t="s">
        <v>644</v>
      </c>
      <c r="J167" s="449" t="s">
        <v>21</v>
      </c>
      <c r="K167" s="450">
        <f>LOOKUP(1E+100,M167:AC167)</f>
        <v>2505.020862099786</v>
      </c>
      <c r="L167" s="448"/>
      <c r="M167" s="450">
        <v>2400</v>
      </c>
      <c r="P167" s="450">
        <v>2505.020862099786</v>
      </c>
      <c r="AH167"/>
      <c r="AI167"/>
    </row>
    <row r="168" spans="1:35" s="450" customFormat="1" x14ac:dyDescent="0.25">
      <c r="A168" s="448">
        <v>4</v>
      </c>
      <c r="B168" s="448"/>
      <c r="C168" s="448">
        <f>IF(E168=E167,C167+1,1)</f>
        <v>9</v>
      </c>
      <c r="D168" s="448">
        <f>IF(M168=M167,D167,C168)</f>
        <v>1</v>
      </c>
      <c r="E168" s="448">
        <f>10+VALUE(RIGHT(LEFT(G168,3),1))</f>
        <v>15</v>
      </c>
      <c r="F168" s="448" t="str">
        <f>RIGHT(G168,2) &amp; IF(A168&lt;2,"x","")</f>
        <v>pm</v>
      </c>
      <c r="G168" s="448" t="s">
        <v>633</v>
      </c>
      <c r="H168" s="448" t="s">
        <v>296</v>
      </c>
      <c r="I168" s="448" t="s">
        <v>634</v>
      </c>
      <c r="J168" s="449" t="s">
        <v>21</v>
      </c>
      <c r="K168" s="450">
        <f>LOOKUP(1E+100,M168:AC168)</f>
        <v>2494.7652302568054</v>
      </c>
      <c r="L168" s="448"/>
      <c r="M168" s="450">
        <v>2400</v>
      </c>
      <c r="P168" s="450">
        <v>2495.8609490903345</v>
      </c>
      <c r="U168" s="450">
        <v>2537.8748707914665</v>
      </c>
      <c r="W168" s="450">
        <v>2494.7652302568054</v>
      </c>
      <c r="AH168"/>
      <c r="AI168"/>
    </row>
    <row r="169" spans="1:35" s="450" customFormat="1" x14ac:dyDescent="0.25">
      <c r="A169" s="448">
        <v>3</v>
      </c>
      <c r="B169" s="448"/>
      <c r="C169" s="448">
        <f>IF(E169=E168,C168+1,1)</f>
        <v>10</v>
      </c>
      <c r="D169" s="448">
        <f>IF(M169=M168,D168,C169)</f>
        <v>1</v>
      </c>
      <c r="E169" s="448">
        <f>10+VALUE(RIGHT(LEFT(G169,3),1))</f>
        <v>15</v>
      </c>
      <c r="F169" s="448" t="str">
        <f>RIGHT(G169,2) &amp; IF(A169&lt;2,"x","")</f>
        <v>pm</v>
      </c>
      <c r="G169" s="448" t="s">
        <v>625</v>
      </c>
      <c r="H169" s="448" t="s">
        <v>437</v>
      </c>
      <c r="I169" s="448" t="s">
        <v>626</v>
      </c>
      <c r="J169" s="449" t="s">
        <v>21</v>
      </c>
      <c r="K169" s="450">
        <f>LOOKUP(1E+100,M169:AC169)</f>
        <v>2432.4965464774205</v>
      </c>
      <c r="L169" s="448"/>
      <c r="M169" s="450">
        <v>2400</v>
      </c>
      <c r="P169" s="450">
        <v>2411.3980889405284</v>
      </c>
      <c r="W169" s="450">
        <v>2432.4965464774205</v>
      </c>
      <c r="AH169"/>
      <c r="AI169"/>
    </row>
    <row r="170" spans="1:35" s="450" customFormat="1" x14ac:dyDescent="0.25">
      <c r="A170" s="448">
        <v>2</v>
      </c>
      <c r="B170" s="448"/>
      <c r="C170" s="448">
        <f>IF(E170=E169,C169+1,1)</f>
        <v>11</v>
      </c>
      <c r="D170" s="448">
        <f>IF(M170=M169,D169,C170)</f>
        <v>1</v>
      </c>
      <c r="E170" s="448">
        <f>10+VALUE(RIGHT(LEFT(G170,3),1))</f>
        <v>15</v>
      </c>
      <c r="F170" s="448" t="str">
        <f>RIGHT(G170,2) &amp; IF(A170&lt;2,"x","")</f>
        <v>pm</v>
      </c>
      <c r="G170" s="448" t="s">
        <v>657</v>
      </c>
      <c r="H170" s="448" t="s">
        <v>330</v>
      </c>
      <c r="I170" s="448" t="s">
        <v>658</v>
      </c>
      <c r="J170" s="449" t="s">
        <v>21</v>
      </c>
      <c r="K170" s="450">
        <f>LOOKUP(1E+100,M170:AC170)</f>
        <v>2424.3251569122449</v>
      </c>
      <c r="L170" s="448"/>
      <c r="M170" s="450">
        <v>2400</v>
      </c>
      <c r="S170" s="450">
        <v>2373.4548553972368</v>
      </c>
      <c r="W170" s="450">
        <v>2424.3251569122449</v>
      </c>
      <c r="AH170"/>
      <c r="AI170"/>
    </row>
    <row r="171" spans="1:35" s="450" customFormat="1" x14ac:dyDescent="0.25">
      <c r="A171" s="448">
        <v>7</v>
      </c>
      <c r="B171" s="448"/>
      <c r="C171" s="448">
        <f>IF(E171=E170,C170+1,1)</f>
        <v>12</v>
      </c>
      <c r="D171" s="448">
        <f>IF(M171=M170,D170,C171)</f>
        <v>1</v>
      </c>
      <c r="E171" s="448">
        <f>10+VALUE(RIGHT(LEFT(G171,3),1))</f>
        <v>15</v>
      </c>
      <c r="F171" s="448" t="str">
        <f>RIGHT(G171,2) &amp; IF(A171&lt;2,"x","")</f>
        <v>pm</v>
      </c>
      <c r="G171" s="448" t="s">
        <v>653</v>
      </c>
      <c r="H171" s="448" t="s">
        <v>309</v>
      </c>
      <c r="I171" s="448" t="s">
        <v>654</v>
      </c>
      <c r="J171" s="449" t="s">
        <v>21</v>
      </c>
      <c r="K171" s="450">
        <f>LOOKUP(1E+100,M171:AC171)</f>
        <v>2423.6846092676101</v>
      </c>
      <c r="L171" s="448"/>
      <c r="M171" s="450">
        <v>2400</v>
      </c>
      <c r="P171" s="450">
        <v>2433.8983579853784</v>
      </c>
      <c r="Q171" s="450">
        <v>2431.8105354897539</v>
      </c>
      <c r="S171" s="450">
        <v>2390.4386500342198</v>
      </c>
      <c r="U171" s="450">
        <v>2413.7157394938272</v>
      </c>
      <c r="W171" s="450">
        <v>2423.6846092676101</v>
      </c>
      <c r="AH171"/>
      <c r="AI171"/>
    </row>
    <row r="172" spans="1:35" s="450" customFormat="1" x14ac:dyDescent="0.25">
      <c r="A172" s="448">
        <v>4</v>
      </c>
      <c r="B172" s="448"/>
      <c r="C172" s="448">
        <f>IF(E172=E171,C171+1,1)</f>
        <v>13</v>
      </c>
      <c r="D172" s="448">
        <f>IF(M172=M171,D171,C172)</f>
        <v>1</v>
      </c>
      <c r="E172" s="448">
        <f>10+VALUE(RIGHT(LEFT(G172,3),1))</f>
        <v>15</v>
      </c>
      <c r="F172" s="448" t="str">
        <f>RIGHT(G172,2) &amp; IF(A172&lt;2,"x","")</f>
        <v>pm</v>
      </c>
      <c r="G172" s="448" t="s">
        <v>647</v>
      </c>
      <c r="H172" s="448" t="s">
        <v>374</v>
      </c>
      <c r="I172" s="448" t="s">
        <v>648</v>
      </c>
      <c r="J172" s="449" t="s">
        <v>21</v>
      </c>
      <c r="K172" s="450">
        <f>LOOKUP(1E+100,M172:AC172)</f>
        <v>2407.1159789073695</v>
      </c>
      <c r="L172" s="448"/>
      <c r="M172" s="450">
        <v>2400</v>
      </c>
      <c r="U172" s="450">
        <v>2413.5003812693762</v>
      </c>
      <c r="W172" s="450">
        <v>2407.1159789073695</v>
      </c>
      <c r="AH172"/>
      <c r="AI172"/>
    </row>
    <row r="173" spans="1:35" s="450" customFormat="1" x14ac:dyDescent="0.25">
      <c r="A173" s="448">
        <v>2</v>
      </c>
      <c r="B173" s="448"/>
      <c r="C173" s="448">
        <f>IF(E173=E172,C172+1,1)</f>
        <v>14</v>
      </c>
      <c r="D173" s="448">
        <f>IF(M173=M172,D172,C173)</f>
        <v>14</v>
      </c>
      <c r="E173" s="448">
        <f>10+VALUE(RIGHT(LEFT(G173,3),1))</f>
        <v>15</v>
      </c>
      <c r="F173" s="448" t="str">
        <f>RIGHT(G173,2) &amp; IF(A173&lt;2,"x","")</f>
        <v>pm</v>
      </c>
      <c r="G173" s="448" t="s">
        <v>672</v>
      </c>
      <c r="H173" s="448" t="s">
        <v>316</v>
      </c>
      <c r="I173" s="448" t="s">
        <v>673</v>
      </c>
      <c r="J173" s="449" t="s">
        <v>21</v>
      </c>
      <c r="K173" s="450">
        <f>LOOKUP(1E+100,M173:AC173)</f>
        <v>2402.1626892749932</v>
      </c>
      <c r="L173" s="448"/>
      <c r="M173" s="450">
        <v>2200</v>
      </c>
      <c r="T173" s="450">
        <v>2402.1626892749932</v>
      </c>
      <c r="AH173"/>
      <c r="AI173"/>
    </row>
    <row r="174" spans="1:35" s="450" customFormat="1" x14ac:dyDescent="0.25">
      <c r="A174" s="448">
        <v>4</v>
      </c>
      <c r="B174" s="448"/>
      <c r="C174" s="448">
        <f>IF(E174=E173,C173+1,1)</f>
        <v>15</v>
      </c>
      <c r="D174" s="448">
        <f>IF(M174=M173,D173,C174)</f>
        <v>15</v>
      </c>
      <c r="E174" s="448">
        <f>10+VALUE(RIGHT(LEFT(G174,3),1))</f>
        <v>15</v>
      </c>
      <c r="F174" s="448" t="str">
        <f>RIGHT(G174,2) &amp; IF(A174&lt;2,"x","")</f>
        <v>pm</v>
      </c>
      <c r="G174" s="448" t="s">
        <v>635</v>
      </c>
      <c r="H174" s="448" t="s">
        <v>296</v>
      </c>
      <c r="I174" s="448" t="s">
        <v>636</v>
      </c>
      <c r="J174" s="449" t="s">
        <v>21</v>
      </c>
      <c r="K174" s="450">
        <f>LOOKUP(1E+100,M174:AC174)</f>
        <v>2391.8112657680576</v>
      </c>
      <c r="L174" s="448"/>
      <c r="M174" s="450">
        <v>2400</v>
      </c>
      <c r="P174" s="450">
        <v>2419.8800474739714</v>
      </c>
      <c r="U174" s="450">
        <v>2340.9367997858221</v>
      </c>
      <c r="W174" s="450">
        <v>2391.8112657680576</v>
      </c>
      <c r="AH174"/>
      <c r="AI174"/>
    </row>
    <row r="175" spans="1:35" s="450" customFormat="1" x14ac:dyDescent="0.25">
      <c r="A175" s="448">
        <v>6</v>
      </c>
      <c r="B175" s="448"/>
      <c r="C175" s="448">
        <f>IF(E175=E174,C174+1,1)</f>
        <v>16</v>
      </c>
      <c r="D175" s="448">
        <f>IF(M175=M174,D174,C175)</f>
        <v>15</v>
      </c>
      <c r="E175" s="448">
        <f>10+VALUE(RIGHT(LEFT(G175,3),1))</f>
        <v>15</v>
      </c>
      <c r="F175" s="448" t="str">
        <f>RIGHT(G175,2) &amp; IF(A175&lt;2,"x","")</f>
        <v>pm</v>
      </c>
      <c r="G175" s="448" t="s">
        <v>614</v>
      </c>
      <c r="H175" s="448" t="s">
        <v>615</v>
      </c>
      <c r="I175" s="448" t="s">
        <v>616</v>
      </c>
      <c r="J175" s="449" t="s">
        <v>21</v>
      </c>
      <c r="K175" s="450">
        <f>LOOKUP(1E+100,M175:AC175)</f>
        <v>2377.208136429545</v>
      </c>
      <c r="L175" s="448"/>
      <c r="M175" s="450">
        <v>2400</v>
      </c>
      <c r="O175" s="451"/>
      <c r="P175" s="451">
        <v>2387.4256160710393</v>
      </c>
      <c r="Q175" s="451"/>
      <c r="R175" s="451"/>
      <c r="S175" s="451">
        <v>2352.5527648259167</v>
      </c>
      <c r="T175" s="451"/>
      <c r="U175" s="451">
        <v>2366.7411744211154</v>
      </c>
      <c r="V175" s="451"/>
      <c r="W175" s="451">
        <v>2377.208136429545</v>
      </c>
      <c r="X175" s="451"/>
      <c r="Y175" s="451"/>
      <c r="Z175" s="451"/>
      <c r="AA175" s="451"/>
      <c r="AB175" s="451"/>
      <c r="AC175" s="451"/>
      <c r="AD175" s="451"/>
      <c r="AE175" s="451"/>
      <c r="AF175" s="451"/>
      <c r="AG175" s="451"/>
      <c r="AH175"/>
      <c r="AI175"/>
    </row>
    <row r="176" spans="1:35" s="450" customFormat="1" x14ac:dyDescent="0.25">
      <c r="A176" s="448">
        <v>2</v>
      </c>
      <c r="B176" s="448"/>
      <c r="C176" s="448">
        <f>IF(E176=E175,C175+1,1)</f>
        <v>17</v>
      </c>
      <c r="D176" s="448">
        <f>IF(M176=M175,D175,C176)</f>
        <v>17</v>
      </c>
      <c r="E176" s="448">
        <f>10+VALUE(RIGHT(LEFT(G176,3),1))</f>
        <v>15</v>
      </c>
      <c r="F176" s="448" t="str">
        <f>RIGHT(G176,2) &amp; IF(A176&lt;2,"x","")</f>
        <v>pm</v>
      </c>
      <c r="G176" s="448" t="s">
        <v>674</v>
      </c>
      <c r="H176" s="448" t="s">
        <v>316</v>
      </c>
      <c r="I176" s="448" t="s">
        <v>675</v>
      </c>
      <c r="J176" s="449" t="s">
        <v>21</v>
      </c>
      <c r="K176" s="450">
        <f>LOOKUP(1E+100,M176:AC176)</f>
        <v>2375.211979799888</v>
      </c>
      <c r="L176" s="448"/>
      <c r="M176" s="450">
        <v>2200</v>
      </c>
      <c r="T176" s="450">
        <v>2375.211979799888</v>
      </c>
      <c r="AH176"/>
      <c r="AI176"/>
    </row>
    <row r="177" spans="1:35" s="450" customFormat="1" x14ac:dyDescent="0.25">
      <c r="A177" s="448">
        <v>6</v>
      </c>
      <c r="B177" s="448"/>
      <c r="C177" s="448">
        <f>IF(E177=E176,C176+1,1)</f>
        <v>18</v>
      </c>
      <c r="D177" s="448">
        <f>IF(M177=M176,D176,C177)</f>
        <v>18</v>
      </c>
      <c r="E177" s="448">
        <f>10+VALUE(RIGHT(LEFT(G177,3),1))</f>
        <v>15</v>
      </c>
      <c r="F177" s="448" t="str">
        <f>RIGHT(G177,2) &amp; IF(A177&lt;2,"x","")</f>
        <v>pm</v>
      </c>
      <c r="G177" s="448" t="s">
        <v>641</v>
      </c>
      <c r="H177" s="448" t="s">
        <v>358</v>
      </c>
      <c r="I177" s="448" t="s">
        <v>642</v>
      </c>
      <c r="J177" s="449" t="s">
        <v>21</v>
      </c>
      <c r="K177" s="450">
        <f>LOOKUP(1E+100,M177:AC177)</f>
        <v>2373.4332491326863</v>
      </c>
      <c r="L177" s="448"/>
      <c r="M177" s="450">
        <v>2400</v>
      </c>
      <c r="Q177" s="450">
        <v>2298.3524972797049</v>
      </c>
      <c r="S177" s="450">
        <v>2360.1998147700406</v>
      </c>
      <c r="U177" s="450">
        <v>2345.1430549012343</v>
      </c>
      <c r="W177" s="450">
        <v>2373.4332491326863</v>
      </c>
      <c r="AH177"/>
      <c r="AI177"/>
    </row>
    <row r="178" spans="1:35" s="450" customFormat="1" x14ac:dyDescent="0.25">
      <c r="A178" s="448">
        <v>2</v>
      </c>
      <c r="B178" s="448"/>
      <c r="C178" s="448">
        <f>IF(E178=E177,C177+1,1)</f>
        <v>19</v>
      </c>
      <c r="D178" s="448">
        <f>IF(M178=M177,D177,C178)</f>
        <v>18</v>
      </c>
      <c r="E178" s="448">
        <f>10+VALUE(RIGHT(LEFT(G178,3),1))</f>
        <v>15</v>
      </c>
      <c r="F178" s="448" t="str">
        <f>RIGHT(G178,2) &amp; IF(A178&lt;2,"x","")</f>
        <v>pm</v>
      </c>
      <c r="G178" s="448" t="s">
        <v>659</v>
      </c>
      <c r="H178" s="448" t="s">
        <v>431</v>
      </c>
      <c r="I178" s="448" t="s">
        <v>660</v>
      </c>
      <c r="J178" s="449" t="s">
        <v>21</v>
      </c>
      <c r="K178" s="450">
        <f>LOOKUP(1E+100,M178:AC178)</f>
        <v>2358.6895672074957</v>
      </c>
      <c r="L178" s="448"/>
      <c r="M178" s="450">
        <v>2400</v>
      </c>
      <c r="P178" s="450">
        <v>2358.6895672074957</v>
      </c>
      <c r="AH178"/>
      <c r="AI178"/>
    </row>
    <row r="179" spans="1:35" s="450" customFormat="1" x14ac:dyDescent="0.25">
      <c r="A179" s="448">
        <v>3</v>
      </c>
      <c r="B179" s="448"/>
      <c r="C179" s="448">
        <f>IF(E179=E178,C178+1,1)</f>
        <v>20</v>
      </c>
      <c r="D179" s="448">
        <f>IF(M179=M178,D178,C179)</f>
        <v>18</v>
      </c>
      <c r="E179" s="448">
        <f>10+VALUE(RIGHT(LEFT(G179,3),1))</f>
        <v>15</v>
      </c>
      <c r="F179" s="448" t="str">
        <f>RIGHT(G179,2) &amp; IF(A179&lt;2,"x","")</f>
        <v>pm</v>
      </c>
      <c r="G179" s="448" t="s">
        <v>621</v>
      </c>
      <c r="H179" s="448" t="s">
        <v>303</v>
      </c>
      <c r="I179" s="448" t="s">
        <v>622</v>
      </c>
      <c r="J179" s="449" t="s">
        <v>21</v>
      </c>
      <c r="K179" s="450">
        <f>LOOKUP(1E+100,M179:AC179)</f>
        <v>2346.8553201545369</v>
      </c>
      <c r="L179" s="448"/>
      <c r="M179" s="450">
        <v>2400</v>
      </c>
      <c r="S179" s="450">
        <v>2295.1033399345392</v>
      </c>
      <c r="U179" s="450">
        <v>2346.8553201545369</v>
      </c>
      <c r="AH179"/>
      <c r="AI179"/>
    </row>
    <row r="180" spans="1:35" s="450" customFormat="1" x14ac:dyDescent="0.25">
      <c r="A180" s="448">
        <v>6</v>
      </c>
      <c r="B180" s="448"/>
      <c r="C180" s="448">
        <f>IF(E180=E179,C179+1,1)</f>
        <v>21</v>
      </c>
      <c r="D180" s="448">
        <f>IF(M180=M179,D179,C180)</f>
        <v>18</v>
      </c>
      <c r="E180" s="448">
        <f>10+VALUE(RIGHT(LEFT(G180,3),1))</f>
        <v>15</v>
      </c>
      <c r="F180" s="448" t="str">
        <f>RIGHT(G180,2) &amp; IF(A180&lt;2,"x","")</f>
        <v>pm</v>
      </c>
      <c r="G180" s="448" t="s">
        <v>617</v>
      </c>
      <c r="H180" s="448" t="s">
        <v>615</v>
      </c>
      <c r="I180" s="448" t="s">
        <v>618</v>
      </c>
      <c r="J180" s="449" t="s">
        <v>21</v>
      </c>
      <c r="K180" s="450">
        <f>LOOKUP(1E+100,M180:AC180)</f>
        <v>2343.2031299867836</v>
      </c>
      <c r="L180" s="448"/>
      <c r="M180" s="450">
        <v>2400</v>
      </c>
      <c r="O180" s="451"/>
      <c r="P180" s="451">
        <v>2419.8355804183434</v>
      </c>
      <c r="Q180" s="451"/>
      <c r="R180" s="451"/>
      <c r="S180" s="451">
        <v>2299.6632275953884</v>
      </c>
      <c r="T180" s="451"/>
      <c r="U180" s="451">
        <v>2357.6838122545587</v>
      </c>
      <c r="V180" s="451"/>
      <c r="W180" s="451">
        <v>2343.2031299867836</v>
      </c>
      <c r="X180" s="451"/>
      <c r="Y180" s="451"/>
      <c r="Z180" s="451"/>
      <c r="AA180" s="451"/>
      <c r="AB180" s="451"/>
      <c r="AC180" s="451"/>
      <c r="AD180" s="451"/>
      <c r="AE180" s="451"/>
      <c r="AF180" s="451"/>
      <c r="AG180" s="451"/>
      <c r="AH180"/>
      <c r="AI180"/>
    </row>
    <row r="181" spans="1:35" s="450" customFormat="1" x14ac:dyDescent="0.25">
      <c r="A181" s="448">
        <v>4</v>
      </c>
      <c r="B181" s="448"/>
      <c r="C181" s="448">
        <f>IF(E181=E180,C180+1,1)</f>
        <v>22</v>
      </c>
      <c r="D181" s="448">
        <f>IF(M181=M180,D180,C181)</f>
        <v>18</v>
      </c>
      <c r="E181" s="448">
        <f>10+VALUE(RIGHT(LEFT(G181,3),1))</f>
        <v>15</v>
      </c>
      <c r="F181" s="448" t="str">
        <f>RIGHT(G181,2) &amp; IF(A181&lt;2,"x","")</f>
        <v>pm</v>
      </c>
      <c r="G181" s="448" t="s">
        <v>651</v>
      </c>
      <c r="H181" s="448" t="s">
        <v>306</v>
      </c>
      <c r="I181" s="448" t="s">
        <v>652</v>
      </c>
      <c r="J181" s="449" t="s">
        <v>21</v>
      </c>
      <c r="K181" s="450">
        <f>LOOKUP(1E+100,M181:AC181)</f>
        <v>2311.8485055913134</v>
      </c>
      <c r="L181" s="448"/>
      <c r="M181" s="450">
        <v>2400</v>
      </c>
      <c r="U181" s="450">
        <v>2375.053097155987</v>
      </c>
      <c r="W181" s="450">
        <v>2311.8485055913134</v>
      </c>
      <c r="AH181"/>
      <c r="AI181"/>
    </row>
    <row r="182" spans="1:35" s="450" customFormat="1" x14ac:dyDescent="0.25">
      <c r="A182" s="448">
        <v>3</v>
      </c>
      <c r="B182" s="448"/>
      <c r="C182" s="448">
        <f>IF(E182=E181,C181+1,1)</f>
        <v>23</v>
      </c>
      <c r="D182" s="448">
        <f>IF(M182=M181,D181,C182)</f>
        <v>18</v>
      </c>
      <c r="E182" s="448">
        <f>10+VALUE(RIGHT(LEFT(G182,3),1))</f>
        <v>15</v>
      </c>
      <c r="F182" s="448" t="str">
        <f>RIGHT(G182,2) &amp; IF(A182&lt;2,"x","")</f>
        <v>pm</v>
      </c>
      <c r="G182" s="448" t="s">
        <v>667</v>
      </c>
      <c r="H182" s="448" t="s">
        <v>668</v>
      </c>
      <c r="I182" s="448" t="s">
        <v>669</v>
      </c>
      <c r="J182" s="449" t="s">
        <v>21</v>
      </c>
      <c r="K182" s="450">
        <f>LOOKUP(1E+100,M182:AC182)</f>
        <v>2306.3856604839848</v>
      </c>
      <c r="L182" s="448"/>
      <c r="M182" s="450">
        <v>2400</v>
      </c>
      <c r="P182" s="450">
        <v>2333.7938394280536</v>
      </c>
      <c r="U182" s="450">
        <v>2306.3856604839848</v>
      </c>
      <c r="AH182"/>
      <c r="AI182"/>
    </row>
    <row r="183" spans="1:35" s="450" customFormat="1" x14ac:dyDescent="0.25">
      <c r="A183" s="448">
        <v>7</v>
      </c>
      <c r="B183" s="448"/>
      <c r="C183" s="448">
        <f>IF(E183=E182,C182+1,1)</f>
        <v>24</v>
      </c>
      <c r="D183" s="448">
        <f>IF(M183=M182,D182,C183)</f>
        <v>24</v>
      </c>
      <c r="E183" s="448">
        <f>10+VALUE(RIGHT(LEFT(G183,3),1))</f>
        <v>15</v>
      </c>
      <c r="F183" s="448" t="str">
        <f>RIGHT(G183,2) &amp; IF(A183&lt;2,"x","")</f>
        <v>pm</v>
      </c>
      <c r="G183" s="448" t="s">
        <v>682</v>
      </c>
      <c r="H183" s="448" t="s">
        <v>490</v>
      </c>
      <c r="I183" s="448" t="s">
        <v>683</v>
      </c>
      <c r="J183" s="449" t="s">
        <v>20</v>
      </c>
      <c r="K183" s="450">
        <f>LOOKUP(1E+100,M183:AC183)</f>
        <v>2285.1397758173989</v>
      </c>
      <c r="L183" s="448"/>
      <c r="M183" s="450">
        <v>2114.2857142857142</v>
      </c>
      <c r="P183" s="450">
        <v>2102.3245224321704</v>
      </c>
      <c r="Q183" s="450">
        <v>2203.6952157273317</v>
      </c>
      <c r="T183" s="450">
        <v>2182.5823517948334</v>
      </c>
      <c r="U183" s="450">
        <v>2285.1397758173989</v>
      </c>
      <c r="AH183"/>
      <c r="AI183"/>
    </row>
    <row r="184" spans="1:35" s="450" customFormat="1" x14ac:dyDescent="0.25">
      <c r="A184" s="448">
        <v>4</v>
      </c>
      <c r="B184" s="448"/>
      <c r="C184" s="448">
        <f>IF(E184=E183,C183+1,1)</f>
        <v>25</v>
      </c>
      <c r="D184" s="448">
        <f>IF(M184=M183,D183,C184)</f>
        <v>25</v>
      </c>
      <c r="E184" s="448">
        <f>10+VALUE(RIGHT(LEFT(G184,3),1))</f>
        <v>15</v>
      </c>
      <c r="F184" s="448" t="str">
        <f>RIGHT(G184,2) &amp; IF(A184&lt;2,"x","")</f>
        <v>pm</v>
      </c>
      <c r="G184" s="448" t="s">
        <v>649</v>
      </c>
      <c r="H184" s="448" t="s">
        <v>374</v>
      </c>
      <c r="I184" s="448" t="s">
        <v>650</v>
      </c>
      <c r="J184" s="449" t="s">
        <v>21</v>
      </c>
      <c r="K184" s="450">
        <f>LOOKUP(1E+100,M184:AC184)</f>
        <v>2278.973434353381</v>
      </c>
      <c r="L184" s="448"/>
      <c r="M184" s="450">
        <v>2400</v>
      </c>
      <c r="U184" s="450">
        <v>2316.272580612786</v>
      </c>
      <c r="W184" s="450">
        <v>2278.973434353381</v>
      </c>
      <c r="AH184"/>
      <c r="AI184"/>
    </row>
    <row r="185" spans="1:35" s="450" customFormat="1" x14ac:dyDescent="0.25">
      <c r="A185" s="448">
        <v>3</v>
      </c>
      <c r="B185" s="448"/>
      <c r="C185" s="448">
        <f>IF(E185=E184,C184+1,1)</f>
        <v>26</v>
      </c>
      <c r="D185" s="448">
        <f>IF(M185=M184,D184,C185)</f>
        <v>25</v>
      </c>
      <c r="E185" s="448">
        <f>10+VALUE(RIGHT(LEFT(G185,3),1))</f>
        <v>15</v>
      </c>
      <c r="F185" s="448" t="str">
        <f>RIGHT(G185,2) &amp; IF(A185&lt;2,"x","")</f>
        <v>pm</v>
      </c>
      <c r="G185" s="448" t="s">
        <v>637</v>
      </c>
      <c r="H185" s="448" t="s">
        <v>296</v>
      </c>
      <c r="I185" s="448" t="s">
        <v>638</v>
      </c>
      <c r="J185" s="449" t="s">
        <v>21</v>
      </c>
      <c r="K185" s="450">
        <f>LOOKUP(1E+100,M185:AC185)</f>
        <v>2275.7602767241924</v>
      </c>
      <c r="L185" s="448"/>
      <c r="M185" s="450">
        <v>2400</v>
      </c>
      <c r="U185" s="450">
        <v>2319.1430928811537</v>
      </c>
      <c r="W185" s="450">
        <v>2275.7602767241924</v>
      </c>
      <c r="AH185"/>
      <c r="AI185"/>
    </row>
    <row r="186" spans="1:35" s="450" customFormat="1" x14ac:dyDescent="0.25">
      <c r="A186" s="448">
        <v>3</v>
      </c>
      <c r="B186" s="448"/>
      <c r="C186" s="448">
        <f>IF(E186=E185,C185+1,1)</f>
        <v>27</v>
      </c>
      <c r="D186" s="448">
        <f>IF(M186=M185,D185,C186)</f>
        <v>27</v>
      </c>
      <c r="E186" s="448">
        <f>10+VALUE(RIGHT(LEFT(G186,3),1))</f>
        <v>15</v>
      </c>
      <c r="F186" s="448" t="str">
        <f>RIGHT(G186,2) &amp; IF(A186&lt;2,"x","")</f>
        <v>pm</v>
      </c>
      <c r="G186" s="448" t="s">
        <v>680</v>
      </c>
      <c r="H186" s="448" t="s">
        <v>554</v>
      </c>
      <c r="I186" s="448" t="s">
        <v>681</v>
      </c>
      <c r="J186" s="449" t="s">
        <v>20</v>
      </c>
      <c r="K186" s="450">
        <f>LOOKUP(1E+100,M186:AC186)</f>
        <v>2254.6696085386193</v>
      </c>
      <c r="L186" s="448"/>
      <c r="M186" s="450">
        <v>2133.3333333333335</v>
      </c>
      <c r="O186" s="451"/>
      <c r="P186" s="451">
        <v>2171.2364438273903</v>
      </c>
      <c r="Q186" s="451"/>
      <c r="R186" s="451"/>
      <c r="S186" s="451">
        <v>2218.9901714404259</v>
      </c>
      <c r="T186" s="451"/>
      <c r="U186" s="451"/>
      <c r="V186" s="451">
        <v>2254.6696085386193</v>
      </c>
      <c r="W186" s="451"/>
      <c r="X186" s="451"/>
      <c r="Y186" s="451"/>
      <c r="Z186" s="451"/>
      <c r="AA186" s="451"/>
      <c r="AB186" s="451"/>
      <c r="AC186" s="451"/>
      <c r="AD186" s="451"/>
      <c r="AE186" s="451"/>
      <c r="AF186" s="451"/>
      <c r="AG186" s="451"/>
      <c r="AH186"/>
      <c r="AI186"/>
    </row>
    <row r="187" spans="1:35" s="450" customFormat="1" x14ac:dyDescent="0.25">
      <c r="A187" s="448">
        <v>4</v>
      </c>
      <c r="B187" s="448"/>
      <c r="C187" s="448">
        <f>IF(E187=E186,C186+1,1)</f>
        <v>28</v>
      </c>
      <c r="D187" s="448">
        <f>IF(M187=M186,D186,C187)</f>
        <v>28</v>
      </c>
      <c r="E187" s="448">
        <f>10+VALUE(RIGHT(LEFT(G187,3),1))</f>
        <v>15</v>
      </c>
      <c r="F187" s="448" t="str">
        <f>RIGHT(G187,2) &amp; IF(A187&lt;2,"x","")</f>
        <v>pm</v>
      </c>
      <c r="G187" s="448" t="s">
        <v>684</v>
      </c>
      <c r="H187" s="448" t="s">
        <v>685</v>
      </c>
      <c r="I187" s="448" t="s">
        <v>686</v>
      </c>
      <c r="J187" s="449" t="s">
        <v>20</v>
      </c>
      <c r="K187" s="450">
        <f>LOOKUP(1E+100,M187:AC187)</f>
        <v>2246.9713787647379</v>
      </c>
      <c r="L187" s="448"/>
      <c r="M187" s="450">
        <v>2000</v>
      </c>
      <c r="P187" s="450">
        <v>2074.6603823800419</v>
      </c>
      <c r="R187" s="450">
        <v>2138.2377521954518</v>
      </c>
      <c r="T187" s="450">
        <v>2200.7724588064239</v>
      </c>
      <c r="V187" s="450">
        <v>2246.9713787647379</v>
      </c>
      <c r="AH187"/>
      <c r="AI187"/>
    </row>
    <row r="188" spans="1:35" s="450" customFormat="1" x14ac:dyDescent="0.25">
      <c r="A188" s="448">
        <v>2</v>
      </c>
      <c r="B188" s="448"/>
      <c r="C188" s="448">
        <f>IF(E188=E187,C187+1,1)</f>
        <v>29</v>
      </c>
      <c r="D188" s="448">
        <f>IF(M188=M187,D187,C188)</f>
        <v>29</v>
      </c>
      <c r="E188" s="448">
        <f>10+VALUE(RIGHT(LEFT(G188,3),1))</f>
        <v>15</v>
      </c>
      <c r="F188" s="448" t="str">
        <f>RIGHT(G188,2) &amp; IF(A188&lt;2,"x","")</f>
        <v>pm</v>
      </c>
      <c r="G188" s="448" t="s">
        <v>678</v>
      </c>
      <c r="H188" s="448" t="s">
        <v>316</v>
      </c>
      <c r="I188" s="448" t="s">
        <v>679</v>
      </c>
      <c r="J188" s="449" t="s">
        <v>21</v>
      </c>
      <c r="K188" s="450">
        <f>LOOKUP(1E+100,M188:AC188)</f>
        <v>2242.6136983678898</v>
      </c>
      <c r="L188" s="448"/>
      <c r="M188" s="450">
        <v>2200</v>
      </c>
      <c r="T188" s="450">
        <v>2242.6136983678898</v>
      </c>
      <c r="AH188"/>
      <c r="AI188"/>
    </row>
    <row r="189" spans="1:35" s="450" customFormat="1" x14ac:dyDescent="0.25">
      <c r="A189" s="448">
        <v>2</v>
      </c>
      <c r="B189" s="448"/>
      <c r="C189" s="448">
        <f>IF(E189=E188,C188+1,1)</f>
        <v>30</v>
      </c>
      <c r="D189" s="448">
        <f>IF(M189=M188,D188,C189)</f>
        <v>29</v>
      </c>
      <c r="E189" s="448">
        <f>10+VALUE(RIGHT(LEFT(G189,3),1))</f>
        <v>15</v>
      </c>
      <c r="F189" s="448" t="str">
        <f>RIGHT(G189,2) &amp; IF(A189&lt;2,"x","")</f>
        <v>pm</v>
      </c>
      <c r="G189" s="448" t="s">
        <v>676</v>
      </c>
      <c r="H189" s="448" t="s">
        <v>316</v>
      </c>
      <c r="I189" s="448" t="s">
        <v>677</v>
      </c>
      <c r="J189" s="449" t="s">
        <v>21</v>
      </c>
      <c r="K189" s="450">
        <f>LOOKUP(1E+100,M189:AC189)</f>
        <v>2189.6243126686718</v>
      </c>
      <c r="L189" s="448"/>
      <c r="M189" s="450">
        <v>2200</v>
      </c>
      <c r="T189" s="450">
        <v>2189.6243126686718</v>
      </c>
      <c r="AH189"/>
      <c r="AI189"/>
    </row>
    <row r="190" spans="1:35" s="450" customFormat="1" x14ac:dyDescent="0.25">
      <c r="A190" s="448">
        <v>3</v>
      </c>
      <c r="B190" s="448"/>
      <c r="C190" s="448">
        <f>IF(E190=E189,C189+1,1)</f>
        <v>31</v>
      </c>
      <c r="D190" s="448">
        <f>IF(M190=M189,D189,C190)</f>
        <v>31</v>
      </c>
      <c r="E190" s="448">
        <f>10+VALUE(RIGHT(LEFT(G190,3),1))</f>
        <v>15</v>
      </c>
      <c r="F190" s="448" t="str">
        <f>RIGHT(G190,2) &amp; IF(A190&lt;2,"x","")</f>
        <v>pm</v>
      </c>
      <c r="G190" s="448" t="s">
        <v>706</v>
      </c>
      <c r="H190" s="448" t="s">
        <v>330</v>
      </c>
      <c r="I190" s="448" t="s">
        <v>707</v>
      </c>
      <c r="J190" s="449" t="s">
        <v>20</v>
      </c>
      <c r="K190" s="450">
        <f>LOOKUP(1E+100,M190:AC190)</f>
        <v>2179.6252843404914</v>
      </c>
      <c r="L190" s="448"/>
      <c r="M190" s="450">
        <v>2000</v>
      </c>
      <c r="R190" s="450">
        <v>2029.398054141124</v>
      </c>
      <c r="S190" s="450">
        <v>2100.8963883194469</v>
      </c>
      <c r="V190" s="450">
        <v>2179.6252843404914</v>
      </c>
      <c r="AH190"/>
      <c r="AI190"/>
    </row>
    <row r="191" spans="1:35" s="450" customFormat="1" x14ac:dyDescent="0.25">
      <c r="A191" s="448">
        <v>5</v>
      </c>
      <c r="B191" s="448"/>
      <c r="C191" s="448">
        <f>IF(E191=E190,C190+1,1)</f>
        <v>32</v>
      </c>
      <c r="D191" s="448">
        <f>IF(M191=M190,D190,C191)</f>
        <v>32</v>
      </c>
      <c r="E191" s="448">
        <f>10+VALUE(RIGHT(LEFT(G191,3),1))</f>
        <v>15</v>
      </c>
      <c r="F191" s="448" t="str">
        <f>RIGHT(G191,2) &amp; IF(A191&lt;2,"x","")</f>
        <v>pm</v>
      </c>
      <c r="G191" s="448" t="s">
        <v>663</v>
      </c>
      <c r="H191" s="448" t="s">
        <v>338</v>
      </c>
      <c r="I191" s="448" t="s">
        <v>664</v>
      </c>
      <c r="J191" s="449" t="s">
        <v>21</v>
      </c>
      <c r="K191" s="450">
        <f>LOOKUP(1E+100,M191:AC191)</f>
        <v>2175.1561813868898</v>
      </c>
      <c r="L191" s="448"/>
      <c r="M191" s="450">
        <v>2400</v>
      </c>
      <c r="S191" s="450">
        <v>2304.2233246789406</v>
      </c>
      <c r="U191" s="450">
        <v>2215.5305281096694</v>
      </c>
      <c r="W191" s="450">
        <v>2175.1561813868898</v>
      </c>
      <c r="AH191"/>
      <c r="AI191"/>
    </row>
    <row r="192" spans="1:35" s="450" customFormat="1" x14ac:dyDescent="0.25">
      <c r="A192" s="448">
        <v>3</v>
      </c>
      <c r="B192" s="448"/>
      <c r="C192" s="448">
        <f>IF(E192=E191,C191+1,1)</f>
        <v>33</v>
      </c>
      <c r="D192" s="448">
        <f>IF(M192=M191,D191,C192)</f>
        <v>33</v>
      </c>
      <c r="E192" s="448">
        <f>10+VALUE(RIGHT(LEFT(G192,3),1))</f>
        <v>15</v>
      </c>
      <c r="F192" s="448" t="str">
        <f>RIGHT(G192,2) &amp; IF(A192&lt;2,"x","")</f>
        <v>pm</v>
      </c>
      <c r="G192" s="448" t="s">
        <v>708</v>
      </c>
      <c r="H192" s="448" t="s">
        <v>319</v>
      </c>
      <c r="I192" s="448" t="s">
        <v>709</v>
      </c>
      <c r="J192" s="449" t="s">
        <v>20</v>
      </c>
      <c r="K192" s="450">
        <f>LOOKUP(1E+100,M192:AC192)</f>
        <v>2159.2866173179591</v>
      </c>
      <c r="L192" s="448"/>
      <c r="M192" s="450">
        <v>2000</v>
      </c>
      <c r="P192" s="450">
        <v>2084.4158112051268</v>
      </c>
      <c r="R192" s="450">
        <v>2159.2866173179591</v>
      </c>
      <c r="AH192"/>
      <c r="AI192"/>
    </row>
    <row r="193" spans="1:35" s="450" customFormat="1" x14ac:dyDescent="0.25">
      <c r="A193" s="448">
        <v>2</v>
      </c>
      <c r="B193" s="448"/>
      <c r="C193" s="448">
        <f>IF(E193=E192,C192+1,1)</f>
        <v>34</v>
      </c>
      <c r="D193" s="448">
        <f>IF(M193=M192,D192,C193)</f>
        <v>33</v>
      </c>
      <c r="E193" s="448">
        <f>10+VALUE(RIGHT(LEFT(G193,3),1))</f>
        <v>15</v>
      </c>
      <c r="F193" s="448" t="str">
        <f>RIGHT(G193,2) &amp; IF(A193&lt;2,"x","")</f>
        <v>pm</v>
      </c>
      <c r="G193" s="448" t="s">
        <v>704</v>
      </c>
      <c r="H193" s="448" t="s">
        <v>330</v>
      </c>
      <c r="I193" s="448" t="s">
        <v>705</v>
      </c>
      <c r="J193" s="449" t="s">
        <v>20</v>
      </c>
      <c r="K193" s="450">
        <f>LOOKUP(1E+100,M193:AC193)</f>
        <v>2156.7248903018326</v>
      </c>
      <c r="L193" s="448"/>
      <c r="M193" s="450">
        <v>2000</v>
      </c>
      <c r="R193" s="450">
        <v>2102.6797261517463</v>
      </c>
      <c r="S193" s="450">
        <v>2156.7248903018326</v>
      </c>
      <c r="AH193"/>
      <c r="AI193"/>
    </row>
    <row r="194" spans="1:35" s="450" customFormat="1" x14ac:dyDescent="0.25">
      <c r="A194" s="448">
        <v>6</v>
      </c>
      <c r="B194" s="448"/>
      <c r="C194" s="448">
        <f>IF(E194=E193,C193+1,1)</f>
        <v>35</v>
      </c>
      <c r="D194" s="448">
        <f>IF(M194=M193,D193,C194)</f>
        <v>35</v>
      </c>
      <c r="E194" s="448">
        <f>10+VALUE(RIGHT(LEFT(G194,3),1))</f>
        <v>15</v>
      </c>
      <c r="F194" s="448" t="str">
        <f>RIGHT(G194,2) &amp; IF(A194&lt;2,"x","")</f>
        <v>pm</v>
      </c>
      <c r="G194" s="448" t="s">
        <v>670</v>
      </c>
      <c r="H194" s="448" t="s">
        <v>353</v>
      </c>
      <c r="I194" s="448" t="s">
        <v>671</v>
      </c>
      <c r="J194" s="449" t="s">
        <v>21</v>
      </c>
      <c r="K194" s="450">
        <f>LOOKUP(1E+100,M194:AC194)</f>
        <v>2155.1630464559048</v>
      </c>
      <c r="L194" s="448"/>
      <c r="M194" s="450">
        <v>2333.3333333333335</v>
      </c>
      <c r="P194" s="450">
        <v>2254.874844323052</v>
      </c>
      <c r="R194" s="450">
        <v>2271.1608850477701</v>
      </c>
      <c r="S194" s="450">
        <v>2266.0282548789673</v>
      </c>
      <c r="U194" s="450">
        <v>2194.8825329107262</v>
      </c>
      <c r="W194" s="450">
        <v>2155.1630464559048</v>
      </c>
      <c r="AH194"/>
      <c r="AI194"/>
    </row>
    <row r="195" spans="1:35" s="450" customFormat="1" x14ac:dyDescent="0.25">
      <c r="A195" s="448">
        <v>4</v>
      </c>
      <c r="B195" s="448"/>
      <c r="C195" s="448">
        <f>IF(E195=E194,C194+1,1)</f>
        <v>36</v>
      </c>
      <c r="D195" s="448">
        <f>IF(M195=M194,D194,C195)</f>
        <v>36</v>
      </c>
      <c r="E195" s="448">
        <f>10+VALUE(RIGHT(LEFT(G195,3),1))</f>
        <v>15</v>
      </c>
      <c r="F195" s="448" t="str">
        <f>RIGHT(G195,2) &amp; IF(A195&lt;2,"x","")</f>
        <v>pm</v>
      </c>
      <c r="G195" s="448" t="s">
        <v>699</v>
      </c>
      <c r="H195" s="448" t="s">
        <v>700</v>
      </c>
      <c r="I195" s="448" t="s">
        <v>701</v>
      </c>
      <c r="J195" s="449" t="s">
        <v>20</v>
      </c>
      <c r="K195" s="450">
        <f>LOOKUP(1E+100,M195:AC195)</f>
        <v>2102.5489256142664</v>
      </c>
      <c r="L195" s="448"/>
      <c r="M195" s="450">
        <v>2000</v>
      </c>
      <c r="R195" s="450">
        <v>2000.3203057553364</v>
      </c>
      <c r="T195" s="450">
        <v>2102.5489256142664</v>
      </c>
      <c r="AH195"/>
      <c r="AI195"/>
    </row>
    <row r="196" spans="1:35" s="450" customFormat="1" x14ac:dyDescent="0.25">
      <c r="A196" s="448">
        <v>3</v>
      </c>
      <c r="B196" s="448"/>
      <c r="C196" s="448">
        <f>IF(E196=E195,C195+1,1)</f>
        <v>37</v>
      </c>
      <c r="D196" s="448">
        <f>IF(M196=M195,D195,C196)</f>
        <v>36</v>
      </c>
      <c r="E196" s="448">
        <f>10+VALUE(RIGHT(LEFT(G196,3),1))</f>
        <v>15</v>
      </c>
      <c r="F196" s="448" t="str">
        <f>RIGHT(G196,2) &amp; IF(A196&lt;2,"x","")</f>
        <v>pm</v>
      </c>
      <c r="G196" s="448" t="s">
        <v>694</v>
      </c>
      <c r="H196" s="448" t="s">
        <v>365</v>
      </c>
      <c r="I196" s="448" t="s">
        <v>695</v>
      </c>
      <c r="J196" s="449" t="s">
        <v>20</v>
      </c>
      <c r="K196" s="450">
        <f>LOOKUP(1E+100,M196:AC196)</f>
        <v>2085.6500846779581</v>
      </c>
      <c r="L196" s="448"/>
      <c r="M196" s="450">
        <v>2000</v>
      </c>
      <c r="P196" s="450">
        <v>2091.2559564984886</v>
      </c>
      <c r="V196" s="450">
        <v>2085.6500846779581</v>
      </c>
      <c r="AH196"/>
      <c r="AI196"/>
    </row>
    <row r="197" spans="1:35" s="450" customFormat="1" x14ac:dyDescent="0.25">
      <c r="A197" s="448">
        <v>3</v>
      </c>
      <c r="B197" s="448"/>
      <c r="C197" s="448">
        <f>IF(E197=E196,C196+1,1)</f>
        <v>38</v>
      </c>
      <c r="D197" s="448">
        <f>IF(M197=M196,D196,C197)</f>
        <v>36</v>
      </c>
      <c r="E197" s="448">
        <f>10+VALUE(RIGHT(LEFT(G197,3),1))</f>
        <v>15</v>
      </c>
      <c r="F197" s="448" t="str">
        <f>RIGHT(G197,2) &amp; IF(A197&lt;2,"x","")</f>
        <v>pm</v>
      </c>
      <c r="G197" s="448" t="s">
        <v>721</v>
      </c>
      <c r="H197" s="448" t="s">
        <v>335</v>
      </c>
      <c r="I197" s="448" t="s">
        <v>722</v>
      </c>
      <c r="J197" s="449" t="s">
        <v>20</v>
      </c>
      <c r="K197" s="450">
        <f>LOOKUP(1E+100,M197:AC197)</f>
        <v>2035.8705974944417</v>
      </c>
      <c r="L197" s="448"/>
      <c r="M197" s="450">
        <v>2000</v>
      </c>
      <c r="V197" s="450">
        <v>2035.8705974944417</v>
      </c>
      <c r="AH197"/>
      <c r="AI197"/>
    </row>
    <row r="198" spans="1:35" s="450" customFormat="1" x14ac:dyDescent="0.25">
      <c r="A198" s="448">
        <v>6</v>
      </c>
      <c r="B198" s="448"/>
      <c r="C198" s="448">
        <f>IF(E198=E197,C197+1,1)</f>
        <v>39</v>
      </c>
      <c r="D198" s="448">
        <f>IF(M198=M197,D197,C198)</f>
        <v>36</v>
      </c>
      <c r="E198" s="448">
        <f>10+VALUE(RIGHT(LEFT(G198,3),1))</f>
        <v>15</v>
      </c>
      <c r="F198" s="448" t="str">
        <f>RIGHT(G198,2) &amp; IF(A198&lt;2,"x","")</f>
        <v>pm</v>
      </c>
      <c r="G198" s="448" t="s">
        <v>702</v>
      </c>
      <c r="H198" s="448" t="s">
        <v>309</v>
      </c>
      <c r="I198" s="448" t="s">
        <v>703</v>
      </c>
      <c r="J198" s="449" t="s">
        <v>20</v>
      </c>
      <c r="K198" s="450">
        <f>LOOKUP(1E+100,M198:AC198)</f>
        <v>2010.7641444062388</v>
      </c>
      <c r="L198" s="448"/>
      <c r="M198" s="450">
        <v>2000</v>
      </c>
      <c r="P198" s="450">
        <v>1958.3689992097629</v>
      </c>
      <c r="R198" s="450">
        <v>1965.4518951526236</v>
      </c>
      <c r="T198" s="450">
        <v>1924.5920646598336</v>
      </c>
      <c r="V198" s="450">
        <v>2010.7641444062388</v>
      </c>
      <c r="AH198"/>
      <c r="AI198"/>
    </row>
    <row r="199" spans="1:35" s="450" customFormat="1" x14ac:dyDescent="0.25">
      <c r="A199" s="448">
        <v>3</v>
      </c>
      <c r="B199" s="448"/>
      <c r="C199" s="448">
        <f>IF(E199=E198,C198+1,1)</f>
        <v>40</v>
      </c>
      <c r="D199" s="448">
        <f>IF(M199=M198,D198,C199)</f>
        <v>36</v>
      </c>
      <c r="E199" s="448">
        <f>10+VALUE(RIGHT(LEFT(G199,3),1))</f>
        <v>15</v>
      </c>
      <c r="F199" s="448" t="str">
        <f>RIGHT(G199,2) &amp; IF(A199&lt;2,"x","")</f>
        <v>pm</v>
      </c>
      <c r="G199" s="448" t="s">
        <v>690</v>
      </c>
      <c r="H199" s="448" t="s">
        <v>296</v>
      </c>
      <c r="I199" s="448" t="s">
        <v>691</v>
      </c>
      <c r="J199" s="449" t="s">
        <v>20</v>
      </c>
      <c r="K199" s="450">
        <f>LOOKUP(1E+100,M199:AC199)</f>
        <v>1999.324379837778</v>
      </c>
      <c r="L199" s="448"/>
      <c r="M199" s="450">
        <v>2000</v>
      </c>
      <c r="P199" s="450">
        <v>1999.324379837778</v>
      </c>
      <c r="AH199"/>
      <c r="AI199"/>
    </row>
    <row r="200" spans="1:35" s="450" customFormat="1" x14ac:dyDescent="0.25">
      <c r="A200" s="448">
        <v>3</v>
      </c>
      <c r="B200" s="448"/>
      <c r="C200" s="448">
        <f>IF(E200=E199,C199+1,1)</f>
        <v>41</v>
      </c>
      <c r="D200" s="448">
        <f>IF(M200=M199,D199,C200)</f>
        <v>36</v>
      </c>
      <c r="E200" s="448">
        <f>10+VALUE(RIGHT(LEFT(G200,3),1))</f>
        <v>15</v>
      </c>
      <c r="F200" s="448" t="str">
        <f>RIGHT(G200,2) &amp; IF(A200&lt;2,"x","")</f>
        <v>pm</v>
      </c>
      <c r="G200" s="448" t="s">
        <v>719</v>
      </c>
      <c r="H200" s="448" t="s">
        <v>668</v>
      </c>
      <c r="I200" s="448" t="s">
        <v>720</v>
      </c>
      <c r="J200" s="449" t="s">
        <v>20</v>
      </c>
      <c r="K200" s="450">
        <f>LOOKUP(1E+100,M200:AC200)</f>
        <v>1996.7557391443099</v>
      </c>
      <c r="L200" s="448"/>
      <c r="M200" s="450">
        <v>2000</v>
      </c>
      <c r="P200" s="450">
        <v>2014.4481187300305</v>
      </c>
      <c r="T200" s="450">
        <v>1996.7557391443099</v>
      </c>
      <c r="AH200"/>
      <c r="AI200"/>
    </row>
    <row r="201" spans="1:35" s="450" customFormat="1" x14ac:dyDescent="0.25">
      <c r="A201" s="448">
        <v>5</v>
      </c>
      <c r="B201" s="448"/>
      <c r="C201" s="448">
        <f>IF(E201=E200,C200+1,1)</f>
        <v>42</v>
      </c>
      <c r="D201" s="448">
        <f>IF(M201=M200,D200,C201)</f>
        <v>36</v>
      </c>
      <c r="E201" s="448">
        <f>10+VALUE(RIGHT(LEFT(G201,3),1))</f>
        <v>15</v>
      </c>
      <c r="F201" s="448" t="str">
        <f>RIGHT(G201,2) &amp; IF(A201&lt;2,"x","")</f>
        <v>pm</v>
      </c>
      <c r="G201" s="448" t="s">
        <v>710</v>
      </c>
      <c r="H201" s="448" t="s">
        <v>711</v>
      </c>
      <c r="I201" s="448" t="s">
        <v>712</v>
      </c>
      <c r="J201" s="449" t="s">
        <v>20</v>
      </c>
      <c r="K201" s="450">
        <f>LOOKUP(1E+100,M201:AC201)</f>
        <v>1992.322558141371</v>
      </c>
      <c r="L201" s="448"/>
      <c r="M201" s="450">
        <v>2000</v>
      </c>
      <c r="P201" s="450">
        <v>1949.6387452744243</v>
      </c>
      <c r="R201" s="450">
        <v>2028.7969395901496</v>
      </c>
      <c r="V201" s="450">
        <v>1992.322558141371</v>
      </c>
      <c r="AH201"/>
      <c r="AI201"/>
    </row>
    <row r="202" spans="1:35" s="450" customFormat="1" x14ac:dyDescent="0.25">
      <c r="A202" s="448">
        <v>5</v>
      </c>
      <c r="B202" s="448"/>
      <c r="C202" s="448">
        <f>IF(E202=E201,C201+1,1)</f>
        <v>43</v>
      </c>
      <c r="D202" s="448">
        <f>IF(M202=M201,D201,C202)</f>
        <v>36</v>
      </c>
      <c r="E202" s="448">
        <f>10+VALUE(RIGHT(LEFT(G202,3),1))</f>
        <v>15</v>
      </c>
      <c r="F202" s="448" t="str">
        <f>RIGHT(G202,2) &amp; IF(A202&lt;2,"x","")</f>
        <v>pm</v>
      </c>
      <c r="G202" s="448" t="s">
        <v>717</v>
      </c>
      <c r="H202" s="448" t="s">
        <v>504</v>
      </c>
      <c r="I202" s="448" t="s">
        <v>718</v>
      </c>
      <c r="J202" s="449" t="s">
        <v>20</v>
      </c>
      <c r="K202" s="450">
        <f>LOOKUP(1E+100,M202:AC202)</f>
        <v>1958.5320992058159</v>
      </c>
      <c r="L202" s="448"/>
      <c r="M202" s="450">
        <v>2000</v>
      </c>
      <c r="R202" s="450">
        <v>1930.6477056485521</v>
      </c>
      <c r="T202" s="450">
        <v>2019.7195191341993</v>
      </c>
      <c r="V202" s="450">
        <v>1958.5320992058159</v>
      </c>
      <c r="AH202"/>
      <c r="AI202"/>
    </row>
    <row r="203" spans="1:35" s="450" customFormat="1" x14ac:dyDescent="0.25">
      <c r="A203" s="448">
        <v>6</v>
      </c>
      <c r="B203" s="448"/>
      <c r="C203" s="448">
        <f>IF(E203=E202,C202+1,1)</f>
        <v>44</v>
      </c>
      <c r="D203" s="448">
        <f>IF(M203=M202,D202,C203)</f>
        <v>36</v>
      </c>
      <c r="E203" s="448">
        <f>10+VALUE(RIGHT(LEFT(G203,3),1))</f>
        <v>15</v>
      </c>
      <c r="F203" s="448" t="str">
        <f>RIGHT(G203,2) &amp; IF(A203&lt;2,"x","")</f>
        <v>pm</v>
      </c>
      <c r="G203" s="448" t="s">
        <v>692</v>
      </c>
      <c r="H203" s="448" t="s">
        <v>358</v>
      </c>
      <c r="I203" s="448" t="s">
        <v>693</v>
      </c>
      <c r="J203" s="449" t="s">
        <v>20</v>
      </c>
      <c r="K203" s="450">
        <f>LOOKUP(1E+100,M203:AC203)</f>
        <v>1912.685625058396</v>
      </c>
      <c r="L203" s="448"/>
      <c r="M203" s="450">
        <v>2000</v>
      </c>
      <c r="R203" s="450">
        <v>1923.1880111835867</v>
      </c>
      <c r="T203" s="450">
        <v>1943.949964380706</v>
      </c>
      <c r="V203" s="450">
        <v>1912.685625058396</v>
      </c>
      <c r="AH203"/>
      <c r="AI203"/>
    </row>
    <row r="204" spans="1:35" s="450" customFormat="1" x14ac:dyDescent="0.25">
      <c r="A204" s="448">
        <v>6</v>
      </c>
      <c r="B204" s="448"/>
      <c r="C204" s="448">
        <f>IF(E204=E203,C203+1,1)</f>
        <v>45</v>
      </c>
      <c r="D204" s="448">
        <f>IF(M204=M203,D203,C204)</f>
        <v>36</v>
      </c>
      <c r="E204" s="448">
        <f>10+VALUE(RIGHT(LEFT(G204,3),1))</f>
        <v>15</v>
      </c>
      <c r="F204" s="448" t="str">
        <f>RIGHT(G204,2) &amp; IF(A204&lt;2,"x","")</f>
        <v>pm</v>
      </c>
      <c r="G204" s="448" t="s">
        <v>687</v>
      </c>
      <c r="H204" s="448" t="s">
        <v>688</v>
      </c>
      <c r="I204" s="448" t="s">
        <v>689</v>
      </c>
      <c r="J204" s="449" t="s">
        <v>20</v>
      </c>
      <c r="K204" s="450">
        <f>LOOKUP(1E+100,M204:AC204)</f>
        <v>1907.6867929069385</v>
      </c>
      <c r="L204" s="448"/>
      <c r="M204" s="450">
        <v>2000</v>
      </c>
      <c r="O204" s="451"/>
      <c r="P204" s="451">
        <v>1934.8260348820634</v>
      </c>
      <c r="Q204" s="451"/>
      <c r="R204" s="451">
        <v>1957.3259502278074</v>
      </c>
      <c r="S204" s="451"/>
      <c r="T204" s="451">
        <v>1968.7059582012987</v>
      </c>
      <c r="U204" s="451"/>
      <c r="V204" s="451">
        <v>1907.6867929069385</v>
      </c>
      <c r="W204" s="451"/>
      <c r="X204" s="451"/>
      <c r="Y204" s="451"/>
      <c r="Z204" s="451"/>
      <c r="AA204" s="451"/>
      <c r="AB204" s="451"/>
      <c r="AC204" s="451"/>
      <c r="AD204" s="451"/>
      <c r="AE204" s="451"/>
      <c r="AF204" s="451"/>
      <c r="AG204" s="451"/>
      <c r="AH204"/>
      <c r="AI204"/>
    </row>
    <row r="205" spans="1:35" s="450" customFormat="1" x14ac:dyDescent="0.25">
      <c r="A205" s="448">
        <v>6</v>
      </c>
      <c r="B205" s="448"/>
      <c r="C205" s="448">
        <f>IF(E205=E204,C204+1,1)</f>
        <v>46</v>
      </c>
      <c r="D205" s="448">
        <f>IF(M205=M204,D204,C205)</f>
        <v>36</v>
      </c>
      <c r="E205" s="448">
        <f>10+VALUE(RIGHT(LEFT(G205,3),1))</f>
        <v>15</v>
      </c>
      <c r="F205" s="448" t="str">
        <f>RIGHT(G205,2) &amp; IF(A205&lt;2,"x","")</f>
        <v>pm</v>
      </c>
      <c r="G205" s="448" t="s">
        <v>713</v>
      </c>
      <c r="H205" s="448" t="s">
        <v>338</v>
      </c>
      <c r="I205" s="448" t="s">
        <v>714</v>
      </c>
      <c r="J205" s="449" t="s">
        <v>20</v>
      </c>
      <c r="K205" s="450">
        <f>LOOKUP(1E+100,M205:AC205)</f>
        <v>1861.0288344086302</v>
      </c>
      <c r="L205" s="448"/>
      <c r="M205" s="450">
        <v>2000</v>
      </c>
      <c r="R205" s="450">
        <v>1918.5906334054932</v>
      </c>
      <c r="T205" s="450">
        <v>1876.833717072167</v>
      </c>
      <c r="V205" s="450">
        <v>1861.0288344086302</v>
      </c>
      <c r="AH205"/>
      <c r="AI205"/>
    </row>
    <row r="206" spans="1:35" s="450" customFormat="1" x14ac:dyDescent="0.25">
      <c r="A206" s="448">
        <v>6</v>
      </c>
      <c r="B206" s="448"/>
      <c r="C206" s="448">
        <f>IF(E206=E205,C205+1,1)</f>
        <v>47</v>
      </c>
      <c r="D206" s="448">
        <f>IF(M206=M205,D205,C206)</f>
        <v>36</v>
      </c>
      <c r="E206" s="448">
        <f>10+VALUE(RIGHT(LEFT(G206,3),1))</f>
        <v>15</v>
      </c>
      <c r="F206" s="448" t="str">
        <f>RIGHT(G206,2) &amp; IF(A206&lt;2,"x","")</f>
        <v>pm</v>
      </c>
      <c r="G206" s="448" t="s">
        <v>715</v>
      </c>
      <c r="H206" s="448" t="s">
        <v>338</v>
      </c>
      <c r="I206" s="448" t="s">
        <v>716</v>
      </c>
      <c r="J206" s="449" t="s">
        <v>20</v>
      </c>
      <c r="K206" s="450">
        <f>LOOKUP(1E+100,M206:AC206)</f>
        <v>1832.2961388061581</v>
      </c>
      <c r="L206" s="448"/>
      <c r="M206" s="450">
        <v>2000</v>
      </c>
      <c r="R206" s="450">
        <v>1909.4303022328752</v>
      </c>
      <c r="T206" s="450">
        <v>1849.9734355569628</v>
      </c>
      <c r="V206" s="450">
        <v>1832.2961388061581</v>
      </c>
      <c r="AH206"/>
      <c r="AI206"/>
    </row>
    <row r="207" spans="1:35" s="450" customFormat="1" x14ac:dyDescent="0.25">
      <c r="A207" s="448">
        <v>7</v>
      </c>
      <c r="B207" s="448"/>
      <c r="C207" s="448">
        <f>IF(E207=E206,C206+1,1)</f>
        <v>48</v>
      </c>
      <c r="D207" s="448">
        <f>IF(M207=M206,D206,C207)</f>
        <v>36</v>
      </c>
      <c r="E207" s="448">
        <f>10+VALUE(RIGHT(LEFT(G207,3),1))</f>
        <v>15</v>
      </c>
      <c r="F207" s="448" t="str">
        <f>RIGHT(G207,2) &amp; IF(A207&lt;2,"x","")</f>
        <v>pm</v>
      </c>
      <c r="G207" s="448" t="s">
        <v>696</v>
      </c>
      <c r="H207" s="448" t="s">
        <v>697</v>
      </c>
      <c r="I207" s="448" t="s">
        <v>698</v>
      </c>
      <c r="J207" s="449" t="s">
        <v>20</v>
      </c>
      <c r="K207" s="450">
        <f>LOOKUP(1E+100,M207:AC207)</f>
        <v>1756.71457334665</v>
      </c>
      <c r="L207" s="448"/>
      <c r="M207" s="450">
        <v>2000</v>
      </c>
      <c r="P207" s="450">
        <v>1902.9009970891748</v>
      </c>
      <c r="R207" s="450">
        <v>1825.171036313171</v>
      </c>
      <c r="T207" s="450">
        <v>1772.824914836184</v>
      </c>
      <c r="V207" s="450">
        <v>1756.71457334665</v>
      </c>
      <c r="AH207"/>
      <c r="AI207"/>
    </row>
    <row r="208" spans="1:35" s="450" customFormat="1" x14ac:dyDescent="0.25">
      <c r="A208" s="448">
        <v>4</v>
      </c>
      <c r="B208" s="448"/>
      <c r="C208" s="448">
        <f>IF(E208=E207,C207+1,1)</f>
        <v>1</v>
      </c>
      <c r="D208" s="448">
        <f>IF(M208=M207,D207,C208)</f>
        <v>1</v>
      </c>
      <c r="E208" s="448">
        <f>10+VALUE(RIGHT(LEFT(G208,3),1))</f>
        <v>16</v>
      </c>
      <c r="F208" s="448" t="str">
        <f>RIGHT(G208,2) &amp; IF(A208&lt;2,"x","")</f>
        <v>pm</v>
      </c>
      <c r="G208" s="448" t="s">
        <v>752</v>
      </c>
      <c r="H208" s="448" t="s">
        <v>319</v>
      </c>
      <c r="I208" s="448" t="s">
        <v>753</v>
      </c>
      <c r="J208" s="449" t="s">
        <v>21</v>
      </c>
      <c r="K208" s="450">
        <f>LOOKUP(1E+100,M208:AC208)</f>
        <v>2812.5778657724013</v>
      </c>
      <c r="L208" s="448"/>
      <c r="M208" s="450">
        <v>2550</v>
      </c>
      <c r="O208" s="450">
        <v>2651.1345929277209</v>
      </c>
      <c r="S208" s="450">
        <v>2783.6188433078114</v>
      </c>
      <c r="U208" s="450">
        <v>2812.5778657724013</v>
      </c>
      <c r="AH208"/>
      <c r="AI208"/>
    </row>
    <row r="209" spans="1:35" s="450" customFormat="1" x14ac:dyDescent="0.25">
      <c r="A209" s="448">
        <v>3</v>
      </c>
      <c r="B209" s="448"/>
      <c r="C209" s="448">
        <f>IF(E209=E208,C208+1,1)</f>
        <v>2</v>
      </c>
      <c r="D209" s="448">
        <f>IF(M209=M208,D208,C209)</f>
        <v>2</v>
      </c>
      <c r="E209" s="448">
        <f>10+VALUE(RIGHT(LEFT(G209,3),1))</f>
        <v>16</v>
      </c>
      <c r="F209" s="448" t="str">
        <f>RIGHT(G209,2) &amp; IF(A209&lt;2,"x","")</f>
        <v>pm</v>
      </c>
      <c r="G209" s="448" t="s">
        <v>729</v>
      </c>
      <c r="H209" s="448" t="s">
        <v>296</v>
      </c>
      <c r="I209" s="448" t="s">
        <v>730</v>
      </c>
      <c r="J209" s="449" t="s">
        <v>21</v>
      </c>
      <c r="K209" s="450">
        <f>LOOKUP(1E+100,M209:AC209)</f>
        <v>2737.8174694588593</v>
      </c>
      <c r="L209" s="448"/>
      <c r="M209" s="450">
        <v>2600</v>
      </c>
      <c r="P209" s="450">
        <v>2742.7064901130243</v>
      </c>
      <c r="S209" s="450">
        <v>2737.8174694588593</v>
      </c>
      <c r="AH209"/>
      <c r="AI209"/>
    </row>
    <row r="210" spans="1:35" s="450" customFormat="1" x14ac:dyDescent="0.25">
      <c r="A210" s="448">
        <v>3</v>
      </c>
      <c r="B210" s="448"/>
      <c r="C210" s="448">
        <f>IF(E210=E209,C209+1,1)</f>
        <v>3</v>
      </c>
      <c r="D210" s="448">
        <f>IF(M210=M209,D209,C210)</f>
        <v>2</v>
      </c>
      <c r="E210" s="448">
        <f>10+VALUE(RIGHT(LEFT(G210,3),1))</f>
        <v>16</v>
      </c>
      <c r="F210" s="448" t="str">
        <f>RIGHT(G210,2) &amp; IF(A210&lt;2,"x","")</f>
        <v>pm</v>
      </c>
      <c r="G210" s="448" t="s">
        <v>731</v>
      </c>
      <c r="H210" s="448" t="s">
        <v>296</v>
      </c>
      <c r="I210" s="448" t="s">
        <v>732</v>
      </c>
      <c r="J210" s="449" t="s">
        <v>21</v>
      </c>
      <c r="K210" s="450">
        <f>LOOKUP(1E+100,M210:AC210)</f>
        <v>2731.5589041023313</v>
      </c>
      <c r="L210" s="448"/>
      <c r="M210" s="450">
        <v>2600</v>
      </c>
      <c r="P210" s="450">
        <v>2667.1608520539512</v>
      </c>
      <c r="U210" s="450">
        <v>2731.5589041023313</v>
      </c>
      <c r="AH210"/>
      <c r="AI210"/>
    </row>
    <row r="211" spans="1:35" s="450" customFormat="1" x14ac:dyDescent="0.25">
      <c r="A211" s="448">
        <v>5</v>
      </c>
      <c r="B211" s="448"/>
      <c r="C211" s="448">
        <f>IF(E211=E210,C210+1,1)</f>
        <v>4</v>
      </c>
      <c r="D211" s="448">
        <f>IF(M211=M210,D210,C211)</f>
        <v>2</v>
      </c>
      <c r="E211" s="448">
        <f>10+VALUE(RIGHT(LEFT(G211,3),1))</f>
        <v>16</v>
      </c>
      <c r="F211" s="448" t="str">
        <f>RIGHT(G211,2) &amp; IF(A211&lt;2,"x","")</f>
        <v>pm</v>
      </c>
      <c r="G211" s="448" t="s">
        <v>739</v>
      </c>
      <c r="H211" s="448" t="s">
        <v>374</v>
      </c>
      <c r="I211" s="448" t="s">
        <v>740</v>
      </c>
      <c r="J211" s="449" t="s">
        <v>21</v>
      </c>
      <c r="K211" s="450">
        <f>LOOKUP(1E+100,M211:AC211)</f>
        <v>2692.8251812873254</v>
      </c>
      <c r="L211" s="448"/>
      <c r="M211" s="450">
        <v>2600</v>
      </c>
      <c r="P211" s="450">
        <v>2628.2574952617479</v>
      </c>
      <c r="W211" s="450">
        <v>2692.8251812873254</v>
      </c>
      <c r="AH211"/>
      <c r="AI211"/>
    </row>
    <row r="212" spans="1:35" s="450" customFormat="1" x14ac:dyDescent="0.25">
      <c r="A212" s="448">
        <v>2</v>
      </c>
      <c r="B212" s="448"/>
      <c r="C212" s="448">
        <f>IF(E212=E211,C211+1,1)</f>
        <v>5</v>
      </c>
      <c r="D212" s="448">
        <f>IF(M212=M211,D211,C212)</f>
        <v>2</v>
      </c>
      <c r="E212" s="448">
        <f>10+VALUE(RIGHT(LEFT(G212,3),1))</f>
        <v>16</v>
      </c>
      <c r="F212" s="448" t="str">
        <f>RIGHT(G212,2) &amp; IF(A212&lt;2,"x","")</f>
        <v>pm</v>
      </c>
      <c r="G212" s="448" t="s">
        <v>744</v>
      </c>
      <c r="H212" s="448" t="s">
        <v>330</v>
      </c>
      <c r="I212" s="448" t="s">
        <v>745</v>
      </c>
      <c r="J212" s="449" t="s">
        <v>21</v>
      </c>
      <c r="K212" s="450">
        <f>LOOKUP(1E+100,M212:AC212)</f>
        <v>2674.7105106094182</v>
      </c>
      <c r="L212" s="448"/>
      <c r="M212" s="450">
        <v>2600</v>
      </c>
      <c r="S212" s="450">
        <v>2642.4197784613143</v>
      </c>
      <c r="W212" s="450">
        <v>2674.7105106094182</v>
      </c>
      <c r="AH212"/>
      <c r="AI212"/>
    </row>
    <row r="213" spans="1:35" s="450" customFormat="1" x14ac:dyDescent="0.25">
      <c r="A213" s="448">
        <v>2</v>
      </c>
      <c r="B213" s="448"/>
      <c r="C213" s="448">
        <f>IF(E213=E212,C212+1,1)</f>
        <v>6</v>
      </c>
      <c r="D213" s="448">
        <f>IF(M213=M212,D212,C213)</f>
        <v>2</v>
      </c>
      <c r="E213" s="448">
        <f>10+VALUE(RIGHT(LEFT(G213,3),1))</f>
        <v>16</v>
      </c>
      <c r="F213" s="448" t="str">
        <f>RIGHT(G213,2) &amp; IF(A213&lt;2,"x","")</f>
        <v>pm</v>
      </c>
      <c r="G213" s="448" t="s">
        <v>750</v>
      </c>
      <c r="H213" s="448" t="s">
        <v>316</v>
      </c>
      <c r="I213" s="448" t="s">
        <v>751</v>
      </c>
      <c r="J213" s="449" t="s">
        <v>21</v>
      </c>
      <c r="K213" s="450">
        <f>LOOKUP(1E+100,M213:AC213)</f>
        <v>2668.4093745251066</v>
      </c>
      <c r="L213" s="448"/>
      <c r="M213" s="450">
        <v>2600</v>
      </c>
      <c r="S213" s="450">
        <v>2668.4093745251066</v>
      </c>
      <c r="AH213"/>
      <c r="AI213"/>
    </row>
    <row r="214" spans="1:35" s="450" customFormat="1" x14ac:dyDescent="0.25">
      <c r="A214" s="448">
        <v>3</v>
      </c>
      <c r="B214" s="448"/>
      <c r="C214" s="448">
        <f>IF(E214=E213,C213+1,1)</f>
        <v>7</v>
      </c>
      <c r="D214" s="448">
        <f>IF(M214=M213,D213,C214)</f>
        <v>2</v>
      </c>
      <c r="E214" s="448">
        <f>10+VALUE(RIGHT(LEFT(G214,3),1))</f>
        <v>16</v>
      </c>
      <c r="F214" s="448" t="str">
        <f>RIGHT(G214,2) &amp; IF(A214&lt;2,"x","")</f>
        <v>pm</v>
      </c>
      <c r="G214" s="448" t="s">
        <v>239</v>
      </c>
      <c r="H214" s="448" t="s">
        <v>330</v>
      </c>
      <c r="I214" s="448" t="s">
        <v>238</v>
      </c>
      <c r="J214" s="449" t="s">
        <v>21</v>
      </c>
      <c r="K214" s="450">
        <f>LOOKUP(1E+100,M214:AC214)</f>
        <v>2667.1933549809742</v>
      </c>
      <c r="L214" s="448"/>
      <c r="M214" s="450">
        <v>2600</v>
      </c>
      <c r="S214" s="450">
        <v>2624.1968354614924</v>
      </c>
      <c r="V214" s="450">
        <v>2646.8788938853718</v>
      </c>
      <c r="W214" s="450">
        <v>2667.1933549809742</v>
      </c>
      <c r="AH214"/>
      <c r="AI214"/>
    </row>
    <row r="215" spans="1:35" s="450" customFormat="1" x14ac:dyDescent="0.25">
      <c r="A215" s="448">
        <v>5</v>
      </c>
      <c r="B215" s="448"/>
      <c r="C215" s="448">
        <f>IF(E215=E214,C214+1,1)</f>
        <v>8</v>
      </c>
      <c r="D215" s="448">
        <f>IF(M215=M214,D214,C215)</f>
        <v>2</v>
      </c>
      <c r="E215" s="448">
        <f>10+VALUE(RIGHT(LEFT(G215,3),1))</f>
        <v>16</v>
      </c>
      <c r="F215" s="448" t="str">
        <f>RIGHT(G215,2) &amp; IF(A215&lt;2,"x","")</f>
        <v>pm</v>
      </c>
      <c r="G215" s="448" t="s">
        <v>251</v>
      </c>
      <c r="H215" s="448" t="s">
        <v>338</v>
      </c>
      <c r="I215" s="448" t="s">
        <v>250</v>
      </c>
      <c r="J215" s="449" t="s">
        <v>21</v>
      </c>
      <c r="K215" s="450">
        <f>LOOKUP(1E+100,M215:AC215)</f>
        <v>2645.4048474791375</v>
      </c>
      <c r="L215" s="448"/>
      <c r="M215" s="450">
        <v>2600</v>
      </c>
      <c r="S215" s="450">
        <v>2525.6392172060614</v>
      </c>
      <c r="U215" s="450">
        <v>2554.3553976514154</v>
      </c>
      <c r="W215" s="450">
        <v>2645.4048474791375</v>
      </c>
      <c r="AH215"/>
      <c r="AI215"/>
    </row>
    <row r="216" spans="1:35" s="450" customFormat="1" x14ac:dyDescent="0.25">
      <c r="A216" s="448">
        <v>2</v>
      </c>
      <c r="B216" s="448"/>
      <c r="C216" s="448">
        <f>IF(E216=E215,C215+1,1)</f>
        <v>9</v>
      </c>
      <c r="D216" s="448">
        <f>IF(M216=M215,D215,C216)</f>
        <v>2</v>
      </c>
      <c r="E216" s="448">
        <f>10+VALUE(RIGHT(LEFT(G216,3),1))</f>
        <v>16</v>
      </c>
      <c r="F216" s="448" t="str">
        <f>RIGHT(G216,2) &amp; IF(A216&lt;2,"x","")</f>
        <v>pm</v>
      </c>
      <c r="G216" s="448" t="s">
        <v>723</v>
      </c>
      <c r="H216" s="448" t="s">
        <v>437</v>
      </c>
      <c r="I216" s="448" t="s">
        <v>724</v>
      </c>
      <c r="J216" s="449" t="s">
        <v>21</v>
      </c>
      <c r="K216" s="450">
        <f>LOOKUP(1E+100,M216:AC216)</f>
        <v>2631.6664736634525</v>
      </c>
      <c r="L216" s="448"/>
      <c r="M216" s="450">
        <v>2600</v>
      </c>
      <c r="P216" s="450">
        <v>2588.4978348912359</v>
      </c>
      <c r="S216" s="450">
        <v>2631.6664736634525</v>
      </c>
      <c r="AH216"/>
      <c r="AI216"/>
    </row>
    <row r="217" spans="1:35" s="450" customFormat="1" x14ac:dyDescent="0.25">
      <c r="A217" s="448">
        <v>4</v>
      </c>
      <c r="B217" s="448"/>
      <c r="C217" s="448">
        <f>IF(E217=E216,C216+1,1)</f>
        <v>10</v>
      </c>
      <c r="D217" s="448">
        <f>IF(M217=M216,D216,C217)</f>
        <v>2</v>
      </c>
      <c r="E217" s="448">
        <f>10+VALUE(RIGHT(LEFT(G217,3),1))</f>
        <v>16</v>
      </c>
      <c r="F217" s="448" t="str">
        <f>RIGHT(G217,2) &amp; IF(A217&lt;2,"x","")</f>
        <v>pm</v>
      </c>
      <c r="G217" s="448" t="s">
        <v>241</v>
      </c>
      <c r="H217" s="448" t="s">
        <v>374</v>
      </c>
      <c r="I217" s="448" t="s">
        <v>240</v>
      </c>
      <c r="J217" s="449" t="s">
        <v>21</v>
      </c>
      <c r="K217" s="450">
        <f>LOOKUP(1E+100,M217:AC217)</f>
        <v>2628.6237730741791</v>
      </c>
      <c r="L217" s="448"/>
      <c r="M217" s="450">
        <v>2600</v>
      </c>
      <c r="U217" s="450">
        <v>2624.0258612014063</v>
      </c>
      <c r="W217" s="450">
        <v>2628.6237730741791</v>
      </c>
      <c r="AH217"/>
      <c r="AI217"/>
    </row>
    <row r="218" spans="1:35" s="450" customFormat="1" x14ac:dyDescent="0.25">
      <c r="A218" s="448">
        <v>5</v>
      </c>
      <c r="B218" s="448"/>
      <c r="C218" s="448">
        <f>IF(E218=E217,C217+1,1)</f>
        <v>11</v>
      </c>
      <c r="D218" s="448">
        <f>IF(M218=M217,D217,C218)</f>
        <v>2</v>
      </c>
      <c r="E218" s="448">
        <f>10+VALUE(RIGHT(LEFT(G218,3),1))</f>
        <v>16</v>
      </c>
      <c r="F218" s="448" t="str">
        <f>RIGHT(G218,2) &amp; IF(A218&lt;2,"x","")</f>
        <v>pm</v>
      </c>
      <c r="G218" s="448" t="s">
        <v>263</v>
      </c>
      <c r="H218" s="448" t="s">
        <v>335</v>
      </c>
      <c r="I218" s="448" t="s">
        <v>262</v>
      </c>
      <c r="J218" s="449" t="s">
        <v>21</v>
      </c>
      <c r="K218" s="450">
        <f>LOOKUP(1E+100,M218:AC218)</f>
        <v>2616.9676096987464</v>
      </c>
      <c r="L218" s="448"/>
      <c r="M218" s="450">
        <v>2600</v>
      </c>
      <c r="P218" s="450">
        <v>2550.7095999075605</v>
      </c>
      <c r="S218" s="450">
        <v>2531.9153909770039</v>
      </c>
      <c r="W218" s="450">
        <v>2616.9676096987464</v>
      </c>
      <c r="AH218"/>
      <c r="AI218"/>
    </row>
    <row r="219" spans="1:35" s="450" customFormat="1" x14ac:dyDescent="0.25">
      <c r="A219" s="448">
        <v>7</v>
      </c>
      <c r="B219" s="448"/>
      <c r="C219" s="448">
        <f>IF(E219=E218,C218+1,1)</f>
        <v>12</v>
      </c>
      <c r="D219" s="448">
        <f>IF(M219=M218,D218,C219)</f>
        <v>2</v>
      </c>
      <c r="E219" s="448">
        <f>10+VALUE(RIGHT(LEFT(G219,3),1))</f>
        <v>16</v>
      </c>
      <c r="F219" s="448" t="str">
        <f>RIGHT(G219,2) &amp; IF(A219&lt;2,"x","")</f>
        <v>pm</v>
      </c>
      <c r="G219" s="448" t="s">
        <v>243</v>
      </c>
      <c r="H219" s="448" t="s">
        <v>309</v>
      </c>
      <c r="I219" s="448" t="s">
        <v>242</v>
      </c>
      <c r="J219" s="449" t="s">
        <v>21</v>
      </c>
      <c r="K219" s="450">
        <f>LOOKUP(1E+100,M219:AC219)</f>
        <v>2590.2182334242057</v>
      </c>
      <c r="L219" s="448"/>
      <c r="M219" s="450">
        <v>2600</v>
      </c>
      <c r="P219" s="450">
        <v>2586.1087425520964</v>
      </c>
      <c r="Q219" s="450">
        <v>2642.1061403984222</v>
      </c>
      <c r="S219" s="450">
        <v>2574.6020405067334</v>
      </c>
      <c r="U219" s="450">
        <v>2622.3839182783236</v>
      </c>
      <c r="W219" s="450">
        <v>2590.2182334242057</v>
      </c>
      <c r="AH219"/>
      <c r="AI219"/>
    </row>
    <row r="220" spans="1:35" s="450" customFormat="1" x14ac:dyDescent="0.25">
      <c r="A220" s="448">
        <v>5</v>
      </c>
      <c r="B220" s="448"/>
      <c r="C220" s="448">
        <f>IF(E220=E219,C219+1,1)</f>
        <v>13</v>
      </c>
      <c r="D220" s="448">
        <f>IF(M220=M219,D219,C220)</f>
        <v>2</v>
      </c>
      <c r="E220" s="448">
        <f>10+VALUE(RIGHT(LEFT(G220,3),1))</f>
        <v>16</v>
      </c>
      <c r="F220" s="448" t="str">
        <f>RIGHT(G220,2) &amp; IF(A220&lt;2,"x","")</f>
        <v>pm</v>
      </c>
      <c r="G220" s="448" t="s">
        <v>253</v>
      </c>
      <c r="H220" s="448" t="s">
        <v>353</v>
      </c>
      <c r="I220" s="448" t="s">
        <v>252</v>
      </c>
      <c r="J220" s="449" t="s">
        <v>21</v>
      </c>
      <c r="K220" s="450">
        <f>LOOKUP(1E+100,M220:AC220)</f>
        <v>2584.8540955907674</v>
      </c>
      <c r="L220" s="448"/>
      <c r="M220" s="450">
        <v>2600</v>
      </c>
      <c r="P220" s="450">
        <v>2536.3497914010086</v>
      </c>
      <c r="S220" s="450">
        <v>2522.8013817469564</v>
      </c>
      <c r="U220" s="450">
        <v>2551.571394209886</v>
      </c>
      <c r="W220" s="450">
        <v>2584.8540955907674</v>
      </c>
      <c r="AH220"/>
      <c r="AI220"/>
    </row>
    <row r="221" spans="1:35" s="450" customFormat="1" x14ac:dyDescent="0.25">
      <c r="A221" s="448">
        <v>2</v>
      </c>
      <c r="B221" s="448"/>
      <c r="C221" s="448">
        <f>IF(E221=E220,C220+1,1)</f>
        <v>14</v>
      </c>
      <c r="D221" s="448">
        <f>IF(M221=M220,D220,C221)</f>
        <v>2</v>
      </c>
      <c r="E221" s="448">
        <f>10+VALUE(RIGHT(LEFT(G221,3),1))</f>
        <v>16</v>
      </c>
      <c r="F221" s="448" t="str">
        <f>RIGHT(G221,2) &amp; IF(A221&lt;2,"x","")</f>
        <v>pm</v>
      </c>
      <c r="G221" s="448" t="s">
        <v>735</v>
      </c>
      <c r="H221" s="448" t="s">
        <v>371</v>
      </c>
      <c r="I221" s="448" t="s">
        <v>736</v>
      </c>
      <c r="J221" s="449" t="s">
        <v>21</v>
      </c>
      <c r="K221" s="450">
        <f>LOOKUP(1E+100,M221:AC221)</f>
        <v>2578.3043337541226</v>
      </c>
      <c r="L221" s="448"/>
      <c r="M221" s="450">
        <v>2600</v>
      </c>
      <c r="P221" s="450">
        <v>2529.9395928312915</v>
      </c>
      <c r="U221" s="450">
        <v>2578.3043337541226</v>
      </c>
      <c r="AH221"/>
      <c r="AI221"/>
    </row>
    <row r="222" spans="1:35" s="450" customFormat="1" x14ac:dyDescent="0.25">
      <c r="A222" s="448">
        <v>4</v>
      </c>
      <c r="B222" s="448"/>
      <c r="C222" s="448">
        <f>IF(E222=E221,C221+1,1)</f>
        <v>15</v>
      </c>
      <c r="D222" s="448">
        <f>IF(M222=M221,D221,C222)</f>
        <v>15</v>
      </c>
      <c r="E222" s="448">
        <f>10+VALUE(RIGHT(LEFT(G222,3),1))</f>
        <v>16</v>
      </c>
      <c r="F222" s="448" t="str">
        <f>RIGHT(G222,2) &amp; IF(A222&lt;2,"x","")</f>
        <v>pm</v>
      </c>
      <c r="G222" s="448" t="s">
        <v>761</v>
      </c>
      <c r="H222" s="448" t="s">
        <v>319</v>
      </c>
      <c r="I222" s="448" t="s">
        <v>762</v>
      </c>
      <c r="J222" s="449" t="s">
        <v>21</v>
      </c>
      <c r="K222" s="450">
        <f>LOOKUP(1E+100,M222:AC222)</f>
        <v>2557.1804930217963</v>
      </c>
      <c r="L222" s="448"/>
      <c r="M222" s="450">
        <v>2400</v>
      </c>
      <c r="P222" s="450">
        <v>2480.5272461425175</v>
      </c>
      <c r="R222" s="450">
        <v>2511.732454820823</v>
      </c>
      <c r="U222" s="450">
        <v>2557.1804930217963</v>
      </c>
      <c r="AH222"/>
      <c r="AI222"/>
    </row>
    <row r="223" spans="1:35" s="450" customFormat="1" x14ac:dyDescent="0.25">
      <c r="A223" s="448">
        <v>6</v>
      </c>
      <c r="B223" s="448"/>
      <c r="C223" s="448">
        <f>IF(E223=E222,C222+1,1)</f>
        <v>16</v>
      </c>
      <c r="D223" s="448">
        <f>IF(M223=M222,D222,C223)</f>
        <v>16</v>
      </c>
      <c r="E223" s="448">
        <f>10+VALUE(RIGHT(LEFT(G223,3),1))</f>
        <v>16</v>
      </c>
      <c r="F223" s="448" t="str">
        <f>RIGHT(G223,2) &amp; IF(A223&lt;2,"x","")</f>
        <v>pm</v>
      </c>
      <c r="G223" s="448" t="s">
        <v>245</v>
      </c>
      <c r="H223" s="448" t="s">
        <v>615</v>
      </c>
      <c r="I223" s="448" t="s">
        <v>244</v>
      </c>
      <c r="J223" s="449" t="s">
        <v>21</v>
      </c>
      <c r="K223" s="450">
        <f>LOOKUP(1E+100,M223:AC223)</f>
        <v>2553.29021214473</v>
      </c>
      <c r="L223" s="448"/>
      <c r="M223" s="450">
        <v>2533.3333333333335</v>
      </c>
      <c r="O223" s="451"/>
      <c r="P223" s="451">
        <v>2604.4583365042622</v>
      </c>
      <c r="Q223" s="451"/>
      <c r="R223" s="451"/>
      <c r="S223" s="451">
        <v>2550.4882821127521</v>
      </c>
      <c r="T223" s="451">
        <v>2602.0670906930518</v>
      </c>
      <c r="U223" s="451"/>
      <c r="V223" s="451"/>
      <c r="W223" s="451">
        <v>2553.29021214473</v>
      </c>
      <c r="X223" s="451"/>
      <c r="Y223" s="451"/>
      <c r="Z223" s="451"/>
      <c r="AA223" s="451"/>
      <c r="AB223" s="451"/>
      <c r="AC223" s="451"/>
      <c r="AD223" s="451"/>
      <c r="AE223" s="451"/>
      <c r="AF223" s="451"/>
      <c r="AG223" s="451"/>
      <c r="AH223"/>
      <c r="AI223"/>
    </row>
    <row r="224" spans="1:35" s="450" customFormat="1" x14ac:dyDescent="0.25">
      <c r="A224" s="448">
        <v>2</v>
      </c>
      <c r="B224" s="448"/>
      <c r="C224" s="448">
        <f>IF(E224=E223,C223+1,1)</f>
        <v>17</v>
      </c>
      <c r="D224" s="448">
        <f>IF(M224=M223,D223,C224)</f>
        <v>17</v>
      </c>
      <c r="E224" s="448">
        <f>10+VALUE(RIGHT(LEFT(G224,3),1))</f>
        <v>16</v>
      </c>
      <c r="F224" s="448" t="str">
        <f>RIGHT(G224,2) &amp; IF(A224&lt;2,"x","")</f>
        <v>pm</v>
      </c>
      <c r="G224" s="448" t="s">
        <v>763</v>
      </c>
      <c r="H224" s="448" t="s">
        <v>316</v>
      </c>
      <c r="I224" s="448" t="s">
        <v>764</v>
      </c>
      <c r="J224" s="449" t="s">
        <v>21</v>
      </c>
      <c r="K224" s="450">
        <f>LOOKUP(1E+100,M224:AC224)</f>
        <v>2547.8697393622169</v>
      </c>
      <c r="L224" s="448"/>
      <c r="M224" s="450">
        <v>2400</v>
      </c>
      <c r="T224" s="450">
        <v>2547.8697393622169</v>
      </c>
      <c r="AH224"/>
      <c r="AI224"/>
    </row>
    <row r="225" spans="1:35" s="450" customFormat="1" x14ac:dyDescent="0.25">
      <c r="A225" s="448">
        <v>5</v>
      </c>
      <c r="B225" s="448"/>
      <c r="C225" s="448">
        <f>IF(E225=E224,C224+1,1)</f>
        <v>18</v>
      </c>
      <c r="D225" s="448">
        <f>IF(M225=M224,D224,C225)</f>
        <v>18</v>
      </c>
      <c r="E225" s="448">
        <f>10+VALUE(RIGHT(LEFT(G225,3),1))</f>
        <v>16</v>
      </c>
      <c r="F225" s="448" t="str">
        <f>RIGHT(G225,2) &amp; IF(A225&lt;2,"x","")</f>
        <v>pm</v>
      </c>
      <c r="G225" s="448" t="s">
        <v>269</v>
      </c>
      <c r="H225" s="448" t="s">
        <v>338</v>
      </c>
      <c r="I225" s="448" t="s">
        <v>268</v>
      </c>
      <c r="J225" s="449" t="s">
        <v>21</v>
      </c>
      <c r="K225" s="450">
        <f>LOOKUP(1E+100,M225:AC225)</f>
        <v>2509.9978680140835</v>
      </c>
      <c r="L225" s="448"/>
      <c r="M225" s="450">
        <v>2600</v>
      </c>
      <c r="S225" s="450">
        <v>2522.040418704566</v>
      </c>
      <c r="U225" s="450">
        <v>2464.3992066653695</v>
      </c>
      <c r="W225" s="450">
        <v>2509.9978680140835</v>
      </c>
      <c r="AH225"/>
      <c r="AI225"/>
    </row>
    <row r="226" spans="1:35" s="450" customFormat="1" x14ac:dyDescent="0.25">
      <c r="A226" s="448">
        <v>7</v>
      </c>
      <c r="B226" s="448"/>
      <c r="C226" s="448">
        <f>IF(E226=E225,C225+1,1)</f>
        <v>19</v>
      </c>
      <c r="D226" s="448">
        <f>IF(M226=M225,D225,C226)</f>
        <v>18</v>
      </c>
      <c r="E226" s="448">
        <f>10+VALUE(RIGHT(LEFT(G226,3),1))</f>
        <v>16</v>
      </c>
      <c r="F226" s="448" t="str">
        <f>RIGHT(G226,2) &amp; IF(A226&lt;2,"x","")</f>
        <v>pm</v>
      </c>
      <c r="G226" s="448" t="s">
        <v>265</v>
      </c>
      <c r="H226" s="448" t="s">
        <v>697</v>
      </c>
      <c r="I226" s="448" t="s">
        <v>264</v>
      </c>
      <c r="J226" s="449" t="s">
        <v>21</v>
      </c>
      <c r="K226" s="450">
        <f>LOOKUP(1E+100,M226:AC226)</f>
        <v>2509.1248068497748</v>
      </c>
      <c r="L226" s="448"/>
      <c r="M226" s="450">
        <v>2600</v>
      </c>
      <c r="P226" s="450">
        <v>2535.1589990784814</v>
      </c>
      <c r="Q226" s="450">
        <v>2535.2536812939006</v>
      </c>
      <c r="S226" s="450">
        <v>2544.7969756063999</v>
      </c>
      <c r="U226" s="450">
        <v>2520.0583393752127</v>
      </c>
      <c r="W226" s="450">
        <v>2509.1248068497748</v>
      </c>
      <c r="AH226"/>
      <c r="AI226"/>
    </row>
    <row r="227" spans="1:35" s="450" customFormat="1" x14ac:dyDescent="0.25">
      <c r="A227" s="448">
        <v>5</v>
      </c>
      <c r="B227" s="448"/>
      <c r="C227" s="448">
        <f>IF(E227=E226,C226+1,1)</f>
        <v>20</v>
      </c>
      <c r="D227" s="448">
        <f>IF(M227=M226,D226,C227)</f>
        <v>18</v>
      </c>
      <c r="E227" s="448">
        <f>10+VALUE(RIGHT(LEFT(G227,3),1))</f>
        <v>16</v>
      </c>
      <c r="F227" s="448" t="str">
        <f>RIGHT(G227,2) &amp; IF(A227&lt;2,"x","")</f>
        <v>pm</v>
      </c>
      <c r="G227" s="448" t="s">
        <v>267</v>
      </c>
      <c r="H227" s="448" t="s">
        <v>327</v>
      </c>
      <c r="I227" s="448" t="s">
        <v>266</v>
      </c>
      <c r="J227" s="449" t="s">
        <v>21</v>
      </c>
      <c r="K227" s="450">
        <f>LOOKUP(1E+100,M227:AC227)</f>
        <v>2497.6191281186948</v>
      </c>
      <c r="L227" s="448"/>
      <c r="M227" s="450">
        <v>2600</v>
      </c>
      <c r="P227" s="450">
        <v>2534.3306077253792</v>
      </c>
      <c r="S227" s="450">
        <v>2501.7317909930653</v>
      </c>
      <c r="W227" s="450">
        <v>2497.6191281186948</v>
      </c>
      <c r="AH227"/>
      <c r="AI227"/>
    </row>
    <row r="228" spans="1:35" s="450" customFormat="1" x14ac:dyDescent="0.25">
      <c r="A228" s="448">
        <v>4</v>
      </c>
      <c r="B228" s="448"/>
      <c r="C228" s="448">
        <f>IF(E228=E227,C227+1,1)</f>
        <v>21</v>
      </c>
      <c r="D228" s="448">
        <f>IF(M228=M227,D227,C228)</f>
        <v>18</v>
      </c>
      <c r="E228" s="448">
        <f>10+VALUE(RIGHT(LEFT(G228,3),1))</f>
        <v>16</v>
      </c>
      <c r="F228" s="448" t="str">
        <f>RIGHT(G228,2) &amp; IF(A228&lt;2,"x","")</f>
        <v>pm</v>
      </c>
      <c r="G228" s="448" t="s">
        <v>247</v>
      </c>
      <c r="H228" s="448" t="s">
        <v>374</v>
      </c>
      <c r="I228" s="448" t="s">
        <v>246</v>
      </c>
      <c r="J228" s="449" t="s">
        <v>21</v>
      </c>
      <c r="K228" s="450">
        <f>LOOKUP(1E+100,M228:AC228)</f>
        <v>2489.3402214348453</v>
      </c>
      <c r="L228" s="448"/>
      <c r="M228" s="450">
        <v>2600</v>
      </c>
      <c r="U228" s="450">
        <v>2566.2013148883184</v>
      </c>
      <c r="W228" s="450">
        <v>2489.3402214348453</v>
      </c>
      <c r="AH228"/>
      <c r="AI228"/>
    </row>
    <row r="229" spans="1:35" s="450" customFormat="1" x14ac:dyDescent="0.25">
      <c r="A229" s="448">
        <v>4</v>
      </c>
      <c r="B229" s="448"/>
      <c r="C229" s="448">
        <f>IF(E229=E228,C228+1,1)</f>
        <v>22</v>
      </c>
      <c r="D229" s="448">
        <f>IF(M229=M228,D228,C229)</f>
        <v>22</v>
      </c>
      <c r="E229" s="448">
        <f>10+VALUE(RIGHT(LEFT(G229,3),1))</f>
        <v>16</v>
      </c>
      <c r="F229" s="448" t="str">
        <f>RIGHT(G229,2) &amp; IF(A229&lt;2,"x","")</f>
        <v>pm</v>
      </c>
      <c r="G229" s="448" t="s">
        <v>759</v>
      </c>
      <c r="H229" s="448" t="s">
        <v>426</v>
      </c>
      <c r="I229" s="448" t="s">
        <v>760</v>
      </c>
      <c r="J229" s="449" t="s">
        <v>21</v>
      </c>
      <c r="K229" s="450">
        <f>LOOKUP(1E+100,M229:AC229)</f>
        <v>2485.2280075007443</v>
      </c>
      <c r="L229" s="448"/>
      <c r="M229" s="450">
        <v>2400</v>
      </c>
      <c r="Q229" s="450">
        <v>2451.1169432151924</v>
      </c>
      <c r="S229" s="450">
        <v>2504.8525408531418</v>
      </c>
      <c r="T229" s="450">
        <v>2485.2280075007443</v>
      </c>
      <c r="AH229"/>
      <c r="AI229"/>
    </row>
    <row r="230" spans="1:35" s="450" customFormat="1" x14ac:dyDescent="0.25">
      <c r="A230" s="448">
        <v>4</v>
      </c>
      <c r="B230" s="448"/>
      <c r="C230" s="448">
        <f>IF(E230=E229,C229+1,1)</f>
        <v>23</v>
      </c>
      <c r="D230" s="448">
        <f>IF(M230=M229,D229,C230)</f>
        <v>23</v>
      </c>
      <c r="E230" s="448">
        <f>10+VALUE(RIGHT(LEFT(G230,3),1))</f>
        <v>16</v>
      </c>
      <c r="F230" s="448" t="str">
        <f>RIGHT(G230,2) &amp; IF(A230&lt;2,"x","")</f>
        <v>pm</v>
      </c>
      <c r="G230" s="448" t="s">
        <v>249</v>
      </c>
      <c r="H230" s="448" t="s">
        <v>306</v>
      </c>
      <c r="I230" s="448" t="s">
        <v>248</v>
      </c>
      <c r="J230" s="449" t="s">
        <v>21</v>
      </c>
      <c r="K230" s="450">
        <f>LOOKUP(1E+100,M230:AC230)</f>
        <v>2481.3209735373598</v>
      </c>
      <c r="L230" s="448"/>
      <c r="M230" s="450">
        <v>2600</v>
      </c>
      <c r="U230" s="450">
        <v>2557.9878915283052</v>
      </c>
      <c r="W230" s="450">
        <v>2481.3209735373598</v>
      </c>
      <c r="AH230"/>
      <c r="AI230"/>
    </row>
    <row r="231" spans="1:35" s="450" customFormat="1" x14ac:dyDescent="0.25">
      <c r="A231" s="448">
        <v>6</v>
      </c>
      <c r="B231" s="448"/>
      <c r="C231" s="448">
        <f>IF(E231=E230,C230+1,1)</f>
        <v>24</v>
      </c>
      <c r="D231" s="448">
        <f>IF(M231=M230,D230,C231)</f>
        <v>23</v>
      </c>
      <c r="E231" s="448">
        <f>10+VALUE(RIGHT(LEFT(G231,3),1))</f>
        <v>16</v>
      </c>
      <c r="F231" s="448" t="str">
        <f>RIGHT(G231,2) &amp; IF(A231&lt;2,"x","")</f>
        <v>pm</v>
      </c>
      <c r="G231" s="448" t="s">
        <v>275</v>
      </c>
      <c r="H231" s="448" t="s">
        <v>374</v>
      </c>
      <c r="I231" s="448" t="s">
        <v>274</v>
      </c>
      <c r="J231" s="449" t="s">
        <v>21</v>
      </c>
      <c r="K231" s="450">
        <f>LOOKUP(1E+100,M231:AC231)</f>
        <v>2453.8591054747999</v>
      </c>
      <c r="L231" s="448"/>
      <c r="M231" s="450">
        <v>2600</v>
      </c>
      <c r="Q231" s="450">
        <v>2453.989388007974</v>
      </c>
      <c r="S231" s="450">
        <v>2488.2982676302595</v>
      </c>
      <c r="U231" s="450">
        <v>2421.5536280299398</v>
      </c>
      <c r="W231" s="450">
        <v>2453.8591054747999</v>
      </c>
      <c r="AH231"/>
      <c r="AI231"/>
    </row>
    <row r="232" spans="1:35" s="450" customFormat="1" x14ac:dyDescent="0.25">
      <c r="A232" s="448">
        <v>2</v>
      </c>
      <c r="B232" s="448"/>
      <c r="C232" s="448">
        <f>IF(E232=E231,C231+1,1)</f>
        <v>25</v>
      </c>
      <c r="D232" s="448">
        <f>IF(M232=M231,D231,C232)</f>
        <v>25</v>
      </c>
      <c r="E232" s="448">
        <f>10+VALUE(RIGHT(LEFT(G232,3),1))</f>
        <v>16</v>
      </c>
      <c r="F232" s="448" t="str">
        <f>RIGHT(G232,2) &amp; IF(A232&lt;2,"x","")</f>
        <v>pm</v>
      </c>
      <c r="G232" s="448" t="s">
        <v>765</v>
      </c>
      <c r="H232" s="448" t="s">
        <v>316</v>
      </c>
      <c r="I232" s="448" t="s">
        <v>766</v>
      </c>
      <c r="J232" s="449" t="s">
        <v>21</v>
      </c>
      <c r="K232" s="450">
        <f>LOOKUP(1E+100,M232:AC232)</f>
        <v>2440.2815498712666</v>
      </c>
      <c r="L232" s="448"/>
      <c r="M232" s="450">
        <v>2400</v>
      </c>
      <c r="T232" s="450">
        <v>2440.2815498712666</v>
      </c>
      <c r="AH232"/>
      <c r="AI232"/>
    </row>
    <row r="233" spans="1:35" s="450" customFormat="1" x14ac:dyDescent="0.25">
      <c r="A233" s="448">
        <v>5</v>
      </c>
      <c r="B233" s="448"/>
      <c r="C233" s="448">
        <f>IF(E233=E232,C232+1,1)</f>
        <v>26</v>
      </c>
      <c r="D233" s="448">
        <f>IF(M233=M232,D232,C233)</f>
        <v>26</v>
      </c>
      <c r="E233" s="448">
        <f>10+VALUE(RIGHT(LEFT(G233,3),1))</f>
        <v>16</v>
      </c>
      <c r="F233" s="448" t="str">
        <f>RIGHT(G233,2) &amp; IF(A233&lt;2,"x","")</f>
        <v>pm</v>
      </c>
      <c r="G233" s="448" t="s">
        <v>271</v>
      </c>
      <c r="H233" s="448" t="s">
        <v>523</v>
      </c>
      <c r="I233" s="448" t="s">
        <v>270</v>
      </c>
      <c r="J233" s="449" t="s">
        <v>21</v>
      </c>
      <c r="K233" s="450">
        <f>LOOKUP(1E+100,M233:AC233)</f>
        <v>2439.393995156976</v>
      </c>
      <c r="L233" s="448"/>
      <c r="M233" s="450">
        <v>2600</v>
      </c>
      <c r="P233" s="450">
        <v>2521.6112649182251</v>
      </c>
      <c r="U233" s="450">
        <v>2450.9074358683274</v>
      </c>
      <c r="W233" s="450">
        <v>2439.393995156976</v>
      </c>
      <c r="AH233"/>
      <c r="AI233"/>
    </row>
    <row r="234" spans="1:35" s="450" customFormat="1" x14ac:dyDescent="0.25">
      <c r="A234" s="448">
        <v>2</v>
      </c>
      <c r="B234" s="448"/>
      <c r="C234" s="448">
        <f>IF(E234=E233,C233+1,1)</f>
        <v>27</v>
      </c>
      <c r="D234" s="448">
        <f>IF(M234=M233,D233,C234)</f>
        <v>27</v>
      </c>
      <c r="E234" s="448">
        <f>10+VALUE(RIGHT(LEFT(G234,3),1))</f>
        <v>16</v>
      </c>
      <c r="F234" s="448" t="str">
        <f>RIGHT(G234,2) &amp; IF(A234&lt;2,"x","")</f>
        <v>pm</v>
      </c>
      <c r="G234" s="448" t="s">
        <v>767</v>
      </c>
      <c r="H234" s="448" t="s">
        <v>316</v>
      </c>
      <c r="I234" s="448" t="s">
        <v>768</v>
      </c>
      <c r="J234" s="449" t="s">
        <v>21</v>
      </c>
      <c r="K234" s="450">
        <f>LOOKUP(1E+100,M234:AC234)</f>
        <v>2428.574139943863</v>
      </c>
      <c r="L234" s="448"/>
      <c r="M234" s="450">
        <v>2400</v>
      </c>
      <c r="T234" s="450">
        <v>2428.574139943863</v>
      </c>
      <c r="AH234"/>
      <c r="AI234"/>
    </row>
    <row r="235" spans="1:35" s="450" customFormat="1" x14ac:dyDescent="0.25">
      <c r="A235" s="448">
        <v>2</v>
      </c>
      <c r="B235" s="448"/>
      <c r="C235" s="448">
        <f>IF(E235=E234,C234+1,1)</f>
        <v>28</v>
      </c>
      <c r="D235" s="448">
        <f>IF(M235=M234,D234,C235)</f>
        <v>28</v>
      </c>
      <c r="E235" s="448">
        <f>10+VALUE(RIGHT(LEFT(G235,3),1))</f>
        <v>16</v>
      </c>
      <c r="F235" s="448" t="str">
        <f>RIGHT(G235,2) &amp; IF(A235&lt;2,"x","")</f>
        <v>pm</v>
      </c>
      <c r="G235" s="448" t="s">
        <v>737</v>
      </c>
      <c r="H235" s="448" t="s">
        <v>371</v>
      </c>
      <c r="I235" s="448" t="s">
        <v>738</v>
      </c>
      <c r="J235" s="449" t="s">
        <v>21</v>
      </c>
      <c r="K235" s="450">
        <f>LOOKUP(1E+100,M235:AC235)</f>
        <v>2428.3880185535127</v>
      </c>
      <c r="L235" s="448"/>
      <c r="M235" s="450">
        <v>2600</v>
      </c>
      <c r="P235" s="450">
        <v>2482.7077944451225</v>
      </c>
      <c r="U235" s="450">
        <v>2428.3880185535127</v>
      </c>
      <c r="AH235"/>
      <c r="AI235"/>
    </row>
    <row r="236" spans="1:35" s="450" customFormat="1" x14ac:dyDescent="0.25">
      <c r="A236" s="448">
        <v>3</v>
      </c>
      <c r="B236" s="448"/>
      <c r="C236" s="448">
        <f>IF(E236=E235,C235+1,1)</f>
        <v>29</v>
      </c>
      <c r="D236" s="448">
        <f>IF(M236=M235,D235,C236)</f>
        <v>29</v>
      </c>
      <c r="E236" s="448">
        <f>10+VALUE(RIGHT(LEFT(G236,3),1))</f>
        <v>16</v>
      </c>
      <c r="F236" s="448" t="str">
        <f>RIGHT(G236,2) &amp; IF(A236&lt;2,"x","")</f>
        <v>pm</v>
      </c>
      <c r="G236" s="448" t="s">
        <v>771</v>
      </c>
      <c r="H236" s="448" t="s">
        <v>554</v>
      </c>
      <c r="I236" s="448" t="s">
        <v>772</v>
      </c>
      <c r="J236" s="449" t="s">
        <v>20</v>
      </c>
      <c r="K236" s="450">
        <f>LOOKUP(1E+100,M236:AC236)</f>
        <v>2424.9307017600863</v>
      </c>
      <c r="L236" s="448"/>
      <c r="M236" s="450">
        <v>2266.6666666666665</v>
      </c>
      <c r="O236" s="451"/>
      <c r="P236" s="451">
        <v>2345.6284465465415</v>
      </c>
      <c r="Q236" s="451"/>
      <c r="R236" s="451">
        <v>2423.8121809417348</v>
      </c>
      <c r="S236" s="451"/>
      <c r="T236" s="451"/>
      <c r="U236" s="451"/>
      <c r="V236" s="451">
        <v>2424.9307017600863</v>
      </c>
      <c r="W236" s="451"/>
      <c r="X236" s="451"/>
      <c r="Y236" s="451"/>
      <c r="Z236" s="451"/>
      <c r="AA236" s="451"/>
      <c r="AB236" s="451"/>
      <c r="AC236" s="451"/>
      <c r="AD236" s="451"/>
      <c r="AE236" s="451"/>
      <c r="AF236" s="451"/>
      <c r="AG236" s="451"/>
      <c r="AH236"/>
      <c r="AI236"/>
    </row>
    <row r="237" spans="1:35" s="450" customFormat="1" x14ac:dyDescent="0.25">
      <c r="A237" s="448">
        <v>2</v>
      </c>
      <c r="B237" s="448"/>
      <c r="C237" s="448">
        <f>IF(E237=E236,C236+1,1)</f>
        <v>30</v>
      </c>
      <c r="D237" s="448">
        <f>IF(M237=M236,D236,C237)</f>
        <v>30</v>
      </c>
      <c r="E237" s="448">
        <f>10+VALUE(RIGHT(LEFT(G237,3),1))</f>
        <v>16</v>
      </c>
      <c r="F237" s="448" t="str">
        <f>RIGHT(G237,2) &amp; IF(A237&lt;2,"x","")</f>
        <v>pm</v>
      </c>
      <c r="G237" s="448" t="s">
        <v>757</v>
      </c>
      <c r="H237" s="448" t="s">
        <v>299</v>
      </c>
      <c r="I237" s="448" t="s">
        <v>758</v>
      </c>
      <c r="J237" s="449" t="s">
        <v>21</v>
      </c>
      <c r="K237" s="450">
        <f>LOOKUP(1E+100,M237:AC237)</f>
        <v>2402.8944222193199</v>
      </c>
      <c r="L237" s="448"/>
      <c r="M237" s="450">
        <v>2400</v>
      </c>
      <c r="P237" s="450">
        <v>2402.8944222193199</v>
      </c>
      <c r="AH237"/>
      <c r="AI237"/>
    </row>
    <row r="238" spans="1:35" s="450" customFormat="1" x14ac:dyDescent="0.25">
      <c r="A238" s="448">
        <v>5</v>
      </c>
      <c r="B238" s="448"/>
      <c r="C238" s="448">
        <f>IF(E238=E237,C237+1,1)</f>
        <v>31</v>
      </c>
      <c r="D238" s="448">
        <f>IF(M238=M237,D237,C238)</f>
        <v>31</v>
      </c>
      <c r="E238" s="448">
        <f>10+VALUE(RIGHT(LEFT(G238,3),1))</f>
        <v>16</v>
      </c>
      <c r="F238" s="448" t="str">
        <f>RIGHT(G238,2) &amp; IF(A238&lt;2,"x","")</f>
        <v>pm</v>
      </c>
      <c r="G238" s="448" t="s">
        <v>273</v>
      </c>
      <c r="H238" s="448" t="s">
        <v>350</v>
      </c>
      <c r="I238" s="448" t="s">
        <v>272</v>
      </c>
      <c r="J238" s="449" t="s">
        <v>21</v>
      </c>
      <c r="K238" s="450">
        <f>LOOKUP(1E+100,M238:AC238)</f>
        <v>2382.5180283075724</v>
      </c>
      <c r="L238" s="448"/>
      <c r="M238" s="450">
        <v>2600</v>
      </c>
      <c r="P238" s="450">
        <v>2498.4008847697546</v>
      </c>
      <c r="U238" s="450">
        <v>2438.9560736569474</v>
      </c>
      <c r="W238" s="450">
        <v>2382.5180283075724</v>
      </c>
      <c r="AH238"/>
      <c r="AI238"/>
    </row>
    <row r="239" spans="1:35" s="450" customFormat="1" x14ac:dyDescent="0.25">
      <c r="A239" s="448">
        <v>2</v>
      </c>
      <c r="B239" s="448"/>
      <c r="C239" s="448">
        <f>IF(E239=E238,C238+1,1)</f>
        <v>32</v>
      </c>
      <c r="D239" s="448">
        <f>IF(M239=M238,D238,C239)</f>
        <v>32</v>
      </c>
      <c r="E239" s="448">
        <f>10+VALUE(RIGHT(LEFT(G239,3),1))</f>
        <v>16</v>
      </c>
      <c r="F239" s="448" t="str">
        <f>RIGHT(G239,2) &amp; IF(A239&lt;2,"x","")</f>
        <v>pm</v>
      </c>
      <c r="G239" s="448" t="s">
        <v>755</v>
      </c>
      <c r="H239" s="448" t="s">
        <v>554</v>
      </c>
      <c r="I239" s="448" t="s">
        <v>756</v>
      </c>
      <c r="J239" s="449" t="s">
        <v>21</v>
      </c>
      <c r="K239" s="450">
        <f>LOOKUP(1E+100,M239:AC239)</f>
        <v>2353.8622370276739</v>
      </c>
      <c r="L239" s="448"/>
      <c r="M239" s="450">
        <v>2400</v>
      </c>
      <c r="O239" s="451"/>
      <c r="P239" s="451"/>
      <c r="Q239" s="451"/>
      <c r="R239" s="451"/>
      <c r="S239" s="451">
        <v>2353.7316539645976</v>
      </c>
      <c r="T239" s="451"/>
      <c r="U239" s="451"/>
      <c r="V239" s="451">
        <v>2353.8622370276739</v>
      </c>
      <c r="W239" s="451"/>
      <c r="X239" s="451"/>
      <c r="Y239" s="451"/>
      <c r="Z239" s="451"/>
      <c r="AA239" s="451"/>
      <c r="AB239" s="451"/>
      <c r="AC239" s="451"/>
      <c r="AD239" s="451"/>
      <c r="AE239" s="451"/>
      <c r="AF239" s="451"/>
      <c r="AG239" s="451"/>
      <c r="AH239"/>
      <c r="AI239"/>
    </row>
    <row r="240" spans="1:35" s="450" customFormat="1" x14ac:dyDescent="0.25">
      <c r="A240" s="448">
        <v>6</v>
      </c>
      <c r="B240" s="448"/>
      <c r="C240" s="448">
        <f>IF(E240=E239,C239+1,1)</f>
        <v>33</v>
      </c>
      <c r="D240" s="448">
        <f>IF(M240=M239,D239,C240)</f>
        <v>33</v>
      </c>
      <c r="E240" s="448">
        <f>10+VALUE(RIGHT(LEFT(G240,3),1))</f>
        <v>16</v>
      </c>
      <c r="F240" s="448" t="str">
        <f>RIGHT(G240,2) &amp; IF(A240&lt;2,"x","")</f>
        <v>pm</v>
      </c>
      <c r="G240" s="448" t="s">
        <v>794</v>
      </c>
      <c r="H240" s="448" t="s">
        <v>309</v>
      </c>
      <c r="I240" s="448" t="s">
        <v>795</v>
      </c>
      <c r="J240" s="449" t="s">
        <v>20</v>
      </c>
      <c r="K240" s="450">
        <f>LOOKUP(1E+100,M240:AC240)</f>
        <v>2347.2398903049234</v>
      </c>
      <c r="L240" s="448"/>
      <c r="M240" s="450">
        <v>2200</v>
      </c>
      <c r="P240" s="450">
        <v>2272.6437666154325</v>
      </c>
      <c r="R240" s="450">
        <v>2366.6059849945268</v>
      </c>
      <c r="T240" s="450">
        <v>2337.9679777779384</v>
      </c>
      <c r="V240" s="450">
        <v>2347.2398903049234</v>
      </c>
      <c r="AH240"/>
      <c r="AI240"/>
    </row>
    <row r="241" spans="1:35" s="450" customFormat="1" x14ac:dyDescent="0.25">
      <c r="A241" s="448">
        <v>5</v>
      </c>
      <c r="B241" s="448"/>
      <c r="C241" s="448">
        <f>IF(E241=E240,C240+1,1)</f>
        <v>34</v>
      </c>
      <c r="D241" s="448">
        <f>IF(M241=M240,D240,C241)</f>
        <v>34</v>
      </c>
      <c r="E241" s="448">
        <f>10+VALUE(RIGHT(LEFT(G241,3),1))</f>
        <v>16</v>
      </c>
      <c r="F241" s="448" t="str">
        <f>RIGHT(G241,2) &amp; IF(A241&lt;2,"x","")</f>
        <v>pm</v>
      </c>
      <c r="G241" s="448" t="s">
        <v>281</v>
      </c>
      <c r="H241" s="448" t="s">
        <v>754</v>
      </c>
      <c r="I241" s="448" t="s">
        <v>280</v>
      </c>
      <c r="J241" s="449" t="s">
        <v>21</v>
      </c>
      <c r="K241" s="450">
        <f>LOOKUP(1E+100,M241:AC241)</f>
        <v>2345.9059653150157</v>
      </c>
      <c r="L241" s="448"/>
      <c r="M241" s="450">
        <v>2520</v>
      </c>
      <c r="P241" s="450">
        <v>2367.8687365373366</v>
      </c>
      <c r="S241" s="450">
        <v>2402.6393736189211</v>
      </c>
      <c r="U241" s="450">
        <v>2332.1838374588774</v>
      </c>
      <c r="W241" s="450">
        <v>2345.9059653150157</v>
      </c>
      <c r="AH241"/>
      <c r="AI241"/>
    </row>
    <row r="242" spans="1:35" s="450" customFormat="1" x14ac:dyDescent="0.25">
      <c r="A242" s="448">
        <v>6</v>
      </c>
      <c r="B242" s="448"/>
      <c r="C242" s="448">
        <f>IF(E242=E241,C241+1,1)</f>
        <v>35</v>
      </c>
      <c r="D242" s="448">
        <f>IF(M242=M241,D241,C242)</f>
        <v>35</v>
      </c>
      <c r="E242" s="448">
        <f>10+VALUE(RIGHT(LEFT(G242,3),1))</f>
        <v>16</v>
      </c>
      <c r="F242" s="448" t="str">
        <f>RIGHT(G242,2) &amp; IF(A242&lt;2,"x","")</f>
        <v>pm</v>
      </c>
      <c r="G242" s="448" t="s">
        <v>277</v>
      </c>
      <c r="H242" s="448" t="s">
        <v>353</v>
      </c>
      <c r="I242" s="448" t="s">
        <v>276</v>
      </c>
      <c r="J242" s="449" t="s">
        <v>21</v>
      </c>
      <c r="K242" s="450">
        <f>LOOKUP(1E+100,M242:AC242)</f>
        <v>2333.0102076788698</v>
      </c>
      <c r="L242" s="448"/>
      <c r="M242" s="450">
        <v>2533.3333333333335</v>
      </c>
      <c r="P242" s="450">
        <v>2435.1163107014972</v>
      </c>
      <c r="R242" s="450">
        <v>2430.7561370754192</v>
      </c>
      <c r="S242" s="450">
        <v>2350.7701139447186</v>
      </c>
      <c r="U242" s="450">
        <v>2376.4825129198039</v>
      </c>
      <c r="W242" s="450">
        <v>2333.0102076788698</v>
      </c>
      <c r="AH242"/>
      <c r="AI242"/>
    </row>
    <row r="243" spans="1:35" s="450" customFormat="1" x14ac:dyDescent="0.25">
      <c r="A243" s="448">
        <v>5</v>
      </c>
      <c r="B243" s="448"/>
      <c r="C243" s="448">
        <f>IF(E243=E242,C242+1,1)</f>
        <v>36</v>
      </c>
      <c r="D243" s="448">
        <f>IF(M243=M242,D242,C243)</f>
        <v>36</v>
      </c>
      <c r="E243" s="448">
        <f>10+VALUE(RIGHT(LEFT(G243,3),1))</f>
        <v>16</v>
      </c>
      <c r="F243" s="448" t="str">
        <f>RIGHT(G243,2) &amp; IF(A243&lt;2,"x","")</f>
        <v>pm</v>
      </c>
      <c r="G243" s="448" t="s">
        <v>798</v>
      </c>
      <c r="H243" s="448" t="s">
        <v>391</v>
      </c>
      <c r="I243" s="448" t="s">
        <v>799</v>
      </c>
      <c r="J243" s="449" t="s">
        <v>20</v>
      </c>
      <c r="K243" s="450">
        <f>LOOKUP(1E+100,M243:AC243)</f>
        <v>2289.250554726545</v>
      </c>
      <c r="L243" s="448"/>
      <c r="M243" s="450">
        <v>2200</v>
      </c>
      <c r="O243" s="451"/>
      <c r="P243" s="451"/>
      <c r="Q243" s="451"/>
      <c r="R243" s="451">
        <v>2266.9866046582174</v>
      </c>
      <c r="S243" s="451"/>
      <c r="T243" s="451">
        <v>2252.7610483811018</v>
      </c>
      <c r="U243" s="451"/>
      <c r="V243" s="451">
        <v>2289.250554726545</v>
      </c>
      <c r="W243" s="451"/>
      <c r="X243" s="451"/>
      <c r="Y243" s="451"/>
      <c r="Z243" s="451"/>
      <c r="AA243" s="451"/>
      <c r="AB243" s="451"/>
      <c r="AC243" s="451"/>
      <c r="AH243"/>
      <c r="AI243"/>
    </row>
    <row r="244" spans="1:35" s="450" customFormat="1" x14ac:dyDescent="0.25">
      <c r="A244" s="448">
        <v>6</v>
      </c>
      <c r="B244" s="448"/>
      <c r="C244" s="448">
        <f>IF(E244=E243,C243+1,1)</f>
        <v>37</v>
      </c>
      <c r="D244" s="448">
        <f>IF(M244=M243,D243,C244)</f>
        <v>36</v>
      </c>
      <c r="E244" s="448">
        <f>10+VALUE(RIGHT(LEFT(G244,3),1))</f>
        <v>16</v>
      </c>
      <c r="F244" s="448" t="str">
        <f>RIGHT(G244,2) &amp; IF(A244&lt;2,"x","")</f>
        <v>pm</v>
      </c>
      <c r="G244" s="448" t="s">
        <v>777</v>
      </c>
      <c r="H244" s="448" t="s">
        <v>778</v>
      </c>
      <c r="I244" s="448" t="s">
        <v>779</v>
      </c>
      <c r="J244" s="449" t="s">
        <v>20</v>
      </c>
      <c r="K244" s="450">
        <f>LOOKUP(1E+100,M244:AC244)</f>
        <v>2287.882559560951</v>
      </c>
      <c r="L244" s="448"/>
      <c r="M244" s="450">
        <v>2200</v>
      </c>
      <c r="O244" s="451"/>
      <c r="P244" s="451">
        <v>2229.6713187665032</v>
      </c>
      <c r="Q244" s="451"/>
      <c r="R244" s="451">
        <v>2258.8911105410434</v>
      </c>
      <c r="S244" s="451"/>
      <c r="T244" s="451">
        <v>2316.2116999108894</v>
      </c>
      <c r="U244" s="451"/>
      <c r="V244" s="451">
        <v>2287.882559560951</v>
      </c>
      <c r="W244" s="451"/>
      <c r="X244" s="451"/>
      <c r="Y244" s="451"/>
      <c r="Z244" s="451"/>
      <c r="AA244" s="451"/>
      <c r="AB244" s="451"/>
      <c r="AC244" s="451"/>
      <c r="AD244" s="451"/>
      <c r="AE244" s="451"/>
      <c r="AF244" s="451"/>
      <c r="AG244" s="451"/>
      <c r="AH244"/>
      <c r="AI244"/>
    </row>
    <row r="245" spans="1:35" s="450" customFormat="1" x14ac:dyDescent="0.25">
      <c r="A245" s="448">
        <v>7</v>
      </c>
      <c r="B245" s="448"/>
      <c r="C245" s="448">
        <f>IF(E245=E244,C244+1,1)</f>
        <v>38</v>
      </c>
      <c r="D245" s="448">
        <f>IF(M245=M244,D244,C245)</f>
        <v>38</v>
      </c>
      <c r="E245" s="448">
        <f>10+VALUE(RIGHT(LEFT(G245,3),1))</f>
        <v>16</v>
      </c>
      <c r="F245" s="448" t="str">
        <f>RIGHT(G245,2) &amp; IF(A245&lt;2,"x","")</f>
        <v>pm</v>
      </c>
      <c r="G245" s="448" t="s">
        <v>769</v>
      </c>
      <c r="H245" s="448" t="s">
        <v>490</v>
      </c>
      <c r="I245" s="448" t="s">
        <v>770</v>
      </c>
      <c r="J245" s="449" t="s">
        <v>20</v>
      </c>
      <c r="K245" s="450">
        <f>LOOKUP(1E+100,M245:AC245)</f>
        <v>2285.9576734165903</v>
      </c>
      <c r="L245" s="448"/>
      <c r="M245" s="450">
        <v>2314.2857142857142</v>
      </c>
      <c r="P245" s="450">
        <v>2273.6545201751719</v>
      </c>
      <c r="Q245" s="450">
        <v>2314.8207408110184</v>
      </c>
      <c r="T245" s="450">
        <v>2227.3143583110036</v>
      </c>
      <c r="U245" s="450">
        <v>2285.9576734165903</v>
      </c>
      <c r="AH245"/>
      <c r="AI245"/>
    </row>
    <row r="246" spans="1:35" s="450" customFormat="1" x14ac:dyDescent="0.25">
      <c r="A246" s="448">
        <v>5</v>
      </c>
      <c r="B246" s="448"/>
      <c r="C246" s="448">
        <f>IF(E246=E245,C245+1,1)</f>
        <v>39</v>
      </c>
      <c r="D246" s="448">
        <f>IF(M246=M245,D245,C246)</f>
        <v>39</v>
      </c>
      <c r="E246" s="448">
        <f>10+VALUE(RIGHT(LEFT(G246,3),1))</f>
        <v>16</v>
      </c>
      <c r="F246" s="448" t="str">
        <f>RIGHT(G246,2) &amp; IF(A246&lt;2,"x","")</f>
        <v>pm</v>
      </c>
      <c r="G246" s="448" t="s">
        <v>279</v>
      </c>
      <c r="H246" s="448" t="s">
        <v>327</v>
      </c>
      <c r="I246" s="448" t="s">
        <v>278</v>
      </c>
      <c r="J246" s="449" t="s">
        <v>21</v>
      </c>
      <c r="K246" s="450">
        <f>LOOKUP(1E+100,M246:AC246)</f>
        <v>2283.9386655222524</v>
      </c>
      <c r="L246" s="448"/>
      <c r="M246" s="450">
        <v>2600</v>
      </c>
      <c r="P246" s="450">
        <v>2430.3121523701575</v>
      </c>
      <c r="S246" s="450">
        <v>2334.1471641922385</v>
      </c>
      <c r="W246" s="450">
        <v>2283.9386655222524</v>
      </c>
      <c r="AH246"/>
      <c r="AI246"/>
    </row>
    <row r="247" spans="1:35" s="450" customFormat="1" x14ac:dyDescent="0.25">
      <c r="A247" s="448">
        <v>3</v>
      </c>
      <c r="B247" s="448"/>
      <c r="C247" s="448">
        <f>IF(E247=E246,C246+1,1)</f>
        <v>40</v>
      </c>
      <c r="D247" s="448">
        <f>IF(M247=M246,D246,C247)</f>
        <v>40</v>
      </c>
      <c r="E247" s="448">
        <f>10+VALUE(RIGHT(LEFT(G247,3),1))</f>
        <v>16</v>
      </c>
      <c r="F247" s="448" t="str">
        <f>RIGHT(G247,2) &amp; IF(A247&lt;2,"x","")</f>
        <v>pm</v>
      </c>
      <c r="G247" s="448" t="s">
        <v>786</v>
      </c>
      <c r="H247" s="448" t="s">
        <v>543</v>
      </c>
      <c r="I247" s="448" t="s">
        <v>787</v>
      </c>
      <c r="J247" s="449" t="s">
        <v>20</v>
      </c>
      <c r="K247" s="450">
        <f>LOOKUP(1E+100,M247:AC247)</f>
        <v>2259.2297058558725</v>
      </c>
      <c r="L247" s="448"/>
      <c r="M247" s="450">
        <v>2200</v>
      </c>
      <c r="P247" s="450">
        <v>2259.2297058558725</v>
      </c>
      <c r="AH247"/>
      <c r="AI247"/>
    </row>
    <row r="248" spans="1:35" s="450" customFormat="1" x14ac:dyDescent="0.25">
      <c r="A248" s="448">
        <v>7</v>
      </c>
      <c r="B248" s="448"/>
      <c r="C248" s="448">
        <f>IF(E248=E247,C247+1,1)</f>
        <v>41</v>
      </c>
      <c r="D248" s="448">
        <f>IF(M248=M247,D247,C248)</f>
        <v>41</v>
      </c>
      <c r="E248" s="448">
        <f>10+VALUE(RIGHT(LEFT(G248,3),1))</f>
        <v>16</v>
      </c>
      <c r="F248" s="448" t="str">
        <f>RIGHT(G248,2) &amp; IF(A248&lt;2,"x","")</f>
        <v>pm</v>
      </c>
      <c r="G248" s="448" t="s">
        <v>773</v>
      </c>
      <c r="H248" s="448" t="s">
        <v>396</v>
      </c>
      <c r="I248" s="448" t="s">
        <v>774</v>
      </c>
      <c r="J248" s="449" t="s">
        <v>20</v>
      </c>
      <c r="K248" s="450">
        <f>LOOKUP(1E+100,M248:AC248)</f>
        <v>2242.5622370560654</v>
      </c>
      <c r="L248" s="448"/>
      <c r="M248" s="450">
        <v>2257.1428571428573</v>
      </c>
      <c r="P248" s="450">
        <v>2275.0843041720645</v>
      </c>
      <c r="Q248" s="450">
        <v>2330.3909835910367</v>
      </c>
      <c r="T248" s="450">
        <v>2228.3592034324347</v>
      </c>
      <c r="V248" s="450">
        <v>2242.5622370560654</v>
      </c>
      <c r="AH248"/>
      <c r="AI248"/>
    </row>
    <row r="249" spans="1:35" s="450" customFormat="1" x14ac:dyDescent="0.25">
      <c r="A249" s="448">
        <v>5</v>
      </c>
      <c r="B249" s="448"/>
      <c r="C249" s="448">
        <f>IF(E249=E248,C248+1,1)</f>
        <v>42</v>
      </c>
      <c r="D249" s="448">
        <f>IF(M249=M248,D248,C249)</f>
        <v>42</v>
      </c>
      <c r="E249" s="448">
        <f>10+VALUE(RIGHT(LEFT(G249,3),1))</f>
        <v>16</v>
      </c>
      <c r="F249" s="448" t="str">
        <f>RIGHT(G249,2) &amp; IF(A249&lt;2,"x","")</f>
        <v>pm</v>
      </c>
      <c r="G249" s="448" t="s">
        <v>775</v>
      </c>
      <c r="H249" s="448" t="s">
        <v>485</v>
      </c>
      <c r="I249" s="448" t="s">
        <v>776</v>
      </c>
      <c r="J249" s="449" t="s">
        <v>20</v>
      </c>
      <c r="K249" s="450">
        <f>LOOKUP(1E+100,M249:AC249)</f>
        <v>2237.5061726671483</v>
      </c>
      <c r="L249" s="448"/>
      <c r="M249" s="450">
        <v>2240</v>
      </c>
      <c r="R249" s="450">
        <v>2246.3189419369232</v>
      </c>
      <c r="U249" s="450">
        <v>2242.1731453359262</v>
      </c>
      <c r="V249" s="450">
        <v>2237.5061726671483</v>
      </c>
      <c r="AH249"/>
      <c r="AI249"/>
    </row>
    <row r="250" spans="1:35" s="450" customFormat="1" x14ac:dyDescent="0.25">
      <c r="A250" s="448">
        <v>6</v>
      </c>
      <c r="B250" s="448"/>
      <c r="C250" s="448">
        <f>IF(E250=E249,C249+1,1)</f>
        <v>43</v>
      </c>
      <c r="D250" s="448">
        <f>IF(M250=M249,D249,C250)</f>
        <v>43</v>
      </c>
      <c r="E250" s="448">
        <f>10+VALUE(RIGHT(LEFT(G250,3),1))</f>
        <v>16</v>
      </c>
      <c r="F250" s="448" t="str">
        <f>RIGHT(G250,2) &amp; IF(A250&lt;2,"x","")</f>
        <v>pm</v>
      </c>
      <c r="G250" s="448" t="s">
        <v>782</v>
      </c>
      <c r="H250" s="448" t="s">
        <v>568</v>
      </c>
      <c r="I250" s="448" t="s">
        <v>783</v>
      </c>
      <c r="J250" s="449" t="s">
        <v>20</v>
      </c>
      <c r="K250" s="450">
        <f>LOOKUP(1E+100,M250:AC250)</f>
        <v>2230.3336953920484</v>
      </c>
      <c r="L250" s="448"/>
      <c r="M250" s="450">
        <v>2200</v>
      </c>
      <c r="P250" s="450">
        <v>2170.5044212207163</v>
      </c>
      <c r="R250" s="450">
        <v>2166.7229327282698</v>
      </c>
      <c r="T250" s="450">
        <v>2177.7802114634451</v>
      </c>
      <c r="V250" s="450">
        <v>2230.3336953920484</v>
      </c>
      <c r="AH250"/>
      <c r="AI250"/>
    </row>
    <row r="251" spans="1:35" s="450" customFormat="1" x14ac:dyDescent="0.25">
      <c r="A251" s="448">
        <v>4</v>
      </c>
      <c r="B251" s="448"/>
      <c r="C251" s="448">
        <f>IF(E251=E250,C250+1,1)</f>
        <v>44</v>
      </c>
      <c r="D251" s="448">
        <f>IF(M251=M250,D250,C251)</f>
        <v>43</v>
      </c>
      <c r="E251" s="448">
        <f>10+VALUE(RIGHT(LEFT(G251,3),1))</f>
        <v>16</v>
      </c>
      <c r="F251" s="448" t="str">
        <f>RIGHT(G251,2) &amp; IF(A251&lt;2,"x","")</f>
        <v>pm</v>
      </c>
      <c r="G251" s="448" t="s">
        <v>800</v>
      </c>
      <c r="H251" s="448" t="s">
        <v>341</v>
      </c>
      <c r="I251" s="448" t="s">
        <v>801</v>
      </c>
      <c r="J251" s="449" t="s">
        <v>20</v>
      </c>
      <c r="K251" s="450">
        <f>LOOKUP(1E+100,M251:AC251)</f>
        <v>2183.1190308860696</v>
      </c>
      <c r="L251" s="448"/>
      <c r="M251" s="450">
        <v>2200</v>
      </c>
      <c r="O251" s="451"/>
      <c r="P251" s="451"/>
      <c r="Q251" s="451"/>
      <c r="R251" s="451">
        <v>2159.5399863106313</v>
      </c>
      <c r="S251" s="451"/>
      <c r="T251" s="451">
        <v>2189.9296425980651</v>
      </c>
      <c r="U251" s="451"/>
      <c r="V251" s="451">
        <v>2183.1190308860696</v>
      </c>
      <c r="W251" s="451"/>
      <c r="X251" s="451"/>
      <c r="Y251" s="451"/>
      <c r="Z251" s="451"/>
      <c r="AA251" s="451"/>
      <c r="AB251" s="451"/>
      <c r="AC251" s="451"/>
      <c r="AH251"/>
      <c r="AI251"/>
    </row>
    <row r="252" spans="1:35" s="450" customFormat="1" x14ac:dyDescent="0.25">
      <c r="A252" s="448">
        <v>3</v>
      </c>
      <c r="B252" s="448"/>
      <c r="C252" s="448">
        <f>IF(E252=E251,C251+1,1)</f>
        <v>45</v>
      </c>
      <c r="D252" s="448">
        <f>IF(M252=M251,D251,C252)</f>
        <v>43</v>
      </c>
      <c r="E252" s="448">
        <f>10+VALUE(RIGHT(LEFT(G252,3),1))</f>
        <v>16</v>
      </c>
      <c r="F252" s="448" t="str">
        <f>RIGHT(G252,2) &amp; IF(A252&lt;2,"x","")</f>
        <v>pm</v>
      </c>
      <c r="G252" s="448" t="s">
        <v>784</v>
      </c>
      <c r="H252" s="448" t="s">
        <v>296</v>
      </c>
      <c r="I252" s="448" t="s">
        <v>785</v>
      </c>
      <c r="J252" s="449" t="s">
        <v>20</v>
      </c>
      <c r="K252" s="450">
        <f>LOOKUP(1E+100,M252:AC252)</f>
        <v>2158.0851509034469</v>
      </c>
      <c r="L252" s="448"/>
      <c r="M252" s="450">
        <v>2200</v>
      </c>
      <c r="P252" s="450">
        <v>2158.0851509034469</v>
      </c>
      <c r="AH252"/>
      <c r="AI252"/>
    </row>
    <row r="253" spans="1:35" s="450" customFormat="1" x14ac:dyDescent="0.25">
      <c r="A253" s="448">
        <v>6</v>
      </c>
      <c r="B253" s="448"/>
      <c r="C253" s="448">
        <f>IF(E253=E252,C252+1,1)</f>
        <v>46</v>
      </c>
      <c r="D253" s="448">
        <f>IF(M253=M252,D252,C253)</f>
        <v>43</v>
      </c>
      <c r="E253" s="448">
        <f>10+VALUE(RIGHT(LEFT(G253,3),1))</f>
        <v>16</v>
      </c>
      <c r="F253" s="448" t="str">
        <f>RIGHT(G253,2) &amp; IF(A253&lt;2,"x","")</f>
        <v>pm</v>
      </c>
      <c r="G253" s="448" t="s">
        <v>788</v>
      </c>
      <c r="H253" s="448" t="s">
        <v>374</v>
      </c>
      <c r="I253" s="448" t="s">
        <v>789</v>
      </c>
      <c r="J253" s="449" t="s">
        <v>20</v>
      </c>
      <c r="K253" s="450">
        <f>LOOKUP(1E+100,M253:AC253)</f>
        <v>2135.3713432897694</v>
      </c>
      <c r="L253" s="448"/>
      <c r="M253" s="450">
        <v>2200</v>
      </c>
      <c r="R253" s="450">
        <v>2102.1310809793767</v>
      </c>
      <c r="T253" s="450">
        <v>2119.7342603300549</v>
      </c>
      <c r="V253" s="450">
        <v>2135.3713432897694</v>
      </c>
      <c r="AH253"/>
      <c r="AI253"/>
    </row>
    <row r="254" spans="1:35" s="450" customFormat="1" x14ac:dyDescent="0.25">
      <c r="A254" s="448">
        <v>6</v>
      </c>
      <c r="B254" s="448"/>
      <c r="C254" s="448">
        <f>IF(E254=E253,C253+1,1)</f>
        <v>47</v>
      </c>
      <c r="D254" s="448">
        <f>IF(M254=M253,D253,C254)</f>
        <v>43</v>
      </c>
      <c r="E254" s="448">
        <f>10+VALUE(RIGHT(LEFT(G254,3),1))</f>
        <v>16</v>
      </c>
      <c r="F254" s="448" t="str">
        <f>RIGHT(G254,2) &amp; IF(A254&lt;2,"x","")</f>
        <v>pm</v>
      </c>
      <c r="G254" s="448" t="s">
        <v>780</v>
      </c>
      <c r="H254" s="448" t="s">
        <v>778</v>
      </c>
      <c r="I254" s="448" t="s">
        <v>781</v>
      </c>
      <c r="J254" s="449" t="s">
        <v>20</v>
      </c>
      <c r="K254" s="450">
        <f>LOOKUP(1E+100,M254:AC254)</f>
        <v>2131.4728829875548</v>
      </c>
      <c r="L254" s="448"/>
      <c r="M254" s="450">
        <v>2200</v>
      </c>
      <c r="O254" s="451"/>
      <c r="P254" s="451">
        <v>2122.3031989403148</v>
      </c>
      <c r="Q254" s="451"/>
      <c r="R254" s="451">
        <v>2123.540387847499</v>
      </c>
      <c r="S254" s="451"/>
      <c r="T254" s="451">
        <v>2111.6382579341143</v>
      </c>
      <c r="U254" s="451"/>
      <c r="V254" s="451">
        <v>2131.4728829875548</v>
      </c>
      <c r="W254" s="451"/>
      <c r="X254" s="451"/>
      <c r="Y254" s="451"/>
      <c r="Z254" s="451"/>
      <c r="AA254" s="451"/>
      <c r="AB254" s="451"/>
      <c r="AC254" s="451"/>
      <c r="AD254" s="451"/>
      <c r="AE254" s="451"/>
      <c r="AF254" s="451"/>
      <c r="AG254" s="451"/>
      <c r="AH254"/>
      <c r="AI254"/>
    </row>
    <row r="255" spans="1:35" s="450" customFormat="1" x14ac:dyDescent="0.25">
      <c r="A255" s="448">
        <v>6</v>
      </c>
      <c r="B255" s="448"/>
      <c r="C255" s="448">
        <f>IF(E255=E254,C254+1,1)</f>
        <v>48</v>
      </c>
      <c r="D255" s="448">
        <f>IF(M255=M254,D254,C255)</f>
        <v>43</v>
      </c>
      <c r="E255" s="448">
        <f>10+VALUE(RIGHT(LEFT(G255,3),1))</f>
        <v>16</v>
      </c>
      <c r="F255" s="448" t="str">
        <f>RIGHT(G255,2) &amp; IF(A255&lt;2,"x","")</f>
        <v>pm</v>
      </c>
      <c r="G255" s="448" t="s">
        <v>796</v>
      </c>
      <c r="H255" s="448" t="s">
        <v>338</v>
      </c>
      <c r="I255" s="448" t="s">
        <v>797</v>
      </c>
      <c r="J255" s="449" t="s">
        <v>20</v>
      </c>
      <c r="K255" s="450">
        <f>LOOKUP(1E+100,M255:AC255)</f>
        <v>2115.0988210079436</v>
      </c>
      <c r="L255" s="448"/>
      <c r="M255" s="450">
        <v>2200</v>
      </c>
      <c r="R255" s="450">
        <v>2201.5596850765965</v>
      </c>
      <c r="T255" s="450">
        <v>2157.9394663859975</v>
      </c>
      <c r="V255" s="450">
        <v>2115.0988210079436</v>
      </c>
      <c r="AH255"/>
      <c r="AI255"/>
    </row>
    <row r="256" spans="1:35" s="450" customFormat="1" x14ac:dyDescent="0.25">
      <c r="A256" s="448">
        <v>4</v>
      </c>
      <c r="B256" s="448"/>
      <c r="C256" s="448">
        <f>IF(E256=E255,C255+1,1)</f>
        <v>49</v>
      </c>
      <c r="D256" s="448">
        <f>IF(M256=M255,D255,C256)</f>
        <v>43</v>
      </c>
      <c r="E256" s="448">
        <f>10+VALUE(RIGHT(LEFT(G256,3),1))</f>
        <v>16</v>
      </c>
      <c r="F256" s="448" t="str">
        <f>RIGHT(G256,2) &amp; IF(A256&lt;2,"x","")</f>
        <v>pm</v>
      </c>
      <c r="G256" s="448" t="s">
        <v>792</v>
      </c>
      <c r="H256" s="448" t="s">
        <v>306</v>
      </c>
      <c r="I256" s="448" t="s">
        <v>793</v>
      </c>
      <c r="J256" s="449" t="s">
        <v>20</v>
      </c>
      <c r="K256" s="450">
        <f>LOOKUP(1E+100,M256:AC256)</f>
        <v>2091.1587890358014</v>
      </c>
      <c r="L256" s="448"/>
      <c r="M256" s="450">
        <v>2200</v>
      </c>
      <c r="T256" s="450">
        <v>2114.1208503761477</v>
      </c>
      <c r="V256" s="450">
        <v>2091.1587890358014</v>
      </c>
      <c r="AH256"/>
      <c r="AI256"/>
    </row>
    <row r="257" spans="1:35" s="450" customFormat="1" x14ac:dyDescent="0.25">
      <c r="A257" s="448">
        <v>6</v>
      </c>
      <c r="B257" s="448"/>
      <c r="C257" s="448">
        <f>IF(E257=E256,C256+1,1)</f>
        <v>50</v>
      </c>
      <c r="D257" s="448">
        <f>IF(M257=M256,D256,C257)</f>
        <v>43</v>
      </c>
      <c r="E257" s="448">
        <f>10+VALUE(RIGHT(LEFT(G257,3),1))</f>
        <v>16</v>
      </c>
      <c r="F257" s="448" t="str">
        <f>RIGHT(G257,2) &amp; IF(A257&lt;2,"x","")</f>
        <v>pm</v>
      </c>
      <c r="G257" s="448" t="s">
        <v>790</v>
      </c>
      <c r="H257" s="448" t="s">
        <v>374</v>
      </c>
      <c r="I257" s="448" t="s">
        <v>791</v>
      </c>
      <c r="J257" s="449" t="s">
        <v>20</v>
      </c>
      <c r="K257" s="450">
        <f>LOOKUP(1E+100,M257:AC257)</f>
        <v>1947.4485002397239</v>
      </c>
      <c r="L257" s="448"/>
      <c r="M257" s="450">
        <v>2200</v>
      </c>
      <c r="R257" s="450">
        <v>2115.980955417655</v>
      </c>
      <c r="T257" s="450">
        <v>2016.2436789687517</v>
      </c>
      <c r="V257" s="450">
        <v>1947.4485002397239</v>
      </c>
      <c r="AH257"/>
      <c r="AI257"/>
    </row>
    <row r="258" spans="1:35" s="450" customFormat="1" x14ac:dyDescent="0.25">
      <c r="A258" s="448">
        <v>3</v>
      </c>
      <c r="B258" s="448"/>
      <c r="C258" s="448">
        <f>IF(E258=E257,C257+1,1)</f>
        <v>1</v>
      </c>
      <c r="D258" s="448">
        <f>IF(M258=M257,D257,C258)</f>
        <v>1</v>
      </c>
      <c r="E258" s="448">
        <f>10+VALUE(RIGHT(LEFT(G258,3),1))</f>
        <v>17</v>
      </c>
      <c r="F258" s="448" t="str">
        <f>RIGHT(G258,2) &amp; IF(A258&lt;2,"x","")</f>
        <v>pm</v>
      </c>
      <c r="G258" s="448" t="s">
        <v>807</v>
      </c>
      <c r="H258" s="448" t="s">
        <v>437</v>
      </c>
      <c r="I258" s="448" t="s">
        <v>808</v>
      </c>
      <c r="J258" s="449" t="s">
        <v>21</v>
      </c>
      <c r="K258" s="450">
        <f>LOOKUP(1E+100,M258:AC258)</f>
        <v>3102.4893975941986</v>
      </c>
      <c r="L258" s="448"/>
      <c r="M258" s="450">
        <v>2800</v>
      </c>
      <c r="O258" s="450">
        <v>2973.4736131947657</v>
      </c>
      <c r="S258" s="450">
        <v>3102.4893975941986</v>
      </c>
      <c r="AH258"/>
      <c r="AI258"/>
    </row>
    <row r="259" spans="1:35" s="450" customFormat="1" x14ac:dyDescent="0.25">
      <c r="A259" s="448">
        <v>5</v>
      </c>
      <c r="B259" s="448"/>
      <c r="C259" s="448">
        <f>IF(E259=E258,C258+1,1)</f>
        <v>2</v>
      </c>
      <c r="D259" s="448">
        <f>IF(M259=M258,D258,C259)</f>
        <v>1</v>
      </c>
      <c r="E259" s="448">
        <f>10+VALUE(RIGHT(LEFT(G259,3),1))</f>
        <v>17</v>
      </c>
      <c r="F259" s="448" t="str">
        <f>RIGHT(G259,2) &amp; IF(A259&lt;2,"x","")</f>
        <v>pm</v>
      </c>
      <c r="G259" s="448" t="s">
        <v>839</v>
      </c>
      <c r="H259" s="448" t="s">
        <v>338</v>
      </c>
      <c r="I259" s="448" t="s">
        <v>840</v>
      </c>
      <c r="J259" s="449" t="s">
        <v>21</v>
      </c>
      <c r="K259" s="450">
        <f>LOOKUP(1E+100,M259:AC259)</f>
        <v>3091.706773131953</v>
      </c>
      <c r="L259" s="448"/>
      <c r="M259" s="450">
        <v>2800</v>
      </c>
      <c r="S259" s="450">
        <v>2897.9672276536103</v>
      </c>
      <c r="U259" s="450">
        <v>3023.8142201815831</v>
      </c>
      <c r="W259" s="450">
        <v>3091.706773131953</v>
      </c>
      <c r="AH259"/>
      <c r="AI259"/>
    </row>
    <row r="260" spans="1:35" s="450" customFormat="1" x14ac:dyDescent="0.25">
      <c r="A260" s="448">
        <v>4</v>
      </c>
      <c r="B260" s="448"/>
      <c r="C260" s="448">
        <f>IF(E260=E259,C259+1,1)</f>
        <v>3</v>
      </c>
      <c r="D260" s="448">
        <f>IF(M260=M259,D259,C260)</f>
        <v>1</v>
      </c>
      <c r="E260" s="448">
        <f>10+VALUE(RIGHT(LEFT(G260,3),1))</f>
        <v>17</v>
      </c>
      <c r="F260" s="448" t="str">
        <f>RIGHT(G260,2) &amp; IF(A260&lt;2,"x","")</f>
        <v>pm</v>
      </c>
      <c r="G260" s="448" t="s">
        <v>837</v>
      </c>
      <c r="H260" s="448" t="s">
        <v>319</v>
      </c>
      <c r="I260" s="448" t="s">
        <v>838</v>
      </c>
      <c r="J260" s="449" t="s">
        <v>21</v>
      </c>
      <c r="K260" s="450">
        <f>LOOKUP(1E+100,M260:AC260)</f>
        <v>2965.2574364143725</v>
      </c>
      <c r="L260" s="448"/>
      <c r="M260" s="450">
        <v>2800</v>
      </c>
      <c r="O260" s="450">
        <v>2844.5024511436382</v>
      </c>
      <c r="S260" s="450">
        <v>2944.1884179431017</v>
      </c>
      <c r="U260" s="450">
        <v>2965.2574364143725</v>
      </c>
      <c r="AH260"/>
      <c r="AI260"/>
    </row>
    <row r="261" spans="1:35" s="450" customFormat="1" x14ac:dyDescent="0.25">
      <c r="A261" s="448">
        <v>4</v>
      </c>
      <c r="B261" s="448"/>
      <c r="C261" s="448">
        <f>IF(E261=E260,C260+1,1)</f>
        <v>4</v>
      </c>
      <c r="D261" s="448">
        <f>IF(M261=M260,D260,C261)</f>
        <v>1</v>
      </c>
      <c r="E261" s="448">
        <f>10+VALUE(RIGHT(LEFT(G261,3),1))</f>
        <v>17</v>
      </c>
      <c r="F261" s="448" t="str">
        <f>RIGHT(G261,2) &amp; IF(A261&lt;2,"x","")</f>
        <v>pm</v>
      </c>
      <c r="G261" s="448" t="s">
        <v>823</v>
      </c>
      <c r="H261" s="448" t="s">
        <v>754</v>
      </c>
      <c r="I261" s="448" t="s">
        <v>824</v>
      </c>
      <c r="J261" s="449" t="s">
        <v>21</v>
      </c>
      <c r="K261" s="450">
        <f>LOOKUP(1E+100,M261:AC261)</f>
        <v>2922.0931394091949</v>
      </c>
      <c r="L261" s="448"/>
      <c r="M261" s="450">
        <v>2800</v>
      </c>
      <c r="O261" s="450">
        <v>2863.4119766884087</v>
      </c>
      <c r="U261" s="450">
        <v>2922.0931394091949</v>
      </c>
      <c r="AH261"/>
      <c r="AI261"/>
    </row>
    <row r="262" spans="1:35" s="450" customFormat="1" x14ac:dyDescent="0.25">
      <c r="A262" s="448">
        <v>5</v>
      </c>
      <c r="B262" s="448"/>
      <c r="C262" s="448">
        <f>IF(E262=E261,C261+1,1)</f>
        <v>5</v>
      </c>
      <c r="D262" s="448">
        <f>IF(M262=M261,D261,C262)</f>
        <v>5</v>
      </c>
      <c r="E262" s="448">
        <f>10+VALUE(RIGHT(LEFT(G262,3),1))</f>
        <v>17</v>
      </c>
      <c r="F262" s="448" t="str">
        <f>RIGHT(G262,2) &amp; IF(A262&lt;2,"x","")</f>
        <v>pm</v>
      </c>
      <c r="G262" s="448" t="s">
        <v>851</v>
      </c>
      <c r="H262" s="448" t="s">
        <v>495</v>
      </c>
      <c r="I262" s="448" t="s">
        <v>852</v>
      </c>
      <c r="J262" s="449" t="s">
        <v>21</v>
      </c>
      <c r="K262" s="450">
        <f>LOOKUP(1E+100,M262:AC262)</f>
        <v>2889.2790620817036</v>
      </c>
      <c r="L262" s="448"/>
      <c r="M262" s="450">
        <v>2720</v>
      </c>
      <c r="O262" s="450">
        <v>2752.8864457613686</v>
      </c>
      <c r="R262" s="450">
        <v>2797.0632037070941</v>
      </c>
      <c r="U262" s="450">
        <v>2816.3858469383913</v>
      </c>
      <c r="W262" s="450">
        <v>2889.2790620817036</v>
      </c>
      <c r="AH262"/>
      <c r="AI262"/>
    </row>
    <row r="263" spans="1:35" s="450" customFormat="1" x14ac:dyDescent="0.25">
      <c r="A263" s="448">
        <v>2</v>
      </c>
      <c r="B263" s="448"/>
      <c r="C263" s="448">
        <f>IF(E263=E262,C262+1,1)</f>
        <v>6</v>
      </c>
      <c r="D263" s="448">
        <f>IF(M263=M262,D262,C263)</f>
        <v>6</v>
      </c>
      <c r="E263" s="448">
        <f>10+VALUE(RIGHT(LEFT(G263,3),1))</f>
        <v>17</v>
      </c>
      <c r="F263" s="448" t="str">
        <f>RIGHT(G263,2) &amp; IF(A263&lt;2,"x","")</f>
        <v>pm</v>
      </c>
      <c r="G263" s="448" t="s">
        <v>847</v>
      </c>
      <c r="H263" s="448" t="s">
        <v>316</v>
      </c>
      <c r="I263" s="448" t="s">
        <v>848</v>
      </c>
      <c r="J263" s="449" t="s">
        <v>21</v>
      </c>
      <c r="K263" s="450">
        <f>LOOKUP(1E+100,M263:AC263)</f>
        <v>2885.9737041923854</v>
      </c>
      <c r="L263" s="448"/>
      <c r="M263" s="450">
        <v>2800</v>
      </c>
      <c r="O263" s="450">
        <v>2885.9737041923854</v>
      </c>
      <c r="AH263"/>
      <c r="AI263"/>
    </row>
    <row r="264" spans="1:35" s="450" customFormat="1" x14ac:dyDescent="0.25">
      <c r="A264" s="448">
        <v>2</v>
      </c>
      <c r="B264" s="448"/>
      <c r="C264" s="448">
        <f>IF(E264=E263,C263+1,1)</f>
        <v>7</v>
      </c>
      <c r="D264" s="448">
        <f>IF(M264=M263,D263,C264)</f>
        <v>6</v>
      </c>
      <c r="E264" s="448">
        <f>10+VALUE(RIGHT(LEFT(G264,3),1))</f>
        <v>17</v>
      </c>
      <c r="F264" s="448" t="str">
        <f>RIGHT(G264,2) &amp; IF(A264&lt;2,"x","")</f>
        <v>pm</v>
      </c>
      <c r="G264" s="448" t="s">
        <v>831</v>
      </c>
      <c r="H264" s="448" t="s">
        <v>330</v>
      </c>
      <c r="I264" s="448" t="s">
        <v>832</v>
      </c>
      <c r="J264" s="449" t="s">
        <v>21</v>
      </c>
      <c r="K264" s="450">
        <f>LOOKUP(1E+100,M264:AC264)</f>
        <v>2866.5369510159803</v>
      </c>
      <c r="L264" s="448"/>
      <c r="M264" s="450">
        <v>2800</v>
      </c>
      <c r="S264" s="450">
        <v>2866.5369510159803</v>
      </c>
      <c r="AH264"/>
      <c r="AI264"/>
    </row>
    <row r="265" spans="1:35" s="450" customFormat="1" x14ac:dyDescent="0.25">
      <c r="A265" s="448">
        <v>5</v>
      </c>
      <c r="B265" s="448"/>
      <c r="C265" s="448">
        <f>IF(E265=E264,C264+1,1)</f>
        <v>8</v>
      </c>
      <c r="D265" s="448">
        <f>IF(M265=M264,D264,C265)</f>
        <v>6</v>
      </c>
      <c r="E265" s="448">
        <f>10+VALUE(RIGHT(LEFT(G265,3),1))</f>
        <v>17</v>
      </c>
      <c r="F265" s="448" t="str">
        <f>RIGHT(G265,2) &amp; IF(A265&lt;2,"x","")</f>
        <v>pm</v>
      </c>
      <c r="G265" s="448" t="s">
        <v>841</v>
      </c>
      <c r="H265" s="448" t="s">
        <v>338</v>
      </c>
      <c r="I265" s="448" t="s">
        <v>842</v>
      </c>
      <c r="J265" s="449" t="s">
        <v>21</v>
      </c>
      <c r="K265" s="450">
        <f>LOOKUP(1E+100,M265:AC265)</f>
        <v>2853.5524306520124</v>
      </c>
      <c r="L265" s="448"/>
      <c r="M265" s="450">
        <v>2800</v>
      </c>
      <c r="S265" s="450">
        <v>2808.2840462244581</v>
      </c>
      <c r="U265" s="450">
        <v>2819.6604021954827</v>
      </c>
      <c r="W265" s="450">
        <v>2853.5524306520124</v>
      </c>
      <c r="AH265"/>
      <c r="AI265"/>
    </row>
    <row r="266" spans="1:35" s="450" customFormat="1" x14ac:dyDescent="0.25">
      <c r="A266" s="448">
        <v>5</v>
      </c>
      <c r="B266" s="448"/>
      <c r="C266" s="448">
        <f>IF(E266=E265,C265+1,1)</f>
        <v>9</v>
      </c>
      <c r="D266" s="448">
        <f>IF(M266=M265,D265,C266)</f>
        <v>6</v>
      </c>
      <c r="E266" s="448">
        <f>10+VALUE(RIGHT(LEFT(G266,3),1))</f>
        <v>17</v>
      </c>
      <c r="F266" s="448" t="str">
        <f>RIGHT(G266,2) &amp; IF(A266&lt;2,"x","")</f>
        <v>pm</v>
      </c>
      <c r="G266" s="448" t="s">
        <v>825</v>
      </c>
      <c r="H266" s="448" t="s">
        <v>754</v>
      </c>
      <c r="I266" s="448" t="s">
        <v>826</v>
      </c>
      <c r="J266" s="449" t="s">
        <v>21</v>
      </c>
      <c r="K266" s="450">
        <f>LOOKUP(1E+100,M266:AC266)</f>
        <v>2845.3373726293012</v>
      </c>
      <c r="L266" s="448"/>
      <c r="M266" s="450">
        <v>2800</v>
      </c>
      <c r="O266" s="450">
        <v>2821.4378785123886</v>
      </c>
      <c r="U266" s="450">
        <v>2836.8425057223294</v>
      </c>
      <c r="W266" s="450">
        <v>2845.3373726293012</v>
      </c>
      <c r="AH266"/>
      <c r="AI266"/>
    </row>
    <row r="267" spans="1:35" s="450" customFormat="1" x14ac:dyDescent="0.25">
      <c r="A267" s="448">
        <v>6</v>
      </c>
      <c r="B267" s="448"/>
      <c r="C267" s="448">
        <f>IF(E267=E266,C266+1,1)</f>
        <v>10</v>
      </c>
      <c r="D267" s="448">
        <f>IF(M267=M266,D266,C267)</f>
        <v>6</v>
      </c>
      <c r="E267" s="448">
        <f>10+VALUE(RIGHT(LEFT(G267,3),1))</f>
        <v>17</v>
      </c>
      <c r="F267" s="448" t="str">
        <f>RIGHT(G267,2) &amp; IF(A267&lt;2,"x","")</f>
        <v>pm</v>
      </c>
      <c r="G267" s="448" t="s">
        <v>843</v>
      </c>
      <c r="H267" s="448" t="s">
        <v>504</v>
      </c>
      <c r="I267" s="448" t="s">
        <v>844</v>
      </c>
      <c r="J267" s="449" t="s">
        <v>21</v>
      </c>
      <c r="K267" s="450">
        <f>LOOKUP(1E+100,M267:AC267)</f>
        <v>2840.9033196255391</v>
      </c>
      <c r="L267" s="448"/>
      <c r="M267" s="450">
        <v>2800</v>
      </c>
      <c r="O267" s="450">
        <v>2802.3886420389995</v>
      </c>
      <c r="S267" s="450">
        <v>2776.5669321360288</v>
      </c>
      <c r="U267" s="450">
        <v>2797.3454256156274</v>
      </c>
      <c r="W267" s="450">
        <v>2840.9033196255391</v>
      </c>
      <c r="AH267"/>
      <c r="AI267"/>
    </row>
    <row r="268" spans="1:35" s="450" customFormat="1" x14ac:dyDescent="0.25">
      <c r="A268" s="448">
        <v>3</v>
      </c>
      <c r="B268" s="448"/>
      <c r="C268" s="448">
        <f>IF(E268=E267,C267+1,1)</f>
        <v>11</v>
      </c>
      <c r="D268" s="448">
        <f>IF(M268=M267,D267,C268)</f>
        <v>6</v>
      </c>
      <c r="E268" s="448">
        <f>10+VALUE(RIGHT(LEFT(G268,3),1))</f>
        <v>17</v>
      </c>
      <c r="F268" s="448" t="str">
        <f>RIGHT(G268,2) &amp; IF(A268&lt;2,"x","")</f>
        <v>pm</v>
      </c>
      <c r="G268" s="448" t="s">
        <v>845</v>
      </c>
      <c r="H268" s="448" t="s">
        <v>668</v>
      </c>
      <c r="I268" s="448" t="s">
        <v>846</v>
      </c>
      <c r="J268" s="449" t="s">
        <v>21</v>
      </c>
      <c r="K268" s="450">
        <f>LOOKUP(1E+100,M268:AC268)</f>
        <v>2833.2954688575801</v>
      </c>
      <c r="L268" s="448"/>
      <c r="M268" s="450">
        <v>2800</v>
      </c>
      <c r="O268" s="450">
        <v>2845.1085264971489</v>
      </c>
      <c r="U268" s="450">
        <v>2833.2954688575801</v>
      </c>
      <c r="AH268"/>
      <c r="AI268"/>
    </row>
    <row r="269" spans="1:35" s="450" customFormat="1" x14ac:dyDescent="0.25">
      <c r="A269" s="448">
        <v>2</v>
      </c>
      <c r="B269" s="448"/>
      <c r="C269" s="448">
        <f>IF(E269=E268,C268+1,1)</f>
        <v>12</v>
      </c>
      <c r="D269" s="448">
        <f>IF(M269=M268,D268,C269)</f>
        <v>6</v>
      </c>
      <c r="E269" s="448">
        <f>10+VALUE(RIGHT(LEFT(G269,3),1))</f>
        <v>17</v>
      </c>
      <c r="F269" s="448" t="str">
        <f>RIGHT(G269,2) &amp; IF(A269&lt;2,"x","")</f>
        <v>pm</v>
      </c>
      <c r="G269" s="448" t="s">
        <v>833</v>
      </c>
      <c r="H269" s="448" t="s">
        <v>330</v>
      </c>
      <c r="I269" s="448" t="s">
        <v>834</v>
      </c>
      <c r="J269" s="449" t="s">
        <v>21</v>
      </c>
      <c r="K269" s="450">
        <f>LOOKUP(1E+100,M269:AC269)</f>
        <v>2815.3029305288383</v>
      </c>
      <c r="L269" s="448"/>
      <c r="M269" s="450">
        <v>2800</v>
      </c>
      <c r="S269" s="450">
        <v>2815.3029305288383</v>
      </c>
      <c r="AH269"/>
      <c r="AI269"/>
    </row>
    <row r="270" spans="1:35" s="450" customFormat="1" x14ac:dyDescent="0.25">
      <c r="A270" s="448">
        <v>5</v>
      </c>
      <c r="B270" s="448"/>
      <c r="C270" s="448">
        <f>IF(E270=E269,C269+1,1)</f>
        <v>13</v>
      </c>
      <c r="D270" s="448">
        <f>IF(M270=M269,D269,C270)</f>
        <v>6</v>
      </c>
      <c r="E270" s="448">
        <f>10+VALUE(RIGHT(LEFT(G270,3),1))</f>
        <v>17</v>
      </c>
      <c r="F270" s="448" t="str">
        <f>RIGHT(G270,2) &amp; IF(A270&lt;2,"x","")</f>
        <v>pm</v>
      </c>
      <c r="G270" s="448" t="s">
        <v>815</v>
      </c>
      <c r="H270" s="448" t="s">
        <v>353</v>
      </c>
      <c r="I270" s="448" t="s">
        <v>816</v>
      </c>
      <c r="J270" s="449" t="s">
        <v>21</v>
      </c>
      <c r="K270" s="450">
        <f>LOOKUP(1E+100,M270:AC270)</f>
        <v>2786.3593972617896</v>
      </c>
      <c r="L270" s="448"/>
      <c r="M270" s="450">
        <v>2800</v>
      </c>
      <c r="O270" s="450">
        <v>2861.234669416272</v>
      </c>
      <c r="S270" s="450">
        <v>2829.2198638381028</v>
      </c>
      <c r="U270" s="450">
        <v>2802.8310835691345</v>
      </c>
      <c r="W270" s="450">
        <v>2786.3593972617896</v>
      </c>
      <c r="AH270"/>
      <c r="AI270"/>
    </row>
    <row r="271" spans="1:35" s="450" customFormat="1" x14ac:dyDescent="0.25">
      <c r="A271" s="448">
        <v>2</v>
      </c>
      <c r="B271" s="448"/>
      <c r="C271" s="448">
        <f>IF(E271=E270,C270+1,1)</f>
        <v>14</v>
      </c>
      <c r="D271" s="448">
        <f>IF(M271=M270,D270,C271)</f>
        <v>6</v>
      </c>
      <c r="E271" s="448">
        <f>10+VALUE(RIGHT(LEFT(G271,3),1))</f>
        <v>17</v>
      </c>
      <c r="F271" s="448" t="str">
        <f>RIGHT(G271,2) &amp; IF(A271&lt;2,"x","")</f>
        <v>pm</v>
      </c>
      <c r="G271" s="448" t="s">
        <v>802</v>
      </c>
      <c r="H271" s="448" t="s">
        <v>803</v>
      </c>
      <c r="I271" s="448" t="s">
        <v>804</v>
      </c>
      <c r="J271" s="449" t="s">
        <v>21</v>
      </c>
      <c r="K271" s="450">
        <f>LOOKUP(1E+100,M271:AC271)</f>
        <v>2779.2387967590221</v>
      </c>
      <c r="L271" s="448"/>
      <c r="M271" s="450">
        <v>2800</v>
      </c>
      <c r="S271" s="450">
        <v>2779.2387967590221</v>
      </c>
      <c r="AH271"/>
      <c r="AI271"/>
    </row>
    <row r="272" spans="1:35" s="450" customFormat="1" x14ac:dyDescent="0.25">
      <c r="A272" s="448">
        <v>2</v>
      </c>
      <c r="B272" s="448"/>
      <c r="C272" s="448">
        <f>IF(E272=E271,C271+1,1)</f>
        <v>15</v>
      </c>
      <c r="D272" s="448">
        <f>IF(M272=M271,D271,C272)</f>
        <v>15</v>
      </c>
      <c r="E272" s="448">
        <f>10+VALUE(RIGHT(LEFT(G272,3),1))</f>
        <v>17</v>
      </c>
      <c r="F272" s="448" t="str">
        <f>RIGHT(G272,2) &amp; IF(A272&lt;2,"x","")</f>
        <v>pm</v>
      </c>
      <c r="G272" s="448" t="s">
        <v>853</v>
      </c>
      <c r="H272" s="448" t="s">
        <v>316</v>
      </c>
      <c r="I272" s="448" t="s">
        <v>854</v>
      </c>
      <c r="J272" s="449" t="s">
        <v>21</v>
      </c>
      <c r="K272" s="450">
        <f>LOOKUP(1E+100,M272:AC272)</f>
        <v>2770.5404194699536</v>
      </c>
      <c r="L272" s="448"/>
      <c r="M272" s="450">
        <v>2700</v>
      </c>
      <c r="T272" s="450">
        <v>2770.5404194699536</v>
      </c>
      <c r="AH272"/>
      <c r="AI272"/>
    </row>
    <row r="273" spans="1:35" s="450" customFormat="1" x14ac:dyDescent="0.25">
      <c r="A273" s="448">
        <v>2</v>
      </c>
      <c r="B273" s="448"/>
      <c r="C273" s="448">
        <f>IF(E273=E272,C272+1,1)</f>
        <v>16</v>
      </c>
      <c r="D273" s="448">
        <f>IF(M273=M272,D272,C273)</f>
        <v>16</v>
      </c>
      <c r="E273" s="448">
        <f>10+VALUE(RIGHT(LEFT(G273,3),1))</f>
        <v>17</v>
      </c>
      <c r="F273" s="448" t="str">
        <f>RIGHT(G273,2) &amp; IF(A273&lt;2,"x","")</f>
        <v>pm</v>
      </c>
      <c r="G273" s="448" t="s">
        <v>805</v>
      </c>
      <c r="H273" s="448" t="s">
        <v>303</v>
      </c>
      <c r="I273" s="448" t="s">
        <v>806</v>
      </c>
      <c r="J273" s="449" t="s">
        <v>21</v>
      </c>
      <c r="K273" s="450">
        <f>LOOKUP(1E+100,M273:AC273)</f>
        <v>2718.8434819238246</v>
      </c>
      <c r="L273" s="448"/>
      <c r="M273" s="450">
        <v>2800</v>
      </c>
      <c r="U273" s="450">
        <v>2718.8434819238246</v>
      </c>
      <c r="AH273"/>
      <c r="AI273"/>
    </row>
    <row r="274" spans="1:35" s="450" customFormat="1" x14ac:dyDescent="0.25">
      <c r="A274" s="448">
        <v>5</v>
      </c>
      <c r="B274" s="448"/>
      <c r="C274" s="448">
        <f>IF(E274=E273,C273+1,1)</f>
        <v>17</v>
      </c>
      <c r="D274" s="448">
        <f>IF(M274=M273,D273,C274)</f>
        <v>16</v>
      </c>
      <c r="E274" s="448">
        <f>10+VALUE(RIGHT(LEFT(G274,3),1))</f>
        <v>17</v>
      </c>
      <c r="F274" s="448" t="str">
        <f>RIGHT(G274,2) &amp; IF(A274&lt;2,"x","")</f>
        <v>pm</v>
      </c>
      <c r="G274" s="448" t="s">
        <v>835</v>
      </c>
      <c r="H274" s="448" t="s">
        <v>327</v>
      </c>
      <c r="I274" s="448" t="s">
        <v>836</v>
      </c>
      <c r="J274" s="449" t="s">
        <v>21</v>
      </c>
      <c r="K274" s="450">
        <f>LOOKUP(1E+100,M274:AC274)</f>
        <v>2713.2827458163829</v>
      </c>
      <c r="L274" s="448"/>
      <c r="M274" s="450">
        <v>2800</v>
      </c>
      <c r="O274" s="450">
        <v>2696.2480007280747</v>
      </c>
      <c r="S274" s="450">
        <v>2737.7307164150166</v>
      </c>
      <c r="W274" s="450">
        <v>2713.2827458163829</v>
      </c>
      <c r="AH274"/>
      <c r="AI274"/>
    </row>
    <row r="275" spans="1:35" s="450" customFormat="1" x14ac:dyDescent="0.25">
      <c r="A275" s="448">
        <v>7</v>
      </c>
      <c r="B275" s="448"/>
      <c r="C275" s="448">
        <f>IF(E275=E274,C274+1,1)</f>
        <v>18</v>
      </c>
      <c r="D275" s="448">
        <f>IF(M275=M274,D274,C275)</f>
        <v>16</v>
      </c>
      <c r="E275" s="448">
        <f>10+VALUE(RIGHT(LEFT(G275,3),1))</f>
        <v>17</v>
      </c>
      <c r="F275" s="448" t="str">
        <f>RIGHT(G275,2) &amp; IF(A275&lt;2,"x","")</f>
        <v>pm</v>
      </c>
      <c r="G275" s="448" t="s">
        <v>829</v>
      </c>
      <c r="H275" s="448" t="s">
        <v>309</v>
      </c>
      <c r="I275" s="448" t="s">
        <v>830</v>
      </c>
      <c r="J275" s="449" t="s">
        <v>21</v>
      </c>
      <c r="K275" s="450">
        <f>LOOKUP(1E+100,M275:AC275)</f>
        <v>2659.2321259128621</v>
      </c>
      <c r="L275" s="448"/>
      <c r="M275" s="450">
        <v>2800</v>
      </c>
      <c r="O275" s="450">
        <v>2784.6569942953811</v>
      </c>
      <c r="Q275" s="450">
        <v>2775.1107645117636</v>
      </c>
      <c r="S275" s="450">
        <v>2693.8652056318556</v>
      </c>
      <c r="U275" s="450">
        <v>2719.4303773869187</v>
      </c>
      <c r="W275" s="450">
        <v>2659.2321259128621</v>
      </c>
      <c r="AH275"/>
      <c r="AI275"/>
    </row>
    <row r="276" spans="1:35" s="450" customFormat="1" x14ac:dyDescent="0.25">
      <c r="A276" s="448">
        <v>5</v>
      </c>
      <c r="B276" s="448"/>
      <c r="C276" s="448">
        <f>IF(E276=E275,C275+1,1)</f>
        <v>19</v>
      </c>
      <c r="D276" s="448">
        <f>IF(M276=M275,D275,C276)</f>
        <v>16</v>
      </c>
      <c r="E276" s="448">
        <f>10+VALUE(RIGHT(LEFT(G276,3),1))</f>
        <v>17</v>
      </c>
      <c r="F276" s="448" t="str">
        <f>RIGHT(G276,2) &amp; IF(A276&lt;2,"x","")</f>
        <v>pm</v>
      </c>
      <c r="G276" s="448" t="s">
        <v>813</v>
      </c>
      <c r="H276" s="448" t="s">
        <v>350</v>
      </c>
      <c r="I276" s="448" t="s">
        <v>814</v>
      </c>
      <c r="J276" s="449" t="s">
        <v>21</v>
      </c>
      <c r="K276" s="450">
        <f>LOOKUP(1E+100,M276:AC276)</f>
        <v>2653.5096789028289</v>
      </c>
      <c r="L276" s="448"/>
      <c r="M276" s="450">
        <v>2800</v>
      </c>
      <c r="O276" s="450">
        <v>2754.6049256265082</v>
      </c>
      <c r="U276" s="450">
        <v>2697.9075045714135</v>
      </c>
      <c r="W276" s="450">
        <v>2653.5096789028289</v>
      </c>
      <c r="AH276"/>
      <c r="AI276"/>
    </row>
    <row r="277" spans="1:35" s="450" customFormat="1" x14ac:dyDescent="0.25">
      <c r="A277" s="448">
        <v>6</v>
      </c>
      <c r="B277" s="448"/>
      <c r="C277" s="448">
        <f>IF(E277=E276,C276+1,1)</f>
        <v>20</v>
      </c>
      <c r="D277" s="448">
        <f>IF(M277=M276,D276,C277)</f>
        <v>20</v>
      </c>
      <c r="E277" s="448">
        <f>10+VALUE(RIGHT(LEFT(G277,3),1))</f>
        <v>17</v>
      </c>
      <c r="F277" s="448" t="str">
        <f>RIGHT(G277,2) &amp; IF(A277&lt;2,"x","")</f>
        <v>pm</v>
      </c>
      <c r="G277" s="448" t="s">
        <v>849</v>
      </c>
      <c r="H277" s="448" t="s">
        <v>396</v>
      </c>
      <c r="I277" s="448" t="s">
        <v>850</v>
      </c>
      <c r="J277" s="449" t="s">
        <v>21</v>
      </c>
      <c r="K277" s="450">
        <f>LOOKUP(1E+100,M277:AC277)</f>
        <v>2646.4053617802574</v>
      </c>
      <c r="L277" s="448"/>
      <c r="M277" s="450">
        <v>2733.3333333333335</v>
      </c>
      <c r="O277" s="450">
        <v>2732.753895579172</v>
      </c>
      <c r="Q277" s="450">
        <v>2797.9208619773253</v>
      </c>
      <c r="S277" s="450">
        <v>2759.5348371771374</v>
      </c>
      <c r="U277" s="450">
        <v>2678.4586435577248</v>
      </c>
      <c r="V277" s="450">
        <v>2646.4053617802574</v>
      </c>
      <c r="AH277"/>
      <c r="AI277"/>
    </row>
    <row r="278" spans="1:35" s="450" customFormat="1" x14ac:dyDescent="0.25">
      <c r="A278" s="448">
        <v>6</v>
      </c>
      <c r="B278" s="448"/>
      <c r="C278" s="448">
        <f>IF(E278=E277,C277+1,1)</f>
        <v>21</v>
      </c>
      <c r="D278" s="448">
        <f>IF(M278=M277,D277,C278)</f>
        <v>21</v>
      </c>
      <c r="E278" s="448">
        <f>10+VALUE(RIGHT(LEFT(G278,3),1))</f>
        <v>17</v>
      </c>
      <c r="F278" s="448" t="str">
        <f>RIGHT(G278,2) &amp; IF(A278&lt;2,"x","")</f>
        <v>pm</v>
      </c>
      <c r="G278" s="448" t="s">
        <v>817</v>
      </c>
      <c r="H278" s="448" t="s">
        <v>358</v>
      </c>
      <c r="I278" s="448" t="s">
        <v>818</v>
      </c>
      <c r="J278" s="449" t="s">
        <v>21</v>
      </c>
      <c r="K278" s="450">
        <f>LOOKUP(1E+100,M278:AC278)</f>
        <v>2543.2164109759397</v>
      </c>
      <c r="L278" s="448"/>
      <c r="M278" s="450">
        <v>2800</v>
      </c>
      <c r="Q278" s="450">
        <v>2706.2787039991958</v>
      </c>
      <c r="S278" s="450">
        <v>2622.3374001433344</v>
      </c>
      <c r="U278" s="450">
        <v>2578.3608914325077</v>
      </c>
      <c r="W278" s="450">
        <v>2543.2164109759397</v>
      </c>
      <c r="AH278"/>
      <c r="AI278"/>
    </row>
    <row r="279" spans="1:35" s="450" customFormat="1" x14ac:dyDescent="0.25">
      <c r="A279" s="448">
        <v>3</v>
      </c>
      <c r="B279" s="448"/>
      <c r="C279" s="448">
        <f>IF(E279=E278,C278+1,1)</f>
        <v>22</v>
      </c>
      <c r="D279" s="448">
        <f>IF(M279=M278,D278,C279)</f>
        <v>22</v>
      </c>
      <c r="E279" s="448">
        <f>10+VALUE(RIGHT(LEFT(G279,3),1))</f>
        <v>17</v>
      </c>
      <c r="F279" s="448" t="str">
        <f>RIGHT(G279,2) &amp; IF(A279&lt;2,"x","")</f>
        <v>pm</v>
      </c>
      <c r="G279" s="448" t="s">
        <v>855</v>
      </c>
      <c r="H279" s="448" t="s">
        <v>554</v>
      </c>
      <c r="I279" s="448" t="s">
        <v>856</v>
      </c>
      <c r="J279" s="449" t="s">
        <v>20</v>
      </c>
      <c r="K279" s="450">
        <f>LOOKUP(1E+100,M279:AC279)</f>
        <v>2530.5685181171116</v>
      </c>
      <c r="L279" s="448"/>
      <c r="M279" s="450">
        <v>2400</v>
      </c>
      <c r="O279" s="451"/>
      <c r="P279" s="451">
        <v>2541.3291547953268</v>
      </c>
      <c r="Q279" s="451"/>
      <c r="R279" s="451">
        <v>2447.0319715664677</v>
      </c>
      <c r="S279" s="451"/>
      <c r="T279" s="451"/>
      <c r="U279" s="451"/>
      <c r="V279" s="451">
        <v>2530.5685181171116</v>
      </c>
      <c r="W279" s="451"/>
      <c r="X279" s="451"/>
      <c r="Y279" s="451"/>
      <c r="Z279" s="451"/>
      <c r="AA279" s="451"/>
      <c r="AB279" s="451"/>
      <c r="AC279" s="451"/>
      <c r="AD279" s="451"/>
      <c r="AE279" s="451"/>
      <c r="AF279" s="451"/>
      <c r="AG279" s="451"/>
      <c r="AH279"/>
      <c r="AI279"/>
    </row>
    <row r="280" spans="1:35" s="450" customFormat="1" x14ac:dyDescent="0.25">
      <c r="A280" s="448">
        <v>6</v>
      </c>
      <c r="B280" s="448"/>
      <c r="C280" s="448">
        <f>IF(E280=E279,C279+1,1)</f>
        <v>23</v>
      </c>
      <c r="D280" s="448">
        <f>IF(M280=M279,D279,C280)</f>
        <v>23</v>
      </c>
      <c r="E280" s="448">
        <f>10+VALUE(RIGHT(LEFT(G280,3),1))</f>
        <v>17</v>
      </c>
      <c r="F280" s="448" t="str">
        <f>RIGHT(G280,2) &amp; IF(A280&lt;2,"x","")</f>
        <v>pm</v>
      </c>
      <c r="G280" s="448" t="s">
        <v>827</v>
      </c>
      <c r="H280" s="448" t="s">
        <v>374</v>
      </c>
      <c r="I280" s="448" t="s">
        <v>828</v>
      </c>
      <c r="J280" s="449" t="s">
        <v>21</v>
      </c>
      <c r="K280" s="450">
        <f>LOOKUP(1E+100,M280:AC280)</f>
        <v>2502.8957750614904</v>
      </c>
      <c r="L280" s="448"/>
      <c r="M280" s="450">
        <v>2800</v>
      </c>
      <c r="Q280" s="450">
        <v>2662.8923313239829</v>
      </c>
      <c r="S280" s="450">
        <v>2583.0048160921388</v>
      </c>
      <c r="U280" s="450">
        <v>2544.0407981926219</v>
      </c>
      <c r="W280" s="450">
        <v>2502.8957750614904</v>
      </c>
      <c r="AH280"/>
      <c r="AI280"/>
    </row>
    <row r="281" spans="1:35" s="450" customFormat="1" x14ac:dyDescent="0.25">
      <c r="A281" s="448">
        <v>6</v>
      </c>
      <c r="B281" s="448"/>
      <c r="C281" s="448">
        <f>IF(E281=E280,C280+1,1)</f>
        <v>24</v>
      </c>
      <c r="D281" s="448">
        <f>IF(M281=M280,D280,C281)</f>
        <v>24</v>
      </c>
      <c r="E281" s="448">
        <f>10+VALUE(RIGHT(LEFT(G281,3),1))</f>
        <v>17</v>
      </c>
      <c r="F281" s="448" t="str">
        <f>RIGHT(G281,2) &amp; IF(A281&lt;2,"x","")</f>
        <v>pm</v>
      </c>
      <c r="G281" s="448" t="s">
        <v>863</v>
      </c>
      <c r="H281" s="448" t="s">
        <v>338</v>
      </c>
      <c r="I281" s="448" t="s">
        <v>864</v>
      </c>
      <c r="J281" s="449" t="s">
        <v>20</v>
      </c>
      <c r="K281" s="450">
        <f>LOOKUP(1E+100,M281:AC281)</f>
        <v>2433.4572810909845</v>
      </c>
      <c r="L281" s="448"/>
      <c r="M281" s="450">
        <v>2400</v>
      </c>
      <c r="R281" s="450">
        <v>2397.9058130222679</v>
      </c>
      <c r="T281" s="450">
        <v>2383.1397139572923</v>
      </c>
      <c r="V281" s="450">
        <v>2433.4572810909845</v>
      </c>
      <c r="AH281"/>
      <c r="AI281"/>
    </row>
    <row r="282" spans="1:35" s="450" customFormat="1" x14ac:dyDescent="0.25">
      <c r="A282" s="448">
        <v>3</v>
      </c>
      <c r="B282" s="448"/>
      <c r="C282" s="448">
        <f>IF(E282=E281,C281+1,1)</f>
        <v>25</v>
      </c>
      <c r="D282" s="448">
        <f>IF(M282=M281,D281,C282)</f>
        <v>24</v>
      </c>
      <c r="E282" s="448">
        <f>10+VALUE(RIGHT(LEFT(G282,3),1))</f>
        <v>17</v>
      </c>
      <c r="F282" s="448" t="str">
        <f>RIGHT(G282,2) &amp; IF(A282&lt;2,"x","")</f>
        <v>pm</v>
      </c>
      <c r="G282" s="448" t="s">
        <v>861</v>
      </c>
      <c r="H282" s="448" t="s">
        <v>365</v>
      </c>
      <c r="I282" s="448" t="s">
        <v>862</v>
      </c>
      <c r="J282" s="449" t="s">
        <v>20</v>
      </c>
      <c r="K282" s="450">
        <f>LOOKUP(1E+100,M282:AC282)</f>
        <v>2409.4855096244519</v>
      </c>
      <c r="L282" s="448"/>
      <c r="M282" s="450">
        <v>2400</v>
      </c>
      <c r="P282" s="450">
        <v>2438.5335285909896</v>
      </c>
      <c r="V282" s="450">
        <v>2409.4855096244519</v>
      </c>
      <c r="AH282"/>
      <c r="AI282"/>
    </row>
    <row r="283" spans="1:35" s="450" customFormat="1" x14ac:dyDescent="0.25">
      <c r="A283" s="448">
        <v>5</v>
      </c>
      <c r="B283" s="448"/>
      <c r="C283" s="448">
        <f>IF(E283=E282,C282+1,1)</f>
        <v>26</v>
      </c>
      <c r="D283" s="448">
        <f>IF(M283=M282,D282,C283)</f>
        <v>24</v>
      </c>
      <c r="E283" s="448">
        <f>10+VALUE(RIGHT(LEFT(G283,3),1))</f>
        <v>17</v>
      </c>
      <c r="F283" s="448" t="str">
        <f>RIGHT(G283,2) &amp; IF(A283&lt;2,"x","")</f>
        <v>pm</v>
      </c>
      <c r="G283" s="448" t="s">
        <v>857</v>
      </c>
      <c r="H283" s="448" t="s">
        <v>615</v>
      </c>
      <c r="I283" s="448" t="s">
        <v>858</v>
      </c>
      <c r="J283" s="449" t="s">
        <v>20</v>
      </c>
      <c r="K283" s="450">
        <f>LOOKUP(1E+100,M283:AC283)</f>
        <v>2394.9607741800619</v>
      </c>
      <c r="L283" s="448"/>
      <c r="M283" s="450">
        <v>2400</v>
      </c>
      <c r="O283" s="451"/>
      <c r="P283" s="451">
        <v>2525.1096133091269</v>
      </c>
      <c r="Q283" s="451"/>
      <c r="R283" s="451"/>
      <c r="S283" s="451"/>
      <c r="T283" s="451">
        <v>2385.4518972414598</v>
      </c>
      <c r="U283" s="451"/>
      <c r="V283" s="451">
        <v>2394.9607741800619</v>
      </c>
      <c r="W283" s="451"/>
      <c r="X283" s="451"/>
      <c r="Y283" s="451"/>
      <c r="Z283" s="451"/>
      <c r="AA283" s="451"/>
      <c r="AB283" s="451"/>
      <c r="AC283" s="451"/>
      <c r="AD283" s="451"/>
      <c r="AE283" s="451"/>
      <c r="AF283" s="451"/>
      <c r="AG283" s="451"/>
      <c r="AH283"/>
      <c r="AI283"/>
    </row>
    <row r="284" spans="1:35" s="450" customFormat="1" x14ac:dyDescent="0.25">
      <c r="A284" s="448">
        <v>4</v>
      </c>
      <c r="B284" s="448"/>
      <c r="C284" s="448">
        <f>IF(E284=E283,C283+1,1)</f>
        <v>27</v>
      </c>
      <c r="D284" s="448">
        <f>IF(M284=M283,D283,C284)</f>
        <v>24</v>
      </c>
      <c r="E284" s="448">
        <f>10+VALUE(RIGHT(LEFT(G284,3),1))</f>
        <v>17</v>
      </c>
      <c r="F284" s="448" t="str">
        <f>RIGHT(G284,2) &amp; IF(A284&lt;2,"x","")</f>
        <v>pm</v>
      </c>
      <c r="G284" s="448" t="s">
        <v>867</v>
      </c>
      <c r="H284" s="448" t="s">
        <v>341</v>
      </c>
      <c r="I284" s="448" t="s">
        <v>868</v>
      </c>
      <c r="J284" s="449" t="s">
        <v>20</v>
      </c>
      <c r="K284" s="450">
        <f>LOOKUP(1E+100,M284:AC284)</f>
        <v>2314.6354818318368</v>
      </c>
      <c r="L284" s="448"/>
      <c r="M284" s="450">
        <v>2400</v>
      </c>
      <c r="O284" s="451"/>
      <c r="P284" s="451"/>
      <c r="Q284" s="451"/>
      <c r="R284" s="451">
        <v>2344.6275487157213</v>
      </c>
      <c r="S284" s="451"/>
      <c r="T284" s="451">
        <v>2331.6658262868896</v>
      </c>
      <c r="U284" s="451"/>
      <c r="V284" s="451">
        <v>2314.6354818318368</v>
      </c>
      <c r="W284" s="451"/>
      <c r="X284" s="451"/>
      <c r="Y284" s="451"/>
      <c r="Z284" s="451"/>
      <c r="AA284" s="451"/>
      <c r="AB284" s="451"/>
      <c r="AC284" s="451"/>
      <c r="AH284"/>
      <c r="AI284"/>
    </row>
    <row r="285" spans="1:35" s="450" customFormat="1" x14ac:dyDescent="0.25">
      <c r="A285" s="448">
        <v>7</v>
      </c>
      <c r="B285" s="448"/>
      <c r="C285" s="448">
        <f>IF(E285=E284,C284+1,1)</f>
        <v>28</v>
      </c>
      <c r="D285" s="448">
        <f>IF(M285=M284,D284,C285)</f>
        <v>24</v>
      </c>
      <c r="E285" s="448">
        <f>10+VALUE(RIGHT(LEFT(G285,3),1))</f>
        <v>17</v>
      </c>
      <c r="F285" s="448" t="str">
        <f>RIGHT(G285,2) &amp; IF(A285&lt;2,"x","")</f>
        <v>pm</v>
      </c>
      <c r="G285" s="448" t="s">
        <v>859</v>
      </c>
      <c r="H285" s="448" t="s">
        <v>353</v>
      </c>
      <c r="I285" s="448" t="s">
        <v>860</v>
      </c>
      <c r="J285" s="449" t="s">
        <v>20</v>
      </c>
      <c r="K285" s="450">
        <f>LOOKUP(1E+100,M285:AC285)</f>
        <v>2240.861977404596</v>
      </c>
      <c r="L285" s="448"/>
      <c r="M285" s="450">
        <v>2400</v>
      </c>
      <c r="P285" s="450">
        <v>2416.330453389638</v>
      </c>
      <c r="R285" s="450">
        <v>2338.5089997355412</v>
      </c>
      <c r="T285" s="450">
        <v>2303.7318480220224</v>
      </c>
      <c r="V285" s="450">
        <v>2240.861977404596</v>
      </c>
      <c r="AH285"/>
      <c r="AI285"/>
    </row>
    <row r="286" spans="1:35" s="450" customFormat="1" x14ac:dyDescent="0.25">
      <c r="A286" s="448">
        <v>5</v>
      </c>
      <c r="B286" s="448"/>
      <c r="C286" s="448">
        <f>IF(E286=E285,C285+1,1)</f>
        <v>29</v>
      </c>
      <c r="D286" s="448">
        <f>IF(M286=M285,D285,C286)</f>
        <v>24</v>
      </c>
      <c r="E286" s="448">
        <f>10+VALUE(RIGHT(LEFT(G286,3),1))</f>
        <v>17</v>
      </c>
      <c r="F286" s="448" t="str">
        <f>RIGHT(G286,2) &amp; IF(A286&lt;2,"x","")</f>
        <v>pm</v>
      </c>
      <c r="G286" s="448" t="s">
        <v>865</v>
      </c>
      <c r="H286" s="448" t="s">
        <v>504</v>
      </c>
      <c r="I286" s="448" t="s">
        <v>866</v>
      </c>
      <c r="J286" s="449" t="s">
        <v>20</v>
      </c>
      <c r="K286" s="450">
        <f>LOOKUP(1E+100,M286:AC286)</f>
        <v>2195.6994788470638</v>
      </c>
      <c r="L286" s="448"/>
      <c r="M286" s="450">
        <v>2400</v>
      </c>
      <c r="R286" s="450">
        <v>2337.7028474617719</v>
      </c>
      <c r="T286" s="450">
        <v>2249.8790654342693</v>
      </c>
      <c r="V286" s="450">
        <v>2195.6994788470638</v>
      </c>
      <c r="AH286"/>
      <c r="AI286"/>
    </row>
    <row r="287" spans="1:35" s="450" customFormat="1" x14ac:dyDescent="0.25">
      <c r="A287" s="448">
        <v>3</v>
      </c>
      <c r="B287" s="448"/>
      <c r="C287" s="448">
        <f>IF(E287=E286,C286+1,1)</f>
        <v>1</v>
      </c>
      <c r="D287" s="448">
        <f>IF(M287=M286,D286,C287)</f>
        <v>1</v>
      </c>
      <c r="E287" s="448">
        <f>10+VALUE(RIGHT(LEFT(G287,3),1))</f>
        <v>18</v>
      </c>
      <c r="F287" s="448" t="str">
        <f>RIGHT(G287,2) &amp; IF(A287&lt;2,"x","")</f>
        <v>pm</v>
      </c>
      <c r="G287" s="448" t="s">
        <v>900</v>
      </c>
      <c r="H287" s="448" t="s">
        <v>668</v>
      </c>
      <c r="I287" s="448" t="s">
        <v>901</v>
      </c>
      <c r="J287" s="449" t="s">
        <v>21</v>
      </c>
      <c r="K287" s="450">
        <f>LOOKUP(1E+100,M287:AC287)</f>
        <v>3112.299077478679</v>
      </c>
      <c r="L287" s="448"/>
      <c r="M287" s="450">
        <v>3000</v>
      </c>
      <c r="O287" s="450">
        <v>3073.5430014703875</v>
      </c>
      <c r="U287" s="450">
        <v>3112.299077478679</v>
      </c>
      <c r="AH287"/>
      <c r="AI287"/>
    </row>
    <row r="288" spans="1:35" s="450" customFormat="1" x14ac:dyDescent="0.25">
      <c r="A288" s="448">
        <v>4</v>
      </c>
      <c r="B288" s="448"/>
      <c r="C288" s="448">
        <f>IF(E288=E287,C287+1,1)</f>
        <v>2</v>
      </c>
      <c r="D288" s="448">
        <f>IF(M288=M287,D287,C288)</f>
        <v>1</v>
      </c>
      <c r="E288" s="448">
        <f>10+VALUE(RIGHT(LEFT(G288,3),1))</f>
        <v>18</v>
      </c>
      <c r="F288" s="448" t="str">
        <f>RIGHT(G288,2) &amp; IF(A288&lt;2,"x","")</f>
        <v>pm</v>
      </c>
      <c r="G288" s="448" t="s">
        <v>883</v>
      </c>
      <c r="H288" s="448" t="s">
        <v>884</v>
      </c>
      <c r="I288" s="448" t="s">
        <v>885</v>
      </c>
      <c r="J288" s="449" t="s">
        <v>21</v>
      </c>
      <c r="K288" s="450">
        <f>LOOKUP(1E+100,M288:AC288)</f>
        <v>3079.1531819120014</v>
      </c>
      <c r="L288" s="448"/>
      <c r="M288" s="450">
        <v>3000</v>
      </c>
      <c r="O288" s="450">
        <v>3032.3841640874152</v>
      </c>
      <c r="U288" s="450">
        <v>3079.1531819120014</v>
      </c>
      <c r="AH288"/>
      <c r="AI288"/>
    </row>
    <row r="289" spans="1:35" s="450" customFormat="1" x14ac:dyDescent="0.25">
      <c r="A289" s="448">
        <v>2</v>
      </c>
      <c r="B289" s="448"/>
      <c r="C289" s="448">
        <f>IF(E289=E288,C288+1,1)</f>
        <v>3</v>
      </c>
      <c r="D289" s="448">
        <f>IF(M289=M288,D288,C289)</f>
        <v>1</v>
      </c>
      <c r="E289" s="448">
        <f>10+VALUE(RIGHT(LEFT(G289,3),1))</f>
        <v>18</v>
      </c>
      <c r="F289" s="448" t="str">
        <f>RIGHT(G289,2) &amp; IF(A289&lt;2,"x","")</f>
        <v>pm</v>
      </c>
      <c r="G289" s="448" t="s">
        <v>890</v>
      </c>
      <c r="H289" s="448" t="s">
        <v>330</v>
      </c>
      <c r="I289" s="448" t="s">
        <v>891</v>
      </c>
      <c r="J289" s="449" t="s">
        <v>21</v>
      </c>
      <c r="K289" s="450">
        <f>LOOKUP(1E+100,M289:AC289)</f>
        <v>3037.1327362053721</v>
      </c>
      <c r="L289" s="448"/>
      <c r="M289" s="450">
        <v>3000</v>
      </c>
      <c r="W289" s="450">
        <v>3037.1327362053721</v>
      </c>
      <c r="AH289"/>
      <c r="AI289"/>
    </row>
    <row r="290" spans="1:35" s="450" customFormat="1" x14ac:dyDescent="0.25">
      <c r="A290" s="448">
        <v>2</v>
      </c>
      <c r="B290" s="448"/>
      <c r="C290" s="448">
        <f>IF(E290=E289,C289+1,1)</f>
        <v>4</v>
      </c>
      <c r="D290" s="448">
        <f>IF(M290=M289,D289,C290)</f>
        <v>1</v>
      </c>
      <c r="E290" s="448">
        <f>10+VALUE(RIGHT(LEFT(G290,3),1))</f>
        <v>18</v>
      </c>
      <c r="F290" s="448" t="str">
        <f>RIGHT(G290,2) &amp; IF(A290&lt;2,"x","")</f>
        <v>pm</v>
      </c>
      <c r="G290" s="448" t="s">
        <v>877</v>
      </c>
      <c r="H290" s="448" t="s">
        <v>296</v>
      </c>
      <c r="I290" s="448" t="s">
        <v>878</v>
      </c>
      <c r="J290" s="449" t="s">
        <v>21</v>
      </c>
      <c r="K290" s="450">
        <f>LOOKUP(1E+100,M290:AC290)</f>
        <v>2948.6084253075928</v>
      </c>
      <c r="L290" s="448"/>
      <c r="M290" s="450">
        <v>3000</v>
      </c>
      <c r="O290" s="450">
        <v>2948.6084253075928</v>
      </c>
      <c r="AH290"/>
      <c r="AI290"/>
    </row>
    <row r="291" spans="1:35" s="450" customFormat="1" x14ac:dyDescent="0.25">
      <c r="A291" s="448">
        <v>2</v>
      </c>
      <c r="B291" s="448"/>
      <c r="C291" s="448">
        <f>IF(E291=E290,C290+1,1)</f>
        <v>5</v>
      </c>
      <c r="D291" s="448">
        <f>IF(M291=M290,D290,C291)</f>
        <v>1</v>
      </c>
      <c r="E291" s="448">
        <f>10+VALUE(RIGHT(LEFT(G291,3),1))</f>
        <v>18</v>
      </c>
      <c r="F291" s="448" t="str">
        <f>RIGHT(G291,2) &amp; IF(A291&lt;2,"x","")</f>
        <v>pm</v>
      </c>
      <c r="G291" s="448" t="s">
        <v>873</v>
      </c>
      <c r="H291" s="448" t="s">
        <v>437</v>
      </c>
      <c r="I291" s="448" t="s">
        <v>874</v>
      </c>
      <c r="J291" s="449" t="s">
        <v>21</v>
      </c>
      <c r="K291" s="450">
        <f>LOOKUP(1E+100,M291:AC291)</f>
        <v>2939.5864200932042</v>
      </c>
      <c r="L291" s="448"/>
      <c r="M291" s="450">
        <v>3000</v>
      </c>
      <c r="O291" s="450">
        <v>2931.3411210443674</v>
      </c>
      <c r="U291" s="450">
        <v>2939.5864200932042</v>
      </c>
      <c r="AH291"/>
      <c r="AI291"/>
    </row>
    <row r="292" spans="1:35" s="450" customFormat="1" x14ac:dyDescent="0.25">
      <c r="A292" s="448">
        <v>2</v>
      </c>
      <c r="B292" s="448"/>
      <c r="C292" s="448">
        <f>IF(E292=E291,C291+1,1)</f>
        <v>6</v>
      </c>
      <c r="D292" s="448">
        <f>IF(M292=M291,D291,C292)</f>
        <v>1</v>
      </c>
      <c r="E292" s="448">
        <f>10+VALUE(RIGHT(LEFT(G292,3),1))</f>
        <v>18</v>
      </c>
      <c r="F292" s="448" t="str">
        <f>RIGHT(G292,2) &amp; IF(A292&lt;2,"x","")</f>
        <v>pm</v>
      </c>
      <c r="G292" s="448" t="s">
        <v>888</v>
      </c>
      <c r="H292" s="448" t="s">
        <v>523</v>
      </c>
      <c r="I292" s="448" t="s">
        <v>889</v>
      </c>
      <c r="J292" s="449" t="s">
        <v>21</v>
      </c>
      <c r="K292" s="450">
        <f>LOOKUP(1E+100,M292:AC292)</f>
        <v>2935.1707127088944</v>
      </c>
      <c r="L292" s="448"/>
      <c r="M292" s="450">
        <v>3000</v>
      </c>
      <c r="O292" s="450">
        <v>2935.1707127088944</v>
      </c>
      <c r="AH292"/>
      <c r="AI292"/>
    </row>
    <row r="293" spans="1:35" s="450" customFormat="1" x14ac:dyDescent="0.25">
      <c r="A293" s="448">
        <v>3</v>
      </c>
      <c r="B293" s="448"/>
      <c r="C293" s="448">
        <f>IF(E293=E292,C292+1,1)</f>
        <v>7</v>
      </c>
      <c r="D293" s="448">
        <f>IF(M293=M292,D292,C293)</f>
        <v>1</v>
      </c>
      <c r="E293" s="448">
        <f>10+VALUE(RIGHT(LEFT(G293,3),1))</f>
        <v>18</v>
      </c>
      <c r="F293" s="448" t="str">
        <f>RIGHT(G293,2) &amp; IF(A293&lt;2,"x","")</f>
        <v>pm</v>
      </c>
      <c r="G293" s="448" t="s">
        <v>892</v>
      </c>
      <c r="H293" s="448" t="s">
        <v>330</v>
      </c>
      <c r="I293" s="448" t="s">
        <v>893</v>
      </c>
      <c r="J293" s="449" t="s">
        <v>21</v>
      </c>
      <c r="K293" s="450">
        <f>LOOKUP(1E+100,M293:AC293)</f>
        <v>2901.6932579440013</v>
      </c>
      <c r="L293" s="448"/>
      <c r="M293" s="450">
        <v>3000</v>
      </c>
      <c r="S293" s="450">
        <v>2951.9748898787816</v>
      </c>
      <c r="W293" s="450">
        <v>2901.6932579440013</v>
      </c>
      <c r="AH293"/>
      <c r="AI293"/>
    </row>
    <row r="294" spans="1:35" s="450" customFormat="1" x14ac:dyDescent="0.25">
      <c r="A294" s="448">
        <v>2</v>
      </c>
      <c r="B294" s="448"/>
      <c r="C294" s="448">
        <f>IF(E294=E293,C293+1,1)</f>
        <v>8</v>
      </c>
      <c r="D294" s="448">
        <f>IF(M294=M293,D293,C294)</f>
        <v>1</v>
      </c>
      <c r="E294" s="448">
        <f>10+VALUE(RIGHT(LEFT(G294,3),1))</f>
        <v>18</v>
      </c>
      <c r="F294" s="448" t="str">
        <f>RIGHT(G294,2) &amp; IF(A294&lt;2,"x","")</f>
        <v>pm</v>
      </c>
      <c r="G294" s="448" t="s">
        <v>894</v>
      </c>
      <c r="H294" s="448" t="s">
        <v>431</v>
      </c>
      <c r="I294" s="448" t="s">
        <v>895</v>
      </c>
      <c r="J294" s="449" t="s">
        <v>21</v>
      </c>
      <c r="K294" s="450">
        <f>LOOKUP(1E+100,M294:AC294)</f>
        <v>2883.1952269491931</v>
      </c>
      <c r="L294" s="448"/>
      <c r="M294" s="450">
        <v>3000</v>
      </c>
      <c r="O294" s="450">
        <v>2883.1952269491931</v>
      </c>
      <c r="AH294"/>
      <c r="AI294"/>
    </row>
    <row r="295" spans="1:35" s="450" customFormat="1" x14ac:dyDescent="0.25">
      <c r="A295" s="448">
        <v>3</v>
      </c>
      <c r="B295" s="448"/>
      <c r="C295" s="448">
        <f>IF(E295=E294,C294+1,1)</f>
        <v>9</v>
      </c>
      <c r="D295" s="448">
        <f>IF(M295=M294,D294,C295)</f>
        <v>9</v>
      </c>
      <c r="E295" s="448">
        <f>10+VALUE(RIGHT(LEFT(G295,3),1))</f>
        <v>18</v>
      </c>
      <c r="F295" s="448" t="str">
        <f>RIGHT(G295,2) &amp; IF(A295&lt;2,"x","")</f>
        <v>pm</v>
      </c>
      <c r="G295" s="448" t="s">
        <v>906</v>
      </c>
      <c r="H295" s="448" t="s">
        <v>485</v>
      </c>
      <c r="I295" s="448" t="s">
        <v>907</v>
      </c>
      <c r="J295" s="449" t="s">
        <v>21</v>
      </c>
      <c r="K295" s="450">
        <f>LOOKUP(1E+100,M295:AC295)</f>
        <v>2882.8718654448089</v>
      </c>
      <c r="L295" s="448"/>
      <c r="M295" s="450">
        <v>2866.6666666666665</v>
      </c>
      <c r="Q295" s="450">
        <v>2901.9683293212579</v>
      </c>
      <c r="R295" s="450">
        <v>2909.4290210334657</v>
      </c>
      <c r="W295" s="450">
        <v>2882.8718654448089</v>
      </c>
      <c r="AH295"/>
      <c r="AI295"/>
    </row>
    <row r="296" spans="1:35" s="450" customFormat="1" x14ac:dyDescent="0.25">
      <c r="A296" s="448">
        <v>5</v>
      </c>
      <c r="B296" s="448"/>
      <c r="C296" s="448">
        <f>IF(E296=E295,C295+1,1)</f>
        <v>10</v>
      </c>
      <c r="D296" s="448">
        <f>IF(M296=M295,D295,C296)</f>
        <v>10</v>
      </c>
      <c r="E296" s="448">
        <f>10+VALUE(RIGHT(LEFT(G296,3),1))</f>
        <v>18</v>
      </c>
      <c r="F296" s="448" t="str">
        <f>RIGHT(G296,2) &amp; IF(A296&lt;2,"x","")</f>
        <v>pm</v>
      </c>
      <c r="G296" s="448" t="s">
        <v>904</v>
      </c>
      <c r="H296" s="448" t="s">
        <v>338</v>
      </c>
      <c r="I296" s="448" t="s">
        <v>905</v>
      </c>
      <c r="J296" s="449" t="s">
        <v>21</v>
      </c>
      <c r="K296" s="450">
        <f>LOOKUP(1E+100,M296:AC296)</f>
        <v>2873.3406869131345</v>
      </c>
      <c r="L296" s="448"/>
      <c r="M296" s="450">
        <v>2920</v>
      </c>
      <c r="T296" s="450">
        <v>2856.7353094689088</v>
      </c>
      <c r="U296" s="450">
        <v>2838.5876453388701</v>
      </c>
      <c r="W296" s="450">
        <v>2873.3406869131345</v>
      </c>
      <c r="AH296"/>
      <c r="AI296"/>
    </row>
    <row r="297" spans="1:35" s="450" customFormat="1" x14ac:dyDescent="0.25">
      <c r="A297" s="448">
        <v>7</v>
      </c>
      <c r="B297" s="448"/>
      <c r="C297" s="448">
        <f>IF(E297=E296,C296+1,1)</f>
        <v>11</v>
      </c>
      <c r="D297" s="448">
        <f>IF(M297=M296,D296,C297)</f>
        <v>11</v>
      </c>
      <c r="E297" s="448">
        <f>10+VALUE(RIGHT(LEFT(G297,3),1))</f>
        <v>18</v>
      </c>
      <c r="F297" s="448" t="str">
        <f>RIGHT(G297,2) &amp; IF(A297&lt;2,"x","")</f>
        <v>pm</v>
      </c>
      <c r="G297" s="448" t="s">
        <v>886</v>
      </c>
      <c r="H297" s="448" t="s">
        <v>309</v>
      </c>
      <c r="I297" s="448" t="s">
        <v>887</v>
      </c>
      <c r="J297" s="449" t="s">
        <v>21</v>
      </c>
      <c r="K297" s="450">
        <f>LOOKUP(1E+100,M297:AC297)</f>
        <v>2865.1000950461112</v>
      </c>
      <c r="L297" s="448"/>
      <c r="M297" s="450">
        <v>3000</v>
      </c>
      <c r="O297" s="450">
        <v>2961.5530975568113</v>
      </c>
      <c r="Q297" s="450">
        <v>3046.1529835455331</v>
      </c>
      <c r="S297" s="450">
        <v>2955.2831566080927</v>
      </c>
      <c r="U297" s="450">
        <v>2927.0999448587754</v>
      </c>
      <c r="W297" s="450">
        <v>2865.1000950461112</v>
      </c>
      <c r="AH297"/>
      <c r="AI297"/>
    </row>
    <row r="298" spans="1:35" s="450" customFormat="1" x14ac:dyDescent="0.25">
      <c r="A298" s="448">
        <v>5</v>
      </c>
      <c r="B298" s="448"/>
      <c r="C298" s="448">
        <f>IF(E298=E297,C297+1,1)</f>
        <v>12</v>
      </c>
      <c r="D298" s="448">
        <f>IF(M298=M297,D297,C298)</f>
        <v>11</v>
      </c>
      <c r="E298" s="448">
        <f>10+VALUE(RIGHT(LEFT(G298,3),1))</f>
        <v>18</v>
      </c>
      <c r="F298" s="448" t="str">
        <f>RIGHT(G298,2) &amp; IF(A298&lt;2,"x","")</f>
        <v>pm</v>
      </c>
      <c r="G298" s="448" t="s">
        <v>881</v>
      </c>
      <c r="H298" s="448" t="s">
        <v>754</v>
      </c>
      <c r="I298" s="448" t="s">
        <v>882</v>
      </c>
      <c r="J298" s="449" t="s">
        <v>21</v>
      </c>
      <c r="K298" s="450">
        <f>LOOKUP(1E+100,M298:AC298)</f>
        <v>2824.9635446349512</v>
      </c>
      <c r="L298" s="448"/>
      <c r="M298" s="450">
        <v>3000</v>
      </c>
      <c r="O298" s="450">
        <v>2926.6317320617309</v>
      </c>
      <c r="U298" s="450">
        <v>2859.795266485386</v>
      </c>
      <c r="W298" s="450">
        <v>2824.9635446349512</v>
      </c>
      <c r="AH298"/>
      <c r="AI298"/>
    </row>
    <row r="299" spans="1:35" s="450" customFormat="1" x14ac:dyDescent="0.25">
      <c r="A299" s="448">
        <v>3</v>
      </c>
      <c r="B299" s="448"/>
      <c r="C299" s="448">
        <f>IF(E299=E298,C298+1,1)</f>
        <v>13</v>
      </c>
      <c r="D299" s="448">
        <f>IF(M299=M298,D298,C299)</f>
        <v>11</v>
      </c>
      <c r="E299" s="448">
        <f>10+VALUE(RIGHT(LEFT(G299,3),1))</f>
        <v>18</v>
      </c>
      <c r="F299" s="448" t="str">
        <f>RIGHT(G299,2) &amp; IF(A299&lt;2,"x","")</f>
        <v>pm</v>
      </c>
      <c r="G299" s="448" t="s">
        <v>902</v>
      </c>
      <c r="H299" s="448" t="s">
        <v>668</v>
      </c>
      <c r="I299" s="448" t="s">
        <v>903</v>
      </c>
      <c r="J299" s="449" t="s">
        <v>21</v>
      </c>
      <c r="K299" s="450">
        <f>LOOKUP(1E+100,M299:AC299)</f>
        <v>2759.7102299850212</v>
      </c>
      <c r="L299" s="448"/>
      <c r="M299" s="450">
        <v>3000</v>
      </c>
      <c r="O299" s="450">
        <v>2827.8864358589581</v>
      </c>
      <c r="U299" s="450">
        <v>2759.7102299850212</v>
      </c>
      <c r="AH299"/>
      <c r="AI299"/>
    </row>
    <row r="300" spans="1:35" s="450" customFormat="1" x14ac:dyDescent="0.25">
      <c r="A300" s="448">
        <v>2</v>
      </c>
      <c r="B300" s="448"/>
      <c r="C300" s="448">
        <f>IF(E300=E299,C299+1,1)</f>
        <v>14</v>
      </c>
      <c r="D300" s="448">
        <f>IF(M300=M299,D299,C300)</f>
        <v>14</v>
      </c>
      <c r="E300" s="448">
        <f>10+VALUE(RIGHT(LEFT(G300,3),1))</f>
        <v>18</v>
      </c>
      <c r="F300" s="448" t="str">
        <f>RIGHT(G300,2) &amp; IF(A300&lt;2,"x","")</f>
        <v>pm</v>
      </c>
      <c r="G300" s="448" t="s">
        <v>908</v>
      </c>
      <c r="H300" s="448" t="s">
        <v>558</v>
      </c>
      <c r="I300" s="448" t="s">
        <v>909</v>
      </c>
      <c r="J300" s="449" t="s">
        <v>21</v>
      </c>
      <c r="K300" s="450">
        <f>LOOKUP(1E+100,M300:AC300)</f>
        <v>2649.1130153756208</v>
      </c>
      <c r="L300" s="448"/>
      <c r="M300" s="450">
        <v>2800</v>
      </c>
      <c r="V300" s="450">
        <v>2649.1130153756208</v>
      </c>
      <c r="AH300"/>
      <c r="AI300"/>
    </row>
    <row r="301" spans="1:35" s="450" customFormat="1" x14ac:dyDescent="0.25">
      <c r="A301" s="448">
        <v>5</v>
      </c>
      <c r="B301" s="448"/>
      <c r="C301" s="448">
        <f>IF(E301=E300,C300+1,1)</f>
        <v>15</v>
      </c>
      <c r="D301" s="448">
        <f>IF(M301=M300,D300,C301)</f>
        <v>15</v>
      </c>
      <c r="E301" s="448">
        <f>10+VALUE(RIGHT(LEFT(G301,3),1))</f>
        <v>18</v>
      </c>
      <c r="F301" s="448" t="str">
        <f>RIGHT(G301,2) &amp; IF(A301&lt;2,"x","")</f>
        <v>pm</v>
      </c>
      <c r="G301" s="448" t="s">
        <v>922</v>
      </c>
      <c r="H301" s="448" t="s">
        <v>504</v>
      </c>
      <c r="I301" s="448" t="s">
        <v>923</v>
      </c>
      <c r="J301" s="449" t="s">
        <v>20</v>
      </c>
      <c r="K301" s="450">
        <f>LOOKUP(1E+100,M301:AC301)</f>
        <v>2546.411939483321</v>
      </c>
      <c r="L301" s="448"/>
      <c r="M301" s="450">
        <v>2600</v>
      </c>
      <c r="R301" s="450">
        <v>2578.5617945802783</v>
      </c>
      <c r="T301" s="450">
        <v>2524.5863454487444</v>
      </c>
      <c r="V301" s="450">
        <v>2546.411939483321</v>
      </c>
      <c r="AH301"/>
      <c r="AI301"/>
    </row>
    <row r="302" spans="1:35" s="450" customFormat="1" x14ac:dyDescent="0.25">
      <c r="A302" s="448">
        <v>4</v>
      </c>
      <c r="B302" s="448"/>
      <c r="C302" s="448">
        <f>IF(E302=E301,C301+1,1)</f>
        <v>16</v>
      </c>
      <c r="D302" s="448">
        <f>IF(M302=M301,D301,C302)</f>
        <v>15</v>
      </c>
      <c r="E302" s="448">
        <f>10+VALUE(RIGHT(LEFT(G302,3),1))</f>
        <v>18</v>
      </c>
      <c r="F302" s="448" t="str">
        <f>RIGHT(G302,2) &amp; IF(A302&lt;2,"x","")</f>
        <v>pm</v>
      </c>
      <c r="G302" s="448" t="s">
        <v>920</v>
      </c>
      <c r="H302" s="448" t="s">
        <v>711</v>
      </c>
      <c r="I302" s="448" t="s">
        <v>921</v>
      </c>
      <c r="J302" s="449" t="s">
        <v>20</v>
      </c>
      <c r="K302" s="450">
        <f>LOOKUP(1E+100,M302:AC302)</f>
        <v>2515.6645455633688</v>
      </c>
      <c r="L302" s="448"/>
      <c r="M302" s="450">
        <v>2600</v>
      </c>
      <c r="P302" s="450">
        <v>2553.2237594256922</v>
      </c>
      <c r="V302" s="450">
        <v>2515.6645455633688</v>
      </c>
      <c r="AH302"/>
      <c r="AI302"/>
    </row>
    <row r="303" spans="1:35" s="450" customFormat="1" x14ac:dyDescent="0.25">
      <c r="A303" s="448">
        <v>6</v>
      </c>
      <c r="B303" s="448"/>
      <c r="C303" s="448">
        <f>IF(E303=E302,C302+1,1)</f>
        <v>17</v>
      </c>
      <c r="D303" s="448">
        <f>IF(M303=M302,D302,C303)</f>
        <v>15</v>
      </c>
      <c r="E303" s="448">
        <f>10+VALUE(RIGHT(LEFT(G303,3),1))</f>
        <v>18</v>
      </c>
      <c r="F303" s="448" t="str">
        <f>RIGHT(G303,2) &amp; IF(A303&lt;2,"x","")</f>
        <v>pm</v>
      </c>
      <c r="G303" s="448" t="s">
        <v>912</v>
      </c>
      <c r="H303" s="448" t="s">
        <v>778</v>
      </c>
      <c r="I303" s="448" t="s">
        <v>913</v>
      </c>
      <c r="J303" s="449" t="s">
        <v>20</v>
      </c>
      <c r="K303" s="450">
        <f>LOOKUP(1E+100,M303:AC303)</f>
        <v>2510.0902423646144</v>
      </c>
      <c r="L303" s="448"/>
      <c r="M303" s="450">
        <v>2600</v>
      </c>
      <c r="O303" s="451"/>
      <c r="P303" s="451">
        <v>2574.5250405208717</v>
      </c>
      <c r="Q303" s="451"/>
      <c r="R303" s="451">
        <v>2596.2496974466353</v>
      </c>
      <c r="S303" s="451"/>
      <c r="T303" s="451">
        <v>2553.4369337621843</v>
      </c>
      <c r="U303" s="451"/>
      <c r="V303" s="451">
        <v>2510.0902423646144</v>
      </c>
      <c r="W303" s="451"/>
      <c r="X303" s="451"/>
      <c r="Y303" s="451"/>
      <c r="Z303" s="451"/>
      <c r="AA303" s="451"/>
      <c r="AB303" s="451"/>
      <c r="AC303" s="451"/>
      <c r="AD303" s="451"/>
      <c r="AE303" s="451"/>
      <c r="AF303" s="451"/>
      <c r="AG303" s="451"/>
      <c r="AH303"/>
      <c r="AI303"/>
    </row>
    <row r="304" spans="1:35" s="450" customFormat="1" x14ac:dyDescent="0.25">
      <c r="A304" s="448">
        <v>5</v>
      </c>
      <c r="B304" s="448"/>
      <c r="C304" s="448">
        <f>IF(E304=E303,C303+1,1)</f>
        <v>18</v>
      </c>
      <c r="D304" s="448">
        <f>IF(M304=M303,D303,C304)</f>
        <v>15</v>
      </c>
      <c r="E304" s="448">
        <f>10+VALUE(RIGHT(LEFT(G304,3),1))</f>
        <v>18</v>
      </c>
      <c r="F304" s="448" t="str">
        <f>RIGHT(G304,2) &amp; IF(A304&lt;2,"x","")</f>
        <v>pm</v>
      </c>
      <c r="G304" s="448" t="s">
        <v>914</v>
      </c>
      <c r="H304" s="448" t="s">
        <v>688</v>
      </c>
      <c r="I304" s="448" t="s">
        <v>915</v>
      </c>
      <c r="J304" s="449" t="s">
        <v>20</v>
      </c>
      <c r="K304" s="450">
        <f>LOOKUP(1E+100,M304:AC304)</f>
        <v>2502.6511262464896</v>
      </c>
      <c r="L304" s="448"/>
      <c r="M304" s="450">
        <v>2600</v>
      </c>
      <c r="O304" s="451"/>
      <c r="P304" s="451">
        <v>2557.8851549220831</v>
      </c>
      <c r="Q304" s="451"/>
      <c r="R304" s="451">
        <v>2473.7158443350222</v>
      </c>
      <c r="S304" s="451"/>
      <c r="T304" s="451"/>
      <c r="U304" s="451"/>
      <c r="V304" s="451">
        <v>2502.6511262464896</v>
      </c>
      <c r="W304" s="451"/>
      <c r="X304" s="451"/>
      <c r="Y304" s="451"/>
      <c r="Z304" s="451"/>
      <c r="AA304" s="451"/>
      <c r="AB304" s="451"/>
      <c r="AC304" s="451"/>
      <c r="AD304" s="451"/>
      <c r="AE304" s="451"/>
      <c r="AF304" s="451"/>
      <c r="AG304" s="451"/>
      <c r="AH304"/>
      <c r="AI304"/>
    </row>
    <row r="305" spans="1:35" s="450" customFormat="1" x14ac:dyDescent="0.25">
      <c r="A305" s="448">
        <v>6</v>
      </c>
      <c r="B305" s="448"/>
      <c r="C305" s="448">
        <f>IF(E305=E304,C304+1,1)</f>
        <v>19</v>
      </c>
      <c r="D305" s="448">
        <f>IF(M305=M304,D304,C305)</f>
        <v>15</v>
      </c>
      <c r="E305" s="448">
        <f>10+VALUE(RIGHT(LEFT(G305,3),1))</f>
        <v>18</v>
      </c>
      <c r="F305" s="448" t="str">
        <f>RIGHT(G305,2) &amp; IF(A305&lt;2,"x","")</f>
        <v>pm</v>
      </c>
      <c r="G305" s="448" t="s">
        <v>916</v>
      </c>
      <c r="H305" s="448" t="s">
        <v>568</v>
      </c>
      <c r="I305" s="448" t="s">
        <v>917</v>
      </c>
      <c r="J305" s="449" t="s">
        <v>20</v>
      </c>
      <c r="K305" s="450">
        <f>LOOKUP(1E+100,M305:AC305)</f>
        <v>2494.1927566892282</v>
      </c>
      <c r="L305" s="448"/>
      <c r="M305" s="450">
        <v>2600</v>
      </c>
      <c r="P305" s="450">
        <v>2514.7294899987492</v>
      </c>
      <c r="R305" s="450">
        <v>2509.4195548725629</v>
      </c>
      <c r="T305" s="450">
        <v>2433.6821061109645</v>
      </c>
      <c r="V305" s="450">
        <v>2494.1927566892282</v>
      </c>
      <c r="AH305"/>
      <c r="AI305"/>
    </row>
    <row r="306" spans="1:35" s="450" customFormat="1" x14ac:dyDescent="0.25">
      <c r="A306" s="448"/>
      <c r="B306" s="448"/>
      <c r="C306" s="448"/>
      <c r="D306" s="448"/>
      <c r="E306" s="448"/>
      <c r="F306" s="448"/>
      <c r="G306" s="448"/>
      <c r="H306" s="448"/>
      <c r="I306" s="448"/>
      <c r="J306" s="449"/>
      <c r="L306" s="448"/>
      <c r="AH306"/>
      <c r="AI306"/>
    </row>
    <row r="307" spans="1:35" s="450" customFormat="1" x14ac:dyDescent="0.25">
      <c r="A307" s="448"/>
      <c r="B307" s="448"/>
      <c r="C307" s="448"/>
      <c r="D307" s="448"/>
      <c r="E307" s="448"/>
      <c r="F307" s="448"/>
      <c r="G307" s="448"/>
      <c r="H307" s="448"/>
      <c r="I307" s="448"/>
      <c r="J307" s="449"/>
      <c r="L307" s="448"/>
      <c r="O307" s="451"/>
      <c r="P307" s="451"/>
      <c r="Q307" s="451"/>
      <c r="R307" s="451"/>
      <c r="S307" s="451"/>
      <c r="T307" s="451"/>
      <c r="U307" s="451"/>
      <c r="V307" s="451"/>
      <c r="W307" s="451"/>
      <c r="X307" s="451"/>
      <c r="Y307" s="451"/>
      <c r="Z307" s="451"/>
      <c r="AA307" s="451"/>
      <c r="AB307" s="451"/>
      <c r="AC307" s="451"/>
      <c r="AD307" s="451"/>
      <c r="AE307" s="451"/>
      <c r="AF307" s="451"/>
      <c r="AG307" s="451"/>
      <c r="AH307"/>
      <c r="AI307"/>
    </row>
    <row r="308" spans="1:35" s="450" customFormat="1" x14ac:dyDescent="0.25">
      <c r="A308" s="448"/>
      <c r="B308" s="448"/>
      <c r="C308" s="448"/>
      <c r="D308" s="448"/>
      <c r="E308" s="448"/>
      <c r="F308" s="448"/>
      <c r="G308" s="448"/>
      <c r="H308" s="448"/>
      <c r="I308" s="448"/>
      <c r="J308" s="449"/>
      <c r="L308" s="448"/>
      <c r="AH308"/>
      <c r="AI308"/>
    </row>
    <row r="309" spans="1:35" s="450" customFormat="1" x14ac:dyDescent="0.25">
      <c r="A309" s="448"/>
      <c r="B309" s="448"/>
      <c r="C309" s="448"/>
      <c r="D309" s="448"/>
      <c r="E309" s="448"/>
      <c r="F309" s="448"/>
      <c r="G309" s="448"/>
      <c r="H309" s="448"/>
      <c r="I309" s="448"/>
      <c r="J309" s="449"/>
      <c r="L309" s="448"/>
      <c r="AH309"/>
      <c r="AI309"/>
    </row>
    <row r="310" spans="1:35" s="450" customFormat="1" x14ac:dyDescent="0.25">
      <c r="A310" s="448"/>
      <c r="B310" s="448"/>
      <c r="C310" s="448"/>
      <c r="D310" s="448"/>
      <c r="E310" s="448"/>
      <c r="F310" s="448"/>
      <c r="G310" s="448"/>
      <c r="H310" s="448"/>
      <c r="I310" s="448"/>
      <c r="J310" s="449"/>
      <c r="L310" s="448"/>
      <c r="AH310"/>
      <c r="AI310"/>
    </row>
    <row r="311" spans="1:35" s="450" customFormat="1" x14ac:dyDescent="0.25">
      <c r="A311" s="448"/>
      <c r="B311" s="448"/>
      <c r="C311" s="448"/>
      <c r="D311" s="448"/>
      <c r="E311" s="448"/>
      <c r="F311" s="448"/>
      <c r="G311" s="448"/>
      <c r="H311" s="448"/>
      <c r="I311" s="448"/>
      <c r="J311" s="449"/>
      <c r="L311" s="448"/>
      <c r="AH311"/>
      <c r="AI311"/>
    </row>
    <row r="312" spans="1:35" s="450" customFormat="1" x14ac:dyDescent="0.25">
      <c r="A312" s="448"/>
      <c r="B312" s="448"/>
      <c r="C312" s="448"/>
      <c r="D312" s="448"/>
      <c r="E312" s="448"/>
      <c r="F312" s="448"/>
      <c r="G312" s="448"/>
      <c r="H312" s="448"/>
      <c r="I312" s="448"/>
      <c r="J312" s="449"/>
      <c r="L312" s="448"/>
      <c r="AH312"/>
      <c r="AI312"/>
    </row>
    <row r="313" spans="1:35" s="450" customFormat="1" x14ac:dyDescent="0.25">
      <c r="A313" s="448"/>
      <c r="B313" s="448"/>
      <c r="C313" s="448"/>
      <c r="D313" s="448"/>
      <c r="E313" s="448"/>
      <c r="F313" s="448"/>
      <c r="G313" s="448"/>
      <c r="H313" s="448"/>
      <c r="I313" s="448"/>
      <c r="J313" s="449"/>
      <c r="L313" s="448"/>
      <c r="AH313"/>
      <c r="AI313"/>
    </row>
    <row r="314" spans="1:35" s="450" customFormat="1" x14ac:dyDescent="0.25">
      <c r="A314" s="448"/>
      <c r="B314" s="448"/>
      <c r="C314" s="448"/>
      <c r="D314" s="448"/>
      <c r="E314" s="448"/>
      <c r="F314" s="448"/>
      <c r="G314" s="448"/>
      <c r="H314" s="448"/>
      <c r="I314" s="448"/>
      <c r="J314" s="449"/>
      <c r="L314" s="448"/>
      <c r="AH314"/>
      <c r="AI314"/>
    </row>
    <row r="315" spans="1:35" s="450" customFormat="1" x14ac:dyDescent="0.25">
      <c r="A315" s="448"/>
      <c r="B315" s="448"/>
      <c r="C315" s="448"/>
      <c r="D315" s="448"/>
      <c r="E315" s="448"/>
      <c r="F315" s="448"/>
      <c r="G315" s="448"/>
      <c r="H315" s="448"/>
      <c r="I315" s="448"/>
      <c r="J315" s="449"/>
      <c r="L315" s="448"/>
      <c r="AH315"/>
      <c r="AI315"/>
    </row>
    <row r="316" spans="1:35" s="450" customFormat="1" x14ac:dyDescent="0.25">
      <c r="A316" s="448"/>
      <c r="B316" s="448"/>
      <c r="C316" s="448"/>
      <c r="D316" s="448"/>
      <c r="E316" s="448"/>
      <c r="F316" s="448"/>
      <c r="G316" s="448"/>
      <c r="H316" s="448"/>
      <c r="I316" s="448"/>
      <c r="J316" s="449"/>
      <c r="L316" s="448"/>
      <c r="AH316"/>
      <c r="AI316"/>
    </row>
    <row r="317" spans="1:35" s="450" customFormat="1" x14ac:dyDescent="0.25">
      <c r="A317" s="448"/>
      <c r="B317" s="448"/>
      <c r="C317" s="448"/>
      <c r="D317" s="448"/>
      <c r="E317" s="448"/>
      <c r="F317" s="448"/>
      <c r="G317" s="448"/>
      <c r="H317" s="448"/>
      <c r="I317" s="448"/>
      <c r="J317" s="449"/>
      <c r="L317" s="448"/>
      <c r="O317" s="451"/>
      <c r="P317" s="451"/>
      <c r="Q317" s="451"/>
      <c r="R317" s="451"/>
      <c r="S317" s="451"/>
      <c r="T317" s="451"/>
      <c r="U317" s="451"/>
      <c r="V317" s="451"/>
      <c r="W317" s="451"/>
      <c r="X317" s="451"/>
      <c r="Y317" s="451"/>
      <c r="Z317" s="451"/>
      <c r="AA317" s="451"/>
      <c r="AB317" s="451"/>
      <c r="AC317" s="451"/>
      <c r="AD317" s="451"/>
      <c r="AE317" s="451"/>
      <c r="AF317" s="451"/>
      <c r="AG317" s="451"/>
      <c r="AH317"/>
      <c r="AI317"/>
    </row>
    <row r="318" spans="1:35" s="450" customFormat="1" x14ac:dyDescent="0.25">
      <c r="A318" s="448"/>
      <c r="B318" s="448"/>
      <c r="C318" s="448"/>
      <c r="D318" s="448"/>
      <c r="E318" s="448"/>
      <c r="F318" s="448"/>
      <c r="G318" s="448"/>
      <c r="H318" s="448"/>
      <c r="I318" s="448"/>
      <c r="J318" s="449"/>
      <c r="L318" s="448"/>
      <c r="AH318"/>
      <c r="AI318"/>
    </row>
    <row r="319" spans="1:35" s="450" customFormat="1" x14ac:dyDescent="0.25">
      <c r="A319" s="448"/>
      <c r="B319" s="448"/>
      <c r="C319" s="448"/>
      <c r="D319" s="448"/>
      <c r="E319" s="448"/>
      <c r="F319" s="448"/>
      <c r="G319" s="448"/>
      <c r="H319" s="448"/>
      <c r="I319" s="448"/>
      <c r="J319" s="449"/>
      <c r="L319" s="448"/>
      <c r="O319" s="451"/>
      <c r="P319" s="451"/>
      <c r="Q319" s="451"/>
      <c r="R319" s="451"/>
      <c r="S319" s="451"/>
      <c r="T319" s="451"/>
      <c r="U319" s="451"/>
      <c r="V319" s="451"/>
      <c r="W319" s="451"/>
      <c r="X319" s="451"/>
      <c r="Y319" s="451"/>
      <c r="Z319" s="451"/>
      <c r="AA319" s="451"/>
      <c r="AB319" s="451"/>
      <c r="AC319" s="451"/>
      <c r="AH319"/>
      <c r="AI319"/>
    </row>
    <row r="320" spans="1:35" s="450" customFormat="1" x14ac:dyDescent="0.25">
      <c r="A320" s="448"/>
      <c r="B320" s="448"/>
      <c r="C320" s="448"/>
      <c r="D320" s="448"/>
      <c r="E320" s="448"/>
      <c r="F320" s="448"/>
      <c r="G320" s="448"/>
      <c r="H320" s="448"/>
      <c r="I320" s="448"/>
      <c r="J320" s="449"/>
      <c r="L320" s="448"/>
      <c r="O320" s="451"/>
      <c r="P320" s="451"/>
      <c r="Q320" s="451"/>
      <c r="R320" s="451"/>
      <c r="S320" s="451"/>
      <c r="T320" s="451"/>
      <c r="U320" s="451"/>
      <c r="V320" s="451"/>
      <c r="W320" s="451"/>
      <c r="X320" s="451"/>
      <c r="Y320" s="451"/>
      <c r="Z320" s="451"/>
      <c r="AA320" s="451"/>
      <c r="AB320" s="451"/>
      <c r="AC320" s="451"/>
      <c r="AH320"/>
      <c r="AI320"/>
    </row>
    <row r="321" spans="1:35" s="450" customFormat="1" x14ac:dyDescent="0.25">
      <c r="A321" s="448"/>
      <c r="B321" s="448"/>
      <c r="C321" s="448"/>
      <c r="D321" s="448"/>
      <c r="E321" s="448"/>
      <c r="F321" s="448"/>
      <c r="G321" s="448"/>
      <c r="H321" s="448"/>
      <c r="I321" s="448"/>
      <c r="J321" s="449"/>
      <c r="L321" s="448"/>
      <c r="AH321"/>
      <c r="AI321"/>
    </row>
    <row r="322" spans="1:35" s="450" customFormat="1" x14ac:dyDescent="0.25">
      <c r="A322" s="448"/>
      <c r="B322" s="448"/>
      <c r="C322" s="448"/>
      <c r="D322" s="448"/>
      <c r="E322" s="448"/>
      <c r="F322" s="448"/>
      <c r="G322" s="448"/>
      <c r="H322" s="448"/>
      <c r="I322" s="448"/>
      <c r="J322" s="449"/>
      <c r="L322" s="448"/>
      <c r="O322" s="451"/>
      <c r="P322" s="451"/>
      <c r="Q322" s="451"/>
      <c r="R322" s="451"/>
      <c r="S322" s="451"/>
      <c r="T322" s="451"/>
      <c r="U322" s="451"/>
      <c r="V322" s="451"/>
      <c r="W322" s="451"/>
      <c r="X322" s="451"/>
      <c r="Y322" s="451"/>
      <c r="Z322" s="451"/>
      <c r="AA322" s="451"/>
      <c r="AB322" s="451"/>
      <c r="AC322" s="451"/>
      <c r="AH322"/>
      <c r="AI322"/>
    </row>
    <row r="323" spans="1:35" s="450" customFormat="1" x14ac:dyDescent="0.25">
      <c r="A323" s="448"/>
      <c r="B323" s="448"/>
      <c r="C323" s="448"/>
      <c r="D323" s="448"/>
      <c r="E323" s="448"/>
      <c r="F323" s="448"/>
      <c r="G323" s="448"/>
      <c r="H323" s="448"/>
      <c r="I323" s="448"/>
      <c r="J323" s="449"/>
      <c r="L323" s="448"/>
      <c r="O323" s="451"/>
      <c r="P323" s="451"/>
      <c r="Q323" s="451"/>
      <c r="R323" s="451"/>
      <c r="S323" s="451"/>
      <c r="T323" s="451"/>
      <c r="U323" s="451"/>
      <c r="V323" s="451"/>
      <c r="W323" s="451"/>
      <c r="X323" s="451"/>
      <c r="Y323" s="451"/>
      <c r="Z323" s="451"/>
      <c r="AA323" s="451"/>
      <c r="AB323" s="451"/>
      <c r="AC323" s="451"/>
      <c r="AH323"/>
      <c r="AI323"/>
    </row>
    <row r="324" spans="1:35" s="450" customFormat="1" x14ac:dyDescent="0.25">
      <c r="A324" s="448"/>
      <c r="B324" s="448"/>
      <c r="C324" s="448"/>
      <c r="D324" s="448"/>
      <c r="E324" s="448"/>
      <c r="F324" s="448"/>
      <c r="G324" s="448"/>
      <c r="H324" s="448"/>
      <c r="I324" s="448"/>
      <c r="J324" s="449"/>
      <c r="L324" s="448"/>
      <c r="O324" s="451"/>
      <c r="P324" s="451"/>
      <c r="Q324" s="451"/>
      <c r="R324" s="451"/>
      <c r="S324" s="451"/>
      <c r="T324" s="451"/>
      <c r="U324" s="451"/>
      <c r="V324" s="451"/>
      <c r="W324" s="451"/>
      <c r="X324" s="451"/>
      <c r="Y324" s="451"/>
      <c r="Z324" s="451"/>
      <c r="AA324" s="451"/>
      <c r="AB324" s="451"/>
      <c r="AC324" s="451"/>
      <c r="AH324"/>
      <c r="AI324"/>
    </row>
    <row r="325" spans="1:35" s="450" customFormat="1" x14ac:dyDescent="0.25">
      <c r="A325" s="448"/>
      <c r="B325" s="448"/>
      <c r="C325" s="448"/>
      <c r="D325" s="448"/>
      <c r="E325" s="448"/>
      <c r="F325" s="448"/>
      <c r="G325" s="448"/>
      <c r="H325" s="448"/>
      <c r="I325" s="448"/>
      <c r="J325" s="449"/>
      <c r="L325" s="448"/>
      <c r="AH325"/>
      <c r="AI325"/>
    </row>
    <row r="326" spans="1:35" x14ac:dyDescent="0.25">
      <c r="A326" s="448"/>
      <c r="B326" s="448"/>
      <c r="C326" s="448"/>
      <c r="D326" s="448"/>
      <c r="E326" s="448"/>
      <c r="F326" s="448"/>
      <c r="G326" s="448"/>
      <c r="H326" s="448"/>
      <c r="I326" s="448"/>
      <c r="J326" s="449"/>
      <c r="L326" s="448"/>
      <c r="AD326" s="450"/>
      <c r="AE326" s="450"/>
      <c r="AF326" s="450"/>
      <c r="AG326" s="450"/>
    </row>
    <row r="327" spans="1:35" s="450" customFormat="1" x14ac:dyDescent="0.25">
      <c r="A327" s="448"/>
      <c r="B327" s="448"/>
      <c r="C327" s="448"/>
      <c r="D327" s="448"/>
      <c r="E327" s="448"/>
      <c r="F327" s="448"/>
      <c r="G327" s="448"/>
      <c r="H327" s="448"/>
      <c r="I327" s="448"/>
      <c r="J327" s="449"/>
      <c r="L327" s="448"/>
      <c r="O327" s="451"/>
      <c r="P327" s="451"/>
      <c r="Q327" s="451"/>
      <c r="R327" s="451"/>
      <c r="S327" s="451"/>
      <c r="T327" s="451"/>
      <c r="U327" s="451"/>
      <c r="V327" s="451"/>
      <c r="W327" s="451"/>
      <c r="X327" s="451"/>
      <c r="Y327" s="451"/>
      <c r="Z327" s="451"/>
      <c r="AA327" s="451"/>
      <c r="AB327" s="451"/>
      <c r="AC327" s="451"/>
      <c r="AH327"/>
      <c r="AI327"/>
    </row>
    <row r="328" spans="1:35" s="450" customFormat="1" x14ac:dyDescent="0.25">
      <c r="A328" s="448"/>
      <c r="B328" s="448"/>
      <c r="C328" s="448"/>
      <c r="D328" s="448"/>
      <c r="E328" s="448"/>
      <c r="F328" s="448"/>
      <c r="G328" s="448"/>
      <c r="H328" s="448"/>
      <c r="I328" s="448"/>
      <c r="J328" s="449"/>
      <c r="L328" s="448"/>
      <c r="AH328"/>
      <c r="AI328"/>
    </row>
    <row r="329" spans="1:35" s="450" customFormat="1" x14ac:dyDescent="0.25">
      <c r="A329" s="448"/>
      <c r="B329" s="448"/>
      <c r="C329" s="448"/>
      <c r="D329" s="448"/>
      <c r="E329" s="448"/>
      <c r="F329" s="448"/>
      <c r="G329" s="448"/>
      <c r="H329" s="448"/>
      <c r="I329" s="448"/>
      <c r="J329" s="449"/>
      <c r="L329" s="448"/>
      <c r="O329" s="451"/>
      <c r="P329" s="451"/>
      <c r="Q329" s="451"/>
      <c r="R329" s="451"/>
      <c r="S329" s="451"/>
      <c r="T329" s="451"/>
      <c r="U329" s="451"/>
      <c r="V329" s="451"/>
      <c r="W329" s="451"/>
      <c r="X329" s="451"/>
      <c r="Y329" s="451"/>
      <c r="Z329" s="451"/>
      <c r="AA329" s="451"/>
      <c r="AB329" s="451"/>
      <c r="AC329" s="451"/>
      <c r="AH329"/>
      <c r="AI329"/>
    </row>
    <row r="330" spans="1:35" s="450" customFormat="1" x14ac:dyDescent="0.25">
      <c r="A330" s="448"/>
      <c r="B330" s="448"/>
      <c r="C330" s="448"/>
      <c r="D330" s="448"/>
      <c r="E330" s="448"/>
      <c r="F330" s="448"/>
      <c r="G330" s="448"/>
      <c r="H330" s="448"/>
      <c r="I330" s="448"/>
      <c r="J330" s="449"/>
      <c r="L330" s="448"/>
      <c r="O330" s="451"/>
      <c r="P330" s="451"/>
      <c r="Q330" s="451"/>
      <c r="R330" s="451"/>
      <c r="S330" s="451"/>
      <c r="T330" s="451"/>
      <c r="U330" s="451"/>
      <c r="V330" s="451"/>
      <c r="W330" s="451"/>
      <c r="X330" s="451"/>
      <c r="Y330" s="451"/>
      <c r="Z330" s="451"/>
      <c r="AA330" s="451"/>
      <c r="AB330" s="451"/>
      <c r="AC330" s="451"/>
      <c r="AH330"/>
      <c r="AI330"/>
    </row>
    <row r="331" spans="1:35" s="450" customFormat="1" x14ac:dyDescent="0.25">
      <c r="A331" s="448"/>
      <c r="B331" s="448"/>
      <c r="C331" s="448"/>
      <c r="D331" s="448"/>
      <c r="E331" s="448"/>
      <c r="F331" s="448"/>
      <c r="G331" s="448"/>
      <c r="H331" s="448"/>
      <c r="I331" s="448"/>
      <c r="J331" s="449"/>
      <c r="L331" s="448"/>
      <c r="O331" s="451"/>
      <c r="P331" s="451"/>
      <c r="Q331" s="451"/>
      <c r="R331" s="451"/>
      <c r="S331" s="451"/>
      <c r="T331" s="451"/>
      <c r="U331" s="451"/>
      <c r="V331" s="451"/>
      <c r="W331" s="451"/>
      <c r="X331" s="451"/>
      <c r="Y331" s="451"/>
      <c r="Z331" s="451"/>
      <c r="AA331" s="451"/>
      <c r="AB331" s="451"/>
      <c r="AC331" s="451"/>
      <c r="AH331"/>
      <c r="AI331"/>
    </row>
    <row r="332" spans="1:35" s="450" customFormat="1" x14ac:dyDescent="0.25">
      <c r="A332" s="448"/>
      <c r="B332" s="448"/>
      <c r="C332" s="448"/>
      <c r="D332" s="448"/>
      <c r="E332" s="448"/>
      <c r="F332" s="448"/>
      <c r="G332" s="448"/>
      <c r="H332" s="448"/>
      <c r="I332" s="448"/>
      <c r="J332" s="449"/>
      <c r="L332" s="448"/>
      <c r="AH332"/>
      <c r="AI332"/>
    </row>
    <row r="333" spans="1:35" s="450" customFormat="1" x14ac:dyDescent="0.25">
      <c r="A333" s="448"/>
      <c r="B333" s="448"/>
      <c r="C333" s="448"/>
      <c r="D333" s="448"/>
      <c r="E333" s="448"/>
      <c r="F333" s="448"/>
      <c r="G333" s="448"/>
      <c r="H333" s="448"/>
      <c r="I333" s="448"/>
      <c r="J333" s="449"/>
      <c r="L333" s="448"/>
      <c r="O333" s="451"/>
      <c r="P333" s="451"/>
      <c r="Q333" s="451"/>
      <c r="R333" s="451"/>
      <c r="S333" s="451"/>
      <c r="T333" s="451"/>
      <c r="U333" s="451"/>
      <c r="V333" s="451"/>
      <c r="W333" s="451"/>
      <c r="X333" s="451"/>
      <c r="Y333" s="451"/>
      <c r="Z333" s="451"/>
      <c r="AA333" s="451"/>
      <c r="AB333" s="451"/>
      <c r="AC333" s="451"/>
      <c r="AD333" s="451"/>
      <c r="AE333" s="451"/>
      <c r="AF333" s="451"/>
      <c r="AG333" s="451"/>
      <c r="AH333"/>
      <c r="AI333"/>
    </row>
    <row r="334" spans="1:35" s="450" customFormat="1" x14ac:dyDescent="0.25">
      <c r="A334" s="448"/>
      <c r="B334" s="448"/>
      <c r="C334" s="448"/>
      <c r="D334" s="448"/>
      <c r="E334" s="448"/>
      <c r="F334" s="448"/>
      <c r="G334" s="448"/>
      <c r="H334" s="448"/>
      <c r="I334" s="448"/>
      <c r="J334" s="449"/>
      <c r="L334" s="448"/>
      <c r="AH334"/>
      <c r="AI334"/>
    </row>
    <row r="335" spans="1:35" s="450" customFormat="1" x14ac:dyDescent="0.25">
      <c r="A335" s="448"/>
      <c r="B335" s="448"/>
      <c r="C335" s="448"/>
      <c r="D335" s="448"/>
      <c r="E335" s="448"/>
      <c r="F335" s="448"/>
      <c r="G335" s="448"/>
      <c r="H335" s="448"/>
      <c r="I335" s="448"/>
      <c r="J335" s="449"/>
      <c r="L335" s="448"/>
      <c r="O335" s="451"/>
      <c r="P335" s="451"/>
      <c r="Q335" s="451"/>
      <c r="R335" s="451"/>
      <c r="S335" s="451"/>
      <c r="T335" s="451"/>
      <c r="U335" s="451"/>
      <c r="V335" s="451"/>
      <c r="W335" s="451"/>
      <c r="X335" s="451"/>
      <c r="Y335" s="451"/>
      <c r="Z335" s="451"/>
      <c r="AA335" s="451"/>
      <c r="AB335" s="451"/>
      <c r="AC335" s="451"/>
      <c r="AH335"/>
      <c r="AI335"/>
    </row>
    <row r="336" spans="1:35" s="450" customFormat="1" x14ac:dyDescent="0.25">
      <c r="A336" s="448"/>
      <c r="B336" s="448"/>
      <c r="C336" s="448"/>
      <c r="D336" s="448"/>
      <c r="E336" s="448"/>
      <c r="F336" s="448"/>
      <c r="G336" s="448"/>
      <c r="H336" s="448"/>
      <c r="I336" s="448"/>
      <c r="J336" s="449"/>
      <c r="L336" s="448"/>
      <c r="AH336"/>
      <c r="AI336"/>
    </row>
    <row r="337" spans="1:35" s="450" customFormat="1" x14ac:dyDescent="0.25">
      <c r="A337" s="448"/>
      <c r="B337" s="448"/>
      <c r="C337" s="448"/>
      <c r="D337" s="448"/>
      <c r="E337" s="448"/>
      <c r="F337" s="448"/>
      <c r="G337" s="448"/>
      <c r="H337" s="448"/>
      <c r="I337" s="448"/>
      <c r="J337" s="449"/>
      <c r="L337" s="448"/>
      <c r="AH337"/>
      <c r="AI337"/>
    </row>
    <row r="338" spans="1:35" s="450" customFormat="1" x14ac:dyDescent="0.25">
      <c r="A338" s="448"/>
      <c r="B338" s="448"/>
      <c r="C338" s="448"/>
      <c r="D338" s="448"/>
      <c r="E338" s="448"/>
      <c r="F338" s="448"/>
      <c r="G338" s="448"/>
      <c r="H338" s="448"/>
      <c r="I338" s="448"/>
      <c r="J338" s="449"/>
      <c r="L338" s="448"/>
      <c r="O338" s="451"/>
      <c r="P338" s="451"/>
      <c r="Q338" s="451"/>
      <c r="R338" s="451"/>
      <c r="S338" s="451"/>
      <c r="T338" s="451"/>
      <c r="U338" s="451"/>
      <c r="V338" s="451"/>
      <c r="W338" s="451"/>
      <c r="X338" s="451"/>
      <c r="Y338" s="451"/>
      <c r="Z338" s="451"/>
      <c r="AA338" s="451"/>
      <c r="AB338" s="451"/>
      <c r="AC338" s="451"/>
      <c r="AH338"/>
      <c r="AI338"/>
    </row>
    <row r="339" spans="1:35" s="450" customFormat="1" x14ac:dyDescent="0.25">
      <c r="A339" s="448"/>
      <c r="B339" s="448"/>
      <c r="C339" s="448"/>
      <c r="D339" s="448"/>
      <c r="E339" s="448"/>
      <c r="F339" s="448"/>
      <c r="G339" s="448"/>
      <c r="H339" s="448"/>
      <c r="I339" s="448"/>
      <c r="J339" s="449"/>
      <c r="L339" s="448"/>
      <c r="O339" s="451"/>
      <c r="P339" s="451"/>
      <c r="Q339" s="451"/>
      <c r="R339" s="451"/>
      <c r="S339" s="451"/>
      <c r="T339" s="451"/>
      <c r="U339" s="451"/>
      <c r="V339" s="451"/>
      <c r="W339" s="451"/>
      <c r="X339" s="451"/>
      <c r="Y339" s="451"/>
      <c r="Z339" s="451"/>
      <c r="AA339" s="451"/>
      <c r="AB339" s="451"/>
      <c r="AC339" s="451"/>
      <c r="AH339"/>
      <c r="AI339"/>
    </row>
    <row r="340" spans="1:35" s="450" customFormat="1" x14ac:dyDescent="0.25">
      <c r="A340" s="448"/>
      <c r="B340" s="448"/>
      <c r="C340" s="448"/>
      <c r="D340" s="448"/>
      <c r="E340" s="448"/>
      <c r="F340" s="448"/>
      <c r="G340" s="448"/>
      <c r="H340" s="448"/>
      <c r="I340" s="448"/>
      <c r="J340" s="449"/>
      <c r="L340" s="448"/>
      <c r="O340" s="451"/>
      <c r="P340" s="451"/>
      <c r="Q340" s="451"/>
      <c r="R340" s="451"/>
      <c r="S340" s="451"/>
      <c r="T340" s="451"/>
      <c r="U340" s="451"/>
      <c r="V340" s="451"/>
      <c r="W340" s="451"/>
      <c r="X340" s="451"/>
      <c r="Y340" s="451"/>
      <c r="Z340" s="451"/>
      <c r="AA340" s="451"/>
      <c r="AB340" s="451"/>
      <c r="AC340" s="451"/>
      <c r="AH340"/>
      <c r="AI340"/>
    </row>
    <row r="342" spans="1:35" s="450" customFormat="1" x14ac:dyDescent="0.25">
      <c r="A342" s="448"/>
      <c r="B342" s="448"/>
      <c r="C342" s="448"/>
      <c r="D342" s="448"/>
      <c r="E342" s="448"/>
      <c r="F342" s="448"/>
      <c r="G342" s="448"/>
      <c r="H342" s="448"/>
      <c r="I342" s="448"/>
      <c r="J342" s="449"/>
      <c r="L342" s="448"/>
      <c r="O342" s="451"/>
      <c r="P342" s="451"/>
      <c r="Q342" s="451"/>
      <c r="R342" s="451"/>
      <c r="S342" s="451"/>
      <c r="T342" s="451"/>
      <c r="U342" s="451"/>
      <c r="V342" s="451"/>
      <c r="W342" s="451"/>
      <c r="X342" s="451"/>
      <c r="Y342" s="451"/>
      <c r="Z342" s="451"/>
      <c r="AA342" s="451"/>
      <c r="AB342" s="451"/>
      <c r="AC342" s="451"/>
      <c r="AH342"/>
      <c r="AI342"/>
    </row>
    <row r="343" spans="1:35" s="450" customFormat="1" x14ac:dyDescent="0.25">
      <c r="A343" s="448"/>
      <c r="B343" s="448"/>
      <c r="C343" s="448"/>
      <c r="D343" s="448"/>
      <c r="E343" s="448"/>
      <c r="F343" s="448"/>
      <c r="G343" s="448"/>
      <c r="H343" s="448"/>
      <c r="I343" s="448"/>
      <c r="J343" s="449"/>
      <c r="L343" s="448"/>
      <c r="O343" s="451"/>
      <c r="P343" s="451"/>
      <c r="Q343" s="451"/>
      <c r="R343" s="451"/>
      <c r="S343" s="451"/>
      <c r="T343" s="451"/>
      <c r="U343" s="451"/>
      <c r="V343" s="451"/>
      <c r="W343" s="451"/>
      <c r="X343" s="451"/>
      <c r="Y343" s="451"/>
      <c r="Z343" s="451"/>
      <c r="AA343" s="451"/>
      <c r="AB343" s="451"/>
      <c r="AC343" s="451"/>
      <c r="AH343"/>
      <c r="AI343"/>
    </row>
    <row r="344" spans="1:35" s="450" customFormat="1" x14ac:dyDescent="0.25">
      <c r="A344" s="448"/>
      <c r="B344" s="448"/>
      <c r="C344" s="448"/>
      <c r="D344" s="448"/>
      <c r="E344" s="448"/>
      <c r="F344" s="448"/>
      <c r="G344" s="448"/>
      <c r="H344" s="448"/>
      <c r="I344" s="448"/>
      <c r="J344" s="449"/>
      <c r="L344" s="448"/>
      <c r="O344" s="451"/>
      <c r="P344" s="451"/>
      <c r="Q344" s="451"/>
      <c r="R344" s="451"/>
      <c r="S344" s="451"/>
      <c r="T344" s="451"/>
      <c r="U344" s="451"/>
      <c r="V344" s="451"/>
      <c r="W344" s="451"/>
      <c r="X344" s="451"/>
      <c r="Y344" s="451"/>
      <c r="Z344" s="451"/>
      <c r="AA344" s="451"/>
      <c r="AB344" s="451"/>
      <c r="AC344" s="451"/>
      <c r="AH344"/>
      <c r="AI344"/>
    </row>
    <row r="345" spans="1:35" s="450" customFormat="1" x14ac:dyDescent="0.25">
      <c r="A345" s="448"/>
      <c r="B345" s="448"/>
      <c r="C345" s="448"/>
      <c r="D345" s="448"/>
      <c r="E345" s="448"/>
      <c r="F345" s="448"/>
      <c r="G345" s="448"/>
      <c r="H345" s="448"/>
      <c r="I345" s="448"/>
      <c r="J345" s="449"/>
      <c r="L345" s="448"/>
      <c r="O345" s="451"/>
      <c r="P345" s="451"/>
      <c r="Q345" s="451"/>
      <c r="R345" s="451"/>
      <c r="S345" s="451"/>
      <c r="T345" s="451"/>
      <c r="U345" s="451"/>
      <c r="V345" s="451"/>
      <c r="W345" s="451"/>
      <c r="X345" s="451"/>
      <c r="Y345" s="451"/>
      <c r="Z345" s="451"/>
      <c r="AA345" s="451"/>
      <c r="AB345" s="451"/>
      <c r="AC345" s="451"/>
      <c r="AH345"/>
      <c r="AI345"/>
    </row>
    <row r="346" spans="1:35" s="450" customFormat="1" x14ac:dyDescent="0.25">
      <c r="A346" s="448"/>
      <c r="B346" s="448"/>
      <c r="C346" s="448"/>
      <c r="D346" s="448"/>
      <c r="E346" s="448"/>
      <c r="F346" s="448"/>
      <c r="G346" s="448"/>
      <c r="H346" s="448"/>
      <c r="I346" s="448"/>
      <c r="J346" s="449"/>
      <c r="L346" s="448"/>
      <c r="O346" s="451"/>
      <c r="P346" s="451"/>
      <c r="Q346" s="451"/>
      <c r="R346" s="451"/>
      <c r="S346" s="451"/>
      <c r="T346" s="451"/>
      <c r="U346" s="451"/>
      <c r="V346" s="451"/>
      <c r="W346" s="451"/>
      <c r="X346" s="451"/>
      <c r="Y346" s="451"/>
      <c r="Z346" s="451"/>
      <c r="AA346" s="451"/>
      <c r="AB346" s="451"/>
      <c r="AC346" s="451"/>
      <c r="AH346"/>
      <c r="AI346"/>
    </row>
    <row r="347" spans="1:35" s="450" customFormat="1" x14ac:dyDescent="0.25">
      <c r="A347" s="448"/>
      <c r="B347" s="448"/>
      <c r="C347" s="448"/>
      <c r="D347" s="448"/>
      <c r="E347" s="448"/>
      <c r="F347" s="448"/>
      <c r="G347" s="448"/>
      <c r="H347" s="448"/>
      <c r="I347" s="448"/>
      <c r="J347" s="449"/>
      <c r="L347" s="448"/>
      <c r="O347" s="451"/>
      <c r="P347" s="451"/>
      <c r="Q347" s="451"/>
      <c r="R347" s="451"/>
      <c r="S347" s="451"/>
      <c r="T347" s="451"/>
      <c r="U347" s="451"/>
      <c r="V347" s="451"/>
      <c r="W347" s="451"/>
      <c r="X347" s="451"/>
      <c r="Y347" s="451"/>
      <c r="Z347" s="451"/>
      <c r="AA347" s="451"/>
      <c r="AB347" s="451"/>
      <c r="AC347" s="451"/>
      <c r="AH347"/>
      <c r="AI347"/>
    </row>
    <row r="348" spans="1:35" s="450" customFormat="1" x14ac:dyDescent="0.25">
      <c r="A348" s="448"/>
      <c r="B348" s="448"/>
      <c r="C348" s="448"/>
      <c r="D348" s="448"/>
      <c r="E348" s="448"/>
      <c r="F348" s="448"/>
      <c r="G348" s="448"/>
      <c r="H348" s="448"/>
      <c r="I348" s="448"/>
      <c r="J348" s="449"/>
      <c r="L348" s="448"/>
      <c r="O348" s="451"/>
      <c r="P348" s="451"/>
      <c r="Q348" s="451"/>
      <c r="R348" s="451"/>
      <c r="S348" s="451"/>
      <c r="T348" s="451"/>
      <c r="U348" s="451"/>
      <c r="V348" s="451"/>
      <c r="W348" s="451"/>
      <c r="X348" s="451"/>
      <c r="Y348" s="451"/>
      <c r="Z348" s="451"/>
      <c r="AA348" s="451"/>
      <c r="AB348" s="451"/>
      <c r="AC348" s="451"/>
      <c r="AH348"/>
      <c r="AI348"/>
    </row>
    <row r="349" spans="1:35" s="450" customFormat="1" x14ac:dyDescent="0.25">
      <c r="A349" s="448"/>
      <c r="B349" s="448"/>
      <c r="C349" s="448"/>
      <c r="D349" s="448"/>
      <c r="E349" s="448"/>
      <c r="F349" s="448"/>
      <c r="G349" s="448"/>
      <c r="H349" s="448"/>
      <c r="I349" s="448"/>
      <c r="J349" s="449"/>
      <c r="L349" s="448"/>
      <c r="O349" s="451"/>
      <c r="P349" s="451"/>
      <c r="Q349" s="451"/>
      <c r="R349" s="451"/>
      <c r="S349" s="451"/>
      <c r="T349" s="451"/>
      <c r="U349" s="451"/>
      <c r="V349" s="451"/>
      <c r="W349" s="451"/>
      <c r="X349" s="451"/>
      <c r="Y349" s="451"/>
      <c r="Z349" s="451"/>
      <c r="AA349" s="451"/>
      <c r="AB349" s="451"/>
      <c r="AC349" s="451"/>
      <c r="AH349"/>
      <c r="AI349"/>
    </row>
    <row r="350" spans="1:35" s="450" customFormat="1" x14ac:dyDescent="0.25">
      <c r="A350" s="448"/>
      <c r="B350" s="448"/>
      <c r="C350" s="448"/>
      <c r="D350" s="448"/>
      <c r="E350" s="448"/>
      <c r="F350" s="448"/>
      <c r="G350" s="448"/>
      <c r="H350" s="448"/>
      <c r="I350" s="448"/>
      <c r="J350" s="449"/>
      <c r="L350" s="448"/>
      <c r="O350" s="451"/>
      <c r="P350" s="451"/>
      <c r="Q350" s="451"/>
      <c r="R350" s="451"/>
      <c r="S350" s="451"/>
      <c r="T350" s="451"/>
      <c r="U350" s="451"/>
      <c r="V350" s="451"/>
      <c r="W350" s="451"/>
      <c r="X350" s="451"/>
      <c r="Y350" s="451"/>
      <c r="Z350" s="451"/>
      <c r="AA350" s="451"/>
      <c r="AB350" s="451"/>
      <c r="AC350" s="451"/>
      <c r="AH350"/>
      <c r="AI350"/>
    </row>
    <row r="351" spans="1:35" s="450" customFormat="1" x14ac:dyDescent="0.25">
      <c r="A351" s="448"/>
      <c r="B351" s="448"/>
      <c r="C351" s="448"/>
      <c r="D351" s="448"/>
      <c r="E351" s="448"/>
      <c r="F351" s="448"/>
      <c r="G351" s="448"/>
      <c r="H351" s="448"/>
      <c r="I351" s="448"/>
      <c r="J351" s="449"/>
      <c r="L351" s="448"/>
      <c r="O351" s="451"/>
      <c r="P351" s="451"/>
      <c r="Q351" s="451"/>
      <c r="R351" s="451"/>
      <c r="S351" s="451"/>
      <c r="T351" s="451"/>
      <c r="U351" s="451"/>
      <c r="V351" s="451"/>
      <c r="W351" s="451"/>
      <c r="X351" s="451"/>
      <c r="Y351" s="451"/>
      <c r="Z351" s="451"/>
      <c r="AA351" s="451"/>
      <c r="AB351" s="451"/>
      <c r="AC351" s="451"/>
      <c r="AH351"/>
      <c r="AI351"/>
    </row>
    <row r="352" spans="1:35" s="450" customFormat="1" x14ac:dyDescent="0.25">
      <c r="A352" s="448"/>
      <c r="B352" s="448"/>
      <c r="C352" s="448"/>
      <c r="D352" s="448"/>
      <c r="E352" s="448"/>
      <c r="F352" s="448"/>
      <c r="G352" s="448"/>
      <c r="H352" s="448"/>
      <c r="I352" s="448"/>
      <c r="J352" s="449"/>
      <c r="L352" s="448"/>
      <c r="O352" s="451"/>
      <c r="P352" s="451"/>
      <c r="Q352" s="451"/>
      <c r="R352" s="451"/>
      <c r="S352" s="451"/>
      <c r="T352" s="451"/>
      <c r="U352" s="451"/>
      <c r="V352" s="451"/>
      <c r="W352" s="451"/>
      <c r="X352" s="451"/>
      <c r="Y352" s="451"/>
      <c r="Z352" s="451"/>
      <c r="AA352" s="451"/>
      <c r="AB352" s="451"/>
      <c r="AC352" s="451"/>
      <c r="AH352"/>
      <c r="AI352"/>
    </row>
    <row r="353" spans="1:35" s="450" customFormat="1" x14ac:dyDescent="0.25">
      <c r="A353" s="448"/>
      <c r="B353" s="448"/>
      <c r="C353" s="448"/>
      <c r="D353" s="448"/>
      <c r="E353" s="448"/>
      <c r="F353" s="448"/>
      <c r="G353" s="448"/>
      <c r="H353" s="448"/>
      <c r="I353" s="448"/>
      <c r="J353" s="449"/>
      <c r="L353" s="448"/>
      <c r="O353" s="451"/>
      <c r="P353" s="451"/>
      <c r="Q353" s="451"/>
      <c r="R353" s="451"/>
      <c r="S353" s="451"/>
      <c r="T353" s="451"/>
      <c r="U353" s="451"/>
      <c r="V353" s="451"/>
      <c r="W353" s="451"/>
      <c r="X353" s="451"/>
      <c r="Y353" s="451"/>
      <c r="Z353" s="451"/>
      <c r="AA353" s="451"/>
      <c r="AB353" s="451"/>
      <c r="AC353" s="451"/>
      <c r="AH353"/>
      <c r="AI353"/>
    </row>
    <row r="354" spans="1:35" s="450" customFormat="1" x14ac:dyDescent="0.25">
      <c r="A354" s="448"/>
      <c r="B354" s="448"/>
      <c r="C354" s="448"/>
      <c r="D354" s="448"/>
      <c r="E354" s="448"/>
      <c r="F354" s="448"/>
      <c r="G354" s="448"/>
      <c r="H354" s="448"/>
      <c r="I354" s="448"/>
      <c r="J354" s="449"/>
      <c r="L354" s="448"/>
      <c r="O354" s="451"/>
      <c r="P354" s="451"/>
      <c r="Q354" s="451"/>
      <c r="R354" s="451"/>
      <c r="S354" s="451"/>
      <c r="T354" s="451"/>
      <c r="U354" s="451"/>
      <c r="V354" s="451"/>
      <c r="W354" s="451"/>
      <c r="X354" s="451"/>
      <c r="Y354" s="451"/>
      <c r="Z354" s="451"/>
      <c r="AA354" s="451"/>
      <c r="AB354" s="451"/>
      <c r="AC354" s="451"/>
      <c r="AH354"/>
      <c r="AI354"/>
    </row>
    <row r="356" spans="1:35" s="450" customFormat="1" x14ac:dyDescent="0.25">
      <c r="A356" s="448"/>
      <c r="B356" s="448"/>
      <c r="C356" s="448"/>
      <c r="D356" s="448"/>
      <c r="E356" s="448"/>
      <c r="F356" s="448"/>
      <c r="G356" s="448"/>
      <c r="H356" s="448"/>
      <c r="I356" s="448"/>
      <c r="J356" s="449"/>
      <c r="L356" s="448"/>
      <c r="O356" s="451"/>
      <c r="P356" s="451"/>
      <c r="Q356" s="451"/>
      <c r="R356" s="451"/>
      <c r="S356" s="451"/>
      <c r="T356" s="451"/>
      <c r="U356" s="451"/>
      <c r="V356" s="451"/>
      <c r="W356" s="451"/>
      <c r="X356" s="451"/>
      <c r="Y356" s="451"/>
      <c r="Z356" s="451"/>
      <c r="AA356" s="451"/>
      <c r="AB356" s="451"/>
      <c r="AC356" s="451"/>
      <c r="AH356"/>
      <c r="AI356"/>
    </row>
    <row r="357" spans="1:35" s="450" customFormat="1" x14ac:dyDescent="0.25">
      <c r="A357" s="448"/>
      <c r="B357" s="448"/>
      <c r="C357" s="448"/>
      <c r="D357" s="448"/>
      <c r="E357" s="448"/>
      <c r="F357" s="448"/>
      <c r="G357" s="448"/>
      <c r="H357" s="448"/>
      <c r="I357" s="448"/>
      <c r="J357" s="449"/>
      <c r="L357" s="448"/>
      <c r="O357" s="451"/>
      <c r="P357" s="451"/>
      <c r="Q357" s="451"/>
      <c r="R357" s="451"/>
      <c r="S357" s="451"/>
      <c r="T357" s="451"/>
      <c r="U357" s="451"/>
      <c r="V357" s="451"/>
      <c r="W357" s="451"/>
      <c r="X357" s="451"/>
      <c r="Y357" s="451"/>
      <c r="Z357" s="451"/>
      <c r="AA357" s="451"/>
      <c r="AB357" s="451"/>
      <c r="AC357" s="451"/>
      <c r="AH357"/>
      <c r="AI357"/>
    </row>
    <row r="358" spans="1:35" s="450" customFormat="1" x14ac:dyDescent="0.25">
      <c r="A358" s="448"/>
      <c r="B358" s="448"/>
      <c r="C358" s="448"/>
      <c r="D358" s="448"/>
      <c r="E358" s="448"/>
      <c r="F358" s="448"/>
      <c r="G358" s="448"/>
      <c r="H358" s="448"/>
      <c r="I358" s="448"/>
      <c r="J358" s="449"/>
      <c r="L358" s="448"/>
      <c r="O358" s="451"/>
      <c r="P358" s="451"/>
      <c r="Q358" s="451"/>
      <c r="R358" s="451"/>
      <c r="S358" s="451"/>
      <c r="T358" s="451"/>
      <c r="U358" s="451"/>
      <c r="V358" s="451"/>
      <c r="W358" s="451"/>
      <c r="X358" s="451"/>
      <c r="Y358" s="451"/>
      <c r="Z358" s="451"/>
      <c r="AA358" s="451"/>
      <c r="AB358" s="451"/>
      <c r="AC358" s="451"/>
      <c r="AH358"/>
      <c r="AI358"/>
    </row>
    <row r="360" spans="1:35" s="450" customFormat="1" x14ac:dyDescent="0.25">
      <c r="A360" s="448"/>
      <c r="B360" s="448"/>
      <c r="C360" s="448"/>
      <c r="D360" s="448"/>
      <c r="E360" s="448"/>
      <c r="F360" s="448"/>
      <c r="G360" s="448"/>
      <c r="H360" s="448"/>
      <c r="I360" s="448"/>
      <c r="J360" s="449"/>
      <c r="L360" s="448"/>
      <c r="O360" s="451"/>
      <c r="P360" s="451"/>
      <c r="Q360" s="451"/>
      <c r="R360" s="451"/>
      <c r="S360" s="451"/>
      <c r="T360" s="451"/>
      <c r="U360" s="451"/>
      <c r="V360" s="451"/>
      <c r="W360" s="451"/>
      <c r="X360" s="451"/>
      <c r="Y360" s="451"/>
      <c r="Z360" s="451"/>
      <c r="AA360" s="451"/>
      <c r="AB360" s="451"/>
      <c r="AC360" s="451"/>
      <c r="AH360"/>
      <c r="AI360"/>
    </row>
    <row r="361" spans="1:35" s="450" customFormat="1" x14ac:dyDescent="0.25">
      <c r="A361" s="448"/>
      <c r="B361" s="448"/>
      <c r="C361" s="448"/>
      <c r="D361" s="448"/>
      <c r="E361" s="448"/>
      <c r="F361" s="448"/>
      <c r="G361" s="448"/>
      <c r="H361" s="448"/>
      <c r="I361" s="448"/>
      <c r="J361" s="449"/>
      <c r="L361" s="448"/>
      <c r="O361" s="451"/>
      <c r="P361" s="451"/>
      <c r="Q361" s="451"/>
      <c r="R361" s="451"/>
      <c r="S361" s="451"/>
      <c r="T361" s="451"/>
      <c r="U361" s="451"/>
      <c r="V361" s="451"/>
      <c r="W361" s="451"/>
      <c r="X361" s="451"/>
      <c r="Y361" s="451"/>
      <c r="Z361" s="451"/>
      <c r="AA361" s="451"/>
      <c r="AB361" s="451"/>
      <c r="AC361" s="451"/>
      <c r="AH361"/>
      <c r="AI361"/>
    </row>
    <row r="362" spans="1:35" s="450" customFormat="1" x14ac:dyDescent="0.25">
      <c r="A362" s="448"/>
      <c r="B362" s="448"/>
      <c r="C362" s="448"/>
      <c r="D362" s="448"/>
      <c r="E362" s="448"/>
      <c r="F362" s="448"/>
      <c r="G362" s="448"/>
      <c r="H362" s="448"/>
      <c r="I362" s="448"/>
      <c r="J362" s="449"/>
      <c r="L362" s="448"/>
      <c r="O362" s="451"/>
      <c r="P362" s="451"/>
      <c r="Q362" s="451"/>
      <c r="R362" s="451"/>
      <c r="S362" s="451"/>
      <c r="T362" s="451"/>
      <c r="U362" s="451"/>
      <c r="V362" s="451"/>
      <c r="W362" s="451"/>
      <c r="X362" s="451"/>
      <c r="Y362" s="451"/>
      <c r="Z362" s="451"/>
      <c r="AA362" s="451"/>
      <c r="AB362" s="451"/>
      <c r="AC362" s="451"/>
      <c r="AH362"/>
      <c r="AI362"/>
    </row>
    <row r="363" spans="1:35" s="450" customFormat="1" x14ac:dyDescent="0.25">
      <c r="A363" s="448"/>
      <c r="B363" s="448"/>
      <c r="C363" s="448"/>
      <c r="D363" s="448"/>
      <c r="E363" s="448"/>
      <c r="F363" s="448"/>
      <c r="G363" s="448"/>
      <c r="H363" s="448"/>
      <c r="I363" s="448"/>
      <c r="J363" s="449"/>
      <c r="L363" s="448"/>
      <c r="O363" s="451"/>
      <c r="P363" s="451"/>
      <c r="Q363" s="451"/>
      <c r="R363" s="451"/>
      <c r="S363" s="451"/>
      <c r="T363" s="451"/>
      <c r="U363" s="451"/>
      <c r="V363" s="451"/>
      <c r="W363" s="451"/>
      <c r="X363" s="451"/>
      <c r="Y363" s="451"/>
      <c r="Z363" s="451"/>
      <c r="AA363" s="451"/>
      <c r="AB363" s="451"/>
      <c r="AC363" s="451"/>
      <c r="AH363"/>
      <c r="AI363"/>
    </row>
    <row r="364" spans="1:35" s="450" customFormat="1" x14ac:dyDescent="0.25">
      <c r="A364" s="448"/>
      <c r="B364" s="448"/>
      <c r="C364" s="448"/>
      <c r="D364" s="448"/>
      <c r="E364" s="448"/>
      <c r="F364" s="448"/>
      <c r="G364" s="448"/>
      <c r="H364" s="448"/>
      <c r="I364" s="448"/>
      <c r="J364" s="449"/>
      <c r="L364" s="448"/>
      <c r="O364" s="451"/>
      <c r="P364" s="451"/>
      <c r="Q364" s="451"/>
      <c r="R364" s="451"/>
      <c r="S364" s="451"/>
      <c r="T364" s="451"/>
      <c r="U364" s="451"/>
      <c r="V364" s="451"/>
      <c r="W364" s="451"/>
      <c r="X364" s="451"/>
      <c r="Y364" s="451"/>
      <c r="Z364" s="451"/>
      <c r="AA364" s="451"/>
      <c r="AB364" s="451"/>
      <c r="AC364" s="451"/>
      <c r="AH364"/>
      <c r="AI364"/>
    </row>
    <row r="365" spans="1:35" s="450" customFormat="1" x14ac:dyDescent="0.25">
      <c r="A365" s="448"/>
      <c r="B365" s="448"/>
      <c r="C365" s="448"/>
      <c r="D365" s="448"/>
      <c r="E365" s="448"/>
      <c r="F365" s="448"/>
      <c r="G365" s="448"/>
      <c r="H365" s="448"/>
      <c r="I365" s="448"/>
      <c r="J365" s="449"/>
      <c r="L365" s="448"/>
      <c r="O365" s="451"/>
      <c r="P365" s="451"/>
      <c r="Q365" s="451"/>
      <c r="R365" s="451"/>
      <c r="S365" s="451"/>
      <c r="T365" s="451"/>
      <c r="U365" s="451"/>
      <c r="V365" s="451"/>
      <c r="W365" s="451"/>
      <c r="X365" s="451"/>
      <c r="Y365" s="451"/>
      <c r="Z365" s="451"/>
      <c r="AA365" s="451"/>
      <c r="AB365" s="451"/>
      <c r="AC365" s="451"/>
      <c r="AH365"/>
      <c r="AI365"/>
    </row>
    <row r="366" spans="1:35" s="450" customFormat="1" x14ac:dyDescent="0.25">
      <c r="A366" s="448"/>
      <c r="B366" s="448"/>
      <c r="C366" s="448"/>
      <c r="D366" s="448"/>
      <c r="E366" s="448"/>
      <c r="F366" s="448"/>
      <c r="G366" s="448"/>
      <c r="H366" s="448"/>
      <c r="I366" s="448"/>
      <c r="J366" s="449"/>
      <c r="L366" s="448"/>
      <c r="O366" s="451"/>
      <c r="P366" s="451"/>
      <c r="Q366" s="451"/>
      <c r="R366" s="451"/>
      <c r="S366" s="451"/>
      <c r="T366" s="451"/>
      <c r="U366" s="451"/>
      <c r="V366" s="451"/>
      <c r="W366" s="451"/>
      <c r="X366" s="451"/>
      <c r="Y366" s="451"/>
      <c r="Z366" s="451"/>
      <c r="AA366" s="451"/>
      <c r="AB366" s="451"/>
      <c r="AC366" s="451"/>
      <c r="AH366"/>
      <c r="AI366"/>
    </row>
    <row r="367" spans="1:35" s="450" customFormat="1" x14ac:dyDescent="0.25">
      <c r="A367" s="448"/>
      <c r="B367" s="448"/>
      <c r="C367" s="448"/>
      <c r="D367" s="448"/>
      <c r="E367" s="448"/>
      <c r="F367" s="448"/>
      <c r="G367" s="448"/>
      <c r="H367" s="448"/>
      <c r="I367" s="448"/>
      <c r="J367" s="449"/>
      <c r="L367" s="448"/>
      <c r="O367" s="451"/>
      <c r="P367" s="451"/>
      <c r="Q367" s="451"/>
      <c r="R367" s="451"/>
      <c r="S367" s="451"/>
      <c r="T367" s="451"/>
      <c r="U367" s="451"/>
      <c r="V367" s="451"/>
      <c r="W367" s="451"/>
      <c r="X367" s="451"/>
      <c r="Y367" s="451"/>
      <c r="Z367" s="451"/>
      <c r="AA367" s="451"/>
      <c r="AB367" s="451"/>
      <c r="AC367" s="451"/>
      <c r="AH367"/>
      <c r="AI367"/>
    </row>
    <row r="368" spans="1:35" s="450" customFormat="1" x14ac:dyDescent="0.25">
      <c r="A368" s="448"/>
      <c r="B368" s="448"/>
      <c r="C368" s="448"/>
      <c r="D368" s="448"/>
      <c r="E368" s="448"/>
      <c r="F368" s="448"/>
      <c r="G368" s="448"/>
      <c r="H368" s="448"/>
      <c r="I368" s="448"/>
      <c r="J368" s="449"/>
      <c r="L368" s="448"/>
      <c r="O368" s="451"/>
      <c r="P368" s="451"/>
      <c r="Q368" s="451"/>
      <c r="R368" s="451"/>
      <c r="S368" s="451"/>
      <c r="T368" s="451"/>
      <c r="U368" s="451"/>
      <c r="V368" s="451"/>
      <c r="W368" s="451"/>
      <c r="X368" s="451"/>
      <c r="Y368" s="451"/>
      <c r="Z368" s="451"/>
      <c r="AA368" s="451"/>
      <c r="AB368" s="451"/>
      <c r="AC368" s="451"/>
      <c r="AH368"/>
      <c r="AI368"/>
    </row>
    <row r="369" spans="1:35" s="450" customFormat="1" x14ac:dyDescent="0.25">
      <c r="A369" s="448"/>
      <c r="B369" s="448"/>
      <c r="C369" s="448"/>
      <c r="D369" s="448"/>
      <c r="E369" s="448"/>
      <c r="F369" s="448"/>
      <c r="G369" s="448"/>
      <c r="H369" s="448"/>
      <c r="I369" s="448"/>
      <c r="J369" s="449"/>
      <c r="L369" s="448"/>
      <c r="O369" s="451"/>
      <c r="P369" s="451"/>
      <c r="Q369" s="451"/>
      <c r="R369" s="451"/>
      <c r="S369" s="451"/>
      <c r="T369" s="451"/>
      <c r="U369" s="451"/>
      <c r="V369" s="451"/>
      <c r="W369" s="451"/>
      <c r="X369" s="451"/>
      <c r="Y369" s="451"/>
      <c r="Z369" s="451"/>
      <c r="AA369" s="451"/>
      <c r="AB369" s="451"/>
      <c r="AC369" s="451"/>
      <c r="AH369"/>
      <c r="AI369"/>
    </row>
    <row r="370" spans="1:35" s="450" customFormat="1" x14ac:dyDescent="0.25">
      <c r="A370" s="448"/>
      <c r="B370" s="448"/>
      <c r="C370" s="448"/>
      <c r="D370" s="448"/>
      <c r="E370" s="448"/>
      <c r="F370" s="448"/>
      <c r="G370" s="448"/>
      <c r="H370" s="448"/>
      <c r="I370" s="448"/>
      <c r="J370" s="449"/>
      <c r="L370" s="448"/>
      <c r="O370" s="451"/>
      <c r="P370" s="451"/>
      <c r="Q370" s="451"/>
      <c r="R370" s="451"/>
      <c r="S370" s="451"/>
      <c r="T370" s="451"/>
      <c r="U370" s="451"/>
      <c r="V370" s="451"/>
      <c r="W370" s="451"/>
      <c r="X370" s="451"/>
      <c r="Y370" s="451"/>
      <c r="Z370" s="451"/>
      <c r="AA370" s="451"/>
      <c r="AB370" s="451"/>
      <c r="AC370" s="451"/>
      <c r="AH370"/>
      <c r="AI370"/>
    </row>
    <row r="371" spans="1:35" s="450" customFormat="1" x14ac:dyDescent="0.25">
      <c r="A371" s="448"/>
      <c r="B371" s="448"/>
      <c r="C371" s="448"/>
      <c r="D371" s="448"/>
      <c r="E371" s="448"/>
      <c r="F371" s="448"/>
      <c r="G371" s="448"/>
      <c r="H371" s="448"/>
      <c r="I371" s="448"/>
      <c r="J371" s="449"/>
      <c r="L371" s="448"/>
      <c r="O371" s="451"/>
      <c r="P371" s="451"/>
      <c r="Q371" s="451"/>
      <c r="R371" s="451"/>
      <c r="S371" s="451"/>
      <c r="T371" s="451"/>
      <c r="U371" s="451"/>
      <c r="V371" s="451"/>
      <c r="W371" s="451"/>
      <c r="X371" s="451"/>
      <c r="Y371" s="451"/>
      <c r="Z371" s="451"/>
      <c r="AA371" s="451"/>
      <c r="AB371" s="451"/>
      <c r="AC371" s="451"/>
      <c r="AH371"/>
      <c r="AI371"/>
    </row>
    <row r="372" spans="1:35" s="450" customFormat="1" x14ac:dyDescent="0.25">
      <c r="A372" s="448"/>
      <c r="B372" s="448"/>
      <c r="C372" s="448"/>
      <c r="D372" s="448"/>
      <c r="E372" s="448"/>
      <c r="F372" s="448"/>
      <c r="G372" s="448"/>
      <c r="H372" s="448"/>
      <c r="I372" s="448"/>
      <c r="J372" s="449"/>
      <c r="L372" s="448"/>
      <c r="O372" s="451"/>
      <c r="P372" s="451"/>
      <c r="Q372" s="451"/>
      <c r="R372" s="451"/>
      <c r="S372" s="451"/>
      <c r="T372" s="451"/>
      <c r="U372" s="451"/>
      <c r="V372" s="451"/>
      <c r="W372" s="451"/>
      <c r="X372" s="451"/>
      <c r="Y372" s="451"/>
      <c r="Z372" s="451"/>
      <c r="AA372" s="451"/>
      <c r="AB372" s="451"/>
      <c r="AC372" s="451"/>
      <c r="AH372"/>
      <c r="AI372"/>
    </row>
    <row r="373" spans="1:35" s="450" customFormat="1" x14ac:dyDescent="0.25">
      <c r="A373" s="448"/>
      <c r="B373" s="448"/>
      <c r="C373" s="448"/>
      <c r="D373" s="448"/>
      <c r="E373" s="448"/>
      <c r="F373" s="448"/>
      <c r="G373" s="448"/>
      <c r="H373" s="448"/>
      <c r="I373" s="448"/>
      <c r="J373" s="449"/>
      <c r="L373" s="448"/>
      <c r="O373" s="451"/>
      <c r="P373" s="451"/>
      <c r="Q373" s="451"/>
      <c r="R373" s="451"/>
      <c r="S373" s="451"/>
      <c r="T373" s="451"/>
      <c r="U373" s="451"/>
      <c r="V373" s="451"/>
      <c r="W373" s="451"/>
      <c r="X373" s="451"/>
      <c r="Y373" s="451"/>
      <c r="Z373" s="451"/>
      <c r="AA373" s="451"/>
      <c r="AB373" s="451"/>
      <c r="AC373" s="451"/>
      <c r="AH373"/>
      <c r="AI373"/>
    </row>
    <row r="374" spans="1:35" s="450" customFormat="1" x14ac:dyDescent="0.25">
      <c r="A374" s="448"/>
      <c r="B374" s="448"/>
      <c r="C374" s="448"/>
      <c r="D374" s="448"/>
      <c r="E374" s="448"/>
      <c r="F374" s="448"/>
      <c r="G374" s="448"/>
      <c r="H374" s="448"/>
      <c r="I374" s="448"/>
      <c r="J374" s="449"/>
      <c r="L374" s="448"/>
      <c r="O374" s="451"/>
      <c r="P374" s="451"/>
      <c r="Q374" s="451"/>
      <c r="R374" s="451"/>
      <c r="S374" s="451"/>
      <c r="T374" s="451"/>
      <c r="U374" s="451"/>
      <c r="V374" s="451"/>
      <c r="W374" s="451"/>
      <c r="X374" s="451"/>
      <c r="Y374" s="451"/>
      <c r="Z374" s="451"/>
      <c r="AA374" s="451"/>
      <c r="AB374" s="451"/>
      <c r="AC374" s="451"/>
      <c r="AH374"/>
      <c r="AI374"/>
    </row>
    <row r="375" spans="1:35" s="450" customFormat="1" x14ac:dyDescent="0.25">
      <c r="A375" s="448"/>
      <c r="B375" s="448"/>
      <c r="C375" s="448"/>
      <c r="D375" s="448"/>
      <c r="E375" s="448"/>
      <c r="F375" s="448"/>
      <c r="G375" s="448"/>
      <c r="H375" s="448"/>
      <c r="I375" s="448"/>
      <c r="J375" s="449"/>
      <c r="L375" s="448"/>
      <c r="O375" s="451"/>
      <c r="P375" s="451"/>
      <c r="Q375" s="451"/>
      <c r="R375" s="451"/>
      <c r="S375" s="451"/>
      <c r="T375" s="451"/>
      <c r="U375" s="451"/>
      <c r="V375" s="451"/>
      <c r="W375" s="451"/>
      <c r="X375" s="451"/>
      <c r="Y375" s="451"/>
      <c r="Z375" s="451"/>
      <c r="AA375" s="451"/>
      <c r="AB375" s="451"/>
      <c r="AC375" s="451"/>
      <c r="AH375"/>
      <c r="AI375"/>
    </row>
    <row r="376" spans="1:35" s="450" customFormat="1" x14ac:dyDescent="0.25">
      <c r="A376" s="448"/>
      <c r="B376" s="448"/>
      <c r="C376" s="448"/>
      <c r="D376" s="448"/>
      <c r="E376" s="448"/>
      <c r="F376" s="448"/>
      <c r="G376" s="448"/>
      <c r="H376" s="448"/>
      <c r="I376" s="448"/>
      <c r="J376" s="449"/>
      <c r="L376" s="448"/>
      <c r="O376" s="451"/>
      <c r="P376" s="451"/>
      <c r="Q376" s="451"/>
      <c r="R376" s="451"/>
      <c r="S376" s="451"/>
      <c r="T376" s="451"/>
      <c r="U376" s="451"/>
      <c r="V376" s="451"/>
      <c r="W376" s="451"/>
      <c r="X376" s="451"/>
      <c r="Y376" s="451"/>
      <c r="Z376" s="451"/>
      <c r="AA376" s="451"/>
      <c r="AB376" s="451"/>
      <c r="AC376" s="451"/>
      <c r="AH376"/>
      <c r="AI376"/>
    </row>
    <row r="377" spans="1:35" s="450" customFormat="1" x14ac:dyDescent="0.25">
      <c r="A377" s="448"/>
      <c r="B377" s="448"/>
      <c r="C377" s="448"/>
      <c r="D377" s="448"/>
      <c r="E377" s="448"/>
      <c r="F377" s="448"/>
      <c r="G377" s="448"/>
      <c r="H377" s="448"/>
      <c r="I377" s="448"/>
      <c r="J377" s="449"/>
      <c r="L377" s="448"/>
      <c r="O377" s="451"/>
      <c r="P377" s="451"/>
      <c r="Q377" s="451"/>
      <c r="R377" s="451"/>
      <c r="S377" s="451"/>
      <c r="T377" s="451"/>
      <c r="U377" s="451"/>
      <c r="V377" s="451"/>
      <c r="W377" s="451"/>
      <c r="X377" s="451"/>
      <c r="Y377" s="451"/>
      <c r="Z377" s="451"/>
      <c r="AA377" s="451"/>
      <c r="AB377" s="451"/>
      <c r="AC377" s="451"/>
      <c r="AH377"/>
      <c r="AI377"/>
    </row>
    <row r="378" spans="1:35" s="450" customFormat="1" x14ac:dyDescent="0.25">
      <c r="A378" s="448"/>
      <c r="B378" s="448"/>
      <c r="C378" s="448"/>
      <c r="D378" s="448"/>
      <c r="E378" s="448"/>
      <c r="F378" s="448"/>
      <c r="G378" s="448"/>
      <c r="H378" s="448"/>
      <c r="I378" s="448"/>
      <c r="J378" s="449"/>
      <c r="L378" s="448"/>
      <c r="O378" s="451"/>
      <c r="P378" s="451"/>
      <c r="Q378" s="451"/>
      <c r="R378" s="451"/>
      <c r="S378" s="451"/>
      <c r="T378" s="451"/>
      <c r="U378" s="451"/>
      <c r="V378" s="451"/>
      <c r="W378" s="451"/>
      <c r="X378" s="451"/>
      <c r="Y378" s="451"/>
      <c r="Z378" s="451"/>
      <c r="AA378" s="451"/>
      <c r="AB378" s="451"/>
      <c r="AC378" s="451"/>
      <c r="AH378"/>
      <c r="AI378"/>
    </row>
    <row r="379" spans="1:35" s="450" customFormat="1" x14ac:dyDescent="0.25">
      <c r="A379" s="448"/>
      <c r="B379" s="448"/>
      <c r="C379" s="448"/>
      <c r="D379" s="448"/>
      <c r="E379" s="448"/>
      <c r="F379" s="448"/>
      <c r="G379" s="448"/>
      <c r="H379" s="448"/>
      <c r="I379" s="448"/>
      <c r="J379" s="449"/>
      <c r="L379" s="448"/>
      <c r="O379" s="451"/>
      <c r="P379" s="451"/>
      <c r="Q379" s="451"/>
      <c r="R379" s="451"/>
      <c r="S379" s="451"/>
      <c r="T379" s="451"/>
      <c r="U379" s="451"/>
      <c r="V379" s="451"/>
      <c r="W379" s="451"/>
      <c r="X379" s="451"/>
      <c r="Y379" s="451"/>
      <c r="Z379" s="451"/>
      <c r="AA379" s="451"/>
      <c r="AB379" s="451"/>
      <c r="AC379" s="451"/>
      <c r="AH379"/>
      <c r="AI379"/>
    </row>
    <row r="380" spans="1:35" s="450" customFormat="1" x14ac:dyDescent="0.25">
      <c r="A380" s="448"/>
      <c r="B380" s="448"/>
      <c r="C380" s="448"/>
      <c r="D380" s="448"/>
      <c r="E380" s="448"/>
      <c r="F380" s="448"/>
      <c r="G380" s="448"/>
      <c r="H380" s="448"/>
      <c r="I380" s="448"/>
      <c r="J380" s="449"/>
      <c r="L380" s="448"/>
      <c r="O380" s="451"/>
      <c r="P380" s="451"/>
      <c r="Q380" s="451"/>
      <c r="R380" s="451"/>
      <c r="S380" s="451"/>
      <c r="T380" s="451"/>
      <c r="U380" s="451"/>
      <c r="V380" s="451"/>
      <c r="W380" s="451"/>
      <c r="X380" s="451"/>
      <c r="Y380" s="451"/>
      <c r="Z380" s="451"/>
      <c r="AA380" s="451"/>
      <c r="AB380" s="451"/>
      <c r="AC380" s="451"/>
      <c r="AH380"/>
      <c r="AI380"/>
    </row>
    <row r="381" spans="1:35" s="450" customFormat="1" x14ac:dyDescent="0.25">
      <c r="A381" s="448"/>
      <c r="B381" s="448"/>
      <c r="C381" s="448"/>
      <c r="D381" s="448"/>
      <c r="E381" s="448"/>
      <c r="F381" s="448"/>
      <c r="G381" s="448"/>
      <c r="H381" s="448"/>
      <c r="I381" s="448"/>
      <c r="J381" s="449"/>
      <c r="L381" s="448"/>
      <c r="O381" s="451"/>
      <c r="P381" s="451"/>
      <c r="Q381" s="451"/>
      <c r="R381" s="451"/>
      <c r="S381" s="451"/>
      <c r="T381" s="451"/>
      <c r="U381" s="451"/>
      <c r="V381" s="451"/>
      <c r="W381" s="451"/>
      <c r="X381" s="451"/>
      <c r="Y381" s="451"/>
      <c r="Z381" s="451"/>
      <c r="AA381" s="451"/>
      <c r="AB381" s="451"/>
      <c r="AC381" s="451"/>
      <c r="AH381"/>
      <c r="AI381"/>
    </row>
    <row r="382" spans="1:35" s="450" customFormat="1" x14ac:dyDescent="0.25">
      <c r="A382" s="448"/>
      <c r="B382" s="448"/>
      <c r="C382" s="448"/>
      <c r="D382" s="448"/>
      <c r="E382" s="448"/>
      <c r="F382" s="448"/>
      <c r="G382" s="448"/>
      <c r="H382" s="448"/>
      <c r="I382" s="448"/>
      <c r="J382" s="449"/>
      <c r="L382" s="448"/>
      <c r="O382" s="451"/>
      <c r="P382" s="451"/>
      <c r="Q382" s="451"/>
      <c r="R382" s="451"/>
      <c r="S382" s="451"/>
      <c r="T382" s="451"/>
      <c r="U382" s="451"/>
      <c r="V382" s="451"/>
      <c r="W382" s="451"/>
      <c r="X382" s="451"/>
      <c r="Y382" s="451"/>
      <c r="Z382" s="451"/>
      <c r="AA382" s="451"/>
      <c r="AB382" s="451"/>
      <c r="AC382" s="451"/>
      <c r="AH382"/>
      <c r="AI382"/>
    </row>
    <row r="383" spans="1:35" s="450" customFormat="1" x14ac:dyDescent="0.25">
      <c r="A383" s="448"/>
      <c r="B383" s="448"/>
      <c r="C383" s="448"/>
      <c r="D383" s="448"/>
      <c r="E383" s="448"/>
      <c r="F383" s="448"/>
      <c r="G383" s="448"/>
      <c r="H383" s="448"/>
      <c r="I383" s="448"/>
      <c r="J383" s="449"/>
      <c r="L383" s="448"/>
      <c r="O383" s="451"/>
      <c r="P383" s="451"/>
      <c r="Q383" s="451"/>
      <c r="R383" s="451"/>
      <c r="S383" s="451"/>
      <c r="T383" s="451"/>
      <c r="U383" s="451"/>
      <c r="V383" s="451"/>
      <c r="W383" s="451"/>
      <c r="X383" s="451"/>
      <c r="Y383" s="451"/>
      <c r="Z383" s="451"/>
      <c r="AA383" s="451"/>
      <c r="AB383" s="451"/>
      <c r="AC383" s="451"/>
      <c r="AH383"/>
      <c r="AI383"/>
    </row>
    <row r="384" spans="1:35" x14ac:dyDescent="0.25">
      <c r="K384" s="451"/>
      <c r="M384" s="451"/>
      <c r="N384" s="451"/>
    </row>
    <row r="385" spans="1:35" s="450" customFormat="1" x14ac:dyDescent="0.25">
      <c r="A385" s="448"/>
      <c r="B385" s="448"/>
      <c r="C385" s="448"/>
      <c r="D385" s="448"/>
      <c r="E385" s="448"/>
      <c r="F385" s="448"/>
      <c r="G385" s="448"/>
      <c r="H385" s="448"/>
      <c r="I385" s="448"/>
      <c r="J385" s="449"/>
      <c r="L385" s="448"/>
      <c r="O385" s="451"/>
      <c r="P385" s="451"/>
      <c r="Q385" s="451"/>
      <c r="R385" s="451"/>
      <c r="S385" s="451"/>
      <c r="T385" s="451"/>
      <c r="U385" s="451"/>
      <c r="V385" s="451"/>
      <c r="W385" s="451"/>
      <c r="X385" s="451"/>
      <c r="Y385" s="451"/>
      <c r="Z385" s="451"/>
      <c r="AA385" s="451"/>
      <c r="AB385" s="451"/>
      <c r="AC385" s="451"/>
      <c r="AH385"/>
      <c r="AI385"/>
    </row>
    <row r="386" spans="1:35" x14ac:dyDescent="0.25">
      <c r="K386" s="451"/>
      <c r="M386" s="451"/>
      <c r="N386" s="451"/>
    </row>
    <row r="387" spans="1:35" s="450" customFormat="1" x14ac:dyDescent="0.25">
      <c r="A387" s="448"/>
      <c r="B387" s="448"/>
      <c r="C387" s="448"/>
      <c r="D387" s="448"/>
      <c r="E387" s="448"/>
      <c r="F387" s="448"/>
      <c r="G387" s="448"/>
      <c r="H387" s="448"/>
      <c r="I387" s="448"/>
      <c r="J387" s="449"/>
      <c r="L387" s="448"/>
      <c r="O387" s="451"/>
      <c r="P387" s="451"/>
      <c r="Q387" s="451"/>
      <c r="R387" s="451"/>
      <c r="S387" s="451"/>
      <c r="T387" s="451"/>
      <c r="U387" s="451"/>
      <c r="V387" s="451"/>
      <c r="W387" s="451"/>
      <c r="X387" s="451"/>
      <c r="Y387" s="451"/>
      <c r="Z387" s="451"/>
      <c r="AA387" s="451"/>
      <c r="AB387" s="451"/>
      <c r="AC387" s="451"/>
      <c r="AH387"/>
      <c r="AI387"/>
    </row>
    <row r="388" spans="1:35" x14ac:dyDescent="0.25">
      <c r="K388" s="451"/>
      <c r="M388" s="451"/>
      <c r="N388" s="451"/>
    </row>
    <row r="389" spans="1:35" s="450" customFormat="1" x14ac:dyDescent="0.25">
      <c r="A389" s="448"/>
      <c r="B389" s="448"/>
      <c r="C389" s="448"/>
      <c r="D389" s="448"/>
      <c r="E389" s="448"/>
      <c r="F389" s="448"/>
      <c r="G389" s="448"/>
      <c r="H389" s="448"/>
      <c r="I389" s="448"/>
      <c r="J389" s="449"/>
      <c r="L389" s="448"/>
      <c r="O389" s="451"/>
      <c r="P389" s="451"/>
      <c r="Q389" s="451"/>
      <c r="R389" s="451"/>
      <c r="S389" s="451"/>
      <c r="T389" s="451"/>
      <c r="U389" s="451"/>
      <c r="V389" s="451"/>
      <c r="W389" s="451"/>
      <c r="X389" s="451"/>
      <c r="Y389" s="451"/>
      <c r="Z389" s="451"/>
      <c r="AA389" s="451"/>
      <c r="AB389" s="451"/>
      <c r="AC389" s="451"/>
      <c r="AH389"/>
      <c r="AI389"/>
    </row>
    <row r="390" spans="1:35" s="450" customFormat="1" x14ac:dyDescent="0.25">
      <c r="A390" s="448"/>
      <c r="B390" s="448"/>
      <c r="C390" s="448"/>
      <c r="D390" s="448"/>
      <c r="E390" s="448"/>
      <c r="F390" s="448"/>
      <c r="G390" s="448"/>
      <c r="H390" s="448"/>
      <c r="I390" s="448"/>
      <c r="J390" s="449"/>
      <c r="L390" s="448"/>
      <c r="O390" s="451"/>
      <c r="P390" s="451"/>
      <c r="Q390" s="451"/>
      <c r="R390" s="451"/>
      <c r="S390" s="451"/>
      <c r="T390" s="451"/>
      <c r="U390" s="451"/>
      <c r="V390" s="451"/>
      <c r="W390" s="451"/>
      <c r="X390" s="451"/>
      <c r="Y390" s="451"/>
      <c r="Z390" s="451"/>
      <c r="AA390" s="451"/>
      <c r="AB390" s="451"/>
      <c r="AC390" s="451"/>
      <c r="AH390"/>
      <c r="AI390"/>
    </row>
    <row r="391" spans="1:35" s="450" customFormat="1" x14ac:dyDescent="0.25">
      <c r="A391" s="448"/>
      <c r="B391" s="448"/>
      <c r="C391" s="448"/>
      <c r="D391" s="448"/>
      <c r="E391" s="448"/>
      <c r="F391" s="448"/>
      <c r="G391" s="448"/>
      <c r="H391" s="448"/>
      <c r="I391" s="448"/>
      <c r="J391" s="449"/>
      <c r="L391" s="448"/>
      <c r="O391" s="451"/>
      <c r="P391" s="451"/>
      <c r="Q391" s="451"/>
      <c r="R391" s="451"/>
      <c r="S391" s="451"/>
      <c r="T391" s="451"/>
      <c r="U391" s="451"/>
      <c r="V391" s="451"/>
      <c r="W391" s="451"/>
      <c r="X391" s="451"/>
      <c r="Y391" s="451"/>
      <c r="Z391" s="451"/>
      <c r="AA391" s="451"/>
      <c r="AB391" s="451"/>
      <c r="AC391" s="451"/>
      <c r="AH391"/>
      <c r="AI391"/>
    </row>
    <row r="392" spans="1:35" s="450" customFormat="1" x14ac:dyDescent="0.25">
      <c r="A392" s="448"/>
      <c r="B392" s="448"/>
      <c r="C392" s="448"/>
      <c r="D392" s="448"/>
      <c r="E392" s="448"/>
      <c r="F392" s="448"/>
      <c r="G392" s="448"/>
      <c r="H392" s="448"/>
      <c r="I392" s="448"/>
      <c r="J392" s="449"/>
      <c r="L392" s="448"/>
      <c r="O392" s="451"/>
      <c r="P392" s="451"/>
      <c r="Q392" s="451"/>
      <c r="R392" s="451"/>
      <c r="S392" s="451"/>
      <c r="T392" s="451"/>
      <c r="U392" s="451"/>
      <c r="V392" s="451"/>
      <c r="W392" s="451"/>
      <c r="X392" s="451"/>
      <c r="Y392" s="451"/>
      <c r="Z392" s="451"/>
      <c r="AA392" s="451"/>
      <c r="AB392" s="451"/>
      <c r="AC392" s="451"/>
      <c r="AH392"/>
      <c r="AI392"/>
    </row>
    <row r="393" spans="1:35" s="450" customFormat="1" x14ac:dyDescent="0.25">
      <c r="A393" s="448"/>
      <c r="B393" s="448"/>
      <c r="C393" s="448"/>
      <c r="D393" s="448"/>
      <c r="E393" s="448"/>
      <c r="F393" s="448"/>
      <c r="G393" s="448"/>
      <c r="H393" s="448"/>
      <c r="I393" s="448"/>
      <c r="J393" s="449"/>
      <c r="L393" s="448"/>
      <c r="O393" s="451"/>
      <c r="P393" s="451"/>
      <c r="Q393" s="451"/>
      <c r="R393" s="451"/>
      <c r="S393" s="451"/>
      <c r="T393" s="451"/>
      <c r="U393" s="451"/>
      <c r="V393" s="451"/>
      <c r="W393" s="451"/>
      <c r="X393" s="451"/>
      <c r="Y393" s="451"/>
      <c r="Z393" s="451"/>
      <c r="AA393" s="451"/>
      <c r="AB393" s="451"/>
      <c r="AC393" s="451"/>
      <c r="AH393"/>
      <c r="AI393"/>
    </row>
    <row r="394" spans="1:35" s="450" customFormat="1" x14ac:dyDescent="0.25">
      <c r="A394" s="448"/>
      <c r="B394" s="448"/>
      <c r="C394" s="448"/>
      <c r="D394" s="448"/>
      <c r="E394" s="448"/>
      <c r="F394" s="448"/>
      <c r="G394" s="448"/>
      <c r="H394" s="448"/>
      <c r="I394" s="448"/>
      <c r="J394" s="449"/>
      <c r="L394" s="448"/>
      <c r="O394" s="451"/>
      <c r="P394" s="451"/>
      <c r="Q394" s="451"/>
      <c r="R394" s="451"/>
      <c r="S394" s="451"/>
      <c r="T394" s="451"/>
      <c r="U394" s="451"/>
      <c r="V394" s="451"/>
      <c r="W394" s="451"/>
      <c r="X394" s="451"/>
      <c r="Y394" s="451"/>
      <c r="Z394" s="451"/>
      <c r="AA394" s="451"/>
      <c r="AB394" s="451"/>
      <c r="AC394" s="451"/>
      <c r="AH394"/>
      <c r="AI394"/>
    </row>
    <row r="395" spans="1:35" s="450" customFormat="1" x14ac:dyDescent="0.25">
      <c r="A395" s="448"/>
      <c r="B395" s="448"/>
      <c r="C395" s="448"/>
      <c r="D395" s="448"/>
      <c r="E395" s="448"/>
      <c r="F395" s="448"/>
      <c r="G395" s="448"/>
      <c r="H395" s="448"/>
      <c r="I395" s="448"/>
      <c r="J395" s="449"/>
      <c r="L395" s="448"/>
      <c r="O395" s="451"/>
      <c r="P395" s="451"/>
      <c r="Q395" s="451"/>
      <c r="R395" s="451"/>
      <c r="S395" s="451"/>
      <c r="T395" s="451"/>
      <c r="U395" s="451"/>
      <c r="V395" s="451"/>
      <c r="W395" s="451"/>
      <c r="X395" s="451"/>
      <c r="Y395" s="451"/>
      <c r="Z395" s="451"/>
      <c r="AA395" s="451"/>
      <c r="AB395" s="451"/>
      <c r="AC395" s="451"/>
      <c r="AH395"/>
      <c r="AI395"/>
    </row>
    <row r="396" spans="1:35" s="450" customFormat="1" x14ac:dyDescent="0.25">
      <c r="A396" s="448"/>
      <c r="B396" s="448"/>
      <c r="C396" s="448"/>
      <c r="D396" s="448"/>
      <c r="E396" s="448"/>
      <c r="F396" s="448"/>
      <c r="G396" s="448"/>
      <c r="H396" s="448"/>
      <c r="I396" s="448"/>
      <c r="J396" s="449"/>
      <c r="L396" s="448"/>
      <c r="O396" s="451"/>
      <c r="P396" s="451"/>
      <c r="Q396" s="451"/>
      <c r="R396" s="451"/>
      <c r="S396" s="451"/>
      <c r="T396" s="451"/>
      <c r="U396" s="451"/>
      <c r="V396" s="451"/>
      <c r="W396" s="451"/>
      <c r="X396" s="451"/>
      <c r="Y396" s="451"/>
      <c r="Z396" s="451"/>
      <c r="AA396" s="451"/>
      <c r="AB396" s="451"/>
      <c r="AC396" s="451"/>
      <c r="AH396"/>
      <c r="AI396"/>
    </row>
    <row r="397" spans="1:35" s="450" customFormat="1" x14ac:dyDescent="0.25">
      <c r="A397" s="448"/>
      <c r="B397" s="448"/>
      <c r="C397" s="448"/>
      <c r="D397" s="448"/>
      <c r="E397" s="448"/>
      <c r="F397" s="448"/>
      <c r="G397" s="448"/>
      <c r="H397" s="448"/>
      <c r="I397" s="448"/>
      <c r="J397" s="449"/>
      <c r="L397" s="448"/>
      <c r="O397" s="451"/>
      <c r="P397" s="451"/>
      <c r="Q397" s="451"/>
      <c r="R397" s="451"/>
      <c r="S397" s="451"/>
      <c r="T397" s="451"/>
      <c r="U397" s="451"/>
      <c r="V397" s="451"/>
      <c r="W397" s="451"/>
      <c r="X397" s="451"/>
      <c r="Y397" s="451"/>
      <c r="Z397" s="451"/>
      <c r="AA397" s="451"/>
      <c r="AB397" s="451"/>
      <c r="AC397" s="451"/>
      <c r="AH397"/>
      <c r="AI397"/>
    </row>
    <row r="398" spans="1:35" s="450" customFormat="1" x14ac:dyDescent="0.25">
      <c r="A398" s="448"/>
      <c r="B398" s="448"/>
      <c r="C398" s="448"/>
      <c r="D398" s="448"/>
      <c r="E398" s="448"/>
      <c r="F398" s="448"/>
      <c r="G398" s="448"/>
      <c r="H398" s="448"/>
      <c r="I398" s="448"/>
      <c r="J398" s="449"/>
      <c r="L398" s="448"/>
      <c r="O398" s="451"/>
      <c r="P398" s="451"/>
      <c r="Q398" s="451"/>
      <c r="R398" s="451"/>
      <c r="S398" s="451"/>
      <c r="T398" s="451"/>
      <c r="U398" s="451"/>
      <c r="V398" s="451"/>
      <c r="W398" s="451"/>
      <c r="X398" s="451"/>
      <c r="Y398" s="451"/>
      <c r="Z398" s="451"/>
      <c r="AA398" s="451"/>
      <c r="AB398" s="451"/>
      <c r="AC398" s="451"/>
      <c r="AH398"/>
      <c r="AI398"/>
    </row>
    <row r="399" spans="1:35" s="450" customFormat="1" x14ac:dyDescent="0.25">
      <c r="A399" s="448"/>
      <c r="B399" s="448"/>
      <c r="C399" s="448"/>
      <c r="D399" s="448"/>
      <c r="E399" s="448"/>
      <c r="F399" s="448"/>
      <c r="G399" s="448"/>
      <c r="H399" s="448"/>
      <c r="I399" s="448"/>
      <c r="J399" s="449"/>
      <c r="L399" s="448"/>
      <c r="O399" s="451"/>
      <c r="P399" s="451"/>
      <c r="Q399" s="451"/>
      <c r="R399" s="451"/>
      <c r="S399" s="451"/>
      <c r="T399" s="451"/>
      <c r="U399" s="451"/>
      <c r="V399" s="451"/>
      <c r="W399" s="451"/>
      <c r="X399" s="451"/>
      <c r="Y399" s="451"/>
      <c r="Z399" s="451"/>
      <c r="AA399" s="451"/>
      <c r="AB399" s="451"/>
      <c r="AC399" s="451"/>
      <c r="AH399"/>
      <c r="AI399"/>
    </row>
    <row r="400" spans="1:35" s="450" customFormat="1" x14ac:dyDescent="0.25">
      <c r="A400" s="448"/>
      <c r="B400" s="448"/>
      <c r="C400" s="448"/>
      <c r="D400" s="448"/>
      <c r="E400" s="448"/>
      <c r="F400" s="448"/>
      <c r="G400" s="448"/>
      <c r="H400" s="448"/>
      <c r="I400" s="448"/>
      <c r="J400" s="449"/>
      <c r="L400" s="448"/>
      <c r="O400" s="451"/>
      <c r="P400" s="451"/>
      <c r="Q400" s="451"/>
      <c r="R400" s="451"/>
      <c r="S400" s="451"/>
      <c r="T400" s="451"/>
      <c r="U400" s="451"/>
      <c r="V400" s="451"/>
      <c r="W400" s="451"/>
      <c r="X400" s="451"/>
      <c r="Y400" s="451"/>
      <c r="Z400" s="451"/>
      <c r="AA400" s="451"/>
      <c r="AB400" s="451"/>
      <c r="AC400" s="451"/>
      <c r="AH400"/>
      <c r="AI400"/>
    </row>
    <row r="401" spans="1:35" s="450" customFormat="1" x14ac:dyDescent="0.25">
      <c r="A401" s="448"/>
      <c r="B401" s="448"/>
      <c r="C401" s="448"/>
      <c r="D401" s="448"/>
      <c r="E401" s="448"/>
      <c r="F401" s="448"/>
      <c r="G401" s="448"/>
      <c r="H401" s="448"/>
      <c r="I401" s="448"/>
      <c r="J401" s="449"/>
      <c r="L401" s="448"/>
      <c r="O401" s="451"/>
      <c r="P401" s="451"/>
      <c r="Q401" s="451"/>
      <c r="R401" s="451"/>
      <c r="S401" s="451"/>
      <c r="T401" s="451"/>
      <c r="U401" s="451"/>
      <c r="V401" s="451"/>
      <c r="W401" s="451"/>
      <c r="X401" s="451"/>
      <c r="Y401" s="451"/>
      <c r="Z401" s="451"/>
      <c r="AA401" s="451"/>
      <c r="AB401" s="451"/>
      <c r="AC401" s="451"/>
      <c r="AH401"/>
      <c r="AI401"/>
    </row>
    <row r="402" spans="1:35" s="450" customFormat="1" x14ac:dyDescent="0.25">
      <c r="A402" s="448"/>
      <c r="B402" s="448"/>
      <c r="C402" s="448"/>
      <c r="D402" s="448"/>
      <c r="E402" s="448"/>
      <c r="F402" s="448"/>
      <c r="G402" s="448"/>
      <c r="H402" s="448"/>
      <c r="I402" s="448"/>
      <c r="J402" s="449"/>
      <c r="L402" s="448"/>
      <c r="O402" s="451"/>
      <c r="P402" s="451"/>
      <c r="Q402" s="451"/>
      <c r="R402" s="451"/>
      <c r="S402" s="451"/>
      <c r="T402" s="451"/>
      <c r="U402" s="451"/>
      <c r="V402" s="451"/>
      <c r="W402" s="451"/>
      <c r="X402" s="451"/>
      <c r="Y402" s="451"/>
      <c r="Z402" s="451"/>
      <c r="AA402" s="451"/>
      <c r="AB402" s="451"/>
      <c r="AC402" s="451"/>
      <c r="AH402"/>
      <c r="AI402"/>
    </row>
    <row r="403" spans="1:35" s="450" customFormat="1" x14ac:dyDescent="0.25">
      <c r="A403" s="448"/>
      <c r="B403" s="448"/>
      <c r="C403" s="448"/>
      <c r="D403" s="448"/>
      <c r="E403" s="448"/>
      <c r="F403" s="448"/>
      <c r="G403" s="448"/>
      <c r="H403" s="448"/>
      <c r="I403" s="448"/>
      <c r="J403" s="449"/>
      <c r="L403" s="448"/>
      <c r="O403" s="451"/>
      <c r="P403" s="451"/>
      <c r="Q403" s="451"/>
      <c r="R403" s="451"/>
      <c r="S403" s="451"/>
      <c r="T403" s="451"/>
      <c r="U403" s="451"/>
      <c r="V403" s="451"/>
      <c r="W403" s="451"/>
      <c r="X403" s="451"/>
      <c r="Y403" s="451"/>
      <c r="Z403" s="451"/>
      <c r="AA403" s="451"/>
      <c r="AB403" s="451"/>
      <c r="AC403" s="451"/>
      <c r="AH403"/>
      <c r="AI403"/>
    </row>
    <row r="404" spans="1:35" x14ac:dyDescent="0.25">
      <c r="K404" s="451"/>
      <c r="M404" s="451"/>
      <c r="N404" s="451"/>
    </row>
    <row r="405" spans="1:35" s="450" customFormat="1" x14ac:dyDescent="0.25">
      <c r="A405" s="448"/>
      <c r="B405" s="448"/>
      <c r="C405" s="448"/>
      <c r="D405" s="448"/>
      <c r="E405" s="448"/>
      <c r="F405" s="448"/>
      <c r="G405" s="448"/>
      <c r="H405" s="448"/>
      <c r="I405" s="448"/>
      <c r="J405" s="449"/>
      <c r="L405" s="448"/>
      <c r="O405" s="451"/>
      <c r="P405" s="451"/>
      <c r="Q405" s="451"/>
      <c r="R405" s="451"/>
      <c r="S405" s="451"/>
      <c r="T405" s="451"/>
      <c r="U405" s="451"/>
      <c r="V405" s="451"/>
      <c r="W405" s="451"/>
      <c r="X405" s="451"/>
      <c r="Y405" s="451"/>
      <c r="Z405" s="451"/>
      <c r="AA405" s="451"/>
      <c r="AB405" s="451"/>
      <c r="AC405" s="451"/>
      <c r="AH405"/>
      <c r="AI405"/>
    </row>
    <row r="406" spans="1:35" x14ac:dyDescent="0.25">
      <c r="K406" s="451"/>
      <c r="M406" s="451"/>
      <c r="N406" s="451"/>
    </row>
    <row r="407" spans="1:35" s="450" customFormat="1" x14ac:dyDescent="0.25">
      <c r="A407" s="448"/>
      <c r="B407" s="448"/>
      <c r="C407" s="448"/>
      <c r="D407" s="448"/>
      <c r="E407" s="448"/>
      <c r="F407" s="448"/>
      <c r="G407" s="452"/>
      <c r="H407" s="448"/>
      <c r="I407" s="448"/>
      <c r="J407" s="449"/>
      <c r="L407" s="448"/>
      <c r="O407" s="451"/>
      <c r="P407" s="451"/>
      <c r="Q407" s="451"/>
      <c r="R407" s="451"/>
      <c r="S407" s="451"/>
      <c r="T407" s="451"/>
      <c r="U407" s="451"/>
      <c r="V407" s="451"/>
      <c r="W407" s="451"/>
      <c r="X407" s="451"/>
      <c r="Y407" s="451"/>
      <c r="Z407" s="451"/>
      <c r="AA407" s="451"/>
      <c r="AB407" s="451"/>
      <c r="AC407" s="451"/>
      <c r="AH407"/>
      <c r="AI407"/>
    </row>
    <row r="408" spans="1:35" x14ac:dyDescent="0.25">
      <c r="K408" s="451"/>
      <c r="M408" s="451"/>
      <c r="N408" s="451"/>
    </row>
    <row r="409" spans="1:35" s="450" customFormat="1" x14ac:dyDescent="0.25">
      <c r="A409" s="448"/>
      <c r="B409" s="448"/>
      <c r="C409" s="448"/>
      <c r="D409" s="448"/>
      <c r="E409" s="448"/>
      <c r="F409" s="448"/>
      <c r="G409" s="448"/>
      <c r="H409" s="448"/>
      <c r="I409" s="448"/>
      <c r="J409" s="449"/>
      <c r="L409" s="448"/>
      <c r="O409" s="451"/>
      <c r="P409" s="451"/>
      <c r="Q409" s="451"/>
      <c r="R409" s="451"/>
      <c r="S409" s="451"/>
      <c r="T409" s="451"/>
      <c r="U409" s="451"/>
      <c r="V409" s="451"/>
      <c r="W409" s="451"/>
      <c r="X409" s="451"/>
      <c r="Y409" s="451"/>
      <c r="Z409" s="451"/>
      <c r="AA409" s="451"/>
      <c r="AB409" s="451"/>
      <c r="AC409" s="451"/>
      <c r="AH409"/>
      <c r="AI409"/>
    </row>
    <row r="410" spans="1:35" s="450" customFormat="1" x14ac:dyDescent="0.25">
      <c r="A410" s="448"/>
      <c r="B410" s="448"/>
      <c r="C410" s="448"/>
      <c r="D410" s="448"/>
      <c r="E410" s="448"/>
      <c r="F410" s="448"/>
      <c r="G410" s="448"/>
      <c r="H410" s="448"/>
      <c r="I410" s="448"/>
      <c r="J410" s="449"/>
      <c r="L410" s="448"/>
      <c r="O410" s="451"/>
      <c r="P410" s="451"/>
      <c r="Q410" s="451"/>
      <c r="R410" s="451"/>
      <c r="S410" s="451"/>
      <c r="T410" s="451"/>
      <c r="U410" s="451"/>
      <c r="V410" s="451"/>
      <c r="W410" s="451"/>
      <c r="X410" s="451"/>
      <c r="Y410" s="451"/>
      <c r="Z410" s="451"/>
      <c r="AA410" s="451"/>
      <c r="AB410" s="451"/>
      <c r="AC410" s="451"/>
      <c r="AH410"/>
      <c r="AI410"/>
    </row>
    <row r="411" spans="1:35" s="450" customFormat="1" x14ac:dyDescent="0.25">
      <c r="A411" s="448"/>
      <c r="B411" s="448"/>
      <c r="C411" s="448"/>
      <c r="D411" s="448"/>
      <c r="E411" s="448"/>
      <c r="F411" s="448"/>
      <c r="G411" s="448"/>
      <c r="H411" s="448"/>
      <c r="I411" s="448"/>
      <c r="J411" s="449"/>
      <c r="L411" s="448"/>
      <c r="O411" s="451"/>
      <c r="P411" s="451"/>
      <c r="Q411" s="451"/>
      <c r="R411" s="451"/>
      <c r="S411" s="451"/>
      <c r="T411" s="451"/>
      <c r="U411" s="451"/>
      <c r="V411" s="451"/>
      <c r="W411" s="451"/>
      <c r="X411" s="451"/>
      <c r="Y411" s="451"/>
      <c r="Z411" s="451"/>
      <c r="AA411" s="451"/>
      <c r="AB411" s="451"/>
      <c r="AC411" s="451"/>
      <c r="AH411"/>
      <c r="AI411"/>
    </row>
    <row r="412" spans="1:35" x14ac:dyDescent="0.25">
      <c r="K412" s="451"/>
      <c r="M412" s="451"/>
      <c r="N412" s="451"/>
    </row>
    <row r="413" spans="1:35" x14ac:dyDescent="0.25">
      <c r="K413" s="451"/>
      <c r="M413" s="451"/>
      <c r="N413" s="451"/>
    </row>
    <row r="414" spans="1:35" x14ac:dyDescent="0.25">
      <c r="K414" s="451"/>
      <c r="M414" s="451"/>
      <c r="N414" s="451"/>
    </row>
    <row r="415" spans="1:35" x14ac:dyDescent="0.25">
      <c r="K415" s="451"/>
      <c r="M415" s="451"/>
      <c r="N415" s="451"/>
    </row>
    <row r="416" spans="1:35" x14ac:dyDescent="0.25">
      <c r="K416" s="451"/>
      <c r="M416" s="451"/>
      <c r="N416" s="451"/>
    </row>
    <row r="417" spans="11:14" x14ac:dyDescent="0.25">
      <c r="K417" s="451"/>
      <c r="M417" s="451"/>
      <c r="N417" s="451"/>
    </row>
    <row r="418" spans="11:14" x14ac:dyDescent="0.25">
      <c r="K418" s="451"/>
      <c r="M418" s="451"/>
      <c r="N418" s="451"/>
    </row>
    <row r="419" spans="11:14" x14ac:dyDescent="0.25">
      <c r="K419" s="451"/>
      <c r="M419" s="451"/>
      <c r="N419" s="451"/>
    </row>
    <row r="420" spans="11:14" x14ac:dyDescent="0.25">
      <c r="K420" s="451"/>
      <c r="M420" s="451"/>
      <c r="N420" s="451"/>
    </row>
    <row r="421" spans="11:14" x14ac:dyDescent="0.25">
      <c r="K421" s="451"/>
      <c r="M421" s="451"/>
      <c r="N421" s="451"/>
    </row>
    <row r="422" spans="11:14" x14ac:dyDescent="0.25">
      <c r="K422" s="451"/>
      <c r="M422" s="451"/>
      <c r="N422" s="451"/>
    </row>
    <row r="423" spans="11:14" x14ac:dyDescent="0.25">
      <c r="K423" s="451"/>
      <c r="M423" s="451"/>
      <c r="N423" s="451"/>
    </row>
    <row r="424" spans="11:14" x14ac:dyDescent="0.25">
      <c r="K424" s="451"/>
      <c r="M424" s="451"/>
      <c r="N424" s="451"/>
    </row>
    <row r="425" spans="11:14" x14ac:dyDescent="0.25">
      <c r="K425" s="451"/>
      <c r="M425" s="451"/>
      <c r="N425" s="451"/>
    </row>
    <row r="426" spans="11:14" x14ac:dyDescent="0.25">
      <c r="K426" s="451"/>
      <c r="M426" s="451"/>
      <c r="N426" s="451"/>
    </row>
    <row r="427" spans="11:14" x14ac:dyDescent="0.25">
      <c r="K427" s="451"/>
      <c r="M427" s="451"/>
      <c r="N427" s="451"/>
    </row>
    <row r="428" spans="11:14" x14ac:dyDescent="0.25">
      <c r="K428" s="451"/>
      <c r="M428" s="451"/>
      <c r="N428" s="451"/>
    </row>
    <row r="429" spans="11:14" x14ac:dyDescent="0.25">
      <c r="K429" s="451"/>
      <c r="M429" s="451"/>
      <c r="N429" s="451"/>
    </row>
    <row r="430" spans="11:14" x14ac:dyDescent="0.25">
      <c r="K430" s="451"/>
      <c r="M430" s="451"/>
      <c r="N430" s="451"/>
    </row>
    <row r="431" spans="11:14" x14ac:dyDescent="0.25">
      <c r="K431" s="451"/>
      <c r="M431" s="451"/>
      <c r="N431" s="451"/>
    </row>
    <row r="432" spans="11:14" x14ac:dyDescent="0.25">
      <c r="K432" s="451"/>
      <c r="M432" s="451"/>
      <c r="N432" s="451"/>
    </row>
    <row r="433" spans="11:14" x14ac:dyDescent="0.25">
      <c r="K433" s="451"/>
      <c r="M433" s="451"/>
      <c r="N433" s="451"/>
    </row>
    <row r="434" spans="11:14" x14ac:dyDescent="0.25">
      <c r="K434" s="451"/>
      <c r="M434" s="451"/>
      <c r="N434" s="451"/>
    </row>
    <row r="435" spans="11:14" x14ac:dyDescent="0.25">
      <c r="K435" s="451"/>
      <c r="M435" s="451"/>
      <c r="N435" s="451"/>
    </row>
    <row r="436" spans="11:14" x14ac:dyDescent="0.25">
      <c r="K436" s="451"/>
      <c r="M436" s="451"/>
      <c r="N436" s="451"/>
    </row>
    <row r="437" spans="11:14" x14ac:dyDescent="0.25">
      <c r="K437" s="451"/>
      <c r="M437" s="451"/>
      <c r="N437" s="451"/>
    </row>
    <row r="438" spans="11:14" x14ac:dyDescent="0.25">
      <c r="K438" s="451"/>
      <c r="M438" s="451"/>
      <c r="N438" s="451"/>
    </row>
    <row r="439" spans="11:14" x14ac:dyDescent="0.25">
      <c r="K439" s="451"/>
      <c r="M439" s="451"/>
      <c r="N439" s="451"/>
    </row>
    <row r="440" spans="11:14" x14ac:dyDescent="0.25">
      <c r="K440" s="451"/>
      <c r="M440" s="451"/>
      <c r="N440" s="451"/>
    </row>
    <row r="441" spans="11:14" x14ac:dyDescent="0.25">
      <c r="K441" s="451"/>
      <c r="M441" s="451"/>
      <c r="N441" s="451"/>
    </row>
    <row r="442" spans="11:14" x14ac:dyDescent="0.25">
      <c r="K442" s="451"/>
      <c r="M442" s="451"/>
      <c r="N442" s="451"/>
    </row>
    <row r="443" spans="11:14" x14ac:dyDescent="0.25">
      <c r="K443" s="451"/>
      <c r="M443" s="451"/>
      <c r="N443" s="451"/>
    </row>
    <row r="444" spans="11:14" x14ac:dyDescent="0.25">
      <c r="K444" s="451"/>
      <c r="M444" s="451"/>
      <c r="N444" s="451"/>
    </row>
    <row r="445" spans="11:14" x14ac:dyDescent="0.25">
      <c r="K445" s="451"/>
      <c r="M445" s="451"/>
      <c r="N445" s="451"/>
    </row>
    <row r="446" spans="11:14" x14ac:dyDescent="0.25">
      <c r="K446" s="451"/>
      <c r="M446" s="451"/>
      <c r="N446" s="451"/>
    </row>
    <row r="447" spans="11:14" x14ac:dyDescent="0.25">
      <c r="K447" s="451"/>
      <c r="M447" s="451"/>
      <c r="N447" s="451"/>
    </row>
    <row r="448" spans="11:14" x14ac:dyDescent="0.25">
      <c r="K448" s="451"/>
      <c r="M448" s="451"/>
      <c r="N448" s="451"/>
    </row>
    <row r="449" spans="11:14" x14ac:dyDescent="0.25">
      <c r="K449" s="451"/>
      <c r="M449" s="451"/>
      <c r="N449" s="451"/>
    </row>
    <row r="450" spans="11:14" x14ac:dyDescent="0.25">
      <c r="K450" s="451"/>
      <c r="M450" s="451"/>
      <c r="N450" s="451"/>
    </row>
    <row r="451" spans="11:14" x14ac:dyDescent="0.25">
      <c r="K451" s="451"/>
      <c r="M451" s="451"/>
      <c r="N451" s="451"/>
    </row>
    <row r="452" spans="11:14" x14ac:dyDescent="0.25">
      <c r="K452" s="451"/>
      <c r="M452" s="451"/>
      <c r="N452" s="451"/>
    </row>
    <row r="453" spans="11:14" x14ac:dyDescent="0.25">
      <c r="K453" s="451"/>
      <c r="M453" s="451"/>
      <c r="N453" s="451"/>
    </row>
    <row r="454" spans="11:14" x14ac:dyDescent="0.25">
      <c r="K454" s="451"/>
      <c r="M454" s="451"/>
      <c r="N454" s="451"/>
    </row>
    <row r="455" spans="11:14" x14ac:dyDescent="0.25">
      <c r="K455" s="451"/>
      <c r="M455" s="451"/>
      <c r="N455" s="451"/>
    </row>
    <row r="456" spans="11:14" x14ac:dyDescent="0.25">
      <c r="K456" s="451"/>
      <c r="M456" s="451"/>
      <c r="N456" s="451"/>
    </row>
    <row r="457" spans="11:14" x14ac:dyDescent="0.25">
      <c r="K457" s="451"/>
      <c r="M457" s="451"/>
      <c r="N457" s="451"/>
    </row>
    <row r="458" spans="11:14" x14ac:dyDescent="0.25">
      <c r="K458" s="451"/>
      <c r="M458" s="451"/>
      <c r="N458" s="451"/>
    </row>
    <row r="459" spans="11:14" x14ac:dyDescent="0.25">
      <c r="K459" s="451"/>
      <c r="M459" s="451"/>
      <c r="N459" s="451"/>
    </row>
    <row r="460" spans="11:14" x14ac:dyDescent="0.25">
      <c r="K460" s="451"/>
      <c r="M460" s="451"/>
      <c r="N460" s="451"/>
    </row>
    <row r="461" spans="11:14" x14ac:dyDescent="0.25">
      <c r="K461" s="451"/>
      <c r="M461" s="451"/>
      <c r="N461" s="451"/>
    </row>
    <row r="462" spans="11:14" x14ac:dyDescent="0.25">
      <c r="K462" s="451"/>
      <c r="M462" s="451"/>
      <c r="N462" s="451"/>
    </row>
    <row r="463" spans="11:14" x14ac:dyDescent="0.25">
      <c r="K463" s="451"/>
      <c r="M463" s="451"/>
      <c r="N463" s="451"/>
    </row>
    <row r="464" spans="11:14" x14ac:dyDescent="0.25">
      <c r="K464" s="451"/>
      <c r="M464" s="451"/>
      <c r="N464" s="451"/>
    </row>
    <row r="465" spans="11:14" x14ac:dyDescent="0.25">
      <c r="K465" s="451"/>
      <c r="M465" s="451"/>
      <c r="N465" s="451"/>
    </row>
    <row r="466" spans="11:14" x14ac:dyDescent="0.25">
      <c r="K466" s="451"/>
      <c r="M466" s="451"/>
      <c r="N466" s="451"/>
    </row>
    <row r="467" spans="11:14" x14ac:dyDescent="0.25">
      <c r="K467" s="451"/>
      <c r="M467" s="451"/>
      <c r="N467" s="451"/>
    </row>
    <row r="468" spans="11:14" x14ac:dyDescent="0.25">
      <c r="K468" s="451"/>
      <c r="M468" s="451"/>
      <c r="N468" s="451"/>
    </row>
    <row r="469" spans="11:14" x14ac:dyDescent="0.25">
      <c r="K469" s="451"/>
      <c r="M469" s="451"/>
      <c r="N469" s="451"/>
    </row>
    <row r="470" spans="11:14" x14ac:dyDescent="0.25">
      <c r="K470" s="451"/>
      <c r="M470" s="451"/>
      <c r="N470" s="451"/>
    </row>
    <row r="471" spans="11:14" x14ac:dyDescent="0.25">
      <c r="K471" s="451"/>
      <c r="M471" s="451"/>
      <c r="N471" s="451"/>
    </row>
    <row r="472" spans="11:14" x14ac:dyDescent="0.25">
      <c r="K472" s="451"/>
      <c r="M472" s="451"/>
      <c r="N472" s="451"/>
    </row>
    <row r="473" spans="11:14" x14ac:dyDescent="0.25">
      <c r="K473" s="451"/>
      <c r="M473" s="451"/>
      <c r="N473" s="451"/>
    </row>
    <row r="474" spans="11:14" x14ac:dyDescent="0.25">
      <c r="K474" s="451"/>
      <c r="M474" s="451"/>
      <c r="N474" s="451"/>
    </row>
    <row r="475" spans="11:14" x14ac:dyDescent="0.25">
      <c r="K475" s="451"/>
      <c r="M475" s="451"/>
      <c r="N475" s="451"/>
    </row>
    <row r="476" spans="11:14" x14ac:dyDescent="0.25">
      <c r="K476" s="451"/>
      <c r="M476" s="451"/>
      <c r="N476" s="451"/>
    </row>
    <row r="477" spans="11:14" x14ac:dyDescent="0.25">
      <c r="K477" s="451"/>
      <c r="M477" s="451"/>
      <c r="N477" s="451"/>
    </row>
    <row r="478" spans="11:14" x14ac:dyDescent="0.25">
      <c r="K478" s="451"/>
      <c r="M478" s="451"/>
      <c r="N478" s="451"/>
    </row>
    <row r="479" spans="11:14" x14ac:dyDescent="0.25">
      <c r="K479" s="451"/>
      <c r="M479" s="451"/>
      <c r="N479" s="451"/>
    </row>
    <row r="480" spans="11:14" x14ac:dyDescent="0.25">
      <c r="K480" s="451"/>
      <c r="M480" s="451"/>
      <c r="N480" s="451"/>
    </row>
    <row r="481" spans="11:14" x14ac:dyDescent="0.25">
      <c r="K481" s="451"/>
      <c r="M481" s="451"/>
      <c r="N481" s="451"/>
    </row>
    <row r="482" spans="11:14" x14ac:dyDescent="0.25">
      <c r="K482" s="451"/>
      <c r="M482" s="451"/>
      <c r="N482" s="451"/>
    </row>
    <row r="483" spans="11:14" x14ac:dyDescent="0.25">
      <c r="K483" s="451"/>
      <c r="M483" s="451"/>
      <c r="N483" s="451"/>
    </row>
    <row r="484" spans="11:14" x14ac:dyDescent="0.25">
      <c r="K484" s="451"/>
      <c r="M484" s="451"/>
      <c r="N484" s="451"/>
    </row>
    <row r="485" spans="11:14" x14ac:dyDescent="0.25">
      <c r="K485" s="451"/>
      <c r="M485" s="451"/>
      <c r="N485" s="451"/>
    </row>
    <row r="486" spans="11:14" x14ac:dyDescent="0.25">
      <c r="K486" s="451"/>
      <c r="M486" s="451"/>
      <c r="N486" s="451"/>
    </row>
    <row r="487" spans="11:14" x14ac:dyDescent="0.25">
      <c r="K487" s="451"/>
      <c r="M487" s="451"/>
      <c r="N487" s="451"/>
    </row>
    <row r="488" spans="11:14" x14ac:dyDescent="0.25">
      <c r="K488" s="451"/>
      <c r="M488" s="451"/>
      <c r="N488" s="451"/>
    </row>
    <row r="489" spans="11:14" x14ac:dyDescent="0.25">
      <c r="K489" s="451"/>
      <c r="M489" s="451"/>
      <c r="N489" s="451"/>
    </row>
    <row r="490" spans="11:14" x14ac:dyDescent="0.25">
      <c r="K490" s="451"/>
      <c r="M490" s="451"/>
      <c r="N490" s="451"/>
    </row>
    <row r="491" spans="11:14" x14ac:dyDescent="0.25">
      <c r="K491" s="451"/>
      <c r="M491" s="451"/>
      <c r="N491" s="451"/>
    </row>
    <row r="492" spans="11:14" x14ac:dyDescent="0.25">
      <c r="K492" s="451"/>
      <c r="M492" s="451"/>
      <c r="N492" s="451"/>
    </row>
    <row r="493" spans="11:14" x14ac:dyDescent="0.25">
      <c r="K493" s="451"/>
      <c r="M493" s="451"/>
      <c r="N493" s="451"/>
    </row>
    <row r="494" spans="11:14" x14ac:dyDescent="0.25">
      <c r="K494" s="451"/>
      <c r="M494" s="451"/>
      <c r="N494" s="451"/>
    </row>
    <row r="495" spans="11:14" x14ac:dyDescent="0.25">
      <c r="K495" s="451"/>
      <c r="M495" s="451"/>
      <c r="N495" s="451"/>
    </row>
    <row r="496" spans="11:14" x14ac:dyDescent="0.25">
      <c r="K496" s="451"/>
      <c r="M496" s="451"/>
      <c r="N496" s="451"/>
    </row>
    <row r="497" spans="11:14" x14ac:dyDescent="0.25">
      <c r="K497" s="451"/>
      <c r="M497" s="451"/>
      <c r="N497" s="451"/>
    </row>
    <row r="498" spans="11:14" x14ac:dyDescent="0.25">
      <c r="K498" s="451"/>
      <c r="M498" s="451"/>
      <c r="N498" s="451"/>
    </row>
    <row r="499" spans="11:14" x14ac:dyDescent="0.25">
      <c r="K499" s="451"/>
      <c r="M499" s="451"/>
      <c r="N499" s="451"/>
    </row>
    <row r="500" spans="11:14" x14ac:dyDescent="0.25">
      <c r="K500" s="451"/>
      <c r="M500" s="451"/>
      <c r="N500" s="451"/>
    </row>
    <row r="501" spans="11:14" x14ac:dyDescent="0.25">
      <c r="K501" s="451"/>
      <c r="M501" s="451"/>
      <c r="N501" s="451"/>
    </row>
    <row r="502" spans="11:14" x14ac:dyDescent="0.25">
      <c r="K502" s="451"/>
      <c r="M502" s="451"/>
      <c r="N502" s="451"/>
    </row>
    <row r="503" spans="11:14" x14ac:dyDescent="0.25">
      <c r="K503" s="451"/>
      <c r="M503" s="451"/>
      <c r="N503" s="451"/>
    </row>
    <row r="504" spans="11:14" x14ac:dyDescent="0.25">
      <c r="K504" s="451"/>
      <c r="M504" s="451"/>
      <c r="N504" s="451"/>
    </row>
    <row r="505" spans="11:14" x14ac:dyDescent="0.25">
      <c r="K505" s="451"/>
      <c r="M505" s="451"/>
      <c r="N505" s="451"/>
    </row>
    <row r="506" spans="11:14" x14ac:dyDescent="0.25">
      <c r="K506" s="451"/>
      <c r="M506" s="451"/>
      <c r="N506" s="451"/>
    </row>
    <row r="507" spans="11:14" x14ac:dyDescent="0.25">
      <c r="K507" s="451"/>
      <c r="M507" s="451"/>
      <c r="N507" s="451"/>
    </row>
    <row r="508" spans="11:14" x14ac:dyDescent="0.25">
      <c r="K508" s="451"/>
      <c r="M508" s="451"/>
      <c r="N508" s="451"/>
    </row>
    <row r="509" spans="11:14" x14ac:dyDescent="0.25">
      <c r="K509" s="451"/>
      <c r="M509" s="451"/>
      <c r="N509" s="451"/>
    </row>
    <row r="510" spans="11:14" x14ac:dyDescent="0.25">
      <c r="K510" s="451"/>
      <c r="M510" s="451"/>
      <c r="N510" s="451"/>
    </row>
    <row r="511" spans="11:14" x14ac:dyDescent="0.25">
      <c r="K511" s="451"/>
      <c r="M511" s="451"/>
      <c r="N511" s="451"/>
    </row>
    <row r="512" spans="11:14" x14ac:dyDescent="0.25">
      <c r="K512" s="451"/>
      <c r="M512" s="451"/>
      <c r="N512" s="451"/>
    </row>
    <row r="513" spans="11:14" x14ac:dyDescent="0.25">
      <c r="K513" s="451"/>
      <c r="M513" s="451"/>
      <c r="N513" s="451"/>
    </row>
    <row r="514" spans="11:14" x14ac:dyDescent="0.25">
      <c r="K514" s="451"/>
      <c r="M514" s="451"/>
      <c r="N514" s="451"/>
    </row>
    <row r="515" spans="11:14" x14ac:dyDescent="0.25">
      <c r="K515" s="451"/>
      <c r="M515" s="451"/>
      <c r="N515" s="451"/>
    </row>
    <row r="516" spans="11:14" x14ac:dyDescent="0.25">
      <c r="K516" s="451"/>
      <c r="M516" s="451"/>
      <c r="N516" s="451"/>
    </row>
    <row r="517" spans="11:14" x14ac:dyDescent="0.25">
      <c r="K517" s="451"/>
      <c r="M517" s="451"/>
      <c r="N517" s="451"/>
    </row>
    <row r="518" spans="11:14" x14ac:dyDescent="0.25">
      <c r="K518" s="451"/>
      <c r="M518" s="451"/>
      <c r="N518" s="451"/>
    </row>
    <row r="519" spans="11:14" x14ac:dyDescent="0.25">
      <c r="K519" s="451"/>
      <c r="M519" s="451"/>
      <c r="N519" s="451"/>
    </row>
    <row r="520" spans="11:14" x14ac:dyDescent="0.25">
      <c r="K520" s="451"/>
      <c r="M520" s="451"/>
      <c r="N520" s="451"/>
    </row>
    <row r="521" spans="11:14" x14ac:dyDescent="0.25">
      <c r="K521" s="451"/>
      <c r="M521" s="451"/>
      <c r="N521" s="451"/>
    </row>
    <row r="522" spans="11:14" x14ac:dyDescent="0.25">
      <c r="K522" s="451"/>
      <c r="M522" s="451"/>
      <c r="N522" s="451"/>
    </row>
    <row r="523" spans="11:14" x14ac:dyDescent="0.25">
      <c r="K523" s="451"/>
      <c r="M523" s="451"/>
      <c r="N523" s="451"/>
    </row>
    <row r="524" spans="11:14" x14ac:dyDescent="0.25">
      <c r="K524" s="451"/>
      <c r="M524" s="451"/>
      <c r="N524" s="451"/>
    </row>
    <row r="525" spans="11:14" x14ac:dyDescent="0.25">
      <c r="K525" s="451"/>
      <c r="M525" s="451"/>
      <c r="N525" s="451"/>
    </row>
    <row r="526" spans="11:14" x14ac:dyDescent="0.25">
      <c r="K526" s="451"/>
      <c r="M526" s="451"/>
      <c r="N526" s="451"/>
    </row>
    <row r="527" spans="11:14" x14ac:dyDescent="0.25">
      <c r="K527" s="451"/>
      <c r="M527" s="451"/>
      <c r="N527" s="451"/>
    </row>
    <row r="528" spans="11:14" x14ac:dyDescent="0.25">
      <c r="K528" s="451"/>
      <c r="M528" s="451"/>
      <c r="N528" s="451"/>
    </row>
    <row r="529" spans="11:14" x14ac:dyDescent="0.25">
      <c r="K529" s="451"/>
      <c r="M529" s="451"/>
      <c r="N529" s="451"/>
    </row>
    <row r="530" spans="11:14" x14ac:dyDescent="0.25">
      <c r="K530" s="451"/>
      <c r="M530" s="451"/>
      <c r="N530" s="451"/>
    </row>
    <row r="531" spans="11:14" x14ac:dyDescent="0.25">
      <c r="K531" s="451"/>
      <c r="M531" s="451"/>
      <c r="N531" s="451"/>
    </row>
    <row r="532" spans="11:14" x14ac:dyDescent="0.25">
      <c r="K532" s="451"/>
      <c r="M532" s="451"/>
      <c r="N532" s="451"/>
    </row>
    <row r="533" spans="11:14" x14ac:dyDescent="0.25">
      <c r="K533" s="451"/>
      <c r="M533" s="451"/>
      <c r="N533" s="451"/>
    </row>
    <row r="534" spans="11:14" x14ac:dyDescent="0.25">
      <c r="K534" s="451"/>
      <c r="M534" s="451"/>
      <c r="N534" s="451"/>
    </row>
    <row r="535" spans="11:14" x14ac:dyDescent="0.25">
      <c r="K535" s="451"/>
      <c r="M535" s="451"/>
      <c r="N535" s="451"/>
    </row>
    <row r="536" spans="11:14" x14ac:dyDescent="0.25">
      <c r="K536" s="451"/>
      <c r="M536" s="451"/>
      <c r="N536" s="451"/>
    </row>
    <row r="537" spans="11:14" x14ac:dyDescent="0.25">
      <c r="K537" s="451"/>
      <c r="M537" s="451"/>
      <c r="N537" s="451"/>
    </row>
    <row r="538" spans="11:14" x14ac:dyDescent="0.25">
      <c r="K538" s="451"/>
      <c r="M538" s="451"/>
      <c r="N538" s="451"/>
    </row>
    <row r="539" spans="11:14" x14ac:dyDescent="0.25">
      <c r="K539" s="451"/>
      <c r="M539" s="451"/>
      <c r="N539" s="451"/>
    </row>
    <row r="540" spans="11:14" x14ac:dyDescent="0.25">
      <c r="K540" s="451"/>
      <c r="M540" s="451"/>
      <c r="N540" s="451"/>
    </row>
    <row r="541" spans="11:14" x14ac:dyDescent="0.25">
      <c r="K541" s="451"/>
      <c r="M541" s="451"/>
      <c r="N541" s="451"/>
    </row>
    <row r="542" spans="11:14" x14ac:dyDescent="0.25">
      <c r="K542" s="451"/>
      <c r="M542" s="451"/>
      <c r="N542" s="451"/>
    </row>
    <row r="543" spans="11:14" x14ac:dyDescent="0.25">
      <c r="K543" s="451"/>
      <c r="M543" s="451"/>
      <c r="N543" s="451"/>
    </row>
    <row r="544" spans="11:14" x14ac:dyDescent="0.25">
      <c r="K544" s="451"/>
      <c r="M544" s="451"/>
      <c r="N544" s="451"/>
    </row>
    <row r="545" spans="11:14" x14ac:dyDescent="0.25">
      <c r="K545" s="451"/>
      <c r="M545" s="451"/>
      <c r="N545" s="451"/>
    </row>
    <row r="546" spans="11:14" x14ac:dyDescent="0.25">
      <c r="K546" s="451"/>
      <c r="M546" s="451"/>
      <c r="N546" s="451"/>
    </row>
    <row r="547" spans="11:14" x14ac:dyDescent="0.25">
      <c r="K547" s="451"/>
      <c r="M547" s="451"/>
      <c r="N547" s="451"/>
    </row>
    <row r="548" spans="11:14" x14ac:dyDescent="0.25">
      <c r="K548" s="451"/>
      <c r="M548" s="451"/>
      <c r="N548" s="451"/>
    </row>
    <row r="549" spans="11:14" x14ac:dyDescent="0.25">
      <c r="K549" s="451"/>
      <c r="M549" s="451"/>
      <c r="N549" s="451"/>
    </row>
    <row r="550" spans="11:14" x14ac:dyDescent="0.25">
      <c r="K550" s="451"/>
      <c r="M550" s="451"/>
      <c r="N550" s="451"/>
    </row>
    <row r="551" spans="11:14" x14ac:dyDescent="0.25">
      <c r="K551" s="451"/>
      <c r="M551" s="451"/>
      <c r="N551" s="451"/>
    </row>
    <row r="552" spans="11:14" x14ac:dyDescent="0.25">
      <c r="K552" s="451"/>
      <c r="M552" s="451"/>
      <c r="N552" s="451"/>
    </row>
    <row r="553" spans="11:14" x14ac:dyDescent="0.25">
      <c r="K553" s="451"/>
      <c r="M553" s="451"/>
      <c r="N553" s="451"/>
    </row>
    <row r="554" spans="11:14" x14ac:dyDescent="0.25">
      <c r="K554" s="451"/>
      <c r="M554" s="451"/>
      <c r="N554" s="451"/>
    </row>
    <row r="555" spans="11:14" x14ac:dyDescent="0.25">
      <c r="K555" s="451"/>
      <c r="M555" s="451"/>
      <c r="N555" s="451"/>
    </row>
    <row r="556" spans="11:14" x14ac:dyDescent="0.25">
      <c r="K556" s="451"/>
      <c r="M556" s="451"/>
      <c r="N556" s="451"/>
    </row>
    <row r="557" spans="11:14" x14ac:dyDescent="0.25">
      <c r="K557" s="451"/>
      <c r="M557" s="451"/>
      <c r="N557" s="451"/>
    </row>
    <row r="558" spans="11:14" x14ac:dyDescent="0.25">
      <c r="K558" s="451"/>
      <c r="M558" s="451"/>
      <c r="N558" s="451"/>
    </row>
    <row r="559" spans="11:14" x14ac:dyDescent="0.25">
      <c r="K559" s="451"/>
      <c r="M559" s="451"/>
      <c r="N559" s="451"/>
    </row>
    <row r="560" spans="11:14" x14ac:dyDescent="0.25">
      <c r="K560" s="451"/>
      <c r="M560" s="451"/>
      <c r="N560" s="451"/>
    </row>
    <row r="561" spans="11:14" x14ac:dyDescent="0.25">
      <c r="K561" s="451"/>
      <c r="M561" s="451"/>
      <c r="N561" s="451"/>
    </row>
    <row r="562" spans="11:14" x14ac:dyDescent="0.25">
      <c r="K562" s="451"/>
      <c r="M562" s="451"/>
      <c r="N562" s="451"/>
    </row>
    <row r="563" spans="11:14" x14ac:dyDescent="0.25">
      <c r="K563" s="451"/>
      <c r="M563" s="451"/>
      <c r="N563" s="451"/>
    </row>
    <row r="564" spans="11:14" x14ac:dyDescent="0.25">
      <c r="K564" s="451"/>
      <c r="M564" s="451"/>
      <c r="N564" s="451"/>
    </row>
    <row r="565" spans="11:14" x14ac:dyDescent="0.25">
      <c r="K565" s="451"/>
      <c r="M565" s="451"/>
      <c r="N565" s="451"/>
    </row>
    <row r="566" spans="11:14" x14ac:dyDescent="0.25">
      <c r="K566" s="451"/>
      <c r="M566" s="451"/>
      <c r="N566" s="451"/>
    </row>
    <row r="567" spans="11:14" x14ac:dyDescent="0.25">
      <c r="K567" s="451"/>
      <c r="M567" s="451"/>
      <c r="N567" s="451"/>
    </row>
    <row r="568" spans="11:14" x14ac:dyDescent="0.25">
      <c r="K568" s="451"/>
      <c r="M568" s="451"/>
      <c r="N568" s="451"/>
    </row>
    <row r="569" spans="11:14" x14ac:dyDescent="0.25">
      <c r="K569" s="451"/>
      <c r="M569" s="451"/>
      <c r="N569" s="451"/>
    </row>
    <row r="570" spans="11:14" x14ac:dyDescent="0.25">
      <c r="K570" s="451"/>
      <c r="M570" s="451"/>
      <c r="N570" s="451"/>
    </row>
    <row r="571" spans="11:14" x14ac:dyDescent="0.25">
      <c r="K571" s="451"/>
      <c r="M571" s="451"/>
      <c r="N571" s="451"/>
    </row>
    <row r="572" spans="11:14" x14ac:dyDescent="0.25">
      <c r="K572" s="451"/>
      <c r="M572" s="451"/>
      <c r="N572" s="451"/>
    </row>
    <row r="573" spans="11:14" x14ac:dyDescent="0.25">
      <c r="K573" s="451"/>
      <c r="M573" s="451"/>
      <c r="N573" s="451"/>
    </row>
    <row r="574" spans="11:14" x14ac:dyDescent="0.25">
      <c r="K574" s="451"/>
      <c r="M574" s="451"/>
      <c r="N574" s="451"/>
    </row>
    <row r="575" spans="11:14" x14ac:dyDescent="0.25">
      <c r="K575" s="451"/>
      <c r="M575" s="451"/>
      <c r="N575" s="451"/>
    </row>
    <row r="576" spans="11:14" x14ac:dyDescent="0.25">
      <c r="K576" s="451"/>
      <c r="M576" s="451"/>
      <c r="N576" s="451"/>
    </row>
    <row r="577" spans="11:14" x14ac:dyDescent="0.25">
      <c r="K577" s="451"/>
      <c r="M577" s="451"/>
      <c r="N577" s="451"/>
    </row>
    <row r="578" spans="11:14" x14ac:dyDescent="0.25">
      <c r="K578" s="451"/>
      <c r="M578" s="451"/>
      <c r="N578" s="451"/>
    </row>
    <row r="579" spans="11:14" x14ac:dyDescent="0.25">
      <c r="K579" s="451"/>
      <c r="M579" s="451"/>
      <c r="N579" s="451"/>
    </row>
    <row r="580" spans="11:14" x14ac:dyDescent="0.25">
      <c r="K580" s="451"/>
      <c r="M580" s="451"/>
      <c r="N580" s="451"/>
    </row>
    <row r="581" spans="11:14" x14ac:dyDescent="0.25">
      <c r="K581" s="451"/>
      <c r="M581" s="451"/>
      <c r="N581" s="451"/>
    </row>
    <row r="582" spans="11:14" x14ac:dyDescent="0.25">
      <c r="K582" s="451"/>
      <c r="M582" s="451"/>
      <c r="N582" s="451"/>
    </row>
    <row r="583" spans="11:14" x14ac:dyDescent="0.25">
      <c r="K583" s="451"/>
      <c r="M583" s="451"/>
      <c r="N583" s="451"/>
    </row>
    <row r="584" spans="11:14" x14ac:dyDescent="0.25">
      <c r="K584" s="451"/>
      <c r="M584" s="451"/>
      <c r="N584" s="451"/>
    </row>
    <row r="585" spans="11:14" x14ac:dyDescent="0.25">
      <c r="K585" s="451"/>
      <c r="M585" s="451"/>
      <c r="N585" s="451"/>
    </row>
    <row r="586" spans="11:14" x14ac:dyDescent="0.25">
      <c r="K586" s="451"/>
      <c r="M586" s="451"/>
      <c r="N586" s="451"/>
    </row>
    <row r="587" spans="11:14" x14ac:dyDescent="0.25">
      <c r="K587" s="451"/>
      <c r="M587" s="451"/>
      <c r="N587" s="451"/>
    </row>
    <row r="588" spans="11:14" x14ac:dyDescent="0.25">
      <c r="K588" s="451"/>
      <c r="M588" s="451"/>
      <c r="N588" s="451"/>
    </row>
    <row r="589" spans="11:14" x14ac:dyDescent="0.25">
      <c r="K589" s="451"/>
      <c r="M589" s="451"/>
      <c r="N589" s="451"/>
    </row>
    <row r="590" spans="11:14" x14ac:dyDescent="0.25">
      <c r="K590" s="451"/>
      <c r="M590" s="451"/>
      <c r="N590" s="451"/>
    </row>
    <row r="591" spans="11:14" x14ac:dyDescent="0.25">
      <c r="K591" s="451"/>
      <c r="M591" s="451"/>
      <c r="N591" s="451"/>
    </row>
    <row r="592" spans="11:14" x14ac:dyDescent="0.25">
      <c r="K592" s="451"/>
      <c r="M592" s="451"/>
      <c r="N592" s="451"/>
    </row>
    <row r="593" spans="11:14" x14ac:dyDescent="0.25">
      <c r="K593" s="451"/>
      <c r="M593" s="451"/>
      <c r="N593" s="451"/>
    </row>
    <row r="594" spans="11:14" x14ac:dyDescent="0.25">
      <c r="K594" s="451"/>
      <c r="M594" s="451"/>
      <c r="N594" s="451"/>
    </row>
    <row r="595" spans="11:14" x14ac:dyDescent="0.25">
      <c r="K595" s="451"/>
      <c r="M595" s="451"/>
      <c r="N595" s="451"/>
    </row>
    <row r="596" spans="11:14" x14ac:dyDescent="0.25">
      <c r="K596" s="451"/>
      <c r="M596" s="451"/>
      <c r="N596" s="451"/>
    </row>
    <row r="597" spans="11:14" x14ac:dyDescent="0.25">
      <c r="K597" s="451"/>
      <c r="M597" s="451"/>
      <c r="N597" s="451"/>
    </row>
    <row r="598" spans="11:14" x14ac:dyDescent="0.25">
      <c r="K598" s="451"/>
      <c r="M598" s="451"/>
      <c r="N598" s="451"/>
    </row>
    <row r="599" spans="11:14" x14ac:dyDescent="0.25">
      <c r="K599" s="451"/>
      <c r="M599" s="451"/>
      <c r="N599" s="451"/>
    </row>
    <row r="600" spans="11:14" x14ac:dyDescent="0.25">
      <c r="K600" s="451"/>
      <c r="M600" s="451"/>
      <c r="N600" s="451"/>
    </row>
    <row r="601" spans="11:14" x14ac:dyDescent="0.25">
      <c r="K601" s="451"/>
      <c r="M601" s="451"/>
      <c r="N601" s="451"/>
    </row>
    <row r="602" spans="11:14" x14ac:dyDescent="0.25">
      <c r="K602" s="451"/>
      <c r="M602" s="451"/>
      <c r="N602" s="451"/>
    </row>
    <row r="603" spans="11:14" x14ac:dyDescent="0.25">
      <c r="K603" s="451"/>
      <c r="M603" s="451"/>
      <c r="N603" s="451"/>
    </row>
    <row r="604" spans="11:14" x14ac:dyDescent="0.25">
      <c r="K604" s="451"/>
      <c r="M604" s="451"/>
      <c r="N604" s="451"/>
    </row>
    <row r="605" spans="11:14" x14ac:dyDescent="0.25">
      <c r="K605" s="451"/>
      <c r="M605" s="451"/>
      <c r="N605" s="451"/>
    </row>
    <row r="606" spans="11:14" x14ac:dyDescent="0.25">
      <c r="K606" s="451"/>
      <c r="M606" s="451"/>
      <c r="N606" s="451"/>
    </row>
    <row r="607" spans="11:14" x14ac:dyDescent="0.25">
      <c r="K607" s="451"/>
      <c r="M607" s="451"/>
      <c r="N607" s="451"/>
    </row>
    <row r="608" spans="11:14" x14ac:dyDescent="0.25">
      <c r="K608" s="451"/>
      <c r="M608" s="451"/>
      <c r="N608" s="451"/>
    </row>
    <row r="609" spans="11:14" x14ac:dyDescent="0.25">
      <c r="K609" s="451"/>
      <c r="M609" s="451"/>
      <c r="N609" s="451"/>
    </row>
    <row r="610" spans="11:14" x14ac:dyDescent="0.25">
      <c r="K610" s="451"/>
      <c r="M610" s="451"/>
      <c r="N610" s="451"/>
    </row>
    <row r="611" spans="11:14" x14ac:dyDescent="0.25">
      <c r="K611" s="451"/>
      <c r="M611" s="451"/>
      <c r="N611" s="451"/>
    </row>
    <row r="612" spans="11:14" x14ac:dyDescent="0.25">
      <c r="K612" s="451"/>
      <c r="M612" s="451"/>
      <c r="N612" s="451"/>
    </row>
    <row r="613" spans="11:14" x14ac:dyDescent="0.25">
      <c r="K613" s="451"/>
      <c r="M613" s="451"/>
      <c r="N613" s="451"/>
    </row>
    <row r="614" spans="11:14" x14ac:dyDescent="0.25">
      <c r="K614" s="451"/>
      <c r="M614" s="451"/>
      <c r="N614" s="451"/>
    </row>
    <row r="615" spans="11:14" x14ac:dyDescent="0.25">
      <c r="K615" s="451"/>
      <c r="M615" s="451"/>
      <c r="N615" s="451"/>
    </row>
    <row r="616" spans="11:14" x14ac:dyDescent="0.25">
      <c r="K616" s="451"/>
      <c r="M616" s="451"/>
      <c r="N616" s="451"/>
    </row>
    <row r="617" spans="11:14" x14ac:dyDescent="0.25">
      <c r="K617" s="451"/>
      <c r="M617" s="451"/>
      <c r="N617" s="451"/>
    </row>
    <row r="618" spans="11:14" x14ac:dyDescent="0.25">
      <c r="K618" s="451"/>
      <c r="M618" s="451"/>
      <c r="N618" s="451"/>
    </row>
    <row r="619" spans="11:14" x14ac:dyDescent="0.25">
      <c r="K619" s="451"/>
      <c r="M619" s="451"/>
      <c r="N619" s="451"/>
    </row>
    <row r="620" spans="11:14" x14ac:dyDescent="0.25">
      <c r="K620" s="451"/>
      <c r="M620" s="451"/>
      <c r="N620" s="451"/>
    </row>
    <row r="621" spans="11:14" x14ac:dyDescent="0.25">
      <c r="K621" s="451"/>
      <c r="M621" s="451"/>
      <c r="N621" s="451"/>
    </row>
    <row r="622" spans="11:14" x14ac:dyDescent="0.25">
      <c r="K622" s="451"/>
      <c r="M622" s="451"/>
      <c r="N622" s="451"/>
    </row>
    <row r="623" spans="11:14" x14ac:dyDescent="0.25">
      <c r="K623" s="451"/>
      <c r="M623" s="451"/>
      <c r="N623" s="451"/>
    </row>
    <row r="624" spans="11:14" x14ac:dyDescent="0.25">
      <c r="K624" s="451"/>
      <c r="M624" s="451"/>
      <c r="N624" s="451"/>
    </row>
    <row r="625" spans="11:14" x14ac:dyDescent="0.25">
      <c r="K625" s="451"/>
      <c r="M625" s="451"/>
      <c r="N625" s="451"/>
    </row>
    <row r="626" spans="11:14" x14ac:dyDescent="0.25">
      <c r="K626" s="451"/>
      <c r="M626" s="451"/>
      <c r="N626" s="451"/>
    </row>
    <row r="627" spans="11:14" x14ac:dyDescent="0.25">
      <c r="K627" s="451"/>
      <c r="M627" s="451"/>
      <c r="N627" s="451"/>
    </row>
    <row r="628" spans="11:14" x14ac:dyDescent="0.25">
      <c r="K628" s="451"/>
      <c r="M628" s="451"/>
      <c r="N628" s="451"/>
    </row>
    <row r="629" spans="11:14" x14ac:dyDescent="0.25">
      <c r="K629" s="451"/>
      <c r="M629" s="451"/>
      <c r="N629" s="451"/>
    </row>
    <row r="630" spans="11:14" x14ac:dyDescent="0.25">
      <c r="K630" s="451"/>
      <c r="M630" s="451"/>
      <c r="N630" s="451"/>
    </row>
    <row r="631" spans="11:14" x14ac:dyDescent="0.25">
      <c r="K631" s="451"/>
      <c r="M631" s="451"/>
      <c r="N631" s="451"/>
    </row>
    <row r="632" spans="11:14" x14ac:dyDescent="0.25">
      <c r="K632" s="451"/>
      <c r="M632" s="451"/>
      <c r="N632" s="451"/>
    </row>
    <row r="633" spans="11:14" x14ac:dyDescent="0.25">
      <c r="K633" s="451"/>
      <c r="M633" s="451"/>
      <c r="N633" s="451"/>
    </row>
    <row r="634" spans="11:14" x14ac:dyDescent="0.25">
      <c r="K634" s="451"/>
      <c r="M634" s="451"/>
      <c r="N634" s="451"/>
    </row>
    <row r="635" spans="11:14" x14ac:dyDescent="0.25">
      <c r="K635" s="451"/>
      <c r="M635" s="451"/>
      <c r="N635" s="451"/>
    </row>
    <row r="636" spans="11:14" x14ac:dyDescent="0.25">
      <c r="K636" s="451"/>
      <c r="M636" s="451"/>
      <c r="N636" s="451"/>
    </row>
    <row r="637" spans="11:14" x14ac:dyDescent="0.25">
      <c r="K637" s="451"/>
      <c r="M637" s="451"/>
      <c r="N637" s="451"/>
    </row>
    <row r="638" spans="11:14" x14ac:dyDescent="0.25">
      <c r="K638" s="451"/>
      <c r="M638" s="451"/>
      <c r="N638" s="451"/>
    </row>
    <row r="639" spans="11:14" x14ac:dyDescent="0.25">
      <c r="K639" s="451"/>
      <c r="M639" s="451"/>
      <c r="N639" s="451"/>
    </row>
    <row r="640" spans="11:14" x14ac:dyDescent="0.25">
      <c r="K640" s="451"/>
      <c r="M640" s="451"/>
      <c r="N640" s="451"/>
    </row>
    <row r="641" spans="11:14" x14ac:dyDescent="0.25">
      <c r="K641" s="451"/>
      <c r="M641" s="451"/>
      <c r="N641" s="451"/>
    </row>
    <row r="642" spans="11:14" x14ac:dyDescent="0.25">
      <c r="K642" s="451"/>
      <c r="M642" s="451"/>
      <c r="N642" s="451"/>
    </row>
    <row r="643" spans="11:14" x14ac:dyDescent="0.25">
      <c r="K643" s="451"/>
      <c r="M643" s="451"/>
      <c r="N643" s="451"/>
    </row>
    <row r="644" spans="11:14" x14ac:dyDescent="0.25">
      <c r="K644" s="451"/>
      <c r="M644" s="451"/>
      <c r="N644" s="451"/>
    </row>
    <row r="645" spans="11:14" x14ac:dyDescent="0.25">
      <c r="K645" s="451"/>
      <c r="M645" s="451"/>
      <c r="N645" s="451"/>
    </row>
    <row r="646" spans="11:14" x14ac:dyDescent="0.25">
      <c r="K646" s="451"/>
      <c r="M646" s="451"/>
      <c r="N646" s="451"/>
    </row>
    <row r="647" spans="11:14" x14ac:dyDescent="0.25">
      <c r="K647" s="451"/>
      <c r="M647" s="451"/>
      <c r="N647" s="451"/>
    </row>
    <row r="648" spans="11:14" x14ac:dyDescent="0.25">
      <c r="K648" s="451"/>
      <c r="M648" s="451"/>
      <c r="N648" s="451"/>
    </row>
    <row r="649" spans="11:14" x14ac:dyDescent="0.25">
      <c r="K649" s="451"/>
      <c r="M649" s="451"/>
      <c r="N649" s="451"/>
    </row>
    <row r="650" spans="11:14" x14ac:dyDescent="0.25">
      <c r="K650" s="451"/>
      <c r="M650" s="451"/>
      <c r="N650" s="451"/>
    </row>
    <row r="651" spans="11:14" x14ac:dyDescent="0.25">
      <c r="K651" s="451"/>
      <c r="M651" s="451"/>
      <c r="N651" s="451"/>
    </row>
    <row r="652" spans="11:14" x14ac:dyDescent="0.25">
      <c r="K652" s="451"/>
      <c r="M652" s="451"/>
      <c r="N652" s="451"/>
    </row>
    <row r="653" spans="11:14" x14ac:dyDescent="0.25">
      <c r="K653" s="451"/>
      <c r="M653" s="451"/>
      <c r="N653" s="451"/>
    </row>
    <row r="654" spans="11:14" x14ac:dyDescent="0.25">
      <c r="K654" s="451"/>
      <c r="M654" s="451"/>
      <c r="N654" s="451"/>
    </row>
    <row r="655" spans="11:14" x14ac:dyDescent="0.25">
      <c r="K655" s="451"/>
      <c r="M655" s="451"/>
      <c r="N655" s="451"/>
    </row>
    <row r="656" spans="11:14" x14ac:dyDescent="0.25">
      <c r="K656" s="451"/>
      <c r="M656" s="451"/>
      <c r="N656" s="451"/>
    </row>
    <row r="657" spans="11:14" x14ac:dyDescent="0.25">
      <c r="K657" s="451"/>
      <c r="M657" s="451"/>
      <c r="N657" s="451"/>
    </row>
    <row r="658" spans="11:14" x14ac:dyDescent="0.25">
      <c r="K658" s="451"/>
      <c r="M658" s="451"/>
      <c r="N658" s="451"/>
    </row>
    <row r="659" spans="11:14" x14ac:dyDescent="0.25">
      <c r="K659" s="451"/>
      <c r="M659" s="451"/>
      <c r="N659" s="451"/>
    </row>
    <row r="660" spans="11:14" x14ac:dyDescent="0.25">
      <c r="K660" s="451"/>
      <c r="M660" s="451"/>
      <c r="N660" s="451"/>
    </row>
    <row r="661" spans="11:14" x14ac:dyDescent="0.25">
      <c r="K661" s="451"/>
      <c r="M661" s="451"/>
      <c r="N661" s="451"/>
    </row>
    <row r="662" spans="11:14" x14ac:dyDescent="0.25">
      <c r="K662" s="451"/>
      <c r="M662" s="451"/>
      <c r="N662" s="451"/>
    </row>
    <row r="663" spans="11:14" x14ac:dyDescent="0.25">
      <c r="K663" s="451"/>
      <c r="M663" s="451"/>
      <c r="N663" s="451"/>
    </row>
    <row r="664" spans="11:14" x14ac:dyDescent="0.25">
      <c r="K664" s="451"/>
      <c r="M664" s="451"/>
      <c r="N664" s="451"/>
    </row>
    <row r="665" spans="11:14" x14ac:dyDescent="0.25">
      <c r="K665" s="451"/>
      <c r="M665" s="451"/>
      <c r="N665" s="451"/>
    </row>
    <row r="666" spans="11:14" x14ac:dyDescent="0.25">
      <c r="K666" s="451"/>
      <c r="M666" s="451"/>
      <c r="N666" s="451"/>
    </row>
    <row r="667" spans="11:14" x14ac:dyDescent="0.25">
      <c r="K667" s="451"/>
      <c r="M667" s="451"/>
      <c r="N667" s="451"/>
    </row>
    <row r="668" spans="11:14" x14ac:dyDescent="0.25">
      <c r="K668" s="451"/>
      <c r="M668" s="451"/>
      <c r="N668" s="451"/>
    </row>
    <row r="669" spans="11:14" x14ac:dyDescent="0.25">
      <c r="K669" s="451"/>
      <c r="M669" s="451"/>
      <c r="N669" s="451"/>
    </row>
    <row r="670" spans="11:14" x14ac:dyDescent="0.25">
      <c r="K670" s="451"/>
      <c r="M670" s="451"/>
      <c r="N670" s="451"/>
    </row>
    <row r="671" spans="11:14" x14ac:dyDescent="0.25">
      <c r="K671" s="451"/>
      <c r="M671" s="451"/>
      <c r="N671" s="451"/>
    </row>
    <row r="672" spans="11:14" x14ac:dyDescent="0.25">
      <c r="K672" s="451"/>
      <c r="M672" s="451"/>
      <c r="N672" s="451"/>
    </row>
    <row r="673" spans="11:14" x14ac:dyDescent="0.25">
      <c r="K673" s="451"/>
      <c r="M673" s="451"/>
      <c r="N673" s="451"/>
    </row>
    <row r="674" spans="11:14" x14ac:dyDescent="0.25">
      <c r="K674" s="451"/>
      <c r="M674" s="451"/>
      <c r="N674" s="451"/>
    </row>
    <row r="675" spans="11:14" x14ac:dyDescent="0.25">
      <c r="K675" s="451"/>
      <c r="M675" s="451"/>
      <c r="N675" s="451"/>
    </row>
    <row r="676" spans="11:14" x14ac:dyDescent="0.25">
      <c r="K676" s="451"/>
      <c r="M676" s="451"/>
      <c r="N676" s="451"/>
    </row>
    <row r="677" spans="11:14" x14ac:dyDescent="0.25">
      <c r="K677" s="451"/>
      <c r="M677" s="451"/>
      <c r="N677" s="451"/>
    </row>
    <row r="678" spans="11:14" x14ac:dyDescent="0.25">
      <c r="K678" s="451"/>
      <c r="M678" s="451"/>
      <c r="N678" s="451"/>
    </row>
    <row r="679" spans="11:14" x14ac:dyDescent="0.25">
      <c r="K679" s="451"/>
      <c r="M679" s="451"/>
      <c r="N679" s="451"/>
    </row>
    <row r="680" spans="11:14" x14ac:dyDescent="0.25">
      <c r="K680" s="451"/>
      <c r="M680" s="451"/>
      <c r="N680" s="451"/>
    </row>
    <row r="681" spans="11:14" x14ac:dyDescent="0.25">
      <c r="K681" s="451"/>
      <c r="M681" s="451"/>
      <c r="N681" s="451"/>
    </row>
    <row r="682" spans="11:14" x14ac:dyDescent="0.25">
      <c r="K682" s="451"/>
      <c r="M682" s="451"/>
      <c r="N682" s="451"/>
    </row>
    <row r="683" spans="11:14" x14ac:dyDescent="0.25">
      <c r="K683" s="451"/>
      <c r="M683" s="451"/>
      <c r="N683" s="451"/>
    </row>
    <row r="684" spans="11:14" x14ac:dyDescent="0.25">
      <c r="K684" s="451"/>
      <c r="M684" s="451"/>
      <c r="N684" s="451"/>
    </row>
    <row r="685" spans="11:14" x14ac:dyDescent="0.25">
      <c r="K685" s="451"/>
      <c r="M685" s="451"/>
      <c r="N685" s="451"/>
    </row>
    <row r="686" spans="11:14" x14ac:dyDescent="0.25">
      <c r="K686" s="451"/>
      <c r="M686" s="451"/>
      <c r="N686" s="451"/>
    </row>
    <row r="687" spans="11:14" x14ac:dyDescent="0.25">
      <c r="K687" s="451"/>
      <c r="M687" s="451"/>
      <c r="N687" s="451"/>
    </row>
    <row r="688" spans="11:14" x14ac:dyDescent="0.25">
      <c r="K688" s="451"/>
      <c r="M688" s="451"/>
      <c r="N688" s="451"/>
    </row>
    <row r="689" spans="11:14" x14ac:dyDescent="0.25">
      <c r="K689" s="451"/>
      <c r="M689" s="451"/>
      <c r="N689" s="451"/>
    </row>
    <row r="690" spans="11:14" x14ac:dyDescent="0.25">
      <c r="K690" s="451"/>
      <c r="M690" s="451"/>
      <c r="N690" s="451"/>
    </row>
    <row r="691" spans="11:14" x14ac:dyDescent="0.25">
      <c r="K691" s="451"/>
      <c r="M691" s="451"/>
      <c r="N691" s="451"/>
    </row>
    <row r="692" spans="11:14" x14ac:dyDescent="0.25">
      <c r="K692" s="451"/>
      <c r="M692" s="451"/>
      <c r="N692" s="451"/>
    </row>
    <row r="693" spans="11:14" x14ac:dyDescent="0.25">
      <c r="K693" s="451"/>
      <c r="M693" s="451"/>
      <c r="N693" s="451"/>
    </row>
    <row r="694" spans="11:14" x14ac:dyDescent="0.25">
      <c r="K694" s="451"/>
      <c r="M694" s="451"/>
      <c r="N694" s="451"/>
    </row>
    <row r="695" spans="11:14" x14ac:dyDescent="0.25">
      <c r="K695" s="451"/>
      <c r="M695" s="451"/>
      <c r="N695" s="451"/>
    </row>
    <row r="696" spans="11:14" x14ac:dyDescent="0.25">
      <c r="K696" s="451"/>
      <c r="M696" s="451"/>
      <c r="N696" s="451"/>
    </row>
    <row r="697" spans="11:14" x14ac:dyDescent="0.25">
      <c r="K697" s="451"/>
      <c r="M697" s="451"/>
      <c r="N697" s="451"/>
    </row>
    <row r="698" spans="11:14" x14ac:dyDescent="0.25">
      <c r="K698" s="451"/>
      <c r="M698" s="451"/>
      <c r="N698" s="451"/>
    </row>
    <row r="699" spans="11:14" x14ac:dyDescent="0.25">
      <c r="K699" s="451"/>
      <c r="M699" s="451"/>
      <c r="N699" s="451"/>
    </row>
    <row r="700" spans="11:14" x14ac:dyDescent="0.25">
      <c r="K700" s="451"/>
      <c r="M700" s="451"/>
      <c r="N700" s="451"/>
    </row>
    <row r="701" spans="11:14" x14ac:dyDescent="0.25">
      <c r="K701" s="451"/>
      <c r="M701" s="451"/>
      <c r="N701" s="451"/>
    </row>
    <row r="702" spans="11:14" x14ac:dyDescent="0.25">
      <c r="K702" s="451"/>
      <c r="M702" s="451"/>
      <c r="N702" s="451"/>
    </row>
    <row r="703" spans="11:14" x14ac:dyDescent="0.25">
      <c r="K703" s="451"/>
      <c r="M703" s="451"/>
      <c r="N703" s="451"/>
    </row>
    <row r="704" spans="11:14" x14ac:dyDescent="0.25">
      <c r="K704" s="451"/>
      <c r="M704" s="451"/>
      <c r="N704" s="451"/>
    </row>
    <row r="705" spans="11:14" x14ac:dyDescent="0.25">
      <c r="K705" s="451"/>
      <c r="M705" s="451"/>
      <c r="N705" s="451"/>
    </row>
    <row r="706" spans="11:14" x14ac:dyDescent="0.25">
      <c r="K706" s="451"/>
      <c r="M706" s="451"/>
      <c r="N706" s="451"/>
    </row>
    <row r="707" spans="11:14" x14ac:dyDescent="0.25">
      <c r="K707" s="451"/>
      <c r="M707" s="451"/>
      <c r="N707" s="451"/>
    </row>
    <row r="708" spans="11:14" x14ac:dyDescent="0.25">
      <c r="K708" s="451"/>
      <c r="M708" s="451"/>
      <c r="N708" s="451"/>
    </row>
    <row r="709" spans="11:14" x14ac:dyDescent="0.25">
      <c r="K709" s="451"/>
      <c r="M709" s="451"/>
      <c r="N709" s="451"/>
    </row>
    <row r="710" spans="11:14" x14ac:dyDescent="0.25">
      <c r="K710" s="451"/>
      <c r="M710" s="451"/>
      <c r="N710" s="451"/>
    </row>
    <row r="711" spans="11:14" x14ac:dyDescent="0.25">
      <c r="K711" s="451"/>
      <c r="M711" s="451"/>
      <c r="N711" s="451"/>
    </row>
    <row r="712" spans="11:14" x14ac:dyDescent="0.25">
      <c r="K712" s="451"/>
      <c r="M712" s="451"/>
      <c r="N712" s="451"/>
    </row>
    <row r="713" spans="11:14" x14ac:dyDescent="0.25">
      <c r="K713" s="451"/>
      <c r="M713" s="451"/>
      <c r="N713" s="451"/>
    </row>
    <row r="714" spans="11:14" x14ac:dyDescent="0.25">
      <c r="K714" s="451"/>
      <c r="M714" s="451"/>
      <c r="N714" s="451"/>
    </row>
    <row r="715" spans="11:14" x14ac:dyDescent="0.25">
      <c r="K715" s="451"/>
      <c r="M715" s="451"/>
      <c r="N715" s="451"/>
    </row>
    <row r="716" spans="11:14" x14ac:dyDescent="0.25">
      <c r="K716" s="451"/>
      <c r="M716" s="451"/>
      <c r="N716" s="451"/>
    </row>
    <row r="717" spans="11:14" x14ac:dyDescent="0.25">
      <c r="K717" s="451"/>
      <c r="M717" s="451"/>
      <c r="N717" s="451"/>
    </row>
    <row r="718" spans="11:14" x14ac:dyDescent="0.25">
      <c r="K718" s="451"/>
      <c r="M718" s="451"/>
      <c r="N718" s="451"/>
    </row>
    <row r="719" spans="11:14" x14ac:dyDescent="0.25">
      <c r="K719" s="451"/>
      <c r="M719" s="451"/>
      <c r="N719" s="451"/>
    </row>
    <row r="720" spans="11:14" x14ac:dyDescent="0.25">
      <c r="K720" s="451"/>
      <c r="M720" s="451"/>
      <c r="N720" s="451"/>
    </row>
    <row r="721" spans="11:14" x14ac:dyDescent="0.25">
      <c r="K721" s="451"/>
      <c r="M721" s="451"/>
      <c r="N721" s="451"/>
    </row>
    <row r="722" spans="11:14" x14ac:dyDescent="0.25">
      <c r="K722" s="451"/>
      <c r="M722" s="451"/>
      <c r="N722" s="451"/>
    </row>
    <row r="723" spans="11:14" x14ac:dyDescent="0.25">
      <c r="K723" s="451"/>
      <c r="M723" s="451"/>
      <c r="N723" s="451"/>
    </row>
    <row r="724" spans="11:14" x14ac:dyDescent="0.25">
      <c r="K724" s="451"/>
      <c r="M724" s="451"/>
      <c r="N724" s="451"/>
    </row>
    <row r="725" spans="11:14" x14ac:dyDescent="0.25">
      <c r="K725" s="451"/>
      <c r="M725" s="451"/>
      <c r="N725" s="451"/>
    </row>
    <row r="726" spans="11:14" x14ac:dyDescent="0.25">
      <c r="K726" s="451"/>
      <c r="M726" s="451"/>
      <c r="N726" s="451"/>
    </row>
    <row r="727" spans="11:14" x14ac:dyDescent="0.25">
      <c r="K727" s="451"/>
      <c r="M727" s="451"/>
      <c r="N727" s="451"/>
    </row>
    <row r="728" spans="11:14" x14ac:dyDescent="0.25">
      <c r="K728" s="451"/>
      <c r="M728" s="451"/>
      <c r="N728" s="451"/>
    </row>
    <row r="729" spans="11:14" x14ac:dyDescent="0.25">
      <c r="K729" s="451"/>
      <c r="M729" s="451"/>
      <c r="N729" s="451"/>
    </row>
    <row r="730" spans="11:14" x14ac:dyDescent="0.25">
      <c r="K730" s="451"/>
      <c r="M730" s="451"/>
      <c r="N730" s="451"/>
    </row>
    <row r="731" spans="11:14" x14ac:dyDescent="0.25">
      <c r="K731" s="451"/>
      <c r="M731" s="451"/>
      <c r="N731" s="451"/>
    </row>
    <row r="732" spans="11:14" x14ac:dyDescent="0.25">
      <c r="K732" s="451"/>
      <c r="M732" s="451"/>
      <c r="N732" s="451"/>
    </row>
    <row r="733" spans="11:14" x14ac:dyDescent="0.25">
      <c r="K733" s="451"/>
      <c r="M733" s="451"/>
      <c r="N733" s="451"/>
    </row>
    <row r="734" spans="11:14" x14ac:dyDescent="0.25">
      <c r="K734" s="451"/>
      <c r="M734" s="451"/>
      <c r="N734" s="451"/>
    </row>
    <row r="735" spans="11:14" x14ac:dyDescent="0.25">
      <c r="K735" s="451"/>
      <c r="M735" s="451"/>
      <c r="N735" s="451"/>
    </row>
    <row r="736" spans="11:14" x14ac:dyDescent="0.25">
      <c r="K736" s="451"/>
      <c r="M736" s="451"/>
      <c r="N736" s="451"/>
    </row>
    <row r="737" spans="11:14" x14ac:dyDescent="0.25">
      <c r="K737" s="451"/>
      <c r="M737" s="451"/>
      <c r="N737" s="451"/>
    </row>
    <row r="738" spans="11:14" x14ac:dyDescent="0.25">
      <c r="K738" s="451"/>
      <c r="M738" s="451"/>
      <c r="N738" s="451"/>
    </row>
    <row r="739" spans="11:14" x14ac:dyDescent="0.25">
      <c r="K739" s="451"/>
      <c r="M739" s="451"/>
      <c r="N739" s="451"/>
    </row>
    <row r="740" spans="11:14" x14ac:dyDescent="0.25">
      <c r="K740" s="451"/>
      <c r="M740" s="451"/>
      <c r="N740" s="451"/>
    </row>
    <row r="741" spans="11:14" x14ac:dyDescent="0.25">
      <c r="K741" s="451"/>
      <c r="M741" s="451"/>
      <c r="N741" s="451"/>
    </row>
    <row r="742" spans="11:14" x14ac:dyDescent="0.25">
      <c r="K742" s="451"/>
      <c r="M742" s="451"/>
      <c r="N742" s="451"/>
    </row>
    <row r="743" spans="11:14" x14ac:dyDescent="0.25">
      <c r="K743" s="451"/>
      <c r="M743" s="451"/>
      <c r="N743" s="451"/>
    </row>
    <row r="744" spans="11:14" x14ac:dyDescent="0.25">
      <c r="K744" s="451"/>
      <c r="M744" s="451"/>
      <c r="N744" s="451"/>
    </row>
    <row r="745" spans="11:14" x14ac:dyDescent="0.25">
      <c r="K745" s="451"/>
      <c r="M745" s="451"/>
      <c r="N745" s="451"/>
    </row>
    <row r="746" spans="11:14" x14ac:dyDescent="0.25">
      <c r="K746" s="451"/>
      <c r="M746" s="451"/>
      <c r="N746" s="451"/>
    </row>
    <row r="747" spans="11:14" x14ac:dyDescent="0.25">
      <c r="K747" s="451"/>
      <c r="M747" s="451"/>
      <c r="N747" s="451"/>
    </row>
    <row r="748" spans="11:14" x14ac:dyDescent="0.25">
      <c r="K748" s="451"/>
      <c r="M748" s="451"/>
      <c r="N748" s="451"/>
    </row>
    <row r="749" spans="11:14" x14ac:dyDescent="0.25">
      <c r="K749" s="451"/>
      <c r="M749" s="451"/>
      <c r="N749" s="451"/>
    </row>
    <row r="750" spans="11:14" x14ac:dyDescent="0.25">
      <c r="K750" s="451"/>
      <c r="M750" s="451"/>
      <c r="N750" s="451"/>
    </row>
    <row r="751" spans="11:14" x14ac:dyDescent="0.25">
      <c r="K751" s="451"/>
      <c r="M751" s="451"/>
      <c r="N751" s="451"/>
    </row>
    <row r="752" spans="11:14" x14ac:dyDescent="0.25">
      <c r="K752" s="451"/>
      <c r="M752" s="451"/>
      <c r="N752" s="451"/>
    </row>
    <row r="753" spans="11:14" x14ac:dyDescent="0.25">
      <c r="K753" s="451"/>
      <c r="M753" s="451"/>
      <c r="N753" s="451"/>
    </row>
    <row r="754" spans="11:14" x14ac:dyDescent="0.25">
      <c r="K754" s="451"/>
      <c r="M754" s="451"/>
      <c r="N754" s="451"/>
    </row>
    <row r="755" spans="11:14" x14ac:dyDescent="0.25">
      <c r="K755" s="451"/>
      <c r="M755" s="451"/>
      <c r="N755" s="451"/>
    </row>
    <row r="756" spans="11:14" x14ac:dyDescent="0.25">
      <c r="K756" s="451"/>
      <c r="M756" s="451"/>
      <c r="N756" s="451"/>
    </row>
    <row r="757" spans="11:14" x14ac:dyDescent="0.25">
      <c r="K757" s="451"/>
      <c r="M757" s="451"/>
      <c r="N757" s="451"/>
    </row>
    <row r="758" spans="11:14" x14ac:dyDescent="0.25">
      <c r="K758" s="451"/>
      <c r="M758" s="451"/>
      <c r="N758" s="451"/>
    </row>
    <row r="759" spans="11:14" x14ac:dyDescent="0.25">
      <c r="K759" s="451"/>
      <c r="M759" s="451"/>
      <c r="N759" s="451"/>
    </row>
    <row r="760" spans="11:14" x14ac:dyDescent="0.25">
      <c r="K760" s="451"/>
      <c r="M760" s="451"/>
      <c r="N760" s="451"/>
    </row>
    <row r="761" spans="11:14" x14ac:dyDescent="0.25">
      <c r="K761" s="451"/>
      <c r="M761" s="451"/>
      <c r="N761" s="451"/>
    </row>
    <row r="762" spans="11:14" x14ac:dyDescent="0.25">
      <c r="K762" s="451"/>
      <c r="M762" s="451"/>
      <c r="N762" s="451"/>
    </row>
    <row r="763" spans="11:14" x14ac:dyDescent="0.25">
      <c r="K763" s="451"/>
      <c r="M763" s="451"/>
      <c r="N763" s="451"/>
    </row>
    <row r="764" spans="11:14" x14ac:dyDescent="0.25">
      <c r="K764" s="451"/>
      <c r="M764" s="451"/>
      <c r="N764" s="451"/>
    </row>
    <row r="765" spans="11:14" x14ac:dyDescent="0.25">
      <c r="K765" s="451"/>
      <c r="M765" s="451"/>
      <c r="N765" s="451"/>
    </row>
    <row r="766" spans="11:14" x14ac:dyDescent="0.25">
      <c r="K766" s="451"/>
      <c r="M766" s="451"/>
      <c r="N766" s="451"/>
    </row>
    <row r="767" spans="11:14" x14ac:dyDescent="0.25">
      <c r="K767" s="451"/>
      <c r="M767" s="451"/>
      <c r="N767" s="451"/>
    </row>
    <row r="768" spans="11:14" x14ac:dyDescent="0.25">
      <c r="K768" s="451"/>
      <c r="M768" s="451"/>
      <c r="N768" s="451"/>
    </row>
    <row r="769" spans="11:14" x14ac:dyDescent="0.25">
      <c r="K769" s="451"/>
      <c r="M769" s="451"/>
      <c r="N769" s="451"/>
    </row>
    <row r="770" spans="11:14" x14ac:dyDescent="0.25">
      <c r="K770" s="451"/>
      <c r="M770" s="451"/>
      <c r="N770" s="451"/>
    </row>
    <row r="771" spans="11:14" x14ac:dyDescent="0.25">
      <c r="K771" s="451"/>
      <c r="M771" s="451"/>
      <c r="N771" s="451"/>
    </row>
    <row r="772" spans="11:14" x14ac:dyDescent="0.25">
      <c r="K772" s="451"/>
      <c r="M772" s="451"/>
      <c r="N772" s="451"/>
    </row>
    <row r="773" spans="11:14" x14ac:dyDescent="0.25">
      <c r="K773" s="451"/>
      <c r="M773" s="451"/>
      <c r="N773" s="451"/>
    </row>
    <row r="774" spans="11:14" x14ac:dyDescent="0.25">
      <c r="K774" s="451"/>
      <c r="M774" s="451"/>
      <c r="N774" s="451"/>
    </row>
    <row r="775" spans="11:14" x14ac:dyDescent="0.25">
      <c r="K775" s="451"/>
      <c r="M775" s="451"/>
      <c r="N775" s="451"/>
    </row>
    <row r="776" spans="11:14" x14ac:dyDescent="0.25">
      <c r="K776" s="451"/>
      <c r="M776" s="451"/>
      <c r="N776" s="451"/>
    </row>
    <row r="777" spans="11:14" x14ac:dyDescent="0.25">
      <c r="K777" s="451"/>
      <c r="M777" s="451"/>
      <c r="N777" s="451"/>
    </row>
    <row r="778" spans="11:14" x14ac:dyDescent="0.25">
      <c r="K778" s="451"/>
      <c r="M778" s="451"/>
      <c r="N778" s="451"/>
    </row>
    <row r="779" spans="11:14" x14ac:dyDescent="0.25">
      <c r="K779" s="451"/>
      <c r="M779" s="451"/>
      <c r="N779" s="451"/>
    </row>
    <row r="780" spans="11:14" x14ac:dyDescent="0.25">
      <c r="K780" s="451"/>
      <c r="M780" s="451"/>
      <c r="N780" s="451"/>
    </row>
    <row r="781" spans="11:14" x14ac:dyDescent="0.25">
      <c r="K781" s="451"/>
      <c r="M781" s="451"/>
      <c r="N781" s="451"/>
    </row>
    <row r="782" spans="11:14" x14ac:dyDescent="0.25">
      <c r="K782" s="451"/>
      <c r="M782" s="451"/>
      <c r="N782" s="451"/>
    </row>
    <row r="783" spans="11:14" x14ac:dyDescent="0.25">
      <c r="K783" s="451"/>
      <c r="M783" s="451"/>
      <c r="N783" s="451"/>
    </row>
    <row r="784" spans="11:14" x14ac:dyDescent="0.25">
      <c r="K784" s="451"/>
      <c r="M784" s="451"/>
      <c r="N784" s="451"/>
    </row>
    <row r="785" spans="11:14" x14ac:dyDescent="0.25">
      <c r="K785" s="451"/>
      <c r="M785" s="451"/>
      <c r="N785" s="451"/>
    </row>
    <row r="786" spans="11:14" x14ac:dyDescent="0.25">
      <c r="K786" s="451"/>
      <c r="M786" s="451"/>
      <c r="N786" s="451"/>
    </row>
    <row r="787" spans="11:14" x14ac:dyDescent="0.25">
      <c r="K787" s="451"/>
      <c r="M787" s="451"/>
      <c r="N787" s="451"/>
    </row>
    <row r="788" spans="11:14" x14ac:dyDescent="0.25">
      <c r="K788" s="451"/>
      <c r="M788" s="451"/>
      <c r="N788" s="451"/>
    </row>
    <row r="789" spans="11:14" x14ac:dyDescent="0.25">
      <c r="K789" s="451"/>
      <c r="M789" s="451"/>
      <c r="N789" s="451"/>
    </row>
    <row r="790" spans="11:14" x14ac:dyDescent="0.25">
      <c r="K790" s="451"/>
      <c r="M790" s="451"/>
      <c r="N790" s="451"/>
    </row>
    <row r="791" spans="11:14" x14ac:dyDescent="0.25">
      <c r="K791" s="451"/>
      <c r="M791" s="451"/>
      <c r="N791" s="451"/>
    </row>
    <row r="792" spans="11:14" x14ac:dyDescent="0.25">
      <c r="K792" s="451"/>
      <c r="M792" s="451"/>
      <c r="N792" s="451"/>
    </row>
    <row r="793" spans="11:14" x14ac:dyDescent="0.25">
      <c r="K793" s="451"/>
      <c r="M793" s="451"/>
      <c r="N793" s="451"/>
    </row>
    <row r="794" spans="11:14" x14ac:dyDescent="0.25">
      <c r="K794" s="451"/>
      <c r="M794" s="451"/>
      <c r="N794" s="451"/>
    </row>
    <row r="795" spans="11:14" x14ac:dyDescent="0.25">
      <c r="K795" s="451"/>
      <c r="M795" s="451"/>
      <c r="N795" s="451"/>
    </row>
    <row r="796" spans="11:14" x14ac:dyDescent="0.25">
      <c r="K796" s="451"/>
      <c r="M796" s="451"/>
      <c r="N796" s="451"/>
    </row>
    <row r="797" spans="11:14" x14ac:dyDescent="0.25">
      <c r="K797" s="451"/>
      <c r="M797" s="451"/>
      <c r="N797" s="451"/>
    </row>
    <row r="798" spans="11:14" x14ac:dyDescent="0.25">
      <c r="K798" s="451"/>
      <c r="M798" s="451"/>
      <c r="N798" s="451"/>
    </row>
    <row r="799" spans="11:14" x14ac:dyDescent="0.25">
      <c r="K799" s="451"/>
      <c r="M799" s="451"/>
      <c r="N799" s="451"/>
    </row>
    <row r="800" spans="11:14" x14ac:dyDescent="0.25">
      <c r="K800" s="451"/>
      <c r="M800" s="451"/>
      <c r="N800" s="451"/>
    </row>
    <row r="801" spans="11:14" x14ac:dyDescent="0.25">
      <c r="K801" s="451"/>
      <c r="M801" s="451"/>
      <c r="N801" s="451"/>
    </row>
    <row r="802" spans="11:14" x14ac:dyDescent="0.25">
      <c r="K802" s="451"/>
      <c r="M802" s="451"/>
      <c r="N802" s="451"/>
    </row>
    <row r="803" spans="11:14" x14ac:dyDescent="0.25">
      <c r="K803" s="451"/>
      <c r="M803" s="451"/>
      <c r="N803" s="451"/>
    </row>
    <row r="804" spans="11:14" x14ac:dyDescent="0.25">
      <c r="K804" s="451"/>
      <c r="M804" s="451"/>
      <c r="N804" s="451"/>
    </row>
    <row r="805" spans="11:14" x14ac:dyDescent="0.25">
      <c r="K805" s="451"/>
      <c r="M805" s="451"/>
      <c r="N805" s="451"/>
    </row>
    <row r="806" spans="11:14" x14ac:dyDescent="0.25">
      <c r="K806" s="451"/>
      <c r="M806" s="451"/>
      <c r="N806" s="451"/>
    </row>
    <row r="807" spans="11:14" x14ac:dyDescent="0.25">
      <c r="K807" s="451"/>
      <c r="M807" s="451"/>
      <c r="N807" s="451"/>
    </row>
    <row r="808" spans="11:14" x14ac:dyDescent="0.25">
      <c r="K808" s="451"/>
      <c r="M808" s="451"/>
      <c r="N808" s="451"/>
    </row>
    <row r="809" spans="11:14" x14ac:dyDescent="0.25">
      <c r="K809" s="451"/>
      <c r="M809" s="451"/>
      <c r="N809" s="451"/>
    </row>
    <row r="810" spans="11:14" x14ac:dyDescent="0.25">
      <c r="K810" s="451"/>
      <c r="M810" s="451"/>
      <c r="N810" s="451"/>
    </row>
    <row r="811" spans="11:14" x14ac:dyDescent="0.25">
      <c r="K811" s="451"/>
      <c r="M811" s="451"/>
      <c r="N811" s="451"/>
    </row>
    <row r="812" spans="11:14" x14ac:dyDescent="0.25">
      <c r="K812" s="451"/>
      <c r="M812" s="451"/>
      <c r="N812" s="451"/>
    </row>
    <row r="813" spans="11:14" x14ac:dyDescent="0.25">
      <c r="K813" s="451"/>
      <c r="M813" s="451"/>
      <c r="N813" s="451"/>
    </row>
    <row r="814" spans="11:14" x14ac:dyDescent="0.25">
      <c r="K814" s="451"/>
      <c r="M814" s="451"/>
      <c r="N814" s="451"/>
    </row>
    <row r="815" spans="11:14" x14ac:dyDescent="0.25">
      <c r="K815" s="451"/>
      <c r="M815" s="451"/>
      <c r="N815" s="451"/>
    </row>
    <row r="816" spans="11:14" x14ac:dyDescent="0.25">
      <c r="K816" s="451"/>
      <c r="M816" s="451"/>
      <c r="N816" s="451"/>
    </row>
    <row r="817" spans="11:14" x14ac:dyDescent="0.25">
      <c r="K817" s="451"/>
      <c r="M817" s="451"/>
      <c r="N817" s="451"/>
    </row>
    <row r="818" spans="11:14" x14ac:dyDescent="0.25">
      <c r="K818" s="451"/>
      <c r="M818" s="451"/>
      <c r="N818" s="451"/>
    </row>
    <row r="819" spans="11:14" x14ac:dyDescent="0.25">
      <c r="K819" s="451"/>
      <c r="M819" s="451"/>
      <c r="N819" s="451"/>
    </row>
    <row r="820" spans="11:14" x14ac:dyDescent="0.25">
      <c r="K820" s="451"/>
      <c r="M820" s="451"/>
      <c r="N820" s="451"/>
    </row>
    <row r="821" spans="11:14" x14ac:dyDescent="0.25">
      <c r="K821" s="451"/>
      <c r="M821" s="451"/>
      <c r="N821" s="451"/>
    </row>
    <row r="822" spans="11:14" x14ac:dyDescent="0.25">
      <c r="K822" s="451"/>
      <c r="M822" s="451"/>
      <c r="N822" s="451"/>
    </row>
    <row r="823" spans="11:14" x14ac:dyDescent="0.25">
      <c r="K823" s="451"/>
      <c r="M823" s="451"/>
      <c r="N823" s="451"/>
    </row>
    <row r="824" spans="11:14" x14ac:dyDescent="0.25">
      <c r="K824" s="451"/>
      <c r="M824" s="451"/>
      <c r="N824" s="451"/>
    </row>
    <row r="825" spans="11:14" x14ac:dyDescent="0.25">
      <c r="K825" s="451"/>
      <c r="M825" s="451"/>
      <c r="N825" s="451"/>
    </row>
    <row r="826" spans="11:14" x14ac:dyDescent="0.25">
      <c r="K826" s="451"/>
      <c r="M826" s="451"/>
      <c r="N826" s="451"/>
    </row>
    <row r="827" spans="11:14" x14ac:dyDescent="0.25">
      <c r="K827" s="451"/>
      <c r="M827" s="451"/>
      <c r="N827" s="451"/>
    </row>
    <row r="828" spans="11:14" x14ac:dyDescent="0.25">
      <c r="K828" s="451"/>
      <c r="M828" s="451"/>
      <c r="N828" s="451"/>
    </row>
    <row r="829" spans="11:14" x14ac:dyDescent="0.25">
      <c r="K829" s="451"/>
      <c r="M829" s="451"/>
      <c r="N829" s="451"/>
    </row>
    <row r="830" spans="11:14" x14ac:dyDescent="0.25">
      <c r="K830" s="451"/>
      <c r="M830" s="451"/>
      <c r="N830" s="451"/>
    </row>
    <row r="831" spans="11:14" x14ac:dyDescent="0.25">
      <c r="K831" s="451"/>
      <c r="M831" s="451"/>
      <c r="N831" s="451"/>
    </row>
    <row r="832" spans="11:14" x14ac:dyDescent="0.25">
      <c r="K832" s="451"/>
      <c r="M832" s="451"/>
      <c r="N832" s="451"/>
    </row>
    <row r="833" spans="11:14" x14ac:dyDescent="0.25">
      <c r="K833" s="451"/>
      <c r="M833" s="451"/>
      <c r="N833" s="451"/>
    </row>
    <row r="834" spans="11:14" x14ac:dyDescent="0.25">
      <c r="K834" s="451"/>
      <c r="M834" s="451"/>
      <c r="N834" s="451"/>
    </row>
    <row r="835" spans="11:14" x14ac:dyDescent="0.25">
      <c r="K835" s="451"/>
      <c r="M835" s="451"/>
      <c r="N835" s="451"/>
    </row>
    <row r="836" spans="11:14" x14ac:dyDescent="0.25">
      <c r="K836" s="451"/>
      <c r="M836" s="451"/>
      <c r="N836" s="451"/>
    </row>
    <row r="837" spans="11:14" x14ac:dyDescent="0.25">
      <c r="K837" s="451"/>
      <c r="M837" s="451"/>
      <c r="N837" s="451"/>
    </row>
    <row r="838" spans="11:14" x14ac:dyDescent="0.25">
      <c r="K838" s="451"/>
      <c r="M838" s="451"/>
      <c r="N838" s="451"/>
    </row>
    <row r="839" spans="11:14" x14ac:dyDescent="0.25">
      <c r="K839" s="451"/>
      <c r="M839" s="451"/>
      <c r="N839" s="451"/>
    </row>
    <row r="840" spans="11:14" x14ac:dyDescent="0.25">
      <c r="K840" s="451"/>
      <c r="M840" s="451"/>
      <c r="N840" s="451"/>
    </row>
    <row r="841" spans="11:14" x14ac:dyDescent="0.25">
      <c r="K841" s="451"/>
      <c r="M841" s="451"/>
      <c r="N841" s="451"/>
    </row>
    <row r="842" spans="11:14" x14ac:dyDescent="0.25">
      <c r="K842" s="451"/>
      <c r="M842" s="451"/>
      <c r="N842" s="451"/>
    </row>
    <row r="843" spans="11:14" x14ac:dyDescent="0.25">
      <c r="K843" s="451"/>
      <c r="M843" s="451"/>
      <c r="N843" s="451"/>
    </row>
    <row r="844" spans="11:14" x14ac:dyDescent="0.25">
      <c r="K844" s="451"/>
      <c r="M844" s="451"/>
      <c r="N844" s="451"/>
    </row>
    <row r="845" spans="11:14" x14ac:dyDescent="0.25">
      <c r="K845" s="451"/>
      <c r="M845" s="451"/>
      <c r="N845" s="451"/>
    </row>
    <row r="846" spans="11:14" x14ac:dyDescent="0.25">
      <c r="K846" s="451"/>
      <c r="M846" s="451"/>
      <c r="N846" s="451"/>
    </row>
    <row r="847" spans="11:14" x14ac:dyDescent="0.25">
      <c r="K847" s="451"/>
      <c r="M847" s="451"/>
      <c r="N847" s="451"/>
    </row>
    <row r="848" spans="11:14" x14ac:dyDescent="0.25">
      <c r="K848" s="451"/>
      <c r="M848" s="451"/>
      <c r="N848" s="451"/>
    </row>
    <row r="849" spans="11:14" x14ac:dyDescent="0.25">
      <c r="K849" s="451"/>
      <c r="M849" s="451"/>
      <c r="N849" s="451"/>
    </row>
    <row r="850" spans="11:14" x14ac:dyDescent="0.25">
      <c r="K850" s="451"/>
      <c r="M850" s="451"/>
      <c r="N850" s="451"/>
    </row>
    <row r="851" spans="11:14" x14ac:dyDescent="0.25">
      <c r="K851" s="451"/>
      <c r="M851" s="451"/>
      <c r="N851" s="451"/>
    </row>
    <row r="852" spans="11:14" x14ac:dyDescent="0.25">
      <c r="K852" s="451"/>
      <c r="M852" s="451"/>
      <c r="N852" s="451"/>
    </row>
    <row r="853" spans="11:14" x14ac:dyDescent="0.25">
      <c r="K853" s="451"/>
      <c r="M853" s="451"/>
      <c r="N853" s="451"/>
    </row>
    <row r="854" spans="11:14" x14ac:dyDescent="0.25">
      <c r="K854" s="451"/>
      <c r="M854" s="451"/>
      <c r="N854" s="451"/>
    </row>
    <row r="855" spans="11:14" x14ac:dyDescent="0.25">
      <c r="K855" s="451"/>
      <c r="M855" s="451"/>
      <c r="N855" s="451"/>
    </row>
    <row r="856" spans="11:14" x14ac:dyDescent="0.25">
      <c r="K856" s="451"/>
      <c r="M856" s="451"/>
      <c r="N856" s="451"/>
    </row>
    <row r="857" spans="11:14" x14ac:dyDescent="0.25">
      <c r="K857" s="451"/>
      <c r="M857" s="451"/>
      <c r="N857" s="451"/>
    </row>
    <row r="858" spans="11:14" x14ac:dyDescent="0.25">
      <c r="K858" s="451"/>
      <c r="M858" s="451"/>
      <c r="N858" s="451"/>
    </row>
    <row r="859" spans="11:14" x14ac:dyDescent="0.25">
      <c r="K859" s="451"/>
      <c r="M859" s="451"/>
      <c r="N859" s="451"/>
    </row>
    <row r="860" spans="11:14" x14ac:dyDescent="0.25">
      <c r="K860" s="451"/>
      <c r="M860" s="451"/>
      <c r="N860" s="451"/>
    </row>
    <row r="861" spans="11:14" x14ac:dyDescent="0.25">
      <c r="K861" s="451"/>
      <c r="M861" s="451"/>
      <c r="N861" s="451"/>
    </row>
    <row r="862" spans="11:14" x14ac:dyDescent="0.25">
      <c r="K862" s="451"/>
      <c r="M862" s="451"/>
      <c r="N862" s="451"/>
    </row>
    <row r="863" spans="11:14" x14ac:dyDescent="0.25">
      <c r="K863" s="451"/>
      <c r="M863" s="451"/>
      <c r="N863" s="451"/>
    </row>
    <row r="864" spans="11:14" x14ac:dyDescent="0.25">
      <c r="K864" s="451"/>
      <c r="M864" s="451"/>
      <c r="N864" s="451"/>
    </row>
    <row r="865" spans="11:14" x14ac:dyDescent="0.25">
      <c r="K865" s="451"/>
      <c r="M865" s="451"/>
      <c r="N865" s="451"/>
    </row>
    <row r="866" spans="11:14" x14ac:dyDescent="0.25">
      <c r="K866" s="451"/>
      <c r="M866" s="451"/>
      <c r="N866" s="451"/>
    </row>
    <row r="867" spans="11:14" x14ac:dyDescent="0.25">
      <c r="K867" s="451"/>
      <c r="M867" s="451"/>
      <c r="N867" s="451"/>
    </row>
    <row r="868" spans="11:14" x14ac:dyDescent="0.25">
      <c r="K868" s="451"/>
      <c r="M868" s="451"/>
      <c r="N868" s="451"/>
    </row>
    <row r="869" spans="11:14" x14ac:dyDescent="0.25">
      <c r="K869" s="451"/>
      <c r="M869" s="451"/>
      <c r="N869" s="451"/>
    </row>
    <row r="870" spans="11:14" x14ac:dyDescent="0.25">
      <c r="K870" s="451"/>
      <c r="M870" s="451"/>
      <c r="N870" s="451"/>
    </row>
    <row r="871" spans="11:14" x14ac:dyDescent="0.25">
      <c r="K871" s="451"/>
      <c r="M871" s="451"/>
      <c r="N871" s="451"/>
    </row>
    <row r="872" spans="11:14" x14ac:dyDescent="0.25">
      <c r="K872" s="451"/>
      <c r="M872" s="451"/>
      <c r="N872" s="451"/>
    </row>
    <row r="873" spans="11:14" x14ac:dyDescent="0.25">
      <c r="K873" s="451"/>
      <c r="M873" s="451"/>
      <c r="N873" s="451"/>
    </row>
    <row r="874" spans="11:14" x14ac:dyDescent="0.25">
      <c r="K874" s="451"/>
      <c r="M874" s="451"/>
      <c r="N874" s="451"/>
    </row>
    <row r="875" spans="11:14" x14ac:dyDescent="0.25">
      <c r="K875" s="451"/>
      <c r="M875" s="451"/>
      <c r="N875" s="451"/>
    </row>
    <row r="876" spans="11:14" x14ac:dyDescent="0.25">
      <c r="K876" s="451"/>
      <c r="M876" s="451"/>
      <c r="N876" s="451"/>
    </row>
    <row r="877" spans="11:14" x14ac:dyDescent="0.25">
      <c r="K877" s="451"/>
      <c r="M877" s="451"/>
      <c r="N877" s="451"/>
    </row>
    <row r="878" spans="11:14" x14ac:dyDescent="0.25">
      <c r="K878" s="451"/>
      <c r="M878" s="451"/>
      <c r="N878" s="451"/>
    </row>
    <row r="879" spans="11:14" x14ac:dyDescent="0.25">
      <c r="K879" s="451"/>
      <c r="M879" s="451"/>
      <c r="N879" s="451"/>
    </row>
    <row r="880" spans="11:14" x14ac:dyDescent="0.25">
      <c r="K880" s="451"/>
      <c r="M880" s="451"/>
      <c r="N880" s="451"/>
    </row>
    <row r="881" spans="11:14" x14ac:dyDescent="0.25">
      <c r="K881" s="451"/>
      <c r="M881" s="451"/>
      <c r="N881" s="451"/>
    </row>
    <row r="882" spans="11:14" x14ac:dyDescent="0.25">
      <c r="K882" s="451"/>
      <c r="M882" s="451"/>
      <c r="N882" s="451"/>
    </row>
    <row r="883" spans="11:14" x14ac:dyDescent="0.25">
      <c r="K883" s="451"/>
      <c r="M883" s="451"/>
      <c r="N883" s="451"/>
    </row>
    <row r="884" spans="11:14" x14ac:dyDescent="0.25">
      <c r="K884" s="451"/>
      <c r="M884" s="451"/>
      <c r="N884" s="451"/>
    </row>
    <row r="885" spans="11:14" x14ac:dyDescent="0.25">
      <c r="K885" s="451"/>
      <c r="M885" s="451"/>
      <c r="N885" s="451"/>
    </row>
    <row r="886" spans="11:14" x14ac:dyDescent="0.25">
      <c r="K886" s="451"/>
      <c r="M886" s="451"/>
      <c r="N886" s="451"/>
    </row>
    <row r="887" spans="11:14" x14ac:dyDescent="0.25">
      <c r="K887" s="451"/>
      <c r="M887" s="451"/>
      <c r="N887" s="451"/>
    </row>
    <row r="888" spans="11:14" x14ac:dyDescent="0.25">
      <c r="K888" s="451"/>
      <c r="M888" s="451"/>
      <c r="N888" s="451"/>
    </row>
    <row r="889" spans="11:14" x14ac:dyDescent="0.25">
      <c r="K889" s="451"/>
      <c r="M889" s="451"/>
      <c r="N889" s="451"/>
    </row>
    <row r="890" spans="11:14" x14ac:dyDescent="0.25">
      <c r="K890" s="451"/>
      <c r="M890" s="451"/>
      <c r="N890" s="451"/>
    </row>
    <row r="891" spans="11:14" x14ac:dyDescent="0.25">
      <c r="K891" s="451"/>
      <c r="M891" s="451"/>
      <c r="N891" s="451"/>
    </row>
    <row r="892" spans="11:14" x14ac:dyDescent="0.25">
      <c r="K892" s="451"/>
      <c r="M892" s="451"/>
      <c r="N892" s="451"/>
    </row>
    <row r="893" spans="11:14" x14ac:dyDescent="0.25">
      <c r="K893" s="451"/>
      <c r="M893" s="451"/>
      <c r="N893" s="451"/>
    </row>
    <row r="894" spans="11:14" x14ac:dyDescent="0.25">
      <c r="K894" s="451"/>
      <c r="M894" s="451"/>
      <c r="N894" s="451"/>
    </row>
    <row r="895" spans="11:14" x14ac:dyDescent="0.25">
      <c r="K895" s="451"/>
      <c r="M895" s="451"/>
      <c r="N895" s="451"/>
    </row>
    <row r="896" spans="11:14" x14ac:dyDescent="0.25">
      <c r="K896" s="451"/>
      <c r="M896" s="451"/>
      <c r="N896" s="451"/>
    </row>
    <row r="897" spans="11:14" x14ac:dyDescent="0.25">
      <c r="K897" s="451"/>
      <c r="M897" s="451"/>
      <c r="N897" s="451"/>
    </row>
    <row r="898" spans="11:14" x14ac:dyDescent="0.25">
      <c r="K898" s="451"/>
      <c r="M898" s="451"/>
      <c r="N898" s="451"/>
    </row>
    <row r="899" spans="11:14" x14ac:dyDescent="0.25">
      <c r="K899" s="451"/>
      <c r="M899" s="451"/>
      <c r="N899" s="451"/>
    </row>
    <row r="900" spans="11:14" x14ac:dyDescent="0.25">
      <c r="K900" s="451"/>
      <c r="M900" s="451"/>
      <c r="N900" s="451"/>
    </row>
    <row r="901" spans="11:14" x14ac:dyDescent="0.25">
      <c r="K901" s="451"/>
      <c r="M901" s="451"/>
      <c r="N901" s="451"/>
    </row>
    <row r="902" spans="11:14" x14ac:dyDescent="0.25">
      <c r="K902" s="451"/>
      <c r="M902" s="451"/>
      <c r="N902" s="451"/>
    </row>
    <row r="903" spans="11:14" x14ac:dyDescent="0.25">
      <c r="K903" s="451"/>
      <c r="M903" s="451"/>
      <c r="N903" s="451"/>
    </row>
    <row r="904" spans="11:14" x14ac:dyDescent="0.25">
      <c r="K904" s="451"/>
      <c r="M904" s="451"/>
      <c r="N904" s="451"/>
    </row>
    <row r="905" spans="11:14" x14ac:dyDescent="0.25">
      <c r="K905" s="451"/>
      <c r="M905" s="451"/>
      <c r="N905" s="451"/>
    </row>
    <row r="906" spans="11:14" x14ac:dyDescent="0.25">
      <c r="K906" s="451"/>
      <c r="M906" s="451"/>
      <c r="N906" s="451"/>
    </row>
    <row r="907" spans="11:14" x14ac:dyDescent="0.25">
      <c r="K907" s="451"/>
      <c r="M907" s="451"/>
      <c r="N907" s="451"/>
    </row>
    <row r="908" spans="11:14" x14ac:dyDescent="0.25">
      <c r="K908" s="451"/>
      <c r="M908" s="451"/>
      <c r="N908" s="451"/>
    </row>
    <row r="909" spans="11:14" x14ac:dyDescent="0.25">
      <c r="K909" s="451"/>
      <c r="M909" s="451"/>
      <c r="N909" s="451"/>
    </row>
    <row r="910" spans="11:14" x14ac:dyDescent="0.25">
      <c r="K910" s="451"/>
      <c r="M910" s="451"/>
      <c r="N910" s="451"/>
    </row>
    <row r="911" spans="11:14" x14ac:dyDescent="0.25">
      <c r="K911" s="451"/>
      <c r="M911" s="451"/>
      <c r="N911" s="451"/>
    </row>
    <row r="912" spans="11:14" x14ac:dyDescent="0.25">
      <c r="K912" s="451"/>
      <c r="M912" s="451"/>
      <c r="N912" s="451"/>
    </row>
    <row r="913" spans="11:14" x14ac:dyDescent="0.25">
      <c r="K913" s="451"/>
      <c r="M913" s="451"/>
      <c r="N913" s="451"/>
    </row>
    <row r="914" spans="11:14" x14ac:dyDescent="0.25">
      <c r="K914" s="451"/>
      <c r="M914" s="451"/>
      <c r="N914" s="451"/>
    </row>
    <row r="915" spans="11:14" x14ac:dyDescent="0.25">
      <c r="K915" s="451"/>
      <c r="M915" s="451"/>
      <c r="N915" s="451"/>
    </row>
    <row r="916" spans="11:14" x14ac:dyDescent="0.25">
      <c r="K916" s="451"/>
      <c r="M916" s="451"/>
      <c r="N916" s="451"/>
    </row>
    <row r="917" spans="11:14" x14ac:dyDescent="0.25">
      <c r="K917" s="451"/>
      <c r="M917" s="451"/>
      <c r="N917" s="451"/>
    </row>
    <row r="918" spans="11:14" x14ac:dyDescent="0.25">
      <c r="K918" s="451"/>
      <c r="M918" s="451"/>
      <c r="N918" s="451"/>
    </row>
    <row r="919" spans="11:14" x14ac:dyDescent="0.25">
      <c r="K919" s="451"/>
      <c r="M919" s="451"/>
      <c r="N919" s="451"/>
    </row>
    <row r="920" spans="11:14" x14ac:dyDescent="0.25">
      <c r="K920" s="451"/>
      <c r="M920" s="451"/>
      <c r="N920" s="451"/>
    </row>
    <row r="921" spans="11:14" x14ac:dyDescent="0.25">
      <c r="K921" s="451"/>
      <c r="M921" s="451"/>
      <c r="N921" s="451"/>
    </row>
    <row r="922" spans="11:14" x14ac:dyDescent="0.25">
      <c r="K922" s="451"/>
      <c r="M922" s="451"/>
      <c r="N922" s="451"/>
    </row>
    <row r="923" spans="11:14" x14ac:dyDescent="0.25">
      <c r="K923" s="451"/>
      <c r="M923" s="451"/>
      <c r="N923" s="451"/>
    </row>
    <row r="924" spans="11:14" x14ac:dyDescent="0.25">
      <c r="K924" s="451"/>
      <c r="M924" s="451"/>
      <c r="N924" s="451"/>
    </row>
    <row r="925" spans="11:14" x14ac:dyDescent="0.25">
      <c r="K925" s="451"/>
      <c r="M925" s="451"/>
      <c r="N925" s="451"/>
    </row>
    <row r="926" spans="11:14" x14ac:dyDescent="0.25">
      <c r="K926" s="451"/>
      <c r="M926" s="451"/>
      <c r="N926" s="451"/>
    </row>
    <row r="927" spans="11:14" x14ac:dyDescent="0.25">
      <c r="K927" s="451"/>
      <c r="M927" s="451"/>
      <c r="N927" s="451"/>
    </row>
    <row r="928" spans="11:14" x14ac:dyDescent="0.25">
      <c r="K928" s="451"/>
      <c r="M928" s="451"/>
      <c r="N928" s="451"/>
    </row>
    <row r="929" spans="11:14" x14ac:dyDescent="0.25">
      <c r="K929" s="451"/>
      <c r="M929" s="451"/>
      <c r="N929" s="451"/>
    </row>
    <row r="930" spans="11:14" x14ac:dyDescent="0.25">
      <c r="K930" s="451"/>
      <c r="M930" s="451"/>
      <c r="N930" s="451"/>
    </row>
    <row r="931" spans="11:14" x14ac:dyDescent="0.25">
      <c r="K931" s="451"/>
      <c r="M931" s="451"/>
      <c r="N931" s="451"/>
    </row>
    <row r="932" spans="11:14" x14ac:dyDescent="0.25">
      <c r="K932" s="451"/>
      <c r="M932" s="451"/>
      <c r="N932" s="451"/>
    </row>
    <row r="933" spans="11:14" x14ac:dyDescent="0.25">
      <c r="K933" s="451"/>
      <c r="M933" s="451"/>
      <c r="N933" s="451"/>
    </row>
    <row r="934" spans="11:14" x14ac:dyDescent="0.25">
      <c r="K934" s="451"/>
      <c r="M934" s="451"/>
      <c r="N934" s="451"/>
    </row>
    <row r="935" spans="11:14" x14ac:dyDescent="0.25">
      <c r="K935" s="451"/>
      <c r="M935" s="451"/>
      <c r="N935" s="451"/>
    </row>
    <row r="936" spans="11:14" x14ac:dyDescent="0.25">
      <c r="K936" s="451"/>
      <c r="M936" s="451"/>
      <c r="N936" s="451"/>
    </row>
    <row r="937" spans="11:14" x14ac:dyDescent="0.25">
      <c r="K937" s="451"/>
      <c r="M937" s="451"/>
      <c r="N937" s="451"/>
    </row>
    <row r="938" spans="11:14" x14ac:dyDescent="0.25">
      <c r="K938" s="451"/>
      <c r="M938" s="451"/>
      <c r="N938" s="451"/>
    </row>
    <row r="939" spans="11:14" x14ac:dyDescent="0.25">
      <c r="K939" s="451"/>
      <c r="M939" s="451"/>
      <c r="N939" s="451"/>
    </row>
    <row r="940" spans="11:14" x14ac:dyDescent="0.25">
      <c r="K940" s="451"/>
      <c r="M940" s="451"/>
      <c r="N940" s="451"/>
    </row>
    <row r="941" spans="11:14" x14ac:dyDescent="0.25">
      <c r="K941" s="451"/>
      <c r="M941" s="451"/>
      <c r="N941" s="451"/>
    </row>
    <row r="942" spans="11:14" x14ac:dyDescent="0.25">
      <c r="K942" s="451"/>
      <c r="M942" s="451"/>
      <c r="N942" s="451"/>
    </row>
    <row r="943" spans="11:14" x14ac:dyDescent="0.25">
      <c r="K943" s="451"/>
      <c r="M943" s="451"/>
      <c r="N943" s="451"/>
    </row>
    <row r="944" spans="11:14" x14ac:dyDescent="0.25">
      <c r="K944" s="451"/>
      <c r="M944" s="451"/>
      <c r="N944" s="451"/>
    </row>
    <row r="945" spans="11:14" x14ac:dyDescent="0.25">
      <c r="K945" s="451"/>
      <c r="M945" s="451"/>
      <c r="N945" s="451"/>
    </row>
    <row r="946" spans="11:14" x14ac:dyDescent="0.25">
      <c r="K946" s="451"/>
      <c r="M946" s="451"/>
      <c r="N946" s="451"/>
    </row>
    <row r="947" spans="11:14" x14ac:dyDescent="0.25">
      <c r="K947" s="451"/>
      <c r="M947" s="451"/>
      <c r="N947" s="451"/>
    </row>
    <row r="948" spans="11:14" x14ac:dyDescent="0.25">
      <c r="K948" s="451"/>
      <c r="M948" s="451"/>
      <c r="N948" s="451"/>
    </row>
    <row r="949" spans="11:14" x14ac:dyDescent="0.25">
      <c r="K949" s="451"/>
      <c r="M949" s="451"/>
      <c r="N949" s="451"/>
    </row>
    <row r="950" spans="11:14" x14ac:dyDescent="0.25">
      <c r="K950" s="451"/>
      <c r="M950" s="451"/>
      <c r="N950" s="451"/>
    </row>
    <row r="951" spans="11:14" x14ac:dyDescent="0.25">
      <c r="K951" s="451"/>
      <c r="M951" s="451"/>
      <c r="N951" s="451"/>
    </row>
    <row r="952" spans="11:14" x14ac:dyDescent="0.25">
      <c r="K952" s="451"/>
      <c r="M952" s="451"/>
      <c r="N952" s="451"/>
    </row>
    <row r="953" spans="11:14" x14ac:dyDescent="0.25">
      <c r="K953" s="451"/>
      <c r="M953" s="451"/>
      <c r="N953" s="451"/>
    </row>
    <row r="954" spans="11:14" x14ac:dyDescent="0.25">
      <c r="K954" s="451"/>
      <c r="M954" s="451"/>
      <c r="N954" s="451"/>
    </row>
    <row r="955" spans="11:14" x14ac:dyDescent="0.25">
      <c r="K955" s="451"/>
      <c r="M955" s="451"/>
      <c r="N955" s="451"/>
    </row>
    <row r="956" spans="11:14" x14ac:dyDescent="0.25">
      <c r="K956" s="451"/>
      <c r="M956" s="451"/>
      <c r="N956" s="451"/>
    </row>
    <row r="957" spans="11:14" x14ac:dyDescent="0.25">
      <c r="K957" s="451"/>
      <c r="M957" s="451"/>
      <c r="N957" s="451"/>
    </row>
    <row r="958" spans="11:14" x14ac:dyDescent="0.25">
      <c r="K958" s="451"/>
      <c r="M958" s="451"/>
      <c r="N958" s="451"/>
    </row>
    <row r="959" spans="11:14" x14ac:dyDescent="0.25">
      <c r="K959" s="451"/>
      <c r="M959" s="451"/>
      <c r="N959" s="451"/>
    </row>
    <row r="960" spans="11:14" x14ac:dyDescent="0.25">
      <c r="K960" s="451"/>
      <c r="M960" s="451"/>
      <c r="N960" s="451"/>
    </row>
    <row r="961" spans="11:14" x14ac:dyDescent="0.25">
      <c r="K961" s="451"/>
      <c r="M961" s="451"/>
      <c r="N961" s="451"/>
    </row>
    <row r="962" spans="11:14" x14ac:dyDescent="0.25">
      <c r="K962" s="451"/>
      <c r="M962" s="451"/>
      <c r="N962" s="451"/>
    </row>
    <row r="963" spans="11:14" x14ac:dyDescent="0.25">
      <c r="K963" s="451"/>
      <c r="M963" s="451"/>
      <c r="N963" s="451"/>
    </row>
    <row r="964" spans="11:14" x14ac:dyDescent="0.25">
      <c r="K964" s="451"/>
      <c r="M964" s="451"/>
      <c r="N964" s="451"/>
    </row>
    <row r="965" spans="11:14" x14ac:dyDescent="0.25">
      <c r="K965" s="451"/>
      <c r="M965" s="451"/>
      <c r="N965" s="451"/>
    </row>
    <row r="966" spans="11:14" x14ac:dyDescent="0.25">
      <c r="K966" s="451"/>
      <c r="M966" s="451"/>
      <c r="N966" s="451"/>
    </row>
    <row r="967" spans="11:14" x14ac:dyDescent="0.25">
      <c r="K967" s="451"/>
      <c r="M967" s="451"/>
      <c r="N967" s="451"/>
    </row>
    <row r="968" spans="11:14" x14ac:dyDescent="0.25">
      <c r="K968" s="451"/>
      <c r="M968" s="451"/>
      <c r="N968" s="451"/>
    </row>
    <row r="969" spans="11:14" x14ac:dyDescent="0.25">
      <c r="K969" s="451"/>
      <c r="M969" s="451"/>
      <c r="N969" s="451"/>
    </row>
    <row r="970" spans="11:14" x14ac:dyDescent="0.25">
      <c r="K970" s="451"/>
      <c r="M970" s="451"/>
      <c r="N970" s="451"/>
    </row>
    <row r="971" spans="11:14" x14ac:dyDescent="0.25">
      <c r="K971" s="451"/>
      <c r="M971" s="451"/>
      <c r="N971" s="451"/>
    </row>
    <row r="972" spans="11:14" x14ac:dyDescent="0.25">
      <c r="K972" s="451"/>
      <c r="M972" s="451"/>
      <c r="N972" s="451"/>
    </row>
    <row r="973" spans="11:14" x14ac:dyDescent="0.25">
      <c r="K973" s="451"/>
      <c r="M973" s="451"/>
      <c r="N973" s="451"/>
    </row>
    <row r="974" spans="11:14" x14ac:dyDescent="0.25">
      <c r="K974" s="451"/>
      <c r="M974" s="451"/>
      <c r="N974" s="451"/>
    </row>
    <row r="975" spans="11:14" x14ac:dyDescent="0.25">
      <c r="K975" s="451"/>
      <c r="M975" s="451"/>
      <c r="N975" s="451"/>
    </row>
    <row r="976" spans="11:14" x14ac:dyDescent="0.25">
      <c r="K976" s="451"/>
      <c r="M976" s="451"/>
      <c r="N976" s="451"/>
    </row>
    <row r="977" spans="11:14" x14ac:dyDescent="0.25">
      <c r="K977" s="451"/>
      <c r="M977" s="451"/>
      <c r="N977" s="451"/>
    </row>
    <row r="978" spans="11:14" x14ac:dyDescent="0.25">
      <c r="K978" s="451"/>
      <c r="M978" s="451"/>
      <c r="N978" s="451"/>
    </row>
    <row r="979" spans="11:14" x14ac:dyDescent="0.25">
      <c r="K979" s="451"/>
      <c r="M979" s="451"/>
      <c r="N979" s="451"/>
    </row>
    <row r="980" spans="11:14" x14ac:dyDescent="0.25">
      <c r="K980" s="451"/>
      <c r="M980" s="451"/>
      <c r="N980" s="451"/>
    </row>
    <row r="981" spans="11:14" x14ac:dyDescent="0.25">
      <c r="K981" s="451"/>
      <c r="M981" s="451"/>
      <c r="N981" s="451"/>
    </row>
    <row r="982" spans="11:14" x14ac:dyDescent="0.25">
      <c r="K982" s="451"/>
      <c r="M982" s="451"/>
      <c r="N982" s="451"/>
    </row>
  </sheetData>
  <sortState ref="A2:AI982">
    <sortCondition ref="E2:E999"/>
    <sortCondition descending="1" ref="K2:K999"/>
    <sortCondition ref="G2:G999"/>
  </sortState>
  <conditionalFormatting sqref="A1:J1 L1:N1 M355:N355 N2 N341 M3:N326 M359:N359 K359 K384 M384:N384 M386:N386 K386 K388 M388:N388 M404:N404 K404 K406 M406:N406 M408:N408 K408 K412:K65519 M412:N65519">
    <cfRule type="expression" dxfId="1190" priority="1183">
      <formula>$E1&lt;12</formula>
    </cfRule>
    <cfRule type="expression" dxfId="1189" priority="1184">
      <formula>$E1=18</formula>
    </cfRule>
    <cfRule type="expression" dxfId="1188" priority="1185">
      <formula>$E1=17</formula>
    </cfRule>
    <cfRule type="expression" dxfId="1187" priority="1186">
      <formula>$E1=16</formula>
    </cfRule>
    <cfRule type="expression" dxfId="1186" priority="1187">
      <formula>$E1=15</formula>
    </cfRule>
    <cfRule type="expression" dxfId="1185" priority="1188">
      <formula>$E1=14</formula>
    </cfRule>
    <cfRule type="expression" dxfId="1184" priority="1189">
      <formula>$E1=13</formula>
    </cfRule>
    <cfRule type="expression" dxfId="1183" priority="1190">
      <formula>$E1=12</formula>
    </cfRule>
  </conditionalFormatting>
  <conditionalFormatting sqref="A1:J1 L1:N1 M355:N355 N2 N341 M3:N326 M359:N359 K359 K384 M384:N384 M386:N386 K386 K388 M388:N388 M404:N404 K404 K406 M406:N406 M408:N408 K408 K412:K65519 M412:N65519">
    <cfRule type="expression" dxfId="1182" priority="1174">
      <formula>$E1=10</formula>
    </cfRule>
    <cfRule type="expression" dxfId="1181" priority="1175">
      <formula>$E1=11</formula>
    </cfRule>
    <cfRule type="expression" dxfId="1180" priority="1176">
      <formula>$E1=18</formula>
    </cfRule>
    <cfRule type="expression" dxfId="1179" priority="1177">
      <formula>$E1=17</formula>
    </cfRule>
    <cfRule type="expression" dxfId="1178" priority="1178">
      <formula>$E1=16</formula>
    </cfRule>
    <cfRule type="expression" dxfId="1177" priority="1179">
      <formula>$E1=15</formula>
    </cfRule>
    <cfRule type="expression" dxfId="1176" priority="1180">
      <formula>$E1=14</formula>
    </cfRule>
    <cfRule type="expression" dxfId="1175" priority="1181">
      <formula>$E1=13</formula>
    </cfRule>
    <cfRule type="expression" dxfId="1174" priority="1182">
      <formula>$E1=12</formula>
    </cfRule>
  </conditionalFormatting>
  <conditionalFormatting sqref="L2:L146 A2:B2 G2:I2 A3:I3 A4:J325 J326:J333 L148:L325">
    <cfRule type="expression" dxfId="1173" priority="1166">
      <formula>$E2&lt;12</formula>
    </cfRule>
    <cfRule type="expression" dxfId="1172" priority="1167">
      <formula>$E2=18</formula>
    </cfRule>
    <cfRule type="expression" dxfId="1171" priority="1168">
      <formula>$E2=17</formula>
    </cfRule>
    <cfRule type="expression" dxfId="1170" priority="1169">
      <formula>$E2=16</formula>
    </cfRule>
    <cfRule type="expression" dxfId="1169" priority="1170">
      <formula>$E2=15</formula>
    </cfRule>
    <cfRule type="expression" dxfId="1168" priority="1171">
      <formula>$E2=14</formula>
    </cfRule>
    <cfRule type="expression" dxfId="1167" priority="1172">
      <formula>$E2=13</formula>
    </cfRule>
    <cfRule type="expression" dxfId="1166" priority="1173">
      <formula>$E2=12</formula>
    </cfRule>
  </conditionalFormatting>
  <conditionalFormatting sqref="L2:L146 A2:B2 G2:I2 A3:I3 A4:J325 J326:J333 L148:L325">
    <cfRule type="expression" dxfId="1165" priority="1157">
      <formula>$E2=10</formula>
    </cfRule>
    <cfRule type="expression" dxfId="1164" priority="1158">
      <formula>$E2=11</formula>
    </cfRule>
    <cfRule type="expression" dxfId="1163" priority="1159">
      <formula>$E2=18</formula>
    </cfRule>
    <cfRule type="expression" dxfId="1162" priority="1160">
      <formula>$E2=17</formula>
    </cfRule>
    <cfRule type="expression" dxfId="1161" priority="1161">
      <formula>$E2=16</formula>
    </cfRule>
    <cfRule type="expression" dxfId="1160" priority="1162">
      <formula>$E2=15</formula>
    </cfRule>
    <cfRule type="expression" dxfId="1159" priority="1163">
      <formula>$E2=14</formula>
    </cfRule>
    <cfRule type="expression" dxfId="1158" priority="1164">
      <formula>$E2=13</formula>
    </cfRule>
    <cfRule type="expression" dxfId="1157" priority="1165">
      <formula>$E2=12</formula>
    </cfRule>
  </conditionalFormatting>
  <conditionalFormatting sqref="K1 K355 K3:K326">
    <cfRule type="expression" dxfId="1156" priority="1149">
      <formula>$E1&lt;12</formula>
    </cfRule>
    <cfRule type="expression" dxfId="1155" priority="1150">
      <formula>$E1=18</formula>
    </cfRule>
    <cfRule type="expression" dxfId="1154" priority="1151">
      <formula>$E1=17</formula>
    </cfRule>
    <cfRule type="expression" dxfId="1153" priority="1152">
      <formula>$E1=16</formula>
    </cfRule>
    <cfRule type="expression" dxfId="1152" priority="1153">
      <formula>$E1=15</formula>
    </cfRule>
    <cfRule type="expression" dxfId="1151" priority="1154">
      <formula>$E1=14</formula>
    </cfRule>
    <cfRule type="expression" dxfId="1150" priority="1155">
      <formula>$E1=13</formula>
    </cfRule>
    <cfRule type="expression" dxfId="1149" priority="1156">
      <formula>$E1=12</formula>
    </cfRule>
  </conditionalFormatting>
  <conditionalFormatting sqref="K1 K355 K3:K326">
    <cfRule type="expression" dxfId="1148" priority="1140">
      <formula>$E1=10</formula>
    </cfRule>
    <cfRule type="expression" dxfId="1147" priority="1141">
      <formula>$E1=11</formula>
    </cfRule>
    <cfRule type="expression" dxfId="1146" priority="1142">
      <formula>$E1=18</formula>
    </cfRule>
    <cfRule type="expression" dxfId="1145" priority="1143">
      <formula>$E1=17</formula>
    </cfRule>
    <cfRule type="expression" dxfId="1144" priority="1144">
      <formula>$E1=16</formula>
    </cfRule>
    <cfRule type="expression" dxfId="1143" priority="1145">
      <formula>$E1=15</formula>
    </cfRule>
    <cfRule type="expression" dxfId="1142" priority="1146">
      <formula>$E1=14</formula>
    </cfRule>
    <cfRule type="expression" dxfId="1141" priority="1147">
      <formula>$E1=13</formula>
    </cfRule>
    <cfRule type="expression" dxfId="1140" priority="1148">
      <formula>$E1=12</formula>
    </cfRule>
  </conditionalFormatting>
  <conditionalFormatting sqref="N327:N332">
    <cfRule type="expression" dxfId="1139" priority="1132">
      <formula>$E327&lt;12</formula>
    </cfRule>
    <cfRule type="expression" dxfId="1138" priority="1133">
      <formula>$E327=18</formula>
    </cfRule>
    <cfRule type="expression" dxfId="1137" priority="1134">
      <formula>$E327=17</formula>
    </cfRule>
    <cfRule type="expression" dxfId="1136" priority="1135">
      <formula>$E327=16</formula>
    </cfRule>
    <cfRule type="expression" dxfId="1135" priority="1136">
      <formula>$E327=15</formula>
    </cfRule>
    <cfRule type="expression" dxfId="1134" priority="1137">
      <formula>$E327=14</formula>
    </cfRule>
    <cfRule type="expression" dxfId="1133" priority="1138">
      <formula>$E327=13</formula>
    </cfRule>
    <cfRule type="expression" dxfId="1132" priority="1139">
      <formula>$E327=12</formula>
    </cfRule>
  </conditionalFormatting>
  <conditionalFormatting sqref="N327:N332">
    <cfRule type="expression" dxfId="1131" priority="1123">
      <formula>$E327=10</formula>
    </cfRule>
    <cfRule type="expression" dxfId="1130" priority="1124">
      <formula>$E327=11</formula>
    </cfRule>
    <cfRule type="expression" dxfId="1129" priority="1125">
      <formula>$E327=18</formula>
    </cfRule>
    <cfRule type="expression" dxfId="1128" priority="1126">
      <formula>$E327=17</formula>
    </cfRule>
    <cfRule type="expression" dxfId="1127" priority="1127">
      <formula>$E327=16</formula>
    </cfRule>
    <cfRule type="expression" dxfId="1126" priority="1128">
      <formula>$E327=15</formula>
    </cfRule>
    <cfRule type="expression" dxfId="1125" priority="1129">
      <formula>$E327=14</formula>
    </cfRule>
    <cfRule type="expression" dxfId="1124" priority="1130">
      <formula>$E327=13</formula>
    </cfRule>
    <cfRule type="expression" dxfId="1123" priority="1131">
      <formula>$E327=12</formula>
    </cfRule>
  </conditionalFormatting>
  <conditionalFormatting sqref="N333:N340">
    <cfRule type="expression" dxfId="1122" priority="1115">
      <formula>$E333&lt;12</formula>
    </cfRule>
    <cfRule type="expression" dxfId="1121" priority="1116">
      <formula>$E333=18</formula>
    </cfRule>
    <cfRule type="expression" dxfId="1120" priority="1117">
      <formula>$E333=17</formula>
    </cfRule>
    <cfRule type="expression" dxfId="1119" priority="1118">
      <formula>$E333=16</formula>
    </cfRule>
    <cfRule type="expression" dxfId="1118" priority="1119">
      <formula>$E333=15</formula>
    </cfRule>
    <cfRule type="expression" dxfId="1117" priority="1120">
      <formula>$E333=14</formula>
    </cfRule>
    <cfRule type="expression" dxfId="1116" priority="1121">
      <formula>$E333=13</formula>
    </cfRule>
    <cfRule type="expression" dxfId="1115" priority="1122">
      <formula>$E333=12</formula>
    </cfRule>
  </conditionalFormatting>
  <conditionalFormatting sqref="N333:N340">
    <cfRule type="expression" dxfId="1114" priority="1106">
      <formula>$E333=10</formula>
    </cfRule>
    <cfRule type="expression" dxfId="1113" priority="1107">
      <formula>$E333=11</formula>
    </cfRule>
    <cfRule type="expression" dxfId="1112" priority="1108">
      <formula>$E333=18</formula>
    </cfRule>
    <cfRule type="expression" dxfId="1111" priority="1109">
      <formula>$E333=17</formula>
    </cfRule>
    <cfRule type="expression" dxfId="1110" priority="1110">
      <formula>$E333=16</formula>
    </cfRule>
    <cfRule type="expression" dxfId="1109" priority="1111">
      <formula>$E333=15</formula>
    </cfRule>
    <cfRule type="expression" dxfId="1108" priority="1112">
      <formula>$E333=14</formula>
    </cfRule>
    <cfRule type="expression" dxfId="1107" priority="1113">
      <formula>$E333=13</formula>
    </cfRule>
    <cfRule type="expression" dxfId="1106" priority="1114">
      <formula>$E333=12</formula>
    </cfRule>
  </conditionalFormatting>
  <conditionalFormatting sqref="M341">
    <cfRule type="expression" dxfId="1105" priority="1047">
      <formula>$E341&lt;12</formula>
    </cfRule>
    <cfRule type="expression" dxfId="1104" priority="1048">
      <formula>$E341=18</formula>
    </cfRule>
    <cfRule type="expression" dxfId="1103" priority="1049">
      <formula>$E341=17</formula>
    </cfRule>
    <cfRule type="expression" dxfId="1102" priority="1050">
      <formula>$E341=16</formula>
    </cfRule>
    <cfRule type="expression" dxfId="1101" priority="1051">
      <formula>$E341=15</formula>
    </cfRule>
    <cfRule type="expression" dxfId="1100" priority="1052">
      <formula>$E341=14</formula>
    </cfRule>
    <cfRule type="expression" dxfId="1099" priority="1053">
      <formula>$E341=13</formula>
    </cfRule>
    <cfRule type="expression" dxfId="1098" priority="1054">
      <formula>$E341=12</formula>
    </cfRule>
  </conditionalFormatting>
  <conditionalFormatting sqref="M341">
    <cfRule type="expression" dxfId="1097" priority="1038">
      <formula>$E341=10</formula>
    </cfRule>
    <cfRule type="expression" dxfId="1096" priority="1039">
      <formula>$E341=11</formula>
    </cfRule>
    <cfRule type="expression" dxfId="1095" priority="1040">
      <formula>$E341=18</formula>
    </cfRule>
    <cfRule type="expression" dxfId="1094" priority="1041">
      <formula>$E341=17</formula>
    </cfRule>
    <cfRule type="expression" dxfId="1093" priority="1042">
      <formula>$E341=16</formula>
    </cfRule>
    <cfRule type="expression" dxfId="1092" priority="1043">
      <formula>$E341=15</formula>
    </cfRule>
    <cfRule type="expression" dxfId="1091" priority="1044">
      <formula>$E341=14</formula>
    </cfRule>
    <cfRule type="expression" dxfId="1090" priority="1045">
      <formula>$E341=13</formula>
    </cfRule>
    <cfRule type="expression" dxfId="1089" priority="1046">
      <formula>$E341=12</formula>
    </cfRule>
  </conditionalFormatting>
  <conditionalFormatting sqref="K341">
    <cfRule type="expression" dxfId="1088" priority="1030">
      <formula>$E341&lt;12</formula>
    </cfRule>
    <cfRule type="expression" dxfId="1087" priority="1031">
      <formula>$E341=18</formula>
    </cfRule>
    <cfRule type="expression" dxfId="1086" priority="1032">
      <formula>$E341=17</formula>
    </cfRule>
    <cfRule type="expression" dxfId="1085" priority="1033">
      <formula>$E341=16</formula>
    </cfRule>
    <cfRule type="expression" dxfId="1084" priority="1034">
      <formula>$E341=15</formula>
    </cfRule>
    <cfRule type="expression" dxfId="1083" priority="1035">
      <formula>$E341=14</formula>
    </cfRule>
    <cfRule type="expression" dxfId="1082" priority="1036">
      <formula>$E341=13</formula>
    </cfRule>
    <cfRule type="expression" dxfId="1081" priority="1037">
      <formula>$E341=12</formula>
    </cfRule>
  </conditionalFormatting>
  <conditionalFormatting sqref="K341">
    <cfRule type="expression" dxfId="1080" priority="1021">
      <formula>$E341=10</formula>
    </cfRule>
    <cfRule type="expression" dxfId="1079" priority="1022">
      <formula>$E341=11</formula>
    </cfRule>
    <cfRule type="expression" dxfId="1078" priority="1023">
      <formula>$E341=18</formula>
    </cfRule>
    <cfRule type="expression" dxfId="1077" priority="1024">
      <formula>$E341=17</formula>
    </cfRule>
    <cfRule type="expression" dxfId="1076" priority="1025">
      <formula>$E341=16</formula>
    </cfRule>
    <cfRule type="expression" dxfId="1075" priority="1026">
      <formula>$E341=15</formula>
    </cfRule>
    <cfRule type="expression" dxfId="1074" priority="1027">
      <formula>$E341=14</formula>
    </cfRule>
    <cfRule type="expression" dxfId="1073" priority="1028">
      <formula>$E341=13</formula>
    </cfRule>
    <cfRule type="expression" dxfId="1072" priority="1029">
      <formula>$E341=12</formula>
    </cfRule>
  </conditionalFormatting>
  <conditionalFormatting sqref="M327:M332">
    <cfRule type="expression" dxfId="1071" priority="1013">
      <formula>$E327&lt;12</formula>
    </cfRule>
    <cfRule type="expression" dxfId="1070" priority="1014">
      <formula>$E327=18</formula>
    </cfRule>
    <cfRule type="expression" dxfId="1069" priority="1015">
      <formula>$E327=17</formula>
    </cfRule>
    <cfRule type="expression" dxfId="1068" priority="1016">
      <formula>$E327=16</formula>
    </cfRule>
    <cfRule type="expression" dxfId="1067" priority="1017">
      <formula>$E327=15</formula>
    </cfRule>
    <cfRule type="expression" dxfId="1066" priority="1018">
      <formula>$E327=14</formula>
    </cfRule>
    <cfRule type="expression" dxfId="1065" priority="1019">
      <formula>$E327=13</formula>
    </cfRule>
    <cfRule type="expression" dxfId="1064" priority="1020">
      <formula>$E327=12</formula>
    </cfRule>
  </conditionalFormatting>
  <conditionalFormatting sqref="M327:M332">
    <cfRule type="expression" dxfId="1063" priority="1004">
      <formula>$E327=10</formula>
    </cfRule>
    <cfRule type="expression" dxfId="1062" priority="1005">
      <formula>$E327=11</formula>
    </cfRule>
    <cfRule type="expression" dxfId="1061" priority="1006">
      <formula>$E327=18</formula>
    </cfRule>
    <cfRule type="expression" dxfId="1060" priority="1007">
      <formula>$E327=17</formula>
    </cfRule>
    <cfRule type="expression" dxfId="1059" priority="1008">
      <formula>$E327=16</formula>
    </cfRule>
    <cfRule type="expression" dxfId="1058" priority="1009">
      <formula>$E327=15</formula>
    </cfRule>
    <cfRule type="expression" dxfId="1057" priority="1010">
      <formula>$E327=14</formula>
    </cfRule>
    <cfRule type="expression" dxfId="1056" priority="1011">
      <formula>$E327=13</formula>
    </cfRule>
    <cfRule type="expression" dxfId="1055" priority="1012">
      <formula>$E327=12</formula>
    </cfRule>
  </conditionalFormatting>
  <conditionalFormatting sqref="K2:K325">
    <cfRule type="expression" dxfId="1054" priority="1064">
      <formula>$E2&lt;12</formula>
    </cfRule>
    <cfRule type="expression" dxfId="1053" priority="1065">
      <formula>$E2=18</formula>
    </cfRule>
    <cfRule type="expression" dxfId="1052" priority="1066">
      <formula>$E2=17</formula>
    </cfRule>
    <cfRule type="expression" dxfId="1051" priority="1067">
      <formula>$E2=16</formula>
    </cfRule>
    <cfRule type="expression" dxfId="1050" priority="1068">
      <formula>$E2=15</formula>
    </cfRule>
    <cfRule type="expression" dxfId="1049" priority="1069">
      <formula>$E2=14</formula>
    </cfRule>
    <cfRule type="expression" dxfId="1048" priority="1070">
      <formula>$E2=13</formula>
    </cfRule>
    <cfRule type="expression" dxfId="1047" priority="1071">
      <formula>$E2=12</formula>
    </cfRule>
  </conditionalFormatting>
  <conditionalFormatting sqref="K2:K325">
    <cfRule type="expression" dxfId="1046" priority="1055">
      <formula>$E2=10</formula>
    </cfRule>
    <cfRule type="expression" dxfId="1045" priority="1056">
      <formula>$E2=11</formula>
    </cfRule>
    <cfRule type="expression" dxfId="1044" priority="1057">
      <formula>$E2=18</formula>
    </cfRule>
    <cfRule type="expression" dxfId="1043" priority="1058">
      <formula>$E2=17</formula>
    </cfRule>
    <cfRule type="expression" dxfId="1042" priority="1059">
      <formula>$E2=16</formula>
    </cfRule>
    <cfRule type="expression" dxfId="1041" priority="1060">
      <formula>$E2=15</formula>
    </cfRule>
    <cfRule type="expression" dxfId="1040" priority="1061">
      <formula>$E2=14</formula>
    </cfRule>
    <cfRule type="expression" dxfId="1039" priority="1062">
      <formula>$E2=13</formula>
    </cfRule>
    <cfRule type="expression" dxfId="1038" priority="1063">
      <formula>$E2=12</formula>
    </cfRule>
  </conditionalFormatting>
  <conditionalFormatting sqref="C2:F325">
    <cfRule type="expression" dxfId="1037" priority="1098">
      <formula>$E2&lt;12</formula>
    </cfRule>
    <cfRule type="expression" dxfId="1036" priority="1099">
      <formula>$E2=18</formula>
    </cfRule>
    <cfRule type="expression" dxfId="1035" priority="1100">
      <formula>$E2=17</formula>
    </cfRule>
    <cfRule type="expression" dxfId="1034" priority="1101">
      <formula>$E2=16</formula>
    </cfRule>
    <cfRule type="expression" dxfId="1033" priority="1102">
      <formula>$E2=15</formula>
    </cfRule>
    <cfRule type="expression" dxfId="1032" priority="1103">
      <formula>$E2=14</formula>
    </cfRule>
    <cfRule type="expression" dxfId="1031" priority="1104">
      <formula>$E2=13</formula>
    </cfRule>
    <cfRule type="expression" dxfId="1030" priority="1105">
      <formula>$E2=12</formula>
    </cfRule>
  </conditionalFormatting>
  <conditionalFormatting sqref="C2:F325">
    <cfRule type="expression" dxfId="1029" priority="1089">
      <formula>$E2=10</formula>
    </cfRule>
    <cfRule type="expression" dxfId="1028" priority="1090">
      <formula>$E2=11</formula>
    </cfRule>
    <cfRule type="expression" dxfId="1027" priority="1091">
      <formula>$E2=18</formula>
    </cfRule>
    <cfRule type="expression" dxfId="1026" priority="1092">
      <formula>$E2=17</formula>
    </cfRule>
    <cfRule type="expression" dxfId="1025" priority="1093">
      <formula>$E2=16</formula>
    </cfRule>
    <cfRule type="expression" dxfId="1024" priority="1094">
      <formula>$E2=15</formula>
    </cfRule>
    <cfRule type="expression" dxfId="1023" priority="1095">
      <formula>$E2=14</formula>
    </cfRule>
    <cfRule type="expression" dxfId="1022" priority="1096">
      <formula>$E2=13</formula>
    </cfRule>
    <cfRule type="expression" dxfId="1021" priority="1097">
      <formula>$E2=12</formula>
    </cfRule>
  </conditionalFormatting>
  <conditionalFormatting sqref="M2">
    <cfRule type="expression" dxfId="1020" priority="1081">
      <formula>$E2&lt;12</formula>
    </cfRule>
    <cfRule type="expression" dxfId="1019" priority="1082">
      <formula>$E2=18</formula>
    </cfRule>
    <cfRule type="expression" dxfId="1018" priority="1083">
      <formula>$E2=17</formula>
    </cfRule>
    <cfRule type="expression" dxfId="1017" priority="1084">
      <formula>$E2=16</formula>
    </cfRule>
    <cfRule type="expression" dxfId="1016" priority="1085">
      <formula>$E2=15</formula>
    </cfRule>
    <cfRule type="expression" dxfId="1015" priority="1086">
      <formula>$E2=14</formula>
    </cfRule>
    <cfRule type="expression" dxfId="1014" priority="1087">
      <formula>$E2=13</formula>
    </cfRule>
    <cfRule type="expression" dxfId="1013" priority="1088">
      <formula>$E2=12</formula>
    </cfRule>
  </conditionalFormatting>
  <conditionalFormatting sqref="M2">
    <cfRule type="expression" dxfId="1012" priority="1072">
      <formula>$E2=10</formula>
    </cfRule>
    <cfRule type="expression" dxfId="1011" priority="1073">
      <formula>$E2=11</formula>
    </cfRule>
    <cfRule type="expression" dxfId="1010" priority="1074">
      <formula>$E2=18</formula>
    </cfRule>
    <cfRule type="expression" dxfId="1009" priority="1075">
      <formula>$E2=17</formula>
    </cfRule>
    <cfRule type="expression" dxfId="1008" priority="1076">
      <formula>$E2=16</formula>
    </cfRule>
    <cfRule type="expression" dxfId="1007" priority="1077">
      <formula>$E2=15</formula>
    </cfRule>
    <cfRule type="expression" dxfId="1006" priority="1078">
      <formula>$E2=14</formula>
    </cfRule>
    <cfRule type="expression" dxfId="1005" priority="1079">
      <formula>$E2=13</formula>
    </cfRule>
    <cfRule type="expression" dxfId="1004" priority="1080">
      <formula>$E2=12</formula>
    </cfRule>
  </conditionalFormatting>
  <conditionalFormatting sqref="L327:L332 A327:J340">
    <cfRule type="expression" dxfId="1003" priority="996">
      <formula>$E327&lt;12</formula>
    </cfRule>
    <cfRule type="expression" dxfId="1002" priority="997">
      <formula>$E327=18</formula>
    </cfRule>
    <cfRule type="expression" dxfId="1001" priority="998">
      <formula>$E327=17</formula>
    </cfRule>
    <cfRule type="expression" dxfId="1000" priority="999">
      <formula>$E327=16</formula>
    </cfRule>
    <cfRule type="expression" dxfId="999" priority="1000">
      <formula>$E327=15</formula>
    </cfRule>
    <cfRule type="expression" dxfId="998" priority="1001">
      <formula>$E327=14</formula>
    </cfRule>
    <cfRule type="expression" dxfId="997" priority="1002">
      <formula>$E327=13</formula>
    </cfRule>
    <cfRule type="expression" dxfId="996" priority="1003">
      <formula>$E327=12</formula>
    </cfRule>
  </conditionalFormatting>
  <conditionalFormatting sqref="L327:L332 A327:J340">
    <cfRule type="expression" dxfId="995" priority="987">
      <formula>$E327=10</formula>
    </cfRule>
    <cfRule type="expression" dxfId="994" priority="988">
      <formula>$E327=11</formula>
    </cfRule>
    <cfRule type="expression" dxfId="993" priority="989">
      <formula>$E327=18</formula>
    </cfRule>
    <cfRule type="expression" dxfId="992" priority="990">
      <formula>$E327=17</formula>
    </cfRule>
    <cfRule type="expression" dxfId="991" priority="991">
      <formula>$E327=16</formula>
    </cfRule>
    <cfRule type="expression" dxfId="990" priority="992">
      <formula>$E327=15</formula>
    </cfRule>
    <cfRule type="expression" dxfId="989" priority="993">
      <formula>$E327=14</formula>
    </cfRule>
    <cfRule type="expression" dxfId="988" priority="994">
      <formula>$E327=13</formula>
    </cfRule>
    <cfRule type="expression" dxfId="987" priority="995">
      <formula>$E327=12</formula>
    </cfRule>
  </conditionalFormatting>
  <conditionalFormatting sqref="M333:M340">
    <cfRule type="expression" dxfId="986" priority="962">
      <formula>$E333&lt;12</formula>
    </cfRule>
    <cfRule type="expression" dxfId="985" priority="963">
      <formula>$E333=18</formula>
    </cfRule>
    <cfRule type="expression" dxfId="984" priority="964">
      <formula>$E333=17</formula>
    </cfRule>
    <cfRule type="expression" dxfId="983" priority="965">
      <formula>$E333=16</formula>
    </cfRule>
    <cfRule type="expression" dxfId="982" priority="966">
      <formula>$E333=15</formula>
    </cfRule>
    <cfRule type="expression" dxfId="981" priority="967">
      <formula>$E333=14</formula>
    </cfRule>
    <cfRule type="expression" dxfId="980" priority="968">
      <formula>$E333=13</formula>
    </cfRule>
    <cfRule type="expression" dxfId="979" priority="969">
      <formula>$E333=12</formula>
    </cfRule>
  </conditionalFormatting>
  <conditionalFormatting sqref="M333:M340">
    <cfRule type="expression" dxfId="978" priority="953">
      <formula>$E333=10</formula>
    </cfRule>
    <cfRule type="expression" dxfId="977" priority="954">
      <formula>$E333=11</formula>
    </cfRule>
    <cfRule type="expression" dxfId="976" priority="955">
      <formula>$E333=18</formula>
    </cfRule>
    <cfRule type="expression" dxfId="975" priority="956">
      <formula>$E333=17</formula>
    </cfRule>
    <cfRule type="expression" dxfId="974" priority="957">
      <formula>$E333=16</formula>
    </cfRule>
    <cfRule type="expression" dxfId="973" priority="958">
      <formula>$E333=15</formula>
    </cfRule>
    <cfRule type="expression" dxfId="972" priority="959">
      <formula>$E333=14</formula>
    </cfRule>
    <cfRule type="expression" dxfId="971" priority="960">
      <formula>$E333=13</formula>
    </cfRule>
    <cfRule type="expression" dxfId="970" priority="961">
      <formula>$E333=12</formula>
    </cfRule>
  </conditionalFormatting>
  <conditionalFormatting sqref="L333:L340">
    <cfRule type="expression" dxfId="969" priority="945">
      <formula>$E333&lt;12</formula>
    </cfRule>
    <cfRule type="expression" dxfId="968" priority="946">
      <formula>$E333=18</formula>
    </cfRule>
    <cfRule type="expression" dxfId="967" priority="947">
      <formula>$E333=17</formula>
    </cfRule>
    <cfRule type="expression" dxfId="966" priority="948">
      <formula>$E333=16</formula>
    </cfRule>
    <cfRule type="expression" dxfId="965" priority="949">
      <formula>$E333=15</formula>
    </cfRule>
    <cfRule type="expression" dxfId="964" priority="950">
      <formula>$E333=14</formula>
    </cfRule>
    <cfRule type="expression" dxfId="963" priority="951">
      <formula>$E333=13</formula>
    </cfRule>
    <cfRule type="expression" dxfId="962" priority="952">
      <formula>$E333=12</formula>
    </cfRule>
  </conditionalFormatting>
  <conditionalFormatting sqref="L333:L340">
    <cfRule type="expression" dxfId="961" priority="936">
      <formula>$E333=10</formula>
    </cfRule>
    <cfRule type="expression" dxfId="960" priority="937">
      <formula>$E333=11</formula>
    </cfRule>
    <cfRule type="expression" dxfId="959" priority="938">
      <formula>$E333=18</formula>
    </cfRule>
    <cfRule type="expression" dxfId="958" priority="939">
      <formula>$E333=17</formula>
    </cfRule>
    <cfRule type="expression" dxfId="957" priority="940">
      <formula>$E333=16</formula>
    </cfRule>
    <cfRule type="expression" dxfId="956" priority="941">
      <formula>$E333=15</formula>
    </cfRule>
    <cfRule type="expression" dxfId="955" priority="942">
      <formula>$E333=14</formula>
    </cfRule>
    <cfRule type="expression" dxfId="954" priority="943">
      <formula>$E333=13</formula>
    </cfRule>
    <cfRule type="expression" dxfId="953" priority="944">
      <formula>$E333=12</formula>
    </cfRule>
  </conditionalFormatting>
  <conditionalFormatting sqref="K333:K340">
    <cfRule type="expression" dxfId="952" priority="928">
      <formula>$E333&lt;12</formula>
    </cfRule>
    <cfRule type="expression" dxfId="951" priority="929">
      <formula>$E333=18</formula>
    </cfRule>
    <cfRule type="expression" dxfId="950" priority="930">
      <formula>$E333=17</formula>
    </cfRule>
    <cfRule type="expression" dxfId="949" priority="931">
      <formula>$E333=16</formula>
    </cfRule>
    <cfRule type="expression" dxfId="948" priority="932">
      <formula>$E333=15</formula>
    </cfRule>
    <cfRule type="expression" dxfId="947" priority="933">
      <formula>$E333=14</formula>
    </cfRule>
    <cfRule type="expression" dxfId="946" priority="934">
      <formula>$E333=13</formula>
    </cfRule>
    <cfRule type="expression" dxfId="945" priority="935">
      <formula>$E333=12</formula>
    </cfRule>
  </conditionalFormatting>
  <conditionalFormatting sqref="K333:K340">
    <cfRule type="expression" dxfId="944" priority="919">
      <formula>$E333=10</formula>
    </cfRule>
    <cfRule type="expression" dxfId="943" priority="920">
      <formula>$E333=11</formula>
    </cfRule>
    <cfRule type="expression" dxfId="942" priority="921">
      <formula>$E333=18</formula>
    </cfRule>
    <cfRule type="expression" dxfId="941" priority="922">
      <formula>$E333=17</formula>
    </cfRule>
    <cfRule type="expression" dxfId="940" priority="923">
      <formula>$E333=16</formula>
    </cfRule>
    <cfRule type="expression" dxfId="939" priority="924">
      <formula>$E333=15</formula>
    </cfRule>
    <cfRule type="expression" dxfId="938" priority="925">
      <formula>$E333=14</formula>
    </cfRule>
    <cfRule type="expression" dxfId="937" priority="926">
      <formula>$E333=13</formula>
    </cfRule>
    <cfRule type="expression" dxfId="936" priority="927">
      <formula>$E333=12</formula>
    </cfRule>
  </conditionalFormatting>
  <conditionalFormatting sqref="K327:K332">
    <cfRule type="expression" dxfId="935" priority="979">
      <formula>$E327&lt;12</formula>
    </cfRule>
    <cfRule type="expression" dxfId="934" priority="980">
      <formula>$E327=18</formula>
    </cfRule>
    <cfRule type="expression" dxfId="933" priority="981">
      <formula>$E327=17</formula>
    </cfRule>
    <cfRule type="expression" dxfId="932" priority="982">
      <formula>$E327=16</formula>
    </cfRule>
    <cfRule type="expression" dxfId="931" priority="983">
      <formula>$E327=15</formula>
    </cfRule>
    <cfRule type="expression" dxfId="930" priority="984">
      <formula>$E327=14</formula>
    </cfRule>
    <cfRule type="expression" dxfId="929" priority="985">
      <formula>$E327=13</formula>
    </cfRule>
    <cfRule type="expression" dxfId="928" priority="986">
      <formula>$E327=12</formula>
    </cfRule>
  </conditionalFormatting>
  <conditionalFormatting sqref="K327:K332">
    <cfRule type="expression" dxfId="927" priority="970">
      <formula>$E327=10</formula>
    </cfRule>
    <cfRule type="expression" dxfId="926" priority="971">
      <formula>$E327=11</formula>
    </cfRule>
    <cfRule type="expression" dxfId="925" priority="972">
      <formula>$E327=18</formula>
    </cfRule>
    <cfRule type="expression" dxfId="924" priority="973">
      <formula>$E327=17</formula>
    </cfRule>
    <cfRule type="expression" dxfId="923" priority="974">
      <formula>$E327=16</formula>
    </cfRule>
    <cfRule type="expression" dxfId="922" priority="975">
      <formula>$E327=15</formula>
    </cfRule>
    <cfRule type="expression" dxfId="921" priority="976">
      <formula>$E327=14</formula>
    </cfRule>
    <cfRule type="expression" dxfId="920" priority="977">
      <formula>$E327=13</formula>
    </cfRule>
    <cfRule type="expression" dxfId="919" priority="978">
      <formula>$E327=12</formula>
    </cfRule>
  </conditionalFormatting>
  <conditionalFormatting sqref="J2:J3">
    <cfRule type="expression" dxfId="918" priority="911">
      <formula>$E2&lt;12</formula>
    </cfRule>
    <cfRule type="expression" dxfId="917" priority="912">
      <formula>$E2=18</formula>
    </cfRule>
    <cfRule type="expression" dxfId="916" priority="913">
      <formula>$E2=17</formula>
    </cfRule>
    <cfRule type="expression" dxfId="915" priority="914">
      <formula>$E2=16</formula>
    </cfRule>
    <cfRule type="expression" dxfId="914" priority="915">
      <formula>$E2=15</formula>
    </cfRule>
    <cfRule type="expression" dxfId="913" priority="916">
      <formula>$E2=14</formula>
    </cfRule>
    <cfRule type="expression" dxfId="912" priority="917">
      <formula>$E2=13</formula>
    </cfRule>
    <cfRule type="expression" dxfId="911" priority="918">
      <formula>$E2=12</formula>
    </cfRule>
  </conditionalFormatting>
  <conditionalFormatting sqref="J2:J3">
    <cfRule type="expression" dxfId="910" priority="902">
      <formula>$E2=10</formula>
    </cfRule>
    <cfRule type="expression" dxfId="909" priority="903">
      <formula>$E2=11</formula>
    </cfRule>
    <cfRule type="expression" dxfId="908" priority="904">
      <formula>$E2=18</formula>
    </cfRule>
    <cfRule type="expression" dxfId="907" priority="905">
      <formula>$E2=17</formula>
    </cfRule>
    <cfRule type="expression" dxfId="906" priority="906">
      <formula>$E2=16</formula>
    </cfRule>
    <cfRule type="expression" dxfId="905" priority="907">
      <formula>$E2=15</formula>
    </cfRule>
    <cfRule type="expression" dxfId="904" priority="908">
      <formula>$E2=14</formula>
    </cfRule>
    <cfRule type="expression" dxfId="903" priority="909">
      <formula>$E2=13</formula>
    </cfRule>
    <cfRule type="expression" dxfId="902" priority="910">
      <formula>$E2=12</formula>
    </cfRule>
  </conditionalFormatting>
  <conditionalFormatting sqref="L342:L353">
    <cfRule type="expression" dxfId="901" priority="860">
      <formula>$E342&lt;12</formula>
    </cfRule>
    <cfRule type="expression" dxfId="900" priority="861">
      <formula>$E342=18</formula>
    </cfRule>
    <cfRule type="expression" dxfId="899" priority="862">
      <formula>$E342=17</formula>
    </cfRule>
    <cfRule type="expression" dxfId="898" priority="863">
      <formula>$E342=16</formula>
    </cfRule>
    <cfRule type="expression" dxfId="897" priority="864">
      <formula>$E342=15</formula>
    </cfRule>
    <cfRule type="expression" dxfId="896" priority="865">
      <formula>$E342=14</formula>
    </cfRule>
    <cfRule type="expression" dxfId="895" priority="866">
      <formula>$E342=13</formula>
    </cfRule>
    <cfRule type="expression" dxfId="894" priority="867">
      <formula>$E342=12</formula>
    </cfRule>
  </conditionalFormatting>
  <conditionalFormatting sqref="L342:L353">
    <cfRule type="expression" dxfId="893" priority="851">
      <formula>$E342=10</formula>
    </cfRule>
    <cfRule type="expression" dxfId="892" priority="852">
      <formula>$E342=11</formula>
    </cfRule>
    <cfRule type="expression" dxfId="891" priority="853">
      <formula>$E342=18</formula>
    </cfRule>
    <cfRule type="expression" dxfId="890" priority="854">
      <formula>$E342=17</formula>
    </cfRule>
    <cfRule type="expression" dxfId="889" priority="855">
      <formula>$E342=16</formula>
    </cfRule>
    <cfRule type="expression" dxfId="888" priority="856">
      <formula>$E342=15</formula>
    </cfRule>
    <cfRule type="expression" dxfId="887" priority="857">
      <formula>$E342=14</formula>
    </cfRule>
    <cfRule type="expression" dxfId="886" priority="858">
      <formula>$E342=13</formula>
    </cfRule>
    <cfRule type="expression" dxfId="885" priority="859">
      <formula>$E342=12</formula>
    </cfRule>
  </conditionalFormatting>
  <conditionalFormatting sqref="K342:K353">
    <cfRule type="expression" dxfId="884" priority="843">
      <formula>$E342&lt;12</formula>
    </cfRule>
    <cfRule type="expression" dxfId="883" priority="844">
      <formula>$E342=18</formula>
    </cfRule>
    <cfRule type="expression" dxfId="882" priority="845">
      <formula>$E342=17</formula>
    </cfRule>
    <cfRule type="expression" dxfId="881" priority="846">
      <formula>$E342=16</formula>
    </cfRule>
    <cfRule type="expression" dxfId="880" priority="847">
      <formula>$E342=15</formula>
    </cfRule>
    <cfRule type="expression" dxfId="879" priority="848">
      <formula>$E342=14</formula>
    </cfRule>
    <cfRule type="expression" dxfId="878" priority="849">
      <formula>$E342=13</formula>
    </cfRule>
    <cfRule type="expression" dxfId="877" priority="850">
      <formula>$E342=12</formula>
    </cfRule>
  </conditionalFormatting>
  <conditionalFormatting sqref="K342:K353">
    <cfRule type="expression" dxfId="876" priority="834">
      <formula>$E342=10</formula>
    </cfRule>
    <cfRule type="expression" dxfId="875" priority="835">
      <formula>$E342=11</formula>
    </cfRule>
    <cfRule type="expression" dxfId="874" priority="836">
      <formula>$E342=18</formula>
    </cfRule>
    <cfRule type="expression" dxfId="873" priority="837">
      <formula>$E342=17</formula>
    </cfRule>
    <cfRule type="expression" dxfId="872" priority="838">
      <formula>$E342=16</formula>
    </cfRule>
    <cfRule type="expression" dxfId="871" priority="839">
      <formula>$E342=15</formula>
    </cfRule>
    <cfRule type="expression" dxfId="870" priority="840">
      <formula>$E342=14</formula>
    </cfRule>
    <cfRule type="expression" dxfId="869" priority="841">
      <formula>$E342=13</formula>
    </cfRule>
    <cfRule type="expression" dxfId="868" priority="842">
      <formula>$E342=12</formula>
    </cfRule>
  </conditionalFormatting>
  <conditionalFormatting sqref="M342:N353">
    <cfRule type="expression" dxfId="867" priority="877">
      <formula>$E342&lt;12</formula>
    </cfRule>
    <cfRule type="expression" dxfId="866" priority="878">
      <formula>$E342=18</formula>
    </cfRule>
    <cfRule type="expression" dxfId="865" priority="879">
      <formula>$E342=17</formula>
    </cfRule>
    <cfRule type="expression" dxfId="864" priority="880">
      <formula>$E342=16</formula>
    </cfRule>
    <cfRule type="expression" dxfId="863" priority="881">
      <formula>$E342=15</formula>
    </cfRule>
    <cfRule type="expression" dxfId="862" priority="882">
      <formula>$E342=14</formula>
    </cfRule>
    <cfRule type="expression" dxfId="861" priority="883">
      <formula>$E342=13</formula>
    </cfRule>
    <cfRule type="expression" dxfId="860" priority="884">
      <formula>$E342=12</formula>
    </cfRule>
  </conditionalFormatting>
  <conditionalFormatting sqref="M342:N353">
    <cfRule type="expression" dxfId="859" priority="868">
      <formula>$E342=10</formula>
    </cfRule>
    <cfRule type="expression" dxfId="858" priority="869">
      <formula>$E342=11</formula>
    </cfRule>
    <cfRule type="expression" dxfId="857" priority="870">
      <formula>$E342=18</formula>
    </cfRule>
    <cfRule type="expression" dxfId="856" priority="871">
      <formula>$E342=17</formula>
    </cfRule>
    <cfRule type="expression" dxfId="855" priority="872">
      <formula>$E342=16</formula>
    </cfRule>
    <cfRule type="expression" dxfId="854" priority="873">
      <formula>$E342=15</formula>
    </cfRule>
    <cfRule type="expression" dxfId="853" priority="874">
      <formula>$E342=14</formula>
    </cfRule>
    <cfRule type="expression" dxfId="852" priority="875">
      <formula>$E342=13</formula>
    </cfRule>
    <cfRule type="expression" dxfId="851" priority="876">
      <formula>$E342=12</formula>
    </cfRule>
  </conditionalFormatting>
  <conditionalFormatting sqref="A342:J353">
    <cfRule type="expression" dxfId="850" priority="894">
      <formula>$E342&lt;12</formula>
    </cfRule>
    <cfRule type="expression" dxfId="849" priority="895">
      <formula>$E342=18</formula>
    </cfRule>
    <cfRule type="expression" dxfId="848" priority="896">
      <formula>$E342=17</formula>
    </cfRule>
    <cfRule type="expression" dxfId="847" priority="897">
      <formula>$E342=16</formula>
    </cfRule>
    <cfRule type="expression" dxfId="846" priority="898">
      <formula>$E342=15</formula>
    </cfRule>
    <cfRule type="expression" dxfId="845" priority="899">
      <formula>$E342=14</formula>
    </cfRule>
    <cfRule type="expression" dxfId="844" priority="900">
      <formula>$E342=13</formula>
    </cfRule>
    <cfRule type="expression" dxfId="843" priority="901">
      <formula>$E342=12</formula>
    </cfRule>
  </conditionalFormatting>
  <conditionalFormatting sqref="A342:J353">
    <cfRule type="expression" dxfId="842" priority="885">
      <formula>$E342=10</formula>
    </cfRule>
    <cfRule type="expression" dxfId="841" priority="886">
      <formula>$E342=11</formula>
    </cfRule>
    <cfRule type="expression" dxfId="840" priority="887">
      <formula>$E342=18</formula>
    </cfRule>
    <cfRule type="expression" dxfId="839" priority="888">
      <formula>$E342=17</formula>
    </cfRule>
    <cfRule type="expression" dxfId="838" priority="889">
      <formula>$E342=16</formula>
    </cfRule>
    <cfRule type="expression" dxfId="837" priority="890">
      <formula>$E342=15</formula>
    </cfRule>
    <cfRule type="expression" dxfId="836" priority="891">
      <formula>$E342=14</formula>
    </cfRule>
    <cfRule type="expression" dxfId="835" priority="892">
      <formula>$E342=13</formula>
    </cfRule>
    <cfRule type="expression" dxfId="834" priority="893">
      <formula>$E342=12</formula>
    </cfRule>
  </conditionalFormatting>
  <conditionalFormatting sqref="A354:J354">
    <cfRule type="expression" dxfId="833" priority="809">
      <formula>$E354&lt;12</formula>
    </cfRule>
    <cfRule type="expression" dxfId="832" priority="810">
      <formula>$E354=18</formula>
    </cfRule>
    <cfRule type="expression" dxfId="831" priority="811">
      <formula>$E354=17</formula>
    </cfRule>
    <cfRule type="expression" dxfId="830" priority="812">
      <formula>$E354=16</formula>
    </cfRule>
    <cfRule type="expression" dxfId="829" priority="813">
      <formula>$E354=15</formula>
    </cfRule>
    <cfRule type="expression" dxfId="828" priority="814">
      <formula>$E354=14</formula>
    </cfRule>
    <cfRule type="expression" dxfId="827" priority="815">
      <formula>$E354=13</formula>
    </cfRule>
    <cfRule type="expression" dxfId="826" priority="816">
      <formula>$E354=12</formula>
    </cfRule>
  </conditionalFormatting>
  <conditionalFormatting sqref="A354:J354">
    <cfRule type="expression" dxfId="825" priority="800">
      <formula>$E354=10</formula>
    </cfRule>
    <cfRule type="expression" dxfId="824" priority="801">
      <formula>$E354=11</formula>
    </cfRule>
    <cfRule type="expression" dxfId="823" priority="802">
      <formula>$E354=18</formula>
    </cfRule>
    <cfRule type="expression" dxfId="822" priority="803">
      <formula>$E354=17</formula>
    </cfRule>
    <cfRule type="expression" dxfId="821" priority="804">
      <formula>$E354=16</formula>
    </cfRule>
    <cfRule type="expression" dxfId="820" priority="805">
      <formula>$E354=15</formula>
    </cfRule>
    <cfRule type="expression" dxfId="819" priority="806">
      <formula>$E354=14</formula>
    </cfRule>
    <cfRule type="expression" dxfId="818" priority="807">
      <formula>$E354=13</formula>
    </cfRule>
    <cfRule type="expression" dxfId="817" priority="808">
      <formula>$E354=12</formula>
    </cfRule>
  </conditionalFormatting>
  <conditionalFormatting sqref="M354:N354">
    <cfRule type="expression" dxfId="816" priority="792">
      <formula>$E354&lt;12</formula>
    </cfRule>
    <cfRule type="expression" dxfId="815" priority="793">
      <formula>$E354=18</formula>
    </cfRule>
    <cfRule type="expression" dxfId="814" priority="794">
      <formula>$E354=17</formula>
    </cfRule>
    <cfRule type="expression" dxfId="813" priority="795">
      <formula>$E354=16</formula>
    </cfRule>
    <cfRule type="expression" dxfId="812" priority="796">
      <formula>$E354=15</formula>
    </cfRule>
    <cfRule type="expression" dxfId="811" priority="797">
      <formula>$E354=14</formula>
    </cfRule>
    <cfRule type="expression" dxfId="810" priority="798">
      <formula>$E354=13</formula>
    </cfRule>
    <cfRule type="expression" dxfId="809" priority="799">
      <formula>$E354=12</formula>
    </cfRule>
  </conditionalFormatting>
  <conditionalFormatting sqref="M354:N354">
    <cfRule type="expression" dxfId="808" priority="783">
      <formula>$E354=10</formula>
    </cfRule>
    <cfRule type="expression" dxfId="807" priority="784">
      <formula>$E354=11</formula>
    </cfRule>
    <cfRule type="expression" dxfId="806" priority="785">
      <formula>$E354=18</formula>
    </cfRule>
    <cfRule type="expression" dxfId="805" priority="786">
      <formula>$E354=17</formula>
    </cfRule>
    <cfRule type="expression" dxfId="804" priority="787">
      <formula>$E354=16</formula>
    </cfRule>
    <cfRule type="expression" dxfId="803" priority="788">
      <formula>$E354=15</formula>
    </cfRule>
    <cfRule type="expression" dxfId="802" priority="789">
      <formula>$E354=14</formula>
    </cfRule>
    <cfRule type="expression" dxfId="801" priority="790">
      <formula>$E354=13</formula>
    </cfRule>
    <cfRule type="expression" dxfId="800" priority="791">
      <formula>$E354=12</formula>
    </cfRule>
  </conditionalFormatting>
  <conditionalFormatting sqref="L354">
    <cfRule type="expression" dxfId="799" priority="775">
      <formula>$E354&lt;12</formula>
    </cfRule>
    <cfRule type="expression" dxfId="798" priority="776">
      <formula>$E354=18</formula>
    </cfRule>
    <cfRule type="expression" dxfId="797" priority="777">
      <formula>$E354=17</formula>
    </cfRule>
    <cfRule type="expression" dxfId="796" priority="778">
      <formula>$E354=16</formula>
    </cfRule>
    <cfRule type="expression" dxfId="795" priority="779">
      <formula>$E354=15</formula>
    </cfRule>
    <cfRule type="expression" dxfId="794" priority="780">
      <formula>$E354=14</formula>
    </cfRule>
    <cfRule type="expression" dxfId="793" priority="781">
      <formula>$E354=13</formula>
    </cfRule>
    <cfRule type="expression" dxfId="792" priority="782">
      <formula>$E354=12</formula>
    </cfRule>
  </conditionalFormatting>
  <conditionalFormatting sqref="L354">
    <cfRule type="expression" dxfId="791" priority="766">
      <formula>$E354=10</formula>
    </cfRule>
    <cfRule type="expression" dxfId="790" priority="767">
      <formula>$E354=11</formula>
    </cfRule>
    <cfRule type="expression" dxfId="789" priority="768">
      <formula>$E354=18</formula>
    </cfRule>
    <cfRule type="expression" dxfId="788" priority="769">
      <formula>$E354=17</formula>
    </cfRule>
    <cfRule type="expression" dxfId="787" priority="770">
      <formula>$E354=16</formula>
    </cfRule>
    <cfRule type="expression" dxfId="786" priority="771">
      <formula>$E354=15</formula>
    </cfRule>
    <cfRule type="expression" dxfId="785" priority="772">
      <formula>$E354=14</formula>
    </cfRule>
    <cfRule type="expression" dxfId="784" priority="773">
      <formula>$E354=13</formula>
    </cfRule>
    <cfRule type="expression" dxfId="783" priority="774">
      <formula>$E354=12</formula>
    </cfRule>
  </conditionalFormatting>
  <conditionalFormatting sqref="L147">
    <cfRule type="expression" dxfId="782" priority="826">
      <formula>$E147&lt;12</formula>
    </cfRule>
    <cfRule type="expression" dxfId="781" priority="827">
      <formula>$E147=18</formula>
    </cfRule>
    <cfRule type="expression" dxfId="780" priority="828">
      <formula>$E147=17</formula>
    </cfRule>
    <cfRule type="expression" dxfId="779" priority="829">
      <formula>$E147=16</formula>
    </cfRule>
    <cfRule type="expression" dxfId="778" priority="830">
      <formula>$E147=15</formula>
    </cfRule>
    <cfRule type="expression" dxfId="777" priority="831">
      <formula>$E147=14</formula>
    </cfRule>
    <cfRule type="expression" dxfId="776" priority="832">
      <formula>$E147=13</formula>
    </cfRule>
    <cfRule type="expression" dxfId="775" priority="833">
      <formula>$E147=12</formula>
    </cfRule>
  </conditionalFormatting>
  <conditionalFormatting sqref="L147">
    <cfRule type="expression" dxfId="774" priority="817">
      <formula>$E147=10</formula>
    </cfRule>
    <cfRule type="expression" dxfId="773" priority="818">
      <formula>$E147=11</formula>
    </cfRule>
    <cfRule type="expression" dxfId="772" priority="819">
      <formula>$E147=18</formula>
    </cfRule>
    <cfRule type="expression" dxfId="771" priority="820">
      <formula>$E147=17</formula>
    </cfRule>
    <cfRule type="expression" dxfId="770" priority="821">
      <formula>$E147=16</formula>
    </cfRule>
    <cfRule type="expression" dxfId="769" priority="822">
      <formula>$E147=15</formula>
    </cfRule>
    <cfRule type="expression" dxfId="768" priority="823">
      <formula>$E147=14</formula>
    </cfRule>
    <cfRule type="expression" dxfId="767" priority="824">
      <formula>$E147=13</formula>
    </cfRule>
    <cfRule type="expression" dxfId="766" priority="825">
      <formula>$E147=12</formula>
    </cfRule>
  </conditionalFormatting>
  <conditionalFormatting sqref="K354">
    <cfRule type="expression" dxfId="765" priority="758">
      <formula>$E354&lt;12</formula>
    </cfRule>
    <cfRule type="expression" dxfId="764" priority="759">
      <formula>$E354=18</formula>
    </cfRule>
    <cfRule type="expression" dxfId="763" priority="760">
      <formula>$E354=17</formula>
    </cfRule>
    <cfRule type="expression" dxfId="762" priority="761">
      <formula>$E354=16</formula>
    </cfRule>
    <cfRule type="expression" dxfId="761" priority="762">
      <formula>$E354=15</formula>
    </cfRule>
    <cfRule type="expression" dxfId="760" priority="763">
      <formula>$E354=14</formula>
    </cfRule>
    <cfRule type="expression" dxfId="759" priority="764">
      <formula>$E354=13</formula>
    </cfRule>
    <cfRule type="expression" dxfId="758" priority="765">
      <formula>$E354=12</formula>
    </cfRule>
  </conditionalFormatting>
  <conditionalFormatting sqref="K354">
    <cfRule type="expression" dxfId="757" priority="749">
      <formula>$E354=10</formula>
    </cfRule>
    <cfRule type="expression" dxfId="756" priority="750">
      <formula>$E354=11</formula>
    </cfRule>
    <cfRule type="expression" dxfId="755" priority="751">
      <formula>$E354=18</formula>
    </cfRule>
    <cfRule type="expression" dxfId="754" priority="752">
      <formula>$E354=17</formula>
    </cfRule>
    <cfRule type="expression" dxfId="753" priority="753">
      <formula>$E354=16</formula>
    </cfRule>
    <cfRule type="expression" dxfId="752" priority="754">
      <formula>$E354=15</formula>
    </cfRule>
    <cfRule type="expression" dxfId="751" priority="755">
      <formula>$E354=14</formula>
    </cfRule>
    <cfRule type="expression" dxfId="750" priority="756">
      <formula>$E354=13</formula>
    </cfRule>
    <cfRule type="expression" dxfId="749" priority="757">
      <formula>$E354=12</formula>
    </cfRule>
  </conditionalFormatting>
  <conditionalFormatting sqref="A356:J358">
    <cfRule type="expression" dxfId="748" priority="741">
      <formula>$E356&lt;12</formula>
    </cfRule>
    <cfRule type="expression" dxfId="747" priority="742">
      <formula>$E356=18</formula>
    </cfRule>
    <cfRule type="expression" dxfId="746" priority="743">
      <formula>$E356=17</formula>
    </cfRule>
    <cfRule type="expression" dxfId="745" priority="744">
      <formula>$E356=16</formula>
    </cfRule>
    <cfRule type="expression" dxfId="744" priority="745">
      <formula>$E356=15</formula>
    </cfRule>
    <cfRule type="expression" dxfId="743" priority="746">
      <formula>$E356=14</formula>
    </cfRule>
    <cfRule type="expression" dxfId="742" priority="747">
      <formula>$E356=13</formula>
    </cfRule>
    <cfRule type="expression" dxfId="741" priority="748">
      <formula>$E356=12</formula>
    </cfRule>
  </conditionalFormatting>
  <conditionalFormatting sqref="A356:J358">
    <cfRule type="expression" dxfId="740" priority="732">
      <formula>$E356=10</formula>
    </cfRule>
    <cfRule type="expression" dxfId="739" priority="733">
      <formula>$E356=11</formula>
    </cfRule>
    <cfRule type="expression" dxfId="738" priority="734">
      <formula>$E356=18</formula>
    </cfRule>
    <cfRule type="expression" dxfId="737" priority="735">
      <formula>$E356=17</formula>
    </cfRule>
    <cfRule type="expression" dxfId="736" priority="736">
      <formula>$E356=16</formula>
    </cfRule>
    <cfRule type="expression" dxfId="735" priority="737">
      <formula>$E356=15</formula>
    </cfRule>
    <cfRule type="expression" dxfId="734" priority="738">
      <formula>$E356=14</formula>
    </cfRule>
    <cfRule type="expression" dxfId="733" priority="739">
      <formula>$E356=13</formula>
    </cfRule>
    <cfRule type="expression" dxfId="732" priority="740">
      <formula>$E356=12</formula>
    </cfRule>
  </conditionalFormatting>
  <conditionalFormatting sqref="M356:N358">
    <cfRule type="expression" dxfId="731" priority="724">
      <formula>$E356&lt;12</formula>
    </cfRule>
    <cfRule type="expression" dxfId="730" priority="725">
      <formula>$E356=18</formula>
    </cfRule>
    <cfRule type="expression" dxfId="729" priority="726">
      <formula>$E356=17</formula>
    </cfRule>
    <cfRule type="expression" dxfId="728" priority="727">
      <formula>$E356=16</formula>
    </cfRule>
    <cfRule type="expression" dxfId="727" priority="728">
      <formula>$E356=15</formula>
    </cfRule>
    <cfRule type="expression" dxfId="726" priority="729">
      <formula>$E356=14</formula>
    </cfRule>
    <cfRule type="expression" dxfId="725" priority="730">
      <formula>$E356=13</formula>
    </cfRule>
    <cfRule type="expression" dxfId="724" priority="731">
      <formula>$E356=12</formula>
    </cfRule>
  </conditionalFormatting>
  <conditionalFormatting sqref="M356:N358">
    <cfRule type="expression" dxfId="723" priority="715">
      <formula>$E356=10</formula>
    </cfRule>
    <cfRule type="expression" dxfId="722" priority="716">
      <formula>$E356=11</formula>
    </cfRule>
    <cfRule type="expression" dxfId="721" priority="717">
      <formula>$E356=18</formula>
    </cfRule>
    <cfRule type="expression" dxfId="720" priority="718">
      <formula>$E356=17</formula>
    </cfRule>
    <cfRule type="expression" dxfId="719" priority="719">
      <formula>$E356=16</formula>
    </cfRule>
    <cfRule type="expression" dxfId="718" priority="720">
      <formula>$E356=15</formula>
    </cfRule>
    <cfRule type="expression" dxfId="717" priority="721">
      <formula>$E356=14</formula>
    </cfRule>
    <cfRule type="expression" dxfId="716" priority="722">
      <formula>$E356=13</formula>
    </cfRule>
    <cfRule type="expression" dxfId="715" priority="723">
      <formula>$E356=12</formula>
    </cfRule>
  </conditionalFormatting>
  <conditionalFormatting sqref="L356:L358">
    <cfRule type="expression" dxfId="714" priority="707">
      <formula>$E356&lt;12</formula>
    </cfRule>
    <cfRule type="expression" dxfId="713" priority="708">
      <formula>$E356=18</formula>
    </cfRule>
    <cfRule type="expression" dxfId="712" priority="709">
      <formula>$E356=17</formula>
    </cfRule>
    <cfRule type="expression" dxfId="711" priority="710">
      <formula>$E356=16</formula>
    </cfRule>
    <cfRule type="expression" dxfId="710" priority="711">
      <formula>$E356=15</formula>
    </cfRule>
    <cfRule type="expression" dxfId="709" priority="712">
      <formula>$E356=14</formula>
    </cfRule>
    <cfRule type="expression" dxfId="708" priority="713">
      <formula>$E356=13</formula>
    </cfRule>
    <cfRule type="expression" dxfId="707" priority="714">
      <formula>$E356=12</formula>
    </cfRule>
  </conditionalFormatting>
  <conditionalFormatting sqref="L356:L358">
    <cfRule type="expression" dxfId="706" priority="698">
      <formula>$E356=10</formula>
    </cfRule>
    <cfRule type="expression" dxfId="705" priority="699">
      <formula>$E356=11</formula>
    </cfRule>
    <cfRule type="expression" dxfId="704" priority="700">
      <formula>$E356=18</formula>
    </cfRule>
    <cfRule type="expression" dxfId="703" priority="701">
      <formula>$E356=17</formula>
    </cfRule>
    <cfRule type="expression" dxfId="702" priority="702">
      <formula>$E356=16</formula>
    </cfRule>
    <cfRule type="expression" dxfId="701" priority="703">
      <formula>$E356=15</formula>
    </cfRule>
    <cfRule type="expression" dxfId="700" priority="704">
      <formula>$E356=14</formula>
    </cfRule>
    <cfRule type="expression" dxfId="699" priority="705">
      <formula>$E356=13</formula>
    </cfRule>
    <cfRule type="expression" dxfId="698" priority="706">
      <formula>$E356=12</formula>
    </cfRule>
  </conditionalFormatting>
  <conditionalFormatting sqref="K356:K358">
    <cfRule type="expression" dxfId="697" priority="690">
      <formula>$E356&lt;12</formula>
    </cfRule>
    <cfRule type="expression" dxfId="696" priority="691">
      <formula>$E356=18</formula>
    </cfRule>
    <cfRule type="expression" dxfId="695" priority="692">
      <formula>$E356=17</formula>
    </cfRule>
    <cfRule type="expression" dxfId="694" priority="693">
      <formula>$E356=16</formula>
    </cfRule>
    <cfRule type="expression" dxfId="693" priority="694">
      <formula>$E356=15</formula>
    </cfRule>
    <cfRule type="expression" dxfId="692" priority="695">
      <formula>$E356=14</formula>
    </cfRule>
    <cfRule type="expression" dxfId="691" priority="696">
      <formula>$E356=13</formula>
    </cfRule>
    <cfRule type="expression" dxfId="690" priority="697">
      <formula>$E356=12</formula>
    </cfRule>
  </conditionalFormatting>
  <conditionalFormatting sqref="K356:K358">
    <cfRule type="expression" dxfId="689" priority="681">
      <formula>$E356=10</formula>
    </cfRule>
    <cfRule type="expression" dxfId="688" priority="682">
      <formula>$E356=11</formula>
    </cfRule>
    <cfRule type="expression" dxfId="687" priority="683">
      <formula>$E356=18</formula>
    </cfRule>
    <cfRule type="expression" dxfId="686" priority="684">
      <formula>$E356=17</formula>
    </cfRule>
    <cfRule type="expression" dxfId="685" priority="685">
      <formula>$E356=16</formula>
    </cfRule>
    <cfRule type="expression" dxfId="684" priority="686">
      <formula>$E356=15</formula>
    </cfRule>
    <cfRule type="expression" dxfId="683" priority="687">
      <formula>$E356=14</formula>
    </cfRule>
    <cfRule type="expression" dxfId="682" priority="688">
      <formula>$E356=13</formula>
    </cfRule>
    <cfRule type="expression" dxfId="681" priority="689">
      <formula>$E356=12</formula>
    </cfRule>
  </conditionalFormatting>
  <conditionalFormatting sqref="G1:I1">
    <cfRule type="containsText" dxfId="680" priority="1191" operator="containsText" text="CSRA">
      <formula>NOT(ISERROR(SEARCH("CSRA",G1)))</formula>
    </cfRule>
  </conditionalFormatting>
  <conditionalFormatting sqref="A360:B363 G360:J363">
    <cfRule type="expression" dxfId="679" priority="673">
      <formula>$E360&lt;12</formula>
    </cfRule>
    <cfRule type="expression" dxfId="678" priority="674">
      <formula>$E360=18</formula>
    </cfRule>
    <cfRule type="expression" dxfId="677" priority="675">
      <formula>$E360=17</formula>
    </cfRule>
    <cfRule type="expression" dxfId="676" priority="676">
      <formula>$E360=16</formula>
    </cfRule>
    <cfRule type="expression" dxfId="675" priority="677">
      <formula>$E360=15</formula>
    </cfRule>
    <cfRule type="expression" dxfId="674" priority="678">
      <formula>$E360=14</formula>
    </cfRule>
    <cfRule type="expression" dxfId="673" priority="679">
      <formula>$E360=13</formula>
    </cfRule>
    <cfRule type="expression" dxfId="672" priority="680">
      <formula>$E360=12</formula>
    </cfRule>
  </conditionalFormatting>
  <conditionalFormatting sqref="A360:B363 G360:J363">
    <cfRule type="expression" dxfId="671" priority="664">
      <formula>$E360=10</formula>
    </cfRule>
    <cfRule type="expression" dxfId="670" priority="665">
      <formula>$E360=11</formula>
    </cfRule>
    <cfRule type="expression" dxfId="669" priority="666">
      <formula>$E360=18</formula>
    </cfRule>
    <cfRule type="expression" dxfId="668" priority="667">
      <formula>$E360=17</formula>
    </cfRule>
    <cfRule type="expression" dxfId="667" priority="668">
      <formula>$E360=16</formula>
    </cfRule>
    <cfRule type="expression" dxfId="666" priority="669">
      <formula>$E360=15</formula>
    </cfRule>
    <cfRule type="expression" dxfId="665" priority="670">
      <formula>$E360=14</formula>
    </cfRule>
    <cfRule type="expression" dxfId="664" priority="671">
      <formula>$E360=13</formula>
    </cfRule>
    <cfRule type="expression" dxfId="663" priority="672">
      <formula>$E360=12</formula>
    </cfRule>
  </conditionalFormatting>
  <conditionalFormatting sqref="M360:N363">
    <cfRule type="expression" dxfId="662" priority="656">
      <formula>$E360&lt;12</formula>
    </cfRule>
    <cfRule type="expression" dxfId="661" priority="657">
      <formula>$E360=18</formula>
    </cfRule>
    <cfRule type="expression" dxfId="660" priority="658">
      <formula>$E360=17</formula>
    </cfRule>
    <cfRule type="expression" dxfId="659" priority="659">
      <formula>$E360=16</formula>
    </cfRule>
    <cfRule type="expression" dxfId="658" priority="660">
      <formula>$E360=15</formula>
    </cfRule>
    <cfRule type="expression" dxfId="657" priority="661">
      <formula>$E360=14</formula>
    </cfRule>
    <cfRule type="expression" dxfId="656" priority="662">
      <formula>$E360=13</formula>
    </cfRule>
    <cfRule type="expression" dxfId="655" priority="663">
      <formula>$E360=12</formula>
    </cfRule>
  </conditionalFormatting>
  <conditionalFormatting sqref="M360:N363">
    <cfRule type="expression" dxfId="654" priority="647">
      <formula>$E360=10</formula>
    </cfRule>
    <cfRule type="expression" dxfId="653" priority="648">
      <formula>$E360=11</formula>
    </cfRule>
    <cfRule type="expression" dxfId="652" priority="649">
      <formula>$E360=18</formula>
    </cfRule>
    <cfRule type="expression" dxfId="651" priority="650">
      <formula>$E360=17</formula>
    </cfRule>
    <cfRule type="expression" dxfId="650" priority="651">
      <formula>$E360=16</formula>
    </cfRule>
    <cfRule type="expression" dxfId="649" priority="652">
      <formula>$E360=15</formula>
    </cfRule>
    <cfRule type="expression" dxfId="648" priority="653">
      <formula>$E360=14</formula>
    </cfRule>
    <cfRule type="expression" dxfId="647" priority="654">
      <formula>$E360=13</formula>
    </cfRule>
    <cfRule type="expression" dxfId="646" priority="655">
      <formula>$E360=12</formula>
    </cfRule>
  </conditionalFormatting>
  <conditionalFormatting sqref="L360:L363">
    <cfRule type="expression" dxfId="645" priority="639">
      <formula>$E360&lt;12</formula>
    </cfRule>
    <cfRule type="expression" dxfId="644" priority="640">
      <formula>$E360=18</formula>
    </cfRule>
    <cfRule type="expression" dxfId="643" priority="641">
      <formula>$E360=17</formula>
    </cfRule>
    <cfRule type="expression" dxfId="642" priority="642">
      <formula>$E360=16</formula>
    </cfRule>
    <cfRule type="expression" dxfId="641" priority="643">
      <formula>$E360=15</formula>
    </cfRule>
    <cfRule type="expression" dxfId="640" priority="644">
      <formula>$E360=14</formula>
    </cfRule>
    <cfRule type="expression" dxfId="639" priority="645">
      <formula>$E360=13</formula>
    </cfRule>
    <cfRule type="expression" dxfId="638" priority="646">
      <formula>$E360=12</formula>
    </cfRule>
  </conditionalFormatting>
  <conditionalFormatting sqref="L360:L363">
    <cfRule type="expression" dxfId="637" priority="630">
      <formula>$E360=10</formula>
    </cfRule>
    <cfRule type="expression" dxfId="636" priority="631">
      <formula>$E360=11</formula>
    </cfRule>
    <cfRule type="expression" dxfId="635" priority="632">
      <formula>$E360=18</formula>
    </cfRule>
    <cfRule type="expression" dxfId="634" priority="633">
      <formula>$E360=17</formula>
    </cfRule>
    <cfRule type="expression" dxfId="633" priority="634">
      <formula>$E360=16</formula>
    </cfRule>
    <cfRule type="expression" dxfId="632" priority="635">
      <formula>$E360=15</formula>
    </cfRule>
    <cfRule type="expression" dxfId="631" priority="636">
      <formula>$E360=14</formula>
    </cfRule>
    <cfRule type="expression" dxfId="630" priority="637">
      <formula>$E360=13</formula>
    </cfRule>
    <cfRule type="expression" dxfId="629" priority="638">
      <formula>$E360=12</formula>
    </cfRule>
  </conditionalFormatting>
  <conditionalFormatting sqref="K360:K363">
    <cfRule type="expression" dxfId="628" priority="622">
      <formula>$E360&lt;12</formula>
    </cfRule>
    <cfRule type="expression" dxfId="627" priority="623">
      <formula>$E360=18</formula>
    </cfRule>
    <cfRule type="expression" dxfId="626" priority="624">
      <formula>$E360=17</formula>
    </cfRule>
    <cfRule type="expression" dxfId="625" priority="625">
      <formula>$E360=16</formula>
    </cfRule>
    <cfRule type="expression" dxfId="624" priority="626">
      <formula>$E360=15</formula>
    </cfRule>
    <cfRule type="expression" dxfId="623" priority="627">
      <formula>$E360=14</formula>
    </cfRule>
    <cfRule type="expression" dxfId="622" priority="628">
      <formula>$E360=13</formula>
    </cfRule>
    <cfRule type="expression" dxfId="621" priority="629">
      <formula>$E360=12</formula>
    </cfRule>
  </conditionalFormatting>
  <conditionalFormatting sqref="K360:K363">
    <cfRule type="expression" dxfId="620" priority="613">
      <formula>$E360=10</formula>
    </cfRule>
    <cfRule type="expression" dxfId="619" priority="614">
      <formula>$E360=11</formula>
    </cfRule>
    <cfRule type="expression" dxfId="618" priority="615">
      <formula>$E360=18</formula>
    </cfRule>
    <cfRule type="expression" dxfId="617" priority="616">
      <formula>$E360=17</formula>
    </cfRule>
    <cfRule type="expression" dxfId="616" priority="617">
      <formula>$E360=16</formula>
    </cfRule>
    <cfRule type="expression" dxfId="615" priority="618">
      <formula>$E360=15</formula>
    </cfRule>
    <cfRule type="expression" dxfId="614" priority="619">
      <formula>$E360=14</formula>
    </cfRule>
    <cfRule type="expression" dxfId="613" priority="620">
      <formula>$E360=13</formula>
    </cfRule>
    <cfRule type="expression" dxfId="612" priority="621">
      <formula>$E360=12</formula>
    </cfRule>
  </conditionalFormatting>
  <conditionalFormatting sqref="C360:F363">
    <cfRule type="expression" dxfId="611" priority="605">
      <formula>$E360&lt;12</formula>
    </cfRule>
    <cfRule type="expression" dxfId="610" priority="606">
      <formula>$E360=18</formula>
    </cfRule>
    <cfRule type="expression" dxfId="609" priority="607">
      <formula>$E360=17</formula>
    </cfRule>
    <cfRule type="expression" dxfId="608" priority="608">
      <formula>$E360=16</formula>
    </cfRule>
    <cfRule type="expression" dxfId="607" priority="609">
      <formula>$E360=15</formula>
    </cfRule>
    <cfRule type="expression" dxfId="606" priority="610">
      <formula>$E360=14</formula>
    </cfRule>
    <cfRule type="expression" dxfId="605" priority="611">
      <formula>$E360=13</formula>
    </cfRule>
    <cfRule type="expression" dxfId="604" priority="612">
      <formula>$E360=12</formula>
    </cfRule>
  </conditionalFormatting>
  <conditionalFormatting sqref="C360:F363">
    <cfRule type="expression" dxfId="603" priority="596">
      <formula>$E360=10</formula>
    </cfRule>
    <cfRule type="expression" dxfId="602" priority="597">
      <formula>$E360=11</formula>
    </cfRule>
    <cfRule type="expression" dxfId="601" priority="598">
      <formula>$E360=18</formula>
    </cfRule>
    <cfRule type="expression" dxfId="600" priority="599">
      <formula>$E360=17</formula>
    </cfRule>
    <cfRule type="expression" dxfId="599" priority="600">
      <formula>$E360=16</formula>
    </cfRule>
    <cfRule type="expression" dxfId="598" priority="601">
      <formula>$E360=15</formula>
    </cfRule>
    <cfRule type="expression" dxfId="597" priority="602">
      <formula>$E360=14</formula>
    </cfRule>
    <cfRule type="expression" dxfId="596" priority="603">
      <formula>$E360=13</formula>
    </cfRule>
    <cfRule type="expression" dxfId="595" priority="604">
      <formula>$E360=12</formula>
    </cfRule>
  </conditionalFormatting>
  <conditionalFormatting sqref="A364:B383 G364:J383">
    <cfRule type="expression" dxfId="594" priority="588">
      <formula>$E364&lt;12</formula>
    </cfRule>
    <cfRule type="expression" dxfId="593" priority="589">
      <formula>$E364=18</formula>
    </cfRule>
    <cfRule type="expression" dxfId="592" priority="590">
      <formula>$E364=17</formula>
    </cfRule>
    <cfRule type="expression" dxfId="591" priority="591">
      <formula>$E364=16</formula>
    </cfRule>
    <cfRule type="expression" dxfId="590" priority="592">
      <formula>$E364=15</formula>
    </cfRule>
    <cfRule type="expression" dxfId="589" priority="593">
      <formula>$E364=14</formula>
    </cfRule>
    <cfRule type="expression" dxfId="588" priority="594">
      <formula>$E364=13</formula>
    </cfRule>
    <cfRule type="expression" dxfId="587" priority="595">
      <formula>$E364=12</formula>
    </cfRule>
  </conditionalFormatting>
  <conditionalFormatting sqref="A364:B383 G364:J383">
    <cfRule type="expression" dxfId="586" priority="579">
      <formula>$E364=10</formula>
    </cfRule>
    <cfRule type="expression" dxfId="585" priority="580">
      <formula>$E364=11</formula>
    </cfRule>
    <cfRule type="expression" dxfId="584" priority="581">
      <formula>$E364=18</formula>
    </cfRule>
    <cfRule type="expression" dxfId="583" priority="582">
      <formula>$E364=17</formula>
    </cfRule>
    <cfRule type="expression" dxfId="582" priority="583">
      <formula>$E364=16</formula>
    </cfRule>
    <cfRule type="expression" dxfId="581" priority="584">
      <formula>$E364=15</formula>
    </cfRule>
    <cfRule type="expression" dxfId="580" priority="585">
      <formula>$E364=14</formula>
    </cfRule>
    <cfRule type="expression" dxfId="579" priority="586">
      <formula>$E364=13</formula>
    </cfRule>
    <cfRule type="expression" dxfId="578" priority="587">
      <formula>$E364=12</formula>
    </cfRule>
  </conditionalFormatting>
  <conditionalFormatting sqref="M364:N383">
    <cfRule type="expression" dxfId="577" priority="571">
      <formula>$E364&lt;12</formula>
    </cfRule>
    <cfRule type="expression" dxfId="576" priority="572">
      <formula>$E364=18</formula>
    </cfRule>
    <cfRule type="expression" dxfId="575" priority="573">
      <formula>$E364=17</formula>
    </cfRule>
    <cfRule type="expression" dxfId="574" priority="574">
      <formula>$E364=16</formula>
    </cfRule>
    <cfRule type="expression" dxfId="573" priority="575">
      <formula>$E364=15</formula>
    </cfRule>
    <cfRule type="expression" dxfId="572" priority="576">
      <formula>$E364=14</formula>
    </cfRule>
    <cfRule type="expression" dxfId="571" priority="577">
      <formula>$E364=13</formula>
    </cfRule>
    <cfRule type="expression" dxfId="570" priority="578">
      <formula>$E364=12</formula>
    </cfRule>
  </conditionalFormatting>
  <conditionalFormatting sqref="M364:N383">
    <cfRule type="expression" dxfId="569" priority="562">
      <formula>$E364=10</formula>
    </cfRule>
    <cfRule type="expression" dxfId="568" priority="563">
      <formula>$E364=11</formula>
    </cfRule>
    <cfRule type="expression" dxfId="567" priority="564">
      <formula>$E364=18</formula>
    </cfRule>
    <cfRule type="expression" dxfId="566" priority="565">
      <formula>$E364=17</formula>
    </cfRule>
    <cfRule type="expression" dxfId="565" priority="566">
      <formula>$E364=16</formula>
    </cfRule>
    <cfRule type="expression" dxfId="564" priority="567">
      <formula>$E364=15</formula>
    </cfRule>
    <cfRule type="expression" dxfId="563" priority="568">
      <formula>$E364=14</formula>
    </cfRule>
    <cfRule type="expression" dxfId="562" priority="569">
      <formula>$E364=13</formula>
    </cfRule>
    <cfRule type="expression" dxfId="561" priority="570">
      <formula>$E364=12</formula>
    </cfRule>
  </conditionalFormatting>
  <conditionalFormatting sqref="L364:L383">
    <cfRule type="expression" dxfId="560" priority="554">
      <formula>$E364&lt;12</formula>
    </cfRule>
    <cfRule type="expression" dxfId="559" priority="555">
      <formula>$E364=18</formula>
    </cfRule>
    <cfRule type="expression" dxfId="558" priority="556">
      <formula>$E364=17</formula>
    </cfRule>
    <cfRule type="expression" dxfId="557" priority="557">
      <formula>$E364=16</formula>
    </cfRule>
    <cfRule type="expression" dxfId="556" priority="558">
      <formula>$E364=15</formula>
    </cfRule>
    <cfRule type="expression" dxfId="555" priority="559">
      <formula>$E364=14</formula>
    </cfRule>
    <cfRule type="expression" dxfId="554" priority="560">
      <formula>$E364=13</formula>
    </cfRule>
    <cfRule type="expression" dxfId="553" priority="561">
      <formula>$E364=12</formula>
    </cfRule>
  </conditionalFormatting>
  <conditionalFormatting sqref="L364:L383">
    <cfRule type="expression" dxfId="552" priority="545">
      <formula>$E364=10</formula>
    </cfRule>
    <cfRule type="expression" dxfId="551" priority="546">
      <formula>$E364=11</formula>
    </cfRule>
    <cfRule type="expression" dxfId="550" priority="547">
      <formula>$E364=18</formula>
    </cfRule>
    <cfRule type="expression" dxfId="549" priority="548">
      <formula>$E364=17</formula>
    </cfRule>
    <cfRule type="expression" dxfId="548" priority="549">
      <formula>$E364=16</formula>
    </cfRule>
    <cfRule type="expression" dxfId="547" priority="550">
      <formula>$E364=15</formula>
    </cfRule>
    <cfRule type="expression" dxfId="546" priority="551">
      <formula>$E364=14</formula>
    </cfRule>
    <cfRule type="expression" dxfId="545" priority="552">
      <formula>$E364=13</formula>
    </cfRule>
    <cfRule type="expression" dxfId="544" priority="553">
      <formula>$E364=12</formula>
    </cfRule>
  </conditionalFormatting>
  <conditionalFormatting sqref="K364:K383">
    <cfRule type="expression" dxfId="543" priority="537">
      <formula>$E364&lt;12</formula>
    </cfRule>
    <cfRule type="expression" dxfId="542" priority="538">
      <formula>$E364=18</formula>
    </cfRule>
    <cfRule type="expression" dxfId="541" priority="539">
      <formula>$E364=17</formula>
    </cfRule>
    <cfRule type="expression" dxfId="540" priority="540">
      <formula>$E364=16</formula>
    </cfRule>
    <cfRule type="expression" dxfId="539" priority="541">
      <formula>$E364=15</formula>
    </cfRule>
    <cfRule type="expression" dxfId="538" priority="542">
      <formula>$E364=14</formula>
    </cfRule>
    <cfRule type="expression" dxfId="537" priority="543">
      <formula>$E364=13</formula>
    </cfRule>
    <cfRule type="expression" dxfId="536" priority="544">
      <formula>$E364=12</formula>
    </cfRule>
  </conditionalFormatting>
  <conditionalFormatting sqref="K364:K383">
    <cfRule type="expression" dxfId="535" priority="528">
      <formula>$E364=10</formula>
    </cfRule>
    <cfRule type="expression" dxfId="534" priority="529">
      <formula>$E364=11</formula>
    </cfRule>
    <cfRule type="expression" dxfId="533" priority="530">
      <formula>$E364=18</formula>
    </cfRule>
    <cfRule type="expression" dxfId="532" priority="531">
      <formula>$E364=17</formula>
    </cfRule>
    <cfRule type="expression" dxfId="531" priority="532">
      <formula>$E364=16</formula>
    </cfRule>
    <cfRule type="expression" dxfId="530" priority="533">
      <formula>$E364=15</formula>
    </cfRule>
    <cfRule type="expression" dxfId="529" priority="534">
      <formula>$E364=14</formula>
    </cfRule>
    <cfRule type="expression" dxfId="528" priority="535">
      <formula>$E364=13</formula>
    </cfRule>
    <cfRule type="expression" dxfId="527" priority="536">
      <formula>$E364=12</formula>
    </cfRule>
  </conditionalFormatting>
  <conditionalFormatting sqref="C364:F383">
    <cfRule type="expression" dxfId="526" priority="511">
      <formula>$E364=10</formula>
    </cfRule>
    <cfRule type="expression" dxfId="525" priority="512">
      <formula>$E364=11</formula>
    </cfRule>
    <cfRule type="expression" dxfId="524" priority="513">
      <formula>$E364=18</formula>
    </cfRule>
    <cfRule type="expression" dxfId="523" priority="514">
      <formula>$E364=17</formula>
    </cfRule>
    <cfRule type="expression" dxfId="522" priority="515">
      <formula>$E364=16</formula>
    </cfRule>
    <cfRule type="expression" dxfId="521" priority="516">
      <formula>$E364=15</formula>
    </cfRule>
    <cfRule type="expression" dxfId="520" priority="517">
      <formula>$E364=14</formula>
    </cfRule>
    <cfRule type="expression" dxfId="519" priority="518">
      <formula>$E364=13</formula>
    </cfRule>
    <cfRule type="expression" dxfId="518" priority="519">
      <formula>$E364=12</formula>
    </cfRule>
  </conditionalFormatting>
  <conditionalFormatting sqref="C364:F383">
    <cfRule type="expression" dxfId="517" priority="520">
      <formula>$E364&lt;12</formula>
    </cfRule>
    <cfRule type="expression" dxfId="516" priority="521">
      <formula>$E364=18</formula>
    </cfRule>
    <cfRule type="expression" dxfId="515" priority="522">
      <formula>$E364=17</formula>
    </cfRule>
    <cfRule type="expression" dxfId="514" priority="523">
      <formula>$E364=16</formula>
    </cfRule>
    <cfRule type="expression" dxfId="513" priority="524">
      <formula>$E364=15</formula>
    </cfRule>
    <cfRule type="expression" dxfId="512" priority="525">
      <formula>$E364=14</formula>
    </cfRule>
    <cfRule type="expression" dxfId="511" priority="526">
      <formula>$E364=13</formula>
    </cfRule>
    <cfRule type="expression" dxfId="510" priority="527">
      <formula>$E364=12</formula>
    </cfRule>
  </conditionalFormatting>
  <conditionalFormatting sqref="A387:B387 G387:J387">
    <cfRule type="expression" dxfId="509" priority="418">
      <formula>$E387&lt;12</formula>
    </cfRule>
    <cfRule type="expression" dxfId="508" priority="419">
      <formula>$E387=18</formula>
    </cfRule>
    <cfRule type="expression" dxfId="507" priority="420">
      <formula>$E387=17</formula>
    </cfRule>
    <cfRule type="expression" dxfId="506" priority="421">
      <formula>$E387=16</formula>
    </cfRule>
    <cfRule type="expression" dxfId="505" priority="422">
      <formula>$E387=15</formula>
    </cfRule>
    <cfRule type="expression" dxfId="504" priority="423">
      <formula>$E387=14</formula>
    </cfRule>
    <cfRule type="expression" dxfId="503" priority="424">
      <formula>$E387=13</formula>
    </cfRule>
    <cfRule type="expression" dxfId="502" priority="425">
      <formula>$E387=12</formula>
    </cfRule>
  </conditionalFormatting>
  <conditionalFormatting sqref="A387:B387 G387:J387">
    <cfRule type="expression" dxfId="501" priority="409">
      <formula>$E387=10</formula>
    </cfRule>
    <cfRule type="expression" dxfId="500" priority="410">
      <formula>$E387=11</formula>
    </cfRule>
    <cfRule type="expression" dxfId="499" priority="411">
      <formula>$E387=18</formula>
    </cfRule>
    <cfRule type="expression" dxfId="498" priority="412">
      <formula>$E387=17</formula>
    </cfRule>
    <cfRule type="expression" dxfId="497" priority="413">
      <formula>$E387=16</formula>
    </cfRule>
    <cfRule type="expression" dxfId="496" priority="414">
      <formula>$E387=15</formula>
    </cfRule>
    <cfRule type="expression" dxfId="495" priority="415">
      <formula>$E387=14</formula>
    </cfRule>
    <cfRule type="expression" dxfId="494" priority="416">
      <formula>$E387=13</formula>
    </cfRule>
    <cfRule type="expression" dxfId="493" priority="417">
      <formula>$E387=12</formula>
    </cfRule>
  </conditionalFormatting>
  <conditionalFormatting sqref="M387:N387">
    <cfRule type="expression" dxfId="492" priority="401">
      <formula>$E387&lt;12</formula>
    </cfRule>
    <cfRule type="expression" dxfId="491" priority="402">
      <formula>$E387=18</formula>
    </cfRule>
    <cfRule type="expression" dxfId="490" priority="403">
      <formula>$E387=17</formula>
    </cfRule>
    <cfRule type="expression" dxfId="489" priority="404">
      <formula>$E387=16</formula>
    </cfRule>
    <cfRule type="expression" dxfId="488" priority="405">
      <formula>$E387=15</formula>
    </cfRule>
    <cfRule type="expression" dxfId="487" priority="406">
      <formula>$E387=14</formula>
    </cfRule>
    <cfRule type="expression" dxfId="486" priority="407">
      <formula>$E387=13</formula>
    </cfRule>
    <cfRule type="expression" dxfId="485" priority="408">
      <formula>$E387=12</formula>
    </cfRule>
  </conditionalFormatting>
  <conditionalFormatting sqref="M387:N387">
    <cfRule type="expression" dxfId="484" priority="392">
      <formula>$E387=10</formula>
    </cfRule>
    <cfRule type="expression" dxfId="483" priority="393">
      <formula>$E387=11</formula>
    </cfRule>
    <cfRule type="expression" dxfId="482" priority="394">
      <formula>$E387=18</formula>
    </cfRule>
    <cfRule type="expression" dxfId="481" priority="395">
      <formula>$E387=17</formula>
    </cfRule>
    <cfRule type="expression" dxfId="480" priority="396">
      <formula>$E387=16</formula>
    </cfRule>
    <cfRule type="expression" dxfId="479" priority="397">
      <formula>$E387=15</formula>
    </cfRule>
    <cfRule type="expression" dxfId="478" priority="398">
      <formula>$E387=14</formula>
    </cfRule>
    <cfRule type="expression" dxfId="477" priority="399">
      <formula>$E387=13</formula>
    </cfRule>
    <cfRule type="expression" dxfId="476" priority="400">
      <formula>$E387=12</formula>
    </cfRule>
  </conditionalFormatting>
  <conditionalFormatting sqref="L387">
    <cfRule type="expression" dxfId="475" priority="384">
      <formula>$E387&lt;12</formula>
    </cfRule>
    <cfRule type="expression" dxfId="474" priority="385">
      <formula>$E387=18</formula>
    </cfRule>
    <cfRule type="expression" dxfId="473" priority="386">
      <formula>$E387=17</formula>
    </cfRule>
    <cfRule type="expression" dxfId="472" priority="387">
      <formula>$E387=16</formula>
    </cfRule>
    <cfRule type="expression" dxfId="471" priority="388">
      <formula>$E387=15</formula>
    </cfRule>
    <cfRule type="expression" dxfId="470" priority="389">
      <formula>$E387=14</formula>
    </cfRule>
    <cfRule type="expression" dxfId="469" priority="390">
      <formula>$E387=13</formula>
    </cfRule>
    <cfRule type="expression" dxfId="468" priority="391">
      <formula>$E387=12</formula>
    </cfRule>
  </conditionalFormatting>
  <conditionalFormatting sqref="L387">
    <cfRule type="expression" dxfId="467" priority="375">
      <formula>$E387=10</formula>
    </cfRule>
    <cfRule type="expression" dxfId="466" priority="376">
      <formula>$E387=11</formula>
    </cfRule>
    <cfRule type="expression" dxfId="465" priority="377">
      <formula>$E387=18</formula>
    </cfRule>
    <cfRule type="expression" dxfId="464" priority="378">
      <formula>$E387=17</formula>
    </cfRule>
    <cfRule type="expression" dxfId="463" priority="379">
      <formula>$E387=16</formula>
    </cfRule>
    <cfRule type="expression" dxfId="462" priority="380">
      <formula>$E387=15</formula>
    </cfRule>
    <cfRule type="expression" dxfId="461" priority="381">
      <formula>$E387=14</formula>
    </cfRule>
    <cfRule type="expression" dxfId="460" priority="382">
      <formula>$E387=13</formula>
    </cfRule>
    <cfRule type="expression" dxfId="459" priority="383">
      <formula>$E387=12</formula>
    </cfRule>
  </conditionalFormatting>
  <conditionalFormatting sqref="K387">
    <cfRule type="expression" dxfId="458" priority="367">
      <formula>$E387&lt;12</formula>
    </cfRule>
    <cfRule type="expression" dxfId="457" priority="368">
      <formula>$E387=18</formula>
    </cfRule>
    <cfRule type="expression" dxfId="456" priority="369">
      <formula>$E387=17</formula>
    </cfRule>
    <cfRule type="expression" dxfId="455" priority="370">
      <formula>$E387=16</formula>
    </cfRule>
    <cfRule type="expression" dxfId="454" priority="371">
      <formula>$E387=15</formula>
    </cfRule>
    <cfRule type="expression" dxfId="453" priority="372">
      <formula>$E387=14</formula>
    </cfRule>
    <cfRule type="expression" dxfId="452" priority="373">
      <formula>$E387=13</formula>
    </cfRule>
    <cfRule type="expression" dxfId="451" priority="374">
      <formula>$E387=12</formula>
    </cfRule>
  </conditionalFormatting>
  <conditionalFormatting sqref="K387">
    <cfRule type="expression" dxfId="450" priority="358">
      <formula>$E387=10</formula>
    </cfRule>
    <cfRule type="expression" dxfId="449" priority="359">
      <formula>$E387=11</formula>
    </cfRule>
    <cfRule type="expression" dxfId="448" priority="360">
      <formula>$E387=18</formula>
    </cfRule>
    <cfRule type="expression" dxfId="447" priority="361">
      <formula>$E387=17</formula>
    </cfRule>
    <cfRule type="expression" dxfId="446" priority="362">
      <formula>$E387=16</formula>
    </cfRule>
    <cfRule type="expression" dxfId="445" priority="363">
      <formula>$E387=15</formula>
    </cfRule>
    <cfRule type="expression" dxfId="444" priority="364">
      <formula>$E387=14</formula>
    </cfRule>
    <cfRule type="expression" dxfId="443" priority="365">
      <formula>$E387=13</formula>
    </cfRule>
    <cfRule type="expression" dxfId="442" priority="366">
      <formula>$E387=12</formula>
    </cfRule>
  </conditionalFormatting>
  <conditionalFormatting sqref="C387:F387">
    <cfRule type="expression" dxfId="441" priority="341">
      <formula>$E387=10</formula>
    </cfRule>
    <cfRule type="expression" dxfId="440" priority="342">
      <formula>$E387=11</formula>
    </cfRule>
    <cfRule type="expression" dxfId="439" priority="343">
      <formula>$E387=18</formula>
    </cfRule>
    <cfRule type="expression" dxfId="438" priority="344">
      <formula>$E387=17</formula>
    </cfRule>
    <cfRule type="expression" dxfId="437" priority="345">
      <formula>$E387=16</formula>
    </cfRule>
    <cfRule type="expression" dxfId="436" priority="346">
      <formula>$E387=15</formula>
    </cfRule>
    <cfRule type="expression" dxfId="435" priority="347">
      <formula>$E387=14</formula>
    </cfRule>
    <cfRule type="expression" dxfId="434" priority="348">
      <formula>$E387=13</formula>
    </cfRule>
    <cfRule type="expression" dxfId="433" priority="349">
      <formula>$E387=12</formula>
    </cfRule>
  </conditionalFormatting>
  <conditionalFormatting sqref="C387:F387">
    <cfRule type="expression" dxfId="432" priority="350">
      <formula>$E387&lt;12</formula>
    </cfRule>
    <cfRule type="expression" dxfId="431" priority="351">
      <formula>$E387=18</formula>
    </cfRule>
    <cfRule type="expression" dxfId="430" priority="352">
      <formula>$E387=17</formula>
    </cfRule>
    <cfRule type="expression" dxfId="429" priority="353">
      <formula>$E387=16</formula>
    </cfRule>
    <cfRule type="expression" dxfId="428" priority="354">
      <formula>$E387=15</formula>
    </cfRule>
    <cfRule type="expression" dxfId="427" priority="355">
      <formula>$E387=14</formula>
    </cfRule>
    <cfRule type="expression" dxfId="426" priority="356">
      <formula>$E387=13</formula>
    </cfRule>
    <cfRule type="expression" dxfId="425" priority="357">
      <formula>$E387=12</formula>
    </cfRule>
  </conditionalFormatting>
  <conditionalFormatting sqref="A385:B385 G385:J385">
    <cfRule type="expression" dxfId="424" priority="503">
      <formula>$E385&lt;12</formula>
    </cfRule>
    <cfRule type="expression" dxfId="423" priority="504">
      <formula>$E385=18</formula>
    </cfRule>
    <cfRule type="expression" dxfId="422" priority="505">
      <formula>$E385=17</formula>
    </cfRule>
    <cfRule type="expression" dxfId="421" priority="506">
      <formula>$E385=16</formula>
    </cfRule>
    <cfRule type="expression" dxfId="420" priority="507">
      <formula>$E385=15</formula>
    </cfRule>
    <cfRule type="expression" dxfId="419" priority="508">
      <formula>$E385=14</formula>
    </cfRule>
    <cfRule type="expression" dxfId="418" priority="509">
      <formula>$E385=13</formula>
    </cfRule>
    <cfRule type="expression" dxfId="417" priority="510">
      <formula>$E385=12</formula>
    </cfRule>
  </conditionalFormatting>
  <conditionalFormatting sqref="A385:B385 G385:J385">
    <cfRule type="expression" dxfId="416" priority="494">
      <formula>$E385=10</formula>
    </cfRule>
    <cfRule type="expression" dxfId="415" priority="495">
      <formula>$E385=11</formula>
    </cfRule>
    <cfRule type="expression" dxfId="414" priority="496">
      <formula>$E385=18</formula>
    </cfRule>
    <cfRule type="expression" dxfId="413" priority="497">
      <formula>$E385=17</formula>
    </cfRule>
    <cfRule type="expression" dxfId="412" priority="498">
      <formula>$E385=16</formula>
    </cfRule>
    <cfRule type="expression" dxfId="411" priority="499">
      <formula>$E385=15</formula>
    </cfRule>
    <cfRule type="expression" dxfId="410" priority="500">
      <formula>$E385=14</formula>
    </cfRule>
    <cfRule type="expression" dxfId="409" priority="501">
      <formula>$E385=13</formula>
    </cfRule>
    <cfRule type="expression" dxfId="408" priority="502">
      <formula>$E385=12</formula>
    </cfRule>
  </conditionalFormatting>
  <conditionalFormatting sqref="M385:N385">
    <cfRule type="expression" dxfId="407" priority="486">
      <formula>$E385&lt;12</formula>
    </cfRule>
    <cfRule type="expression" dxfId="406" priority="487">
      <formula>$E385=18</formula>
    </cfRule>
    <cfRule type="expression" dxfId="405" priority="488">
      <formula>$E385=17</formula>
    </cfRule>
    <cfRule type="expression" dxfId="404" priority="489">
      <formula>$E385=16</formula>
    </cfRule>
    <cfRule type="expression" dxfId="403" priority="490">
      <formula>$E385=15</formula>
    </cfRule>
    <cfRule type="expression" dxfId="402" priority="491">
      <formula>$E385=14</formula>
    </cfRule>
    <cfRule type="expression" dxfId="401" priority="492">
      <formula>$E385=13</formula>
    </cfRule>
    <cfRule type="expression" dxfId="400" priority="493">
      <formula>$E385=12</formula>
    </cfRule>
  </conditionalFormatting>
  <conditionalFormatting sqref="M385:N385">
    <cfRule type="expression" dxfId="399" priority="477">
      <formula>$E385=10</formula>
    </cfRule>
    <cfRule type="expression" dxfId="398" priority="478">
      <formula>$E385=11</formula>
    </cfRule>
    <cfRule type="expression" dxfId="397" priority="479">
      <formula>$E385=18</formula>
    </cfRule>
    <cfRule type="expression" dxfId="396" priority="480">
      <formula>$E385=17</formula>
    </cfRule>
    <cfRule type="expression" dxfId="395" priority="481">
      <formula>$E385=16</formula>
    </cfRule>
    <cfRule type="expression" dxfId="394" priority="482">
      <formula>$E385=15</formula>
    </cfRule>
    <cfRule type="expression" dxfId="393" priority="483">
      <formula>$E385=14</formula>
    </cfRule>
    <cfRule type="expression" dxfId="392" priority="484">
      <formula>$E385=13</formula>
    </cfRule>
    <cfRule type="expression" dxfId="391" priority="485">
      <formula>$E385=12</formula>
    </cfRule>
  </conditionalFormatting>
  <conditionalFormatting sqref="L385">
    <cfRule type="expression" dxfId="390" priority="469">
      <formula>$E385&lt;12</formula>
    </cfRule>
    <cfRule type="expression" dxfId="389" priority="470">
      <formula>$E385=18</formula>
    </cfRule>
    <cfRule type="expression" dxfId="388" priority="471">
      <formula>$E385=17</formula>
    </cfRule>
    <cfRule type="expression" dxfId="387" priority="472">
      <formula>$E385=16</formula>
    </cfRule>
    <cfRule type="expression" dxfId="386" priority="473">
      <formula>$E385=15</formula>
    </cfRule>
    <cfRule type="expression" dxfId="385" priority="474">
      <formula>$E385=14</formula>
    </cfRule>
    <cfRule type="expression" dxfId="384" priority="475">
      <formula>$E385=13</formula>
    </cfRule>
    <cfRule type="expression" dxfId="383" priority="476">
      <formula>$E385=12</formula>
    </cfRule>
  </conditionalFormatting>
  <conditionalFormatting sqref="L385">
    <cfRule type="expression" dxfId="382" priority="460">
      <formula>$E385=10</formula>
    </cfRule>
    <cfRule type="expression" dxfId="381" priority="461">
      <formula>$E385=11</formula>
    </cfRule>
    <cfRule type="expression" dxfId="380" priority="462">
      <formula>$E385=18</formula>
    </cfRule>
    <cfRule type="expression" dxfId="379" priority="463">
      <formula>$E385=17</formula>
    </cfRule>
    <cfRule type="expression" dxfId="378" priority="464">
      <formula>$E385=16</formula>
    </cfRule>
    <cfRule type="expression" dxfId="377" priority="465">
      <formula>$E385=15</formula>
    </cfRule>
    <cfRule type="expression" dxfId="376" priority="466">
      <formula>$E385=14</formula>
    </cfRule>
    <cfRule type="expression" dxfId="375" priority="467">
      <formula>$E385=13</formula>
    </cfRule>
    <cfRule type="expression" dxfId="374" priority="468">
      <formula>$E385=12</formula>
    </cfRule>
  </conditionalFormatting>
  <conditionalFormatting sqref="K385">
    <cfRule type="expression" dxfId="373" priority="452">
      <formula>$E385&lt;12</formula>
    </cfRule>
    <cfRule type="expression" dxfId="372" priority="453">
      <formula>$E385=18</formula>
    </cfRule>
    <cfRule type="expression" dxfId="371" priority="454">
      <formula>$E385=17</formula>
    </cfRule>
    <cfRule type="expression" dxfId="370" priority="455">
      <formula>$E385=16</formula>
    </cfRule>
    <cfRule type="expression" dxfId="369" priority="456">
      <formula>$E385=15</formula>
    </cfRule>
    <cfRule type="expression" dxfId="368" priority="457">
      <formula>$E385=14</formula>
    </cfRule>
    <cfRule type="expression" dxfId="367" priority="458">
      <formula>$E385=13</formula>
    </cfRule>
    <cfRule type="expression" dxfId="366" priority="459">
      <formula>$E385=12</formula>
    </cfRule>
  </conditionalFormatting>
  <conditionalFormatting sqref="K385">
    <cfRule type="expression" dxfId="365" priority="443">
      <formula>$E385=10</formula>
    </cfRule>
    <cfRule type="expression" dxfId="364" priority="444">
      <formula>$E385=11</formula>
    </cfRule>
    <cfRule type="expression" dxfId="363" priority="445">
      <formula>$E385=18</formula>
    </cfRule>
    <cfRule type="expression" dxfId="362" priority="446">
      <formula>$E385=17</formula>
    </cfRule>
    <cfRule type="expression" dxfId="361" priority="447">
      <formula>$E385=16</formula>
    </cfRule>
    <cfRule type="expression" dxfId="360" priority="448">
      <formula>$E385=15</formula>
    </cfRule>
    <cfRule type="expression" dxfId="359" priority="449">
      <formula>$E385=14</formula>
    </cfRule>
    <cfRule type="expression" dxfId="358" priority="450">
      <formula>$E385=13</formula>
    </cfRule>
    <cfRule type="expression" dxfId="357" priority="451">
      <formula>$E385=12</formula>
    </cfRule>
  </conditionalFormatting>
  <conditionalFormatting sqref="C385:F385">
    <cfRule type="expression" dxfId="356" priority="426">
      <formula>$E385=10</formula>
    </cfRule>
    <cfRule type="expression" dxfId="355" priority="427">
      <formula>$E385=11</formula>
    </cfRule>
    <cfRule type="expression" dxfId="354" priority="428">
      <formula>$E385=18</formula>
    </cfRule>
    <cfRule type="expression" dxfId="353" priority="429">
      <formula>$E385=17</formula>
    </cfRule>
    <cfRule type="expression" dxfId="352" priority="430">
      <formula>$E385=16</formula>
    </cfRule>
    <cfRule type="expression" dxfId="351" priority="431">
      <formula>$E385=15</formula>
    </cfRule>
    <cfRule type="expression" dxfId="350" priority="432">
      <formula>$E385=14</formula>
    </cfRule>
    <cfRule type="expression" dxfId="349" priority="433">
      <formula>$E385=13</formula>
    </cfRule>
    <cfRule type="expression" dxfId="348" priority="434">
      <formula>$E385=12</formula>
    </cfRule>
  </conditionalFormatting>
  <conditionalFormatting sqref="C385:F385">
    <cfRule type="expression" dxfId="347" priority="435">
      <formula>$E385&lt;12</formula>
    </cfRule>
    <cfRule type="expression" dxfId="346" priority="436">
      <formula>$E385=18</formula>
    </cfRule>
    <cfRule type="expression" dxfId="345" priority="437">
      <formula>$E385=17</formula>
    </cfRule>
    <cfRule type="expression" dxfId="344" priority="438">
      <formula>$E385=16</formula>
    </cfRule>
    <cfRule type="expression" dxfId="343" priority="439">
      <formula>$E385=15</formula>
    </cfRule>
    <cfRule type="expression" dxfId="342" priority="440">
      <formula>$E385=14</formula>
    </cfRule>
    <cfRule type="expression" dxfId="341" priority="441">
      <formula>$E385=13</formula>
    </cfRule>
    <cfRule type="expression" dxfId="340" priority="442">
      <formula>$E385=12</formula>
    </cfRule>
  </conditionalFormatting>
  <conditionalFormatting sqref="A389:B403 G389:J403">
    <cfRule type="expression" dxfId="339" priority="333">
      <formula>$E389&lt;12</formula>
    </cfRule>
    <cfRule type="expression" dxfId="338" priority="334">
      <formula>$E389=18</formula>
    </cfRule>
    <cfRule type="expression" dxfId="337" priority="335">
      <formula>$E389=17</formula>
    </cfRule>
    <cfRule type="expression" dxfId="336" priority="336">
      <formula>$E389=16</formula>
    </cfRule>
    <cfRule type="expression" dxfId="335" priority="337">
      <formula>$E389=15</formula>
    </cfRule>
    <cfRule type="expression" dxfId="334" priority="338">
      <formula>$E389=14</formula>
    </cfRule>
    <cfRule type="expression" dxfId="333" priority="339">
      <formula>$E389=13</formula>
    </cfRule>
    <cfRule type="expression" dxfId="332" priority="340">
      <formula>$E389=12</formula>
    </cfRule>
  </conditionalFormatting>
  <conditionalFormatting sqref="A389:B403 G389:J403">
    <cfRule type="expression" dxfId="331" priority="324">
      <formula>$E389=10</formula>
    </cfRule>
    <cfRule type="expression" dxfId="330" priority="325">
      <formula>$E389=11</formula>
    </cfRule>
    <cfRule type="expression" dxfId="329" priority="326">
      <formula>$E389=18</formula>
    </cfRule>
    <cfRule type="expression" dxfId="328" priority="327">
      <formula>$E389=17</formula>
    </cfRule>
    <cfRule type="expression" dxfId="327" priority="328">
      <formula>$E389=16</formula>
    </cfRule>
    <cfRule type="expression" dxfId="326" priority="329">
      <formula>$E389=15</formula>
    </cfRule>
    <cfRule type="expression" dxfId="325" priority="330">
      <formula>$E389=14</formula>
    </cfRule>
    <cfRule type="expression" dxfId="324" priority="331">
      <formula>$E389=13</formula>
    </cfRule>
    <cfRule type="expression" dxfId="323" priority="332">
      <formula>$E389=12</formula>
    </cfRule>
  </conditionalFormatting>
  <conditionalFormatting sqref="M389:N403">
    <cfRule type="expression" dxfId="322" priority="316">
      <formula>$E389&lt;12</formula>
    </cfRule>
    <cfRule type="expression" dxfId="321" priority="317">
      <formula>$E389=18</formula>
    </cfRule>
    <cfRule type="expression" dxfId="320" priority="318">
      <formula>$E389=17</formula>
    </cfRule>
    <cfRule type="expression" dxfId="319" priority="319">
      <formula>$E389=16</formula>
    </cfRule>
    <cfRule type="expression" dxfId="318" priority="320">
      <formula>$E389=15</formula>
    </cfRule>
    <cfRule type="expression" dxfId="317" priority="321">
      <formula>$E389=14</formula>
    </cfRule>
    <cfRule type="expression" dxfId="316" priority="322">
      <formula>$E389=13</formula>
    </cfRule>
    <cfRule type="expression" dxfId="315" priority="323">
      <formula>$E389=12</formula>
    </cfRule>
  </conditionalFormatting>
  <conditionalFormatting sqref="M389:N403">
    <cfRule type="expression" dxfId="314" priority="307">
      <formula>$E389=10</formula>
    </cfRule>
    <cfRule type="expression" dxfId="313" priority="308">
      <formula>$E389=11</formula>
    </cfRule>
    <cfRule type="expression" dxfId="312" priority="309">
      <formula>$E389=18</formula>
    </cfRule>
    <cfRule type="expression" dxfId="311" priority="310">
      <formula>$E389=17</formula>
    </cfRule>
    <cfRule type="expression" dxfId="310" priority="311">
      <formula>$E389=16</formula>
    </cfRule>
    <cfRule type="expression" dxfId="309" priority="312">
      <formula>$E389=15</formula>
    </cfRule>
    <cfRule type="expression" dxfId="308" priority="313">
      <formula>$E389=14</formula>
    </cfRule>
    <cfRule type="expression" dxfId="307" priority="314">
      <formula>$E389=13</formula>
    </cfRule>
    <cfRule type="expression" dxfId="306" priority="315">
      <formula>$E389=12</formula>
    </cfRule>
  </conditionalFormatting>
  <conditionalFormatting sqref="L389:L403">
    <cfRule type="expression" dxfId="305" priority="299">
      <formula>$E389&lt;12</formula>
    </cfRule>
    <cfRule type="expression" dxfId="304" priority="300">
      <formula>$E389=18</formula>
    </cfRule>
    <cfRule type="expression" dxfId="303" priority="301">
      <formula>$E389=17</formula>
    </cfRule>
    <cfRule type="expression" dxfId="302" priority="302">
      <formula>$E389=16</formula>
    </cfRule>
    <cfRule type="expression" dxfId="301" priority="303">
      <formula>$E389=15</formula>
    </cfRule>
    <cfRule type="expression" dxfId="300" priority="304">
      <formula>$E389=14</formula>
    </cfRule>
    <cfRule type="expression" dxfId="299" priority="305">
      <formula>$E389=13</formula>
    </cfRule>
    <cfRule type="expression" dxfId="298" priority="306">
      <formula>$E389=12</formula>
    </cfRule>
  </conditionalFormatting>
  <conditionalFormatting sqref="L389:L403">
    <cfRule type="expression" dxfId="297" priority="290">
      <formula>$E389=10</formula>
    </cfRule>
    <cfRule type="expression" dxfId="296" priority="291">
      <formula>$E389=11</formula>
    </cfRule>
    <cfRule type="expression" dxfId="295" priority="292">
      <formula>$E389=18</formula>
    </cfRule>
    <cfRule type="expression" dxfId="294" priority="293">
      <formula>$E389=17</formula>
    </cfRule>
    <cfRule type="expression" dxfId="293" priority="294">
      <formula>$E389=16</formula>
    </cfRule>
    <cfRule type="expression" dxfId="292" priority="295">
      <formula>$E389=15</formula>
    </cfRule>
    <cfRule type="expression" dxfId="291" priority="296">
      <formula>$E389=14</formula>
    </cfRule>
    <cfRule type="expression" dxfId="290" priority="297">
      <formula>$E389=13</formula>
    </cfRule>
    <cfRule type="expression" dxfId="289" priority="298">
      <formula>$E389=12</formula>
    </cfRule>
  </conditionalFormatting>
  <conditionalFormatting sqref="K389:K403">
    <cfRule type="expression" dxfId="288" priority="282">
      <formula>$E389&lt;12</formula>
    </cfRule>
    <cfRule type="expression" dxfId="287" priority="283">
      <formula>$E389=18</formula>
    </cfRule>
    <cfRule type="expression" dxfId="286" priority="284">
      <formula>$E389=17</formula>
    </cfRule>
    <cfRule type="expression" dxfId="285" priority="285">
      <formula>$E389=16</formula>
    </cfRule>
    <cfRule type="expression" dxfId="284" priority="286">
      <formula>$E389=15</formula>
    </cfRule>
    <cfRule type="expression" dxfId="283" priority="287">
      <formula>$E389=14</formula>
    </cfRule>
    <cfRule type="expression" dxfId="282" priority="288">
      <formula>$E389=13</formula>
    </cfRule>
    <cfRule type="expression" dxfId="281" priority="289">
      <formula>$E389=12</formula>
    </cfRule>
  </conditionalFormatting>
  <conditionalFormatting sqref="K389:K403">
    <cfRule type="expression" dxfId="280" priority="273">
      <formula>$E389=10</formula>
    </cfRule>
    <cfRule type="expression" dxfId="279" priority="274">
      <formula>$E389=11</formula>
    </cfRule>
    <cfRule type="expression" dxfId="278" priority="275">
      <formula>$E389=18</formula>
    </cfRule>
    <cfRule type="expression" dxfId="277" priority="276">
      <formula>$E389=17</formula>
    </cfRule>
    <cfRule type="expression" dxfId="276" priority="277">
      <formula>$E389=16</formula>
    </cfRule>
    <cfRule type="expression" dxfId="275" priority="278">
      <formula>$E389=15</formula>
    </cfRule>
    <cfRule type="expression" dxfId="274" priority="279">
      <formula>$E389=14</formula>
    </cfRule>
    <cfRule type="expression" dxfId="273" priority="280">
      <formula>$E389=13</formula>
    </cfRule>
    <cfRule type="expression" dxfId="272" priority="281">
      <formula>$E389=12</formula>
    </cfRule>
  </conditionalFormatting>
  <conditionalFormatting sqref="C389:F403">
    <cfRule type="expression" dxfId="271" priority="256">
      <formula>$E389=10</formula>
    </cfRule>
    <cfRule type="expression" dxfId="270" priority="257">
      <formula>$E389=11</formula>
    </cfRule>
    <cfRule type="expression" dxfId="269" priority="258">
      <formula>$E389=18</formula>
    </cfRule>
    <cfRule type="expression" dxfId="268" priority="259">
      <formula>$E389=17</formula>
    </cfRule>
    <cfRule type="expression" dxfId="267" priority="260">
      <formula>$E389=16</formula>
    </cfRule>
    <cfRule type="expression" dxfId="266" priority="261">
      <formula>$E389=15</formula>
    </cfRule>
    <cfRule type="expression" dxfId="265" priority="262">
      <formula>$E389=14</formula>
    </cfRule>
    <cfRule type="expression" dxfId="264" priority="263">
      <formula>$E389=13</formula>
    </cfRule>
    <cfRule type="expression" dxfId="263" priority="264">
      <formula>$E389=12</formula>
    </cfRule>
  </conditionalFormatting>
  <conditionalFormatting sqref="C389:F403">
    <cfRule type="expression" dxfId="262" priority="265">
      <formula>$E389&lt;12</formula>
    </cfRule>
    <cfRule type="expression" dxfId="261" priority="266">
      <formula>$E389=18</formula>
    </cfRule>
    <cfRule type="expression" dxfId="260" priority="267">
      <formula>$E389=17</formula>
    </cfRule>
    <cfRule type="expression" dxfId="259" priority="268">
      <formula>$E389=16</formula>
    </cfRule>
    <cfRule type="expression" dxfId="258" priority="269">
      <formula>$E389=15</formula>
    </cfRule>
    <cfRule type="expression" dxfId="257" priority="270">
      <formula>$E389=14</formula>
    </cfRule>
    <cfRule type="expression" dxfId="256" priority="271">
      <formula>$E389=13</formula>
    </cfRule>
    <cfRule type="expression" dxfId="255" priority="272">
      <formula>$E389=12</formula>
    </cfRule>
  </conditionalFormatting>
  <conditionalFormatting sqref="A405:B405 G405:J405">
    <cfRule type="expression" dxfId="254" priority="248">
      <formula>$E405&lt;12</formula>
    </cfRule>
    <cfRule type="expression" dxfId="253" priority="249">
      <formula>$E405=18</formula>
    </cfRule>
    <cfRule type="expression" dxfId="252" priority="250">
      <formula>$E405=17</formula>
    </cfRule>
    <cfRule type="expression" dxfId="251" priority="251">
      <formula>$E405=16</formula>
    </cfRule>
    <cfRule type="expression" dxfId="250" priority="252">
      <formula>$E405=15</formula>
    </cfRule>
    <cfRule type="expression" dxfId="249" priority="253">
      <formula>$E405=14</formula>
    </cfRule>
    <cfRule type="expression" dxfId="248" priority="254">
      <formula>$E405=13</formula>
    </cfRule>
    <cfRule type="expression" dxfId="247" priority="255">
      <formula>$E405=12</formula>
    </cfRule>
  </conditionalFormatting>
  <conditionalFormatting sqref="A405:B405 G405:J405">
    <cfRule type="expression" dxfId="246" priority="239">
      <formula>$E405=10</formula>
    </cfRule>
    <cfRule type="expression" dxfId="245" priority="240">
      <formula>$E405=11</formula>
    </cfRule>
    <cfRule type="expression" dxfId="244" priority="241">
      <formula>$E405=18</formula>
    </cfRule>
    <cfRule type="expression" dxfId="243" priority="242">
      <formula>$E405=17</formula>
    </cfRule>
    <cfRule type="expression" dxfId="242" priority="243">
      <formula>$E405=16</formula>
    </cfRule>
    <cfRule type="expression" dxfId="241" priority="244">
      <formula>$E405=15</formula>
    </cfRule>
    <cfRule type="expression" dxfId="240" priority="245">
      <formula>$E405=14</formula>
    </cfRule>
    <cfRule type="expression" dxfId="239" priority="246">
      <formula>$E405=13</formula>
    </cfRule>
    <cfRule type="expression" dxfId="238" priority="247">
      <formula>$E405=12</formula>
    </cfRule>
  </conditionalFormatting>
  <conditionalFormatting sqref="M405:N405">
    <cfRule type="expression" dxfId="237" priority="231">
      <formula>$E405&lt;12</formula>
    </cfRule>
    <cfRule type="expression" dxfId="236" priority="232">
      <formula>$E405=18</formula>
    </cfRule>
    <cfRule type="expression" dxfId="235" priority="233">
      <formula>$E405=17</formula>
    </cfRule>
    <cfRule type="expression" dxfId="234" priority="234">
      <formula>$E405=16</formula>
    </cfRule>
    <cfRule type="expression" dxfId="233" priority="235">
      <formula>$E405=15</formula>
    </cfRule>
    <cfRule type="expression" dxfId="232" priority="236">
      <formula>$E405=14</formula>
    </cfRule>
    <cfRule type="expression" dxfId="231" priority="237">
      <formula>$E405=13</formula>
    </cfRule>
    <cfRule type="expression" dxfId="230" priority="238">
      <formula>$E405=12</formula>
    </cfRule>
  </conditionalFormatting>
  <conditionalFormatting sqref="M405:N405">
    <cfRule type="expression" dxfId="229" priority="222">
      <formula>$E405=10</formula>
    </cfRule>
    <cfRule type="expression" dxfId="228" priority="223">
      <formula>$E405=11</formula>
    </cfRule>
    <cfRule type="expression" dxfId="227" priority="224">
      <formula>$E405=18</formula>
    </cfRule>
    <cfRule type="expression" dxfId="226" priority="225">
      <formula>$E405=17</formula>
    </cfRule>
    <cfRule type="expression" dxfId="225" priority="226">
      <formula>$E405=16</formula>
    </cfRule>
    <cfRule type="expression" dxfId="224" priority="227">
      <formula>$E405=15</formula>
    </cfRule>
    <cfRule type="expression" dxfId="223" priority="228">
      <formula>$E405=14</formula>
    </cfRule>
    <cfRule type="expression" dxfId="222" priority="229">
      <formula>$E405=13</formula>
    </cfRule>
    <cfRule type="expression" dxfId="221" priority="230">
      <formula>$E405=12</formula>
    </cfRule>
  </conditionalFormatting>
  <conditionalFormatting sqref="L405">
    <cfRule type="expression" dxfId="220" priority="214">
      <formula>$E405&lt;12</formula>
    </cfRule>
    <cfRule type="expression" dxfId="219" priority="215">
      <formula>$E405=18</formula>
    </cfRule>
    <cfRule type="expression" dxfId="218" priority="216">
      <formula>$E405=17</formula>
    </cfRule>
    <cfRule type="expression" dxfId="217" priority="217">
      <formula>$E405=16</formula>
    </cfRule>
    <cfRule type="expression" dxfId="216" priority="218">
      <formula>$E405=15</formula>
    </cfRule>
    <cfRule type="expression" dxfId="215" priority="219">
      <formula>$E405=14</formula>
    </cfRule>
    <cfRule type="expression" dxfId="214" priority="220">
      <formula>$E405=13</formula>
    </cfRule>
    <cfRule type="expression" dxfId="213" priority="221">
      <formula>$E405=12</formula>
    </cfRule>
  </conditionalFormatting>
  <conditionalFormatting sqref="L405">
    <cfRule type="expression" dxfId="212" priority="205">
      <formula>$E405=10</formula>
    </cfRule>
    <cfRule type="expression" dxfId="211" priority="206">
      <formula>$E405=11</formula>
    </cfRule>
    <cfRule type="expression" dxfId="210" priority="207">
      <formula>$E405=18</formula>
    </cfRule>
    <cfRule type="expression" dxfId="209" priority="208">
      <formula>$E405=17</formula>
    </cfRule>
    <cfRule type="expression" dxfId="208" priority="209">
      <formula>$E405=16</formula>
    </cfRule>
    <cfRule type="expression" dxfId="207" priority="210">
      <formula>$E405=15</formula>
    </cfRule>
    <cfRule type="expression" dxfId="206" priority="211">
      <formula>$E405=14</formula>
    </cfRule>
    <cfRule type="expression" dxfId="205" priority="212">
      <formula>$E405=13</formula>
    </cfRule>
    <cfRule type="expression" dxfId="204" priority="213">
      <formula>$E405=12</formula>
    </cfRule>
  </conditionalFormatting>
  <conditionalFormatting sqref="K405">
    <cfRule type="expression" dxfId="203" priority="197">
      <formula>$E405&lt;12</formula>
    </cfRule>
    <cfRule type="expression" dxfId="202" priority="198">
      <formula>$E405=18</formula>
    </cfRule>
    <cfRule type="expression" dxfId="201" priority="199">
      <formula>$E405=17</formula>
    </cfRule>
    <cfRule type="expression" dxfId="200" priority="200">
      <formula>$E405=16</formula>
    </cfRule>
    <cfRule type="expression" dxfId="199" priority="201">
      <formula>$E405=15</formula>
    </cfRule>
    <cfRule type="expression" dxfId="198" priority="202">
      <formula>$E405=14</formula>
    </cfRule>
    <cfRule type="expression" dxfId="197" priority="203">
      <formula>$E405=13</formula>
    </cfRule>
    <cfRule type="expression" dxfId="196" priority="204">
      <formula>$E405=12</formula>
    </cfRule>
  </conditionalFormatting>
  <conditionalFormatting sqref="K405">
    <cfRule type="expression" dxfId="195" priority="188">
      <formula>$E405=10</formula>
    </cfRule>
    <cfRule type="expression" dxfId="194" priority="189">
      <formula>$E405=11</formula>
    </cfRule>
    <cfRule type="expression" dxfId="193" priority="190">
      <formula>$E405=18</formula>
    </cfRule>
    <cfRule type="expression" dxfId="192" priority="191">
      <formula>$E405=17</formula>
    </cfRule>
    <cfRule type="expression" dxfId="191" priority="192">
      <formula>$E405=16</formula>
    </cfRule>
    <cfRule type="expression" dxfId="190" priority="193">
      <formula>$E405=15</formula>
    </cfRule>
    <cfRule type="expression" dxfId="189" priority="194">
      <formula>$E405=14</formula>
    </cfRule>
    <cfRule type="expression" dxfId="188" priority="195">
      <formula>$E405=13</formula>
    </cfRule>
    <cfRule type="expression" dxfId="187" priority="196">
      <formula>$E405=12</formula>
    </cfRule>
  </conditionalFormatting>
  <conditionalFormatting sqref="C405:F405">
    <cfRule type="expression" dxfId="186" priority="171">
      <formula>$E405=10</formula>
    </cfRule>
    <cfRule type="expression" dxfId="185" priority="172">
      <formula>$E405=11</formula>
    </cfRule>
    <cfRule type="expression" dxfId="184" priority="173">
      <formula>$E405=18</formula>
    </cfRule>
    <cfRule type="expression" dxfId="183" priority="174">
      <formula>$E405=17</formula>
    </cfRule>
    <cfRule type="expression" dxfId="182" priority="175">
      <formula>$E405=16</formula>
    </cfRule>
    <cfRule type="expression" dxfId="181" priority="176">
      <formula>$E405=15</formula>
    </cfRule>
    <cfRule type="expression" dxfId="180" priority="177">
      <formula>$E405=14</formula>
    </cfRule>
    <cfRule type="expression" dxfId="179" priority="178">
      <formula>$E405=13</formula>
    </cfRule>
    <cfRule type="expression" dxfId="178" priority="179">
      <formula>$E405=12</formula>
    </cfRule>
  </conditionalFormatting>
  <conditionalFormatting sqref="C405:F405">
    <cfRule type="expression" dxfId="177" priority="180">
      <formula>$E405&lt;12</formula>
    </cfRule>
    <cfRule type="expression" dxfId="176" priority="181">
      <formula>$E405=18</formula>
    </cfRule>
    <cfRule type="expression" dxfId="175" priority="182">
      <formula>$E405=17</formula>
    </cfRule>
    <cfRule type="expression" dxfId="174" priority="183">
      <formula>$E405=16</formula>
    </cfRule>
    <cfRule type="expression" dxfId="173" priority="184">
      <formula>$E405=15</formula>
    </cfRule>
    <cfRule type="expression" dxfId="172" priority="185">
      <formula>$E405=14</formula>
    </cfRule>
    <cfRule type="expression" dxfId="171" priority="186">
      <formula>$E405=13</formula>
    </cfRule>
    <cfRule type="expression" dxfId="170" priority="187">
      <formula>$E405=12</formula>
    </cfRule>
  </conditionalFormatting>
  <conditionalFormatting sqref="A407:B407 G407:J407">
    <cfRule type="expression" dxfId="169" priority="163">
      <formula>$E407&lt;12</formula>
    </cfRule>
    <cfRule type="expression" dxfId="168" priority="164">
      <formula>$E407=18</formula>
    </cfRule>
    <cfRule type="expression" dxfId="167" priority="165">
      <formula>$E407=17</formula>
    </cfRule>
    <cfRule type="expression" dxfId="166" priority="166">
      <formula>$E407=16</formula>
    </cfRule>
    <cfRule type="expression" dxfId="165" priority="167">
      <formula>$E407=15</formula>
    </cfRule>
    <cfRule type="expression" dxfId="164" priority="168">
      <formula>$E407=14</formula>
    </cfRule>
    <cfRule type="expression" dxfId="163" priority="169">
      <formula>$E407=13</formula>
    </cfRule>
    <cfRule type="expression" dxfId="162" priority="170">
      <formula>$E407=12</formula>
    </cfRule>
  </conditionalFormatting>
  <conditionalFormatting sqref="A407:B407 G407:J407">
    <cfRule type="expression" dxfId="161" priority="154">
      <formula>$E407=10</formula>
    </cfRule>
    <cfRule type="expression" dxfId="160" priority="155">
      <formula>$E407=11</formula>
    </cfRule>
    <cfRule type="expression" dxfId="159" priority="156">
      <formula>$E407=18</formula>
    </cfRule>
    <cfRule type="expression" dxfId="158" priority="157">
      <formula>$E407=17</formula>
    </cfRule>
    <cfRule type="expression" dxfId="157" priority="158">
      <formula>$E407=16</formula>
    </cfRule>
    <cfRule type="expression" dxfId="156" priority="159">
      <formula>$E407=15</formula>
    </cfRule>
    <cfRule type="expression" dxfId="155" priority="160">
      <formula>$E407=14</formula>
    </cfRule>
    <cfRule type="expression" dxfId="154" priority="161">
      <formula>$E407=13</formula>
    </cfRule>
    <cfRule type="expression" dxfId="153" priority="162">
      <formula>$E407=12</formula>
    </cfRule>
  </conditionalFormatting>
  <conditionalFormatting sqref="M407:N407">
    <cfRule type="expression" dxfId="152" priority="146">
      <formula>$E407&lt;12</formula>
    </cfRule>
    <cfRule type="expression" dxfId="151" priority="147">
      <formula>$E407=18</formula>
    </cfRule>
    <cfRule type="expression" dxfId="150" priority="148">
      <formula>$E407=17</formula>
    </cfRule>
    <cfRule type="expression" dxfId="149" priority="149">
      <formula>$E407=16</formula>
    </cfRule>
    <cfRule type="expression" dxfId="148" priority="150">
      <formula>$E407=15</formula>
    </cfRule>
    <cfRule type="expression" dxfId="147" priority="151">
      <formula>$E407=14</formula>
    </cfRule>
    <cfRule type="expression" dxfId="146" priority="152">
      <formula>$E407=13</formula>
    </cfRule>
    <cfRule type="expression" dxfId="145" priority="153">
      <formula>$E407=12</formula>
    </cfRule>
  </conditionalFormatting>
  <conditionalFormatting sqref="M407:N407">
    <cfRule type="expression" dxfId="144" priority="137">
      <formula>$E407=10</formula>
    </cfRule>
    <cfRule type="expression" dxfId="143" priority="138">
      <formula>$E407=11</formula>
    </cfRule>
    <cfRule type="expression" dxfId="142" priority="139">
      <formula>$E407=18</formula>
    </cfRule>
    <cfRule type="expression" dxfId="141" priority="140">
      <formula>$E407=17</formula>
    </cfRule>
    <cfRule type="expression" dxfId="140" priority="141">
      <formula>$E407=16</formula>
    </cfRule>
    <cfRule type="expression" dxfId="139" priority="142">
      <formula>$E407=15</formula>
    </cfRule>
    <cfRule type="expression" dxfId="138" priority="143">
      <formula>$E407=14</formula>
    </cfRule>
    <cfRule type="expression" dxfId="137" priority="144">
      <formula>$E407=13</formula>
    </cfRule>
    <cfRule type="expression" dxfId="136" priority="145">
      <formula>$E407=12</formula>
    </cfRule>
  </conditionalFormatting>
  <conditionalFormatting sqref="L407">
    <cfRule type="expression" dxfId="135" priority="129">
      <formula>$E407&lt;12</formula>
    </cfRule>
    <cfRule type="expression" dxfId="134" priority="130">
      <formula>$E407=18</formula>
    </cfRule>
    <cfRule type="expression" dxfId="133" priority="131">
      <formula>$E407=17</formula>
    </cfRule>
    <cfRule type="expression" dxfId="132" priority="132">
      <formula>$E407=16</formula>
    </cfRule>
    <cfRule type="expression" dxfId="131" priority="133">
      <formula>$E407=15</formula>
    </cfRule>
    <cfRule type="expression" dxfId="130" priority="134">
      <formula>$E407=14</formula>
    </cfRule>
    <cfRule type="expression" dxfId="129" priority="135">
      <formula>$E407=13</formula>
    </cfRule>
    <cfRule type="expression" dxfId="128" priority="136">
      <formula>$E407=12</formula>
    </cfRule>
  </conditionalFormatting>
  <conditionalFormatting sqref="L407">
    <cfRule type="expression" dxfId="127" priority="120">
      <formula>$E407=10</formula>
    </cfRule>
    <cfRule type="expression" dxfId="126" priority="121">
      <formula>$E407=11</formula>
    </cfRule>
    <cfRule type="expression" dxfId="125" priority="122">
      <formula>$E407=18</formula>
    </cfRule>
    <cfRule type="expression" dxfId="124" priority="123">
      <formula>$E407=17</formula>
    </cfRule>
    <cfRule type="expression" dxfId="123" priority="124">
      <formula>$E407=16</formula>
    </cfRule>
    <cfRule type="expression" dxfId="122" priority="125">
      <formula>$E407=15</formula>
    </cfRule>
    <cfRule type="expression" dxfId="121" priority="126">
      <formula>$E407=14</formula>
    </cfRule>
    <cfRule type="expression" dxfId="120" priority="127">
      <formula>$E407=13</formula>
    </cfRule>
    <cfRule type="expression" dxfId="119" priority="128">
      <formula>$E407=12</formula>
    </cfRule>
  </conditionalFormatting>
  <conditionalFormatting sqref="K407">
    <cfRule type="expression" dxfId="118" priority="112">
      <formula>$E407&lt;12</formula>
    </cfRule>
    <cfRule type="expression" dxfId="117" priority="113">
      <formula>$E407=18</formula>
    </cfRule>
    <cfRule type="expression" dxfId="116" priority="114">
      <formula>$E407=17</formula>
    </cfRule>
    <cfRule type="expression" dxfId="115" priority="115">
      <formula>$E407=16</formula>
    </cfRule>
    <cfRule type="expression" dxfId="114" priority="116">
      <formula>$E407=15</formula>
    </cfRule>
    <cfRule type="expression" dxfId="113" priority="117">
      <formula>$E407=14</formula>
    </cfRule>
    <cfRule type="expression" dxfId="112" priority="118">
      <formula>$E407=13</formula>
    </cfRule>
    <cfRule type="expression" dxfId="111" priority="119">
      <formula>$E407=12</formula>
    </cfRule>
  </conditionalFormatting>
  <conditionalFormatting sqref="K407">
    <cfRule type="expression" dxfId="110" priority="103">
      <formula>$E407=10</formula>
    </cfRule>
    <cfRule type="expression" dxfId="109" priority="104">
      <formula>$E407=11</formula>
    </cfRule>
    <cfRule type="expression" dxfId="108" priority="105">
      <formula>$E407=18</formula>
    </cfRule>
    <cfRule type="expression" dxfId="107" priority="106">
      <formula>$E407=17</formula>
    </cfRule>
    <cfRule type="expression" dxfId="106" priority="107">
      <formula>$E407=16</formula>
    </cfRule>
    <cfRule type="expression" dxfId="105" priority="108">
      <formula>$E407=15</formula>
    </cfRule>
    <cfRule type="expression" dxfId="104" priority="109">
      <formula>$E407=14</formula>
    </cfRule>
    <cfRule type="expression" dxfId="103" priority="110">
      <formula>$E407=13</formula>
    </cfRule>
    <cfRule type="expression" dxfId="102" priority="111">
      <formula>$E407=12</formula>
    </cfRule>
  </conditionalFormatting>
  <conditionalFormatting sqref="C407:F407">
    <cfRule type="expression" dxfId="101" priority="86">
      <formula>$E407=10</formula>
    </cfRule>
    <cfRule type="expression" dxfId="100" priority="87">
      <formula>$E407=11</formula>
    </cfRule>
    <cfRule type="expression" dxfId="99" priority="88">
      <formula>$E407=18</formula>
    </cfRule>
    <cfRule type="expression" dxfId="98" priority="89">
      <formula>$E407=17</formula>
    </cfRule>
    <cfRule type="expression" dxfId="97" priority="90">
      <formula>$E407=16</formula>
    </cfRule>
    <cfRule type="expression" dxfId="96" priority="91">
      <formula>$E407=15</formula>
    </cfRule>
    <cfRule type="expression" dxfId="95" priority="92">
      <formula>$E407=14</formula>
    </cfRule>
    <cfRule type="expression" dxfId="94" priority="93">
      <formula>$E407=13</formula>
    </cfRule>
    <cfRule type="expression" dxfId="93" priority="94">
      <formula>$E407=12</formula>
    </cfRule>
  </conditionalFormatting>
  <conditionalFormatting sqref="C407:F407">
    <cfRule type="expression" dxfId="92" priority="95">
      <formula>$E407&lt;12</formula>
    </cfRule>
    <cfRule type="expression" dxfId="91" priority="96">
      <formula>$E407=18</formula>
    </cfRule>
    <cfRule type="expression" dxfId="90" priority="97">
      <formula>$E407=17</formula>
    </cfRule>
    <cfRule type="expression" dxfId="89" priority="98">
      <formula>$E407=16</formula>
    </cfRule>
    <cfRule type="expression" dxfId="88" priority="99">
      <formula>$E407=15</formula>
    </cfRule>
    <cfRule type="expression" dxfId="87" priority="100">
      <formula>$E407=14</formula>
    </cfRule>
    <cfRule type="expression" dxfId="86" priority="101">
      <formula>$E407=13</formula>
    </cfRule>
    <cfRule type="expression" dxfId="85" priority="102">
      <formula>$E407=12</formula>
    </cfRule>
  </conditionalFormatting>
  <conditionalFormatting sqref="A409:B411 G409:J411">
    <cfRule type="expression" dxfId="84" priority="78">
      <formula>$E409&lt;12</formula>
    </cfRule>
    <cfRule type="expression" dxfId="83" priority="79">
      <formula>$E409=18</formula>
    </cfRule>
    <cfRule type="expression" dxfId="82" priority="80">
      <formula>$E409=17</formula>
    </cfRule>
    <cfRule type="expression" dxfId="81" priority="81">
      <formula>$E409=16</formula>
    </cfRule>
    <cfRule type="expression" dxfId="80" priority="82">
      <formula>$E409=15</formula>
    </cfRule>
    <cfRule type="expression" dxfId="79" priority="83">
      <formula>$E409=14</formula>
    </cfRule>
    <cfRule type="expression" dxfId="78" priority="84">
      <formula>$E409=13</formula>
    </cfRule>
    <cfRule type="expression" dxfId="77" priority="85">
      <formula>$E409=12</formula>
    </cfRule>
  </conditionalFormatting>
  <conditionalFormatting sqref="A409:B411 G409:J411">
    <cfRule type="expression" dxfId="76" priority="69">
      <formula>$E409=10</formula>
    </cfRule>
    <cfRule type="expression" dxfId="75" priority="70">
      <formula>$E409=11</formula>
    </cfRule>
    <cfRule type="expression" dxfId="74" priority="71">
      <formula>$E409=18</formula>
    </cfRule>
    <cfRule type="expression" dxfId="73" priority="72">
      <formula>$E409=17</formula>
    </cfRule>
    <cfRule type="expression" dxfId="72" priority="73">
      <formula>$E409=16</formula>
    </cfRule>
    <cfRule type="expression" dxfId="71" priority="74">
      <formula>$E409=15</formula>
    </cfRule>
    <cfRule type="expression" dxfId="70" priority="75">
      <formula>$E409=14</formula>
    </cfRule>
    <cfRule type="expression" dxfId="69" priority="76">
      <formula>$E409=13</formula>
    </cfRule>
    <cfRule type="expression" dxfId="68" priority="77">
      <formula>$E409=12</formula>
    </cfRule>
  </conditionalFormatting>
  <conditionalFormatting sqref="M409:N411">
    <cfRule type="expression" dxfId="67" priority="61">
      <formula>$E409&lt;12</formula>
    </cfRule>
    <cfRule type="expression" dxfId="66" priority="62">
      <formula>$E409=18</formula>
    </cfRule>
    <cfRule type="expression" dxfId="65" priority="63">
      <formula>$E409=17</formula>
    </cfRule>
    <cfRule type="expression" dxfId="64" priority="64">
      <formula>$E409=16</formula>
    </cfRule>
    <cfRule type="expression" dxfId="63" priority="65">
      <formula>$E409=15</formula>
    </cfRule>
    <cfRule type="expression" dxfId="62" priority="66">
      <formula>$E409=14</formula>
    </cfRule>
    <cfRule type="expression" dxfId="61" priority="67">
      <formula>$E409=13</formula>
    </cfRule>
    <cfRule type="expression" dxfId="60" priority="68">
      <formula>$E409=12</formula>
    </cfRule>
  </conditionalFormatting>
  <conditionalFormatting sqref="M409:N411">
    <cfRule type="expression" dxfId="59" priority="52">
      <formula>$E409=10</formula>
    </cfRule>
    <cfRule type="expression" dxfId="58" priority="53">
      <formula>$E409=11</formula>
    </cfRule>
    <cfRule type="expression" dxfId="57" priority="54">
      <formula>$E409=18</formula>
    </cfRule>
    <cfRule type="expression" dxfId="56" priority="55">
      <formula>$E409=17</formula>
    </cfRule>
    <cfRule type="expression" dxfId="55" priority="56">
      <formula>$E409=16</formula>
    </cfRule>
    <cfRule type="expression" dxfId="54" priority="57">
      <formula>$E409=15</formula>
    </cfRule>
    <cfRule type="expression" dxfId="53" priority="58">
      <formula>$E409=14</formula>
    </cfRule>
    <cfRule type="expression" dxfId="52" priority="59">
      <formula>$E409=13</formula>
    </cfRule>
    <cfRule type="expression" dxfId="51" priority="60">
      <formula>$E409=12</formula>
    </cfRule>
  </conditionalFormatting>
  <conditionalFormatting sqref="L409:L411">
    <cfRule type="expression" dxfId="50" priority="44">
      <formula>$E409&lt;12</formula>
    </cfRule>
    <cfRule type="expression" dxfId="49" priority="45">
      <formula>$E409=18</formula>
    </cfRule>
    <cfRule type="expression" dxfId="48" priority="46">
      <formula>$E409=17</formula>
    </cfRule>
    <cfRule type="expression" dxfId="47" priority="47">
      <formula>$E409=16</formula>
    </cfRule>
    <cfRule type="expression" dxfId="46" priority="48">
      <formula>$E409=15</formula>
    </cfRule>
    <cfRule type="expression" dxfId="45" priority="49">
      <formula>$E409=14</formula>
    </cfRule>
    <cfRule type="expression" dxfId="44" priority="50">
      <formula>$E409=13</formula>
    </cfRule>
    <cfRule type="expression" dxfId="43" priority="51">
      <formula>$E409=12</formula>
    </cfRule>
  </conditionalFormatting>
  <conditionalFormatting sqref="L409:L411">
    <cfRule type="expression" dxfId="42" priority="35">
      <formula>$E409=10</formula>
    </cfRule>
    <cfRule type="expression" dxfId="41" priority="36">
      <formula>$E409=11</formula>
    </cfRule>
    <cfRule type="expression" dxfId="40" priority="37">
      <formula>$E409=18</formula>
    </cfRule>
    <cfRule type="expression" dxfId="39" priority="38">
      <formula>$E409=17</formula>
    </cfRule>
    <cfRule type="expression" dxfId="38" priority="39">
      <formula>$E409=16</formula>
    </cfRule>
    <cfRule type="expression" dxfId="37" priority="40">
      <formula>$E409=15</formula>
    </cfRule>
    <cfRule type="expression" dxfId="36" priority="41">
      <formula>$E409=14</formula>
    </cfRule>
    <cfRule type="expression" dxfId="35" priority="42">
      <formula>$E409=13</formula>
    </cfRule>
    <cfRule type="expression" dxfId="34" priority="43">
      <formula>$E409=12</formula>
    </cfRule>
  </conditionalFormatting>
  <conditionalFormatting sqref="K409:K411">
    <cfRule type="expression" dxfId="33" priority="27">
      <formula>$E409&lt;12</formula>
    </cfRule>
    <cfRule type="expression" dxfId="32" priority="28">
      <formula>$E409=18</formula>
    </cfRule>
    <cfRule type="expression" dxfId="31" priority="29">
      <formula>$E409=17</formula>
    </cfRule>
    <cfRule type="expression" dxfId="30" priority="30">
      <formula>$E409=16</formula>
    </cfRule>
    <cfRule type="expression" dxfId="29" priority="31">
      <formula>$E409=15</formula>
    </cfRule>
    <cfRule type="expression" dxfId="28" priority="32">
      <formula>$E409=14</formula>
    </cfRule>
    <cfRule type="expression" dxfId="27" priority="33">
      <formula>$E409=13</formula>
    </cfRule>
    <cfRule type="expression" dxfId="26" priority="34">
      <formula>$E409=12</formula>
    </cfRule>
  </conditionalFormatting>
  <conditionalFormatting sqref="K409:K411">
    <cfRule type="expression" dxfId="25" priority="18">
      <formula>$E409=10</formula>
    </cfRule>
    <cfRule type="expression" dxfId="24" priority="19">
      <formula>$E409=11</formula>
    </cfRule>
    <cfRule type="expression" dxfId="23" priority="20">
      <formula>$E409=18</formula>
    </cfRule>
    <cfRule type="expression" dxfId="22" priority="21">
      <formula>$E409=17</formula>
    </cfRule>
    <cfRule type="expression" dxfId="21" priority="22">
      <formula>$E409=16</formula>
    </cfRule>
    <cfRule type="expression" dxfId="20" priority="23">
      <formula>$E409=15</formula>
    </cfRule>
    <cfRule type="expression" dxfId="19" priority="24">
      <formula>$E409=14</formula>
    </cfRule>
    <cfRule type="expression" dxfId="18" priority="25">
      <formula>$E409=13</formula>
    </cfRule>
    <cfRule type="expression" dxfId="17" priority="26">
      <formula>$E409=12</formula>
    </cfRule>
  </conditionalFormatting>
  <conditionalFormatting sqref="C409:F411">
    <cfRule type="expression" dxfId="16" priority="10">
      <formula>$E409&lt;12</formula>
    </cfRule>
    <cfRule type="expression" dxfId="15" priority="11">
      <formula>$E409=18</formula>
    </cfRule>
    <cfRule type="expression" dxfId="14" priority="12">
      <formula>$E409=17</formula>
    </cfRule>
    <cfRule type="expression" dxfId="13" priority="13">
      <formula>$E409=16</formula>
    </cfRule>
    <cfRule type="expression" dxfId="12" priority="14">
      <formula>$E409=15</formula>
    </cfRule>
    <cfRule type="expression" dxfId="11" priority="15">
      <formula>$E409=14</formula>
    </cfRule>
    <cfRule type="expression" dxfId="10" priority="16">
      <formula>$E409=13</formula>
    </cfRule>
    <cfRule type="expression" dxfId="9" priority="17">
      <formula>$E409=12</formula>
    </cfRule>
  </conditionalFormatting>
  <conditionalFormatting sqref="C409:F411">
    <cfRule type="expression" dxfId="8" priority="1">
      <formula>$E409=10</formula>
    </cfRule>
    <cfRule type="expression" dxfId="7" priority="2">
      <formula>$E409=11</formula>
    </cfRule>
    <cfRule type="expression" dxfId="6" priority="3">
      <formula>$E409=18</formula>
    </cfRule>
    <cfRule type="expression" dxfId="5" priority="4">
      <formula>$E409=17</formula>
    </cfRule>
    <cfRule type="expression" dxfId="4" priority="5">
      <formula>$E409=16</formula>
    </cfRule>
    <cfRule type="expression" dxfId="3" priority="6">
      <formula>$E409=15</formula>
    </cfRule>
    <cfRule type="expression" dxfId="2" priority="7">
      <formula>$E409=14</formula>
    </cfRule>
    <cfRule type="expression" dxfId="1" priority="8">
      <formula>$E409=13</formula>
    </cfRule>
    <cfRule type="expression" dxfId="0" priority="9">
      <formula>$E409=12</formula>
    </cfRule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7">
    <tabColor rgb="FFFF0000"/>
  </sheetPr>
  <dimension ref="A1:BY430"/>
  <sheetViews>
    <sheetView topLeftCell="W1" zoomScale="70" zoomScaleNormal="70" workbookViewId="0">
      <selection activeCell="AW3" sqref="AW3"/>
    </sheetView>
  </sheetViews>
  <sheetFormatPr defaultColWidth="8.85546875" defaultRowHeight="12.75" x14ac:dyDescent="0.2"/>
  <cols>
    <col min="1" max="1" width="8.85546875" style="4"/>
    <col min="2" max="2" width="3.7109375" style="4" customWidth="1"/>
    <col min="3" max="3" width="2.28515625" style="4" customWidth="1"/>
    <col min="4" max="5" width="3.7109375" style="4" customWidth="1"/>
    <col min="6" max="6" width="2.28515625" style="4" customWidth="1"/>
    <col min="7" max="8" width="3.7109375" style="4" customWidth="1"/>
    <col min="9" max="9" width="2.28515625" style="4" customWidth="1"/>
    <col min="10" max="11" width="3.7109375" style="4" customWidth="1"/>
    <col min="12" max="12" width="2.28515625" style="4" customWidth="1"/>
    <col min="13" max="14" width="3.7109375" style="4" customWidth="1"/>
    <col min="15" max="15" width="2.28515625" style="4" customWidth="1"/>
    <col min="16" max="17" width="3.7109375" style="4" customWidth="1"/>
    <col min="18" max="18" width="2.28515625" style="4" customWidth="1"/>
    <col min="19" max="20" width="3.7109375" style="4" customWidth="1"/>
    <col min="21" max="21" width="2.28515625" style="4" customWidth="1"/>
    <col min="22" max="23" width="3.7109375" style="4" customWidth="1"/>
    <col min="24" max="24" width="2.28515625" style="4" customWidth="1"/>
    <col min="25" max="26" width="3.7109375" style="4" customWidth="1"/>
    <col min="27" max="27" width="2.28515625" style="4" customWidth="1"/>
    <col min="28" max="29" width="3.7109375" style="4" customWidth="1"/>
    <col min="30" max="30" width="2.28515625" style="4" customWidth="1"/>
    <col min="31" max="31" width="3.7109375" style="4" customWidth="1"/>
    <col min="32" max="32" width="9.7109375" style="4" customWidth="1"/>
    <col min="33" max="42" width="3.7109375" style="4" customWidth="1"/>
    <col min="43" max="43" width="11" style="4" customWidth="1"/>
    <col min="44" max="45" width="8.85546875" style="4"/>
    <col min="46" max="46" width="13.5703125" style="4" customWidth="1"/>
    <col min="47" max="47" width="24.42578125" style="4" customWidth="1"/>
    <col min="48" max="48" width="16.28515625" style="4" customWidth="1"/>
    <col min="49" max="49" width="14.28515625" style="4" customWidth="1"/>
    <col min="50" max="51" width="10.28515625" style="4" customWidth="1"/>
    <col min="52" max="52" width="25" style="4" customWidth="1"/>
    <col min="53" max="53" width="6" style="4" customWidth="1"/>
    <col min="54" max="16384" width="8.85546875" style="4"/>
  </cols>
  <sheetData>
    <row r="1" spans="1:53" ht="13.5" thickBot="1" x14ac:dyDescent="0.25">
      <c r="A1" s="404" t="s">
        <v>0</v>
      </c>
      <c r="B1" s="404"/>
      <c r="C1" s="404"/>
      <c r="D1" s="404"/>
      <c r="E1" s="404"/>
      <c r="F1" s="404"/>
      <c r="G1" s="404"/>
      <c r="H1" s="404"/>
      <c r="I1" s="404"/>
      <c r="J1" s="404"/>
      <c r="K1" s="404"/>
      <c r="L1" s="404"/>
      <c r="M1" s="404"/>
      <c r="N1" s="404"/>
      <c r="O1" s="404"/>
      <c r="P1" s="404"/>
      <c r="Q1" s="404"/>
      <c r="R1" s="404"/>
      <c r="S1" s="404"/>
      <c r="T1" s="404"/>
      <c r="U1" s="404"/>
      <c r="V1" s="404"/>
      <c r="W1" s="404"/>
      <c r="X1" s="404"/>
      <c r="Y1" s="404"/>
      <c r="Z1" s="404"/>
      <c r="AA1" s="404"/>
      <c r="AB1" s="404"/>
      <c r="AC1" s="404"/>
      <c r="AD1" s="404"/>
      <c r="AE1" s="404"/>
      <c r="AF1" s="404"/>
      <c r="AG1" s="404"/>
      <c r="AH1" s="404"/>
      <c r="AI1" s="404"/>
      <c r="AJ1" s="1"/>
      <c r="AK1" s="1"/>
      <c r="AL1" s="1"/>
      <c r="AM1" s="1"/>
      <c r="AN1" s="1"/>
      <c r="AO1" s="1"/>
      <c r="AP1" s="1"/>
      <c r="AQ1" s="2" t="s">
        <v>1</v>
      </c>
      <c r="AR1" s="3"/>
      <c r="AT1" s="405" t="s">
        <v>2</v>
      </c>
      <c r="AU1" s="406"/>
      <c r="AV1" s="406"/>
      <c r="AW1" s="407"/>
      <c r="AX1" s="408" t="s">
        <v>3</v>
      </c>
      <c r="AY1" s="409"/>
      <c r="AZ1" s="6" t="s">
        <v>4</v>
      </c>
      <c r="BA1" s="7">
        <v>32</v>
      </c>
    </row>
    <row r="2" spans="1:53" ht="18.75" customHeight="1" thickBot="1" x14ac:dyDescent="0.3">
      <c r="A2" s="410" t="s">
        <v>5</v>
      </c>
      <c r="B2" s="411"/>
      <c r="C2" s="411"/>
      <c r="D2" s="411"/>
      <c r="E2" s="411"/>
      <c r="F2" s="411"/>
      <c r="G2" s="411"/>
      <c r="H2" s="411"/>
      <c r="I2" s="412"/>
      <c r="J2" s="413" t="s">
        <v>6</v>
      </c>
      <c r="K2" s="414"/>
      <c r="L2" s="414"/>
      <c r="M2" s="414"/>
      <c r="N2" s="414"/>
      <c r="O2" s="414"/>
      <c r="P2" s="414"/>
      <c r="Q2" s="414"/>
      <c r="R2" s="414"/>
      <c r="S2" s="414"/>
      <c r="T2" s="414"/>
      <c r="U2" s="414"/>
      <c r="V2" s="414"/>
      <c r="W2" s="414"/>
      <c r="X2" s="415"/>
      <c r="Y2" s="416" t="s">
        <v>7</v>
      </c>
      <c r="Z2" s="417"/>
      <c r="AA2" s="417"/>
      <c r="AB2" s="417"/>
      <c r="AC2" s="418"/>
      <c r="AD2" s="379" t="s">
        <v>8</v>
      </c>
      <c r="AE2" s="379"/>
      <c r="AF2" s="379"/>
      <c r="AG2" s="379"/>
      <c r="AH2" s="379"/>
      <c r="AI2" s="380"/>
      <c r="AJ2" s="8"/>
      <c r="AK2" s="8"/>
      <c r="AL2" s="8"/>
      <c r="AM2" s="8"/>
      <c r="AN2" s="8"/>
      <c r="AO2" s="8"/>
      <c r="AP2" s="8"/>
      <c r="AQ2" s="8"/>
      <c r="AR2" s="3"/>
      <c r="AT2" s="9" t="s">
        <v>9</v>
      </c>
      <c r="AU2" s="10" t="s">
        <v>10</v>
      </c>
      <c r="AV2" s="11" t="s">
        <v>11</v>
      </c>
      <c r="AW2" s="12" t="s">
        <v>12</v>
      </c>
      <c r="AX2" s="13" t="s">
        <v>13</v>
      </c>
      <c r="AY2" s="12" t="s">
        <v>14</v>
      </c>
      <c r="AZ2" s="6" t="s">
        <v>15</v>
      </c>
      <c r="BA2" s="7">
        <v>16</v>
      </c>
    </row>
    <row r="3" spans="1:53" ht="18.75" customHeight="1" thickBot="1" x14ac:dyDescent="0.3">
      <c r="A3" s="14" t="s">
        <v>16</v>
      </c>
      <c r="B3" s="384" t="s">
        <v>17</v>
      </c>
      <c r="C3" s="385"/>
      <c r="D3" s="385"/>
      <c r="E3" s="385"/>
      <c r="F3" s="385"/>
      <c r="G3" s="385"/>
      <c r="H3" s="385"/>
      <c r="I3" s="385"/>
      <c r="J3" s="385"/>
      <c r="K3" s="385"/>
      <c r="L3" s="385"/>
      <c r="M3" s="385"/>
      <c r="N3" s="385"/>
      <c r="O3" s="386"/>
      <c r="P3" s="387" t="s">
        <v>18</v>
      </c>
      <c r="Q3" s="388"/>
      <c r="R3" s="388"/>
      <c r="S3" s="389">
        <v>13</v>
      </c>
      <c r="T3" s="390"/>
      <c r="U3" s="390"/>
      <c r="V3" s="390"/>
      <c r="W3" s="390"/>
      <c r="X3" s="391"/>
      <c r="Y3" s="16"/>
      <c r="Z3" s="17"/>
      <c r="AA3" s="17"/>
      <c r="AB3" s="17"/>
      <c r="AC3" s="392" t="s">
        <v>19</v>
      </c>
      <c r="AD3" s="393"/>
      <c r="AE3" s="393"/>
      <c r="AF3" s="394"/>
      <c r="AG3" s="18" t="s">
        <v>20</v>
      </c>
      <c r="AH3" s="395" t="s">
        <v>21</v>
      </c>
      <c r="AI3" s="396"/>
      <c r="AJ3" s="8"/>
      <c r="AK3" s="8"/>
      <c r="AL3" s="8"/>
      <c r="AM3" s="8"/>
      <c r="AN3" s="8"/>
      <c r="AO3" s="8"/>
      <c r="AP3" s="8"/>
      <c r="AQ3" s="8"/>
      <c r="AR3" s="3"/>
      <c r="AT3" s="19">
        <v>1</v>
      </c>
      <c r="AU3" s="20" t="s">
        <v>22</v>
      </c>
      <c r="AV3" s="20" t="s">
        <v>23</v>
      </c>
      <c r="AW3" s="21">
        <f>VLOOKUP(AV3,Initial!G:K,5,FALSE)</f>
        <v>2157.74321750217</v>
      </c>
      <c r="AX3" s="22">
        <f t="shared" ref="AX3:AX10" si="0">VLOOKUP(AU3,AT$79:AU$174,2,FALSE)</f>
        <v>2198.9082737681274</v>
      </c>
      <c r="AY3" s="23">
        <f t="shared" ref="AY3:AY10" si="1">IF(ISNA(VLOOKUP(AU3,AT$182:AU$234,2,FALSE)),AX3,VLOOKUP(AU3,AT$182:AU$234,2,FALSE))</f>
        <v>2214.4906569405434</v>
      </c>
    </row>
    <row r="4" spans="1:53" ht="24" customHeight="1" thickBot="1" x14ac:dyDescent="0.25">
      <c r="A4" s="397" t="s">
        <v>24</v>
      </c>
      <c r="B4" s="398"/>
      <c r="C4" s="398"/>
      <c r="D4" s="399"/>
      <c r="E4" s="400" t="s">
        <v>25</v>
      </c>
      <c r="F4" s="401"/>
      <c r="G4" s="401"/>
      <c r="H4" s="401"/>
      <c r="I4" s="401"/>
      <c r="J4" s="401"/>
      <c r="K4" s="401"/>
      <c r="L4" s="401"/>
      <c r="M4" s="402"/>
      <c r="N4" s="397" t="s">
        <v>26</v>
      </c>
      <c r="O4" s="398"/>
      <c r="P4" s="398"/>
      <c r="Q4" s="399"/>
      <c r="R4" s="403" t="s">
        <v>27</v>
      </c>
      <c r="S4" s="379"/>
      <c r="T4" s="379"/>
      <c r="U4" s="379"/>
      <c r="V4" s="379"/>
      <c r="W4" s="379"/>
      <c r="X4" s="379"/>
      <c r="Y4" s="379"/>
      <c r="Z4" s="379"/>
      <c r="AA4" s="380"/>
      <c r="AB4" s="397" t="s">
        <v>28</v>
      </c>
      <c r="AC4" s="398"/>
      <c r="AD4" s="398"/>
      <c r="AE4" s="399"/>
      <c r="AF4" s="378">
        <v>42786</v>
      </c>
      <c r="AG4" s="379"/>
      <c r="AH4" s="379"/>
      <c r="AI4" s="380"/>
      <c r="AJ4" s="8"/>
      <c r="AK4" s="8"/>
      <c r="AL4" s="8"/>
      <c r="AM4" s="8"/>
      <c r="AN4" s="8"/>
      <c r="AO4" s="8"/>
      <c r="AP4" s="8"/>
      <c r="AQ4" s="8"/>
      <c r="AR4" s="3"/>
      <c r="AT4" s="24">
        <v>2</v>
      </c>
      <c r="AU4" s="20" t="s">
        <v>29</v>
      </c>
      <c r="AV4" s="20" t="s">
        <v>30</v>
      </c>
      <c r="AW4" s="21">
        <f>VLOOKUP(AV4,Initial!G:K,5,FALSE)</f>
        <v>1991.6720830602626</v>
      </c>
      <c r="AX4" s="25">
        <f t="shared" si="0"/>
        <v>2019.904371463555</v>
      </c>
      <c r="AY4" s="26">
        <f t="shared" si="1"/>
        <v>2017.703291174091</v>
      </c>
    </row>
    <row r="5" spans="1:53" ht="15.75" thickBot="1" x14ac:dyDescent="0.25">
      <c r="A5" s="1" t="s">
        <v>31</v>
      </c>
      <c r="B5" s="381" t="s">
        <v>31</v>
      </c>
      <c r="C5" s="382"/>
      <c r="D5" s="382"/>
      <c r="E5" s="382"/>
      <c r="F5" s="382"/>
      <c r="G5" s="382"/>
      <c r="H5" s="382"/>
      <c r="I5" s="382"/>
      <c r="J5" s="382"/>
      <c r="K5" s="383" t="s">
        <v>31</v>
      </c>
      <c r="L5" s="383"/>
      <c r="M5" s="383"/>
      <c r="N5" s="383"/>
      <c r="O5" s="383"/>
      <c r="P5" s="383"/>
      <c r="Q5" s="383"/>
      <c r="R5" s="383"/>
      <c r="S5" s="383"/>
      <c r="T5" s="383"/>
      <c r="U5" s="383"/>
      <c r="V5" s="383"/>
      <c r="W5" s="383"/>
      <c r="X5" s="383"/>
      <c r="Y5" s="383"/>
      <c r="Z5" s="383"/>
      <c r="AA5" s="383"/>
      <c r="AB5" s="383"/>
      <c r="AC5" s="383"/>
      <c r="AD5" s="383"/>
      <c r="AE5" s="383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3"/>
      <c r="AT5" s="24">
        <v>3</v>
      </c>
      <c r="AU5" s="20" t="s">
        <v>32</v>
      </c>
      <c r="AV5" s="20" t="s">
        <v>33</v>
      </c>
      <c r="AW5" s="21">
        <f>VLOOKUP(AV5,Initial!G:K,5,FALSE)</f>
        <v>1985.6455041357583</v>
      </c>
      <c r="AX5" s="25">
        <f t="shared" si="0"/>
        <v>1984.1503149267185</v>
      </c>
      <c r="AY5" s="26">
        <f t="shared" si="1"/>
        <v>1976.9474327790549</v>
      </c>
    </row>
    <row r="6" spans="1:53" ht="24" customHeight="1" thickBot="1" x14ac:dyDescent="0.25">
      <c r="A6" s="27" t="s">
        <v>34</v>
      </c>
      <c r="B6" s="28" t="s">
        <v>35</v>
      </c>
      <c r="C6" s="353" t="s">
        <v>36</v>
      </c>
      <c r="D6" s="354"/>
      <c r="E6" s="354"/>
      <c r="F6" s="354"/>
      <c r="G6" s="354"/>
      <c r="H6" s="355"/>
      <c r="I6" s="356">
        <v>1</v>
      </c>
      <c r="J6" s="357"/>
      <c r="K6" s="358" t="str">
        <f>"Pool "&amp;B6&amp;" - Round 1 - Court "&amp;I6</f>
        <v>Pool A - Round 1 - Court 1</v>
      </c>
      <c r="L6" s="359"/>
      <c r="M6" s="359"/>
      <c r="N6" s="359"/>
      <c r="O6" s="359"/>
      <c r="P6" s="359"/>
      <c r="Q6" s="359"/>
      <c r="R6" s="359"/>
      <c r="S6" s="359"/>
      <c r="T6" s="359"/>
      <c r="U6" s="359"/>
      <c r="V6" s="359"/>
      <c r="W6" s="359"/>
      <c r="X6" s="359"/>
      <c r="Y6" s="359"/>
      <c r="Z6" s="359"/>
      <c r="AA6" s="359"/>
      <c r="AB6" s="359"/>
      <c r="AC6" s="359"/>
      <c r="AD6" s="359"/>
      <c r="AE6" s="359"/>
      <c r="AF6" s="359"/>
      <c r="AG6" s="359"/>
      <c r="AH6" s="359"/>
      <c r="AI6" s="360"/>
      <c r="AJ6" s="8"/>
      <c r="AK6" s="8"/>
      <c r="AL6" s="8"/>
      <c r="AM6" s="8"/>
      <c r="AN6" s="8"/>
      <c r="AO6" s="8"/>
      <c r="AP6" s="8"/>
      <c r="AQ6" s="8"/>
      <c r="AT6" s="24">
        <v>4</v>
      </c>
      <c r="AU6" s="20" t="s">
        <v>37</v>
      </c>
      <c r="AV6" s="20" t="s">
        <v>38</v>
      </c>
      <c r="AW6" s="21">
        <f>VLOOKUP(AV6,Initial!G:K,5,FALSE)</f>
        <v>1978.9631245417181</v>
      </c>
      <c r="AX6" s="25">
        <f t="shared" si="0"/>
        <v>1993.4834984689255</v>
      </c>
      <c r="AY6" s="26">
        <f t="shared" si="1"/>
        <v>1987.3050777336375</v>
      </c>
    </row>
    <row r="7" spans="1:53" ht="27" customHeight="1" thickBot="1" x14ac:dyDescent="0.25">
      <c r="A7" s="29" t="s">
        <v>39</v>
      </c>
      <c r="B7" s="361" t="s">
        <v>10</v>
      </c>
      <c r="C7" s="362"/>
      <c r="D7" s="362"/>
      <c r="E7" s="362"/>
      <c r="F7" s="362"/>
      <c r="G7" s="362"/>
      <c r="H7" s="362"/>
      <c r="I7" s="362"/>
      <c r="J7" s="362"/>
      <c r="K7" s="362"/>
      <c r="L7" s="361" t="str">
        <f>IF($AK10=0,"Games Won","Matches Won")</f>
        <v>Matches Won</v>
      </c>
      <c r="M7" s="362"/>
      <c r="N7" s="362"/>
      <c r="O7" s="362"/>
      <c r="P7" s="362"/>
      <c r="Q7" s="363"/>
      <c r="R7" s="361" t="str">
        <f>IF($AK10=0,"Games Lost","Matches Lost")</f>
        <v>Matches Lost</v>
      </c>
      <c r="S7" s="364"/>
      <c r="T7" s="364"/>
      <c r="U7" s="364"/>
      <c r="V7" s="365"/>
      <c r="W7" s="366" t="s">
        <v>40</v>
      </c>
      <c r="X7" s="367"/>
      <c r="Y7" s="368"/>
      <c r="Z7" s="366" t="s">
        <v>41</v>
      </c>
      <c r="AA7" s="367"/>
      <c r="AB7" s="368"/>
      <c r="AC7" s="369" t="s">
        <v>42</v>
      </c>
      <c r="AD7" s="370"/>
      <c r="AE7" s="371"/>
      <c r="AF7" s="30" t="s">
        <v>43</v>
      </c>
      <c r="AG7" s="31" t="s">
        <v>9</v>
      </c>
      <c r="AH7" s="351" t="s">
        <v>44</v>
      </c>
      <c r="AI7" s="352"/>
      <c r="AJ7" s="32"/>
      <c r="AK7" s="33">
        <v>3</v>
      </c>
      <c r="AL7" s="34" t="s">
        <v>45</v>
      </c>
      <c r="AM7" s="34"/>
      <c r="AN7" s="34"/>
      <c r="AO7" s="34"/>
      <c r="AP7" s="34"/>
      <c r="AQ7" s="34"/>
      <c r="AR7" s="35"/>
      <c r="AT7" s="24">
        <v>5</v>
      </c>
      <c r="AU7" s="20" t="s">
        <v>46</v>
      </c>
      <c r="AV7" s="20" t="s">
        <v>47</v>
      </c>
      <c r="AW7" s="21">
        <f>VLOOKUP(AV7,Initial!G:K,5,FALSE)</f>
        <v>1937.4919528089513</v>
      </c>
      <c r="AX7" s="25">
        <f t="shared" si="0"/>
        <v>1876.6771794532765</v>
      </c>
      <c r="AY7" s="26">
        <f t="shared" si="1"/>
        <v>1873.3196550996381</v>
      </c>
    </row>
    <row r="8" spans="1:53" ht="18.75" customHeight="1" thickBot="1" x14ac:dyDescent="0.25">
      <c r="A8" s="320" t="str">
        <f>IF($AK9&gt;0,"1","")</f>
        <v>1</v>
      </c>
      <c r="B8" s="348" t="s">
        <v>10</v>
      </c>
      <c r="C8" s="349"/>
      <c r="D8" s="350"/>
      <c r="E8" s="324" t="str">
        <f>AU3</f>
        <v>Crossfire 13 Power</v>
      </c>
      <c r="F8" s="325"/>
      <c r="G8" s="325"/>
      <c r="H8" s="325"/>
      <c r="I8" s="325"/>
      <c r="J8" s="325"/>
      <c r="K8" s="326"/>
      <c r="L8" s="327">
        <f>IF($AK10=0,AF64,AF46)</f>
        <v>3</v>
      </c>
      <c r="M8" s="328"/>
      <c r="N8" s="328"/>
      <c r="O8" s="328"/>
      <c r="P8" s="328"/>
      <c r="Q8" s="363"/>
      <c r="R8" s="327">
        <f>IF($AK10=0,AG64,AG46)</f>
        <v>0</v>
      </c>
      <c r="S8" s="328"/>
      <c r="T8" s="328"/>
      <c r="U8" s="328"/>
      <c r="V8" s="328"/>
      <c r="W8" s="327">
        <f>AQ24</f>
        <v>83</v>
      </c>
      <c r="X8" s="328"/>
      <c r="Y8" s="328"/>
      <c r="Z8" s="300">
        <f>IF(AF58&gt;0,(AQ24/AF58),0)</f>
        <v>0.55333333333333334</v>
      </c>
      <c r="AA8" s="301"/>
      <c r="AB8" s="301"/>
      <c r="AC8" s="304">
        <f>IF(AF72=0,0,(AF64/AF72))</f>
        <v>1</v>
      </c>
      <c r="AD8" s="305"/>
      <c r="AE8" s="306"/>
      <c r="AF8" s="310">
        <v>1</v>
      </c>
      <c r="AG8" s="310"/>
      <c r="AH8" s="312">
        <v>1</v>
      </c>
      <c r="AI8" s="313"/>
      <c r="AJ8" s="32"/>
      <c r="AK8" s="33">
        <v>6</v>
      </c>
      <c r="AL8" s="34" t="s">
        <v>48</v>
      </c>
      <c r="AM8" s="34"/>
      <c r="AN8" s="34"/>
      <c r="AO8" s="34"/>
      <c r="AP8" s="34"/>
      <c r="AQ8" s="34"/>
      <c r="AR8" s="35"/>
      <c r="AT8" s="24">
        <v>6</v>
      </c>
      <c r="AU8" s="20" t="s">
        <v>49</v>
      </c>
      <c r="AV8" s="20" t="s">
        <v>50</v>
      </c>
      <c r="AW8" s="21">
        <f>VLOOKUP(AV8,Initial!G:K,5,FALSE)</f>
        <v>1856.0832418209029</v>
      </c>
      <c r="AX8" s="25">
        <f t="shared" si="0"/>
        <v>1873.1026493351276</v>
      </c>
      <c r="AY8" s="26">
        <f t="shared" si="1"/>
        <v>1857.267256722582</v>
      </c>
    </row>
    <row r="9" spans="1:53" ht="18.75" customHeight="1" thickBot="1" x14ac:dyDescent="0.25">
      <c r="A9" s="321"/>
      <c r="B9" s="345" t="s">
        <v>11</v>
      </c>
      <c r="C9" s="346"/>
      <c r="D9" s="347"/>
      <c r="E9" s="341" t="str">
        <f>AV3</f>
        <v>fj3crosf1pm</v>
      </c>
      <c r="F9" s="342"/>
      <c r="G9" s="342"/>
      <c r="H9" s="342"/>
      <c r="I9" s="342"/>
      <c r="J9" s="342"/>
      <c r="K9" s="342"/>
      <c r="L9" s="343"/>
      <c r="M9" s="344"/>
      <c r="N9" s="344"/>
      <c r="O9" s="344"/>
      <c r="P9" s="344"/>
      <c r="Q9" s="363"/>
      <c r="R9" s="343"/>
      <c r="S9" s="344"/>
      <c r="T9" s="344"/>
      <c r="U9" s="344"/>
      <c r="V9" s="344"/>
      <c r="W9" s="343"/>
      <c r="X9" s="344"/>
      <c r="Y9" s="344"/>
      <c r="Z9" s="331"/>
      <c r="AA9" s="332"/>
      <c r="AB9" s="332"/>
      <c r="AC9" s="333"/>
      <c r="AD9" s="334"/>
      <c r="AE9" s="335"/>
      <c r="AF9" s="336"/>
      <c r="AG9" s="336"/>
      <c r="AH9" s="337"/>
      <c r="AI9" s="338"/>
      <c r="AJ9" s="32"/>
      <c r="AK9" s="33">
        <v>4</v>
      </c>
      <c r="AL9" s="34" t="s">
        <v>51</v>
      </c>
      <c r="AM9" s="32"/>
      <c r="AN9" s="32"/>
      <c r="AO9" s="32"/>
      <c r="AP9" s="32"/>
      <c r="AQ9" s="32"/>
      <c r="AR9" s="3"/>
      <c r="AT9" s="24">
        <v>7</v>
      </c>
      <c r="AU9" s="20" t="s">
        <v>52</v>
      </c>
      <c r="AV9" s="20" t="s">
        <v>53</v>
      </c>
      <c r="AW9" s="21">
        <f>VLOOKUP(AV9,Initial!G:K,5,FALSE)</f>
        <v>1846.0824249958619</v>
      </c>
      <c r="AX9" s="25">
        <f t="shared" si="0"/>
        <v>1802.3259182873846</v>
      </c>
      <c r="AY9" s="26">
        <f t="shared" si="1"/>
        <v>1841.4291853599461</v>
      </c>
    </row>
    <row r="10" spans="1:53" ht="18.75" customHeight="1" thickBot="1" x14ac:dyDescent="0.25">
      <c r="A10" s="320" t="str">
        <f>IF($AK9&gt;1,"2","")</f>
        <v>2</v>
      </c>
      <c r="B10" s="348" t="s">
        <v>10</v>
      </c>
      <c r="C10" s="349"/>
      <c r="D10" s="350"/>
      <c r="E10" s="324" t="str">
        <f>AU6</f>
        <v>C1VB 13 Power Grvl</v>
      </c>
      <c r="F10" s="325"/>
      <c r="G10" s="325"/>
      <c r="H10" s="325"/>
      <c r="I10" s="325"/>
      <c r="J10" s="325"/>
      <c r="K10" s="326"/>
      <c r="L10" s="327">
        <f>IF($AK10=0,AF65,AF47)</f>
        <v>2</v>
      </c>
      <c r="M10" s="328"/>
      <c r="N10" s="328"/>
      <c r="O10" s="328"/>
      <c r="P10" s="328"/>
      <c r="Q10" s="363"/>
      <c r="R10" s="327">
        <f>IF($AK10=0,AG65,AG47)</f>
        <v>1</v>
      </c>
      <c r="S10" s="328"/>
      <c r="T10" s="328"/>
      <c r="U10" s="328"/>
      <c r="V10" s="328"/>
      <c r="W10" s="327">
        <f>AQ25</f>
        <v>9</v>
      </c>
      <c r="X10" s="328"/>
      <c r="Y10" s="328"/>
      <c r="Z10" s="300">
        <f>IF(AF59&gt;0,(AQ25/AF59),0)</f>
        <v>5.4545454545454543E-2</v>
      </c>
      <c r="AA10" s="301"/>
      <c r="AB10" s="301"/>
      <c r="AC10" s="304">
        <f>IF(AF73=0,0,(AF65/AF73))</f>
        <v>0.5714285714285714</v>
      </c>
      <c r="AD10" s="305"/>
      <c r="AE10" s="306"/>
      <c r="AF10" s="310">
        <v>2</v>
      </c>
      <c r="AG10" s="310"/>
      <c r="AH10" s="312">
        <v>3</v>
      </c>
      <c r="AI10" s="313"/>
      <c r="AJ10" s="32"/>
      <c r="AK10" s="33">
        <v>1</v>
      </c>
      <c r="AL10" s="34" t="s">
        <v>54</v>
      </c>
      <c r="AM10" s="34"/>
      <c r="AN10" s="34"/>
      <c r="AO10" s="34"/>
      <c r="AP10" s="34"/>
      <c r="AQ10" s="34"/>
      <c r="AR10" s="35"/>
      <c r="AT10" s="24">
        <v>8</v>
      </c>
      <c r="AU10" s="36" t="s">
        <v>55</v>
      </c>
      <c r="AV10" s="20" t="s">
        <v>578</v>
      </c>
      <c r="AW10" s="21">
        <f>VLOOKUP(AV10,Initial!G:K,5,FALSE)</f>
        <v>1883.8626441487413</v>
      </c>
      <c r="AX10" s="25">
        <f t="shared" si="0"/>
        <v>1888.9919873112519</v>
      </c>
      <c r="AY10" s="26">
        <f t="shared" si="1"/>
        <v>1869.0816372048744</v>
      </c>
    </row>
    <row r="11" spans="1:53" ht="18.75" customHeight="1" thickBot="1" x14ac:dyDescent="0.25">
      <c r="A11" s="321"/>
      <c r="B11" s="339" t="s">
        <v>11</v>
      </c>
      <c r="C11" s="340"/>
      <c r="D11" s="340"/>
      <c r="E11" s="341" t="str">
        <f>AV6</f>
        <v>fj3crone2pm</v>
      </c>
      <c r="F11" s="342"/>
      <c r="G11" s="342"/>
      <c r="H11" s="342"/>
      <c r="I11" s="342"/>
      <c r="J11" s="342"/>
      <c r="K11" s="342"/>
      <c r="L11" s="343"/>
      <c r="M11" s="344"/>
      <c r="N11" s="344"/>
      <c r="O11" s="344"/>
      <c r="P11" s="344"/>
      <c r="Q11" s="363"/>
      <c r="R11" s="343"/>
      <c r="S11" s="344"/>
      <c r="T11" s="344"/>
      <c r="U11" s="344"/>
      <c r="V11" s="344"/>
      <c r="W11" s="343"/>
      <c r="X11" s="344"/>
      <c r="Y11" s="344"/>
      <c r="Z11" s="331"/>
      <c r="AA11" s="332"/>
      <c r="AB11" s="332"/>
      <c r="AC11" s="333"/>
      <c r="AD11" s="334"/>
      <c r="AE11" s="335"/>
      <c r="AF11" s="336"/>
      <c r="AG11" s="336"/>
      <c r="AH11" s="337"/>
      <c r="AI11" s="338"/>
      <c r="AJ11" s="32"/>
      <c r="AK11" s="33">
        <v>1</v>
      </c>
      <c r="AL11" s="34" t="s">
        <v>56</v>
      </c>
      <c r="AM11" s="32"/>
      <c r="AN11" s="32"/>
      <c r="AO11" s="32"/>
      <c r="AP11" s="32"/>
      <c r="AQ11" s="32"/>
      <c r="AR11" s="3"/>
      <c r="AT11" s="37"/>
      <c r="AU11" s="38"/>
      <c r="AV11" s="39"/>
      <c r="AW11" s="40"/>
      <c r="AX11" s="41"/>
      <c r="AY11" s="42"/>
    </row>
    <row r="12" spans="1:53" ht="18.75" customHeight="1" thickBot="1" x14ac:dyDescent="0.25">
      <c r="A12" s="320" t="str">
        <f>IF($AK9&gt;2,"3","")</f>
        <v>3</v>
      </c>
      <c r="B12" s="322" t="s">
        <v>10</v>
      </c>
      <c r="C12" s="323"/>
      <c r="D12" s="323"/>
      <c r="E12" s="324" t="str">
        <f>AU7</f>
        <v>Chas Jrs 13 Red</v>
      </c>
      <c r="F12" s="325"/>
      <c r="G12" s="325"/>
      <c r="H12" s="325"/>
      <c r="I12" s="325"/>
      <c r="J12" s="325"/>
      <c r="K12" s="326"/>
      <c r="L12" s="327">
        <f>IF($AK10=0,AF66,AF48)</f>
        <v>0</v>
      </c>
      <c r="M12" s="328"/>
      <c r="N12" s="328"/>
      <c r="O12" s="328"/>
      <c r="P12" s="328"/>
      <c r="Q12" s="363"/>
      <c r="R12" s="327">
        <f>IF($AK10=0,AG66,AG48)</f>
        <v>3</v>
      </c>
      <c r="S12" s="328"/>
      <c r="T12" s="328"/>
      <c r="U12" s="328"/>
      <c r="V12" s="328"/>
      <c r="W12" s="327">
        <f>AQ26</f>
        <v>-55</v>
      </c>
      <c r="X12" s="328"/>
      <c r="Y12" s="328"/>
      <c r="Z12" s="300">
        <f>IF(AF60&gt;0,(AQ26/AF60),0)</f>
        <v>-0.33333333333333331</v>
      </c>
      <c r="AA12" s="301"/>
      <c r="AB12" s="301"/>
      <c r="AC12" s="304">
        <f>IF(AF74=0,0,(AF66/AF74))</f>
        <v>0.14285714285714285</v>
      </c>
      <c r="AD12" s="305"/>
      <c r="AE12" s="306"/>
      <c r="AF12" s="310">
        <v>4</v>
      </c>
      <c r="AG12" s="310"/>
      <c r="AH12" s="312">
        <v>2</v>
      </c>
      <c r="AI12" s="313"/>
      <c r="AJ12" s="43"/>
      <c r="AK12" s="33">
        <v>3</v>
      </c>
      <c r="AL12" s="44" t="s">
        <v>57</v>
      </c>
      <c r="AM12" s="34"/>
      <c r="AN12" s="34"/>
      <c r="AO12" s="34"/>
      <c r="AP12" s="34"/>
      <c r="AQ12" s="34"/>
      <c r="AR12" s="35"/>
      <c r="AT12" s="45"/>
      <c r="AU12" s="46"/>
      <c r="AV12" s="47"/>
      <c r="AW12" s="48"/>
      <c r="AX12" s="49"/>
      <c r="AY12" s="50"/>
    </row>
    <row r="13" spans="1:53" ht="18.75" customHeight="1" thickBot="1" x14ac:dyDescent="0.25">
      <c r="A13" s="321"/>
      <c r="B13" s="339" t="s">
        <v>11</v>
      </c>
      <c r="C13" s="340"/>
      <c r="D13" s="340"/>
      <c r="E13" s="341" t="str">
        <f>AV7</f>
        <v>fj3charl1pm</v>
      </c>
      <c r="F13" s="342"/>
      <c r="G13" s="342"/>
      <c r="H13" s="342"/>
      <c r="I13" s="342"/>
      <c r="J13" s="342"/>
      <c r="K13" s="342"/>
      <c r="L13" s="343"/>
      <c r="M13" s="344"/>
      <c r="N13" s="344"/>
      <c r="O13" s="344"/>
      <c r="P13" s="344"/>
      <c r="Q13" s="363"/>
      <c r="R13" s="343"/>
      <c r="S13" s="344"/>
      <c r="T13" s="344"/>
      <c r="U13" s="344"/>
      <c r="V13" s="344"/>
      <c r="W13" s="343"/>
      <c r="X13" s="344"/>
      <c r="Y13" s="344"/>
      <c r="Z13" s="331"/>
      <c r="AA13" s="332"/>
      <c r="AB13" s="332"/>
      <c r="AC13" s="333"/>
      <c r="AD13" s="334"/>
      <c r="AE13" s="335"/>
      <c r="AF13" s="336"/>
      <c r="AG13" s="336"/>
      <c r="AH13" s="337"/>
      <c r="AI13" s="338"/>
      <c r="AJ13" s="43"/>
      <c r="AK13" s="51"/>
      <c r="AL13" s="52"/>
      <c r="AM13" s="52"/>
      <c r="AN13" s="52"/>
      <c r="AO13" s="52"/>
      <c r="AP13" s="52"/>
      <c r="AQ13" s="32"/>
      <c r="AR13" s="3"/>
      <c r="AT13" s="372" t="s">
        <v>58</v>
      </c>
      <c r="AU13" s="373"/>
      <c r="AV13" s="373"/>
      <c r="AW13" s="373"/>
      <c r="AX13" s="373"/>
      <c r="AY13" s="374"/>
    </row>
    <row r="14" spans="1:53" ht="18.75" customHeight="1" thickBot="1" x14ac:dyDescent="0.25">
      <c r="A14" s="320" t="str">
        <f>IF($AK9&gt;3,"4","")</f>
        <v>4</v>
      </c>
      <c r="B14" s="322" t="s">
        <v>10</v>
      </c>
      <c r="C14" s="323"/>
      <c r="D14" s="323"/>
      <c r="E14" s="324" t="str">
        <f>AU10</f>
        <v xml:space="preserve">CSRA Heat 14 Black </v>
      </c>
      <c r="F14" s="325"/>
      <c r="G14" s="325"/>
      <c r="H14" s="325"/>
      <c r="I14" s="325"/>
      <c r="J14" s="325"/>
      <c r="K14" s="326"/>
      <c r="L14" s="327">
        <f>IF($AK10=0,AF67,AF49)</f>
        <v>1</v>
      </c>
      <c r="M14" s="328"/>
      <c r="N14" s="328"/>
      <c r="O14" s="328"/>
      <c r="P14" s="328"/>
      <c r="Q14" s="363"/>
      <c r="R14" s="327">
        <f>IF($AK10=0,AG67,AG49)</f>
        <v>2</v>
      </c>
      <c r="S14" s="328"/>
      <c r="T14" s="328"/>
      <c r="U14" s="328"/>
      <c r="V14" s="328"/>
      <c r="W14" s="327">
        <f>AQ27</f>
        <v>-37</v>
      </c>
      <c r="X14" s="328"/>
      <c r="Y14" s="328"/>
      <c r="Z14" s="300">
        <f>IF(AF61&gt;0,(AQ27/AF61),0)</f>
        <v>-0.24666666666666667</v>
      </c>
      <c r="AA14" s="301"/>
      <c r="AB14" s="301"/>
      <c r="AC14" s="304">
        <f>IF(AF75=0,0,(AF67/AF75))</f>
        <v>0.33333333333333331</v>
      </c>
      <c r="AD14" s="305"/>
      <c r="AE14" s="306"/>
      <c r="AF14" s="310">
        <v>3</v>
      </c>
      <c r="AG14" s="310"/>
      <c r="AH14" s="312">
        <v>3</v>
      </c>
      <c r="AI14" s="313"/>
      <c r="AJ14" s="8"/>
      <c r="AK14" s="52"/>
      <c r="AL14" s="52"/>
      <c r="AM14" s="52"/>
      <c r="AN14" s="52"/>
      <c r="AO14" s="52"/>
      <c r="AP14" s="52"/>
      <c r="AQ14" s="34"/>
      <c r="AR14" s="35"/>
      <c r="AT14" s="375"/>
      <c r="AU14" s="376"/>
      <c r="AV14" s="376"/>
      <c r="AW14" s="376"/>
      <c r="AX14" s="376"/>
      <c r="AY14" s="377"/>
    </row>
    <row r="15" spans="1:53" ht="18.75" customHeight="1" thickBot="1" x14ac:dyDescent="0.25">
      <c r="A15" s="321"/>
      <c r="B15" s="339" t="s">
        <v>11</v>
      </c>
      <c r="C15" s="340"/>
      <c r="D15" s="340"/>
      <c r="E15" s="341" t="str">
        <f>AV10</f>
        <v>fj4csrah3pm</v>
      </c>
      <c r="F15" s="342"/>
      <c r="G15" s="342"/>
      <c r="H15" s="342"/>
      <c r="I15" s="342"/>
      <c r="J15" s="342"/>
      <c r="K15" s="342"/>
      <c r="L15" s="343"/>
      <c r="M15" s="344"/>
      <c r="N15" s="344"/>
      <c r="O15" s="344"/>
      <c r="P15" s="344"/>
      <c r="Q15" s="363"/>
      <c r="R15" s="343"/>
      <c r="S15" s="344"/>
      <c r="T15" s="344"/>
      <c r="U15" s="344"/>
      <c r="V15" s="344"/>
      <c r="W15" s="343"/>
      <c r="X15" s="344"/>
      <c r="Y15" s="344"/>
      <c r="Z15" s="331"/>
      <c r="AA15" s="332"/>
      <c r="AB15" s="332"/>
      <c r="AC15" s="333"/>
      <c r="AD15" s="334"/>
      <c r="AE15" s="335"/>
      <c r="AF15" s="336"/>
      <c r="AG15" s="336"/>
      <c r="AH15" s="337"/>
      <c r="AI15" s="338"/>
      <c r="AJ15" s="8"/>
      <c r="AK15" s="52"/>
      <c r="AL15" s="52"/>
      <c r="AM15" s="52"/>
      <c r="AN15" s="52"/>
      <c r="AO15" s="52"/>
      <c r="AP15" s="52"/>
      <c r="AQ15" s="8"/>
      <c r="AR15" s="3"/>
    </row>
    <row r="16" spans="1:53" ht="18.75" customHeight="1" x14ac:dyDescent="0.2">
      <c r="A16" s="320" t="str">
        <f>IF($AK9&gt;4,"5","")</f>
        <v/>
      </c>
      <c r="B16" s="322" t="s">
        <v>10</v>
      </c>
      <c r="C16" s="323"/>
      <c r="D16" s="323"/>
      <c r="E16" s="324">
        <f>AU11</f>
        <v>0</v>
      </c>
      <c r="F16" s="325"/>
      <c r="G16" s="325"/>
      <c r="H16" s="325"/>
      <c r="I16" s="325"/>
      <c r="J16" s="325"/>
      <c r="K16" s="326"/>
      <c r="L16" s="327">
        <f>IF($AK10=0,AF68,AF50)</f>
        <v>0</v>
      </c>
      <c r="M16" s="328"/>
      <c r="N16" s="328"/>
      <c r="O16" s="328"/>
      <c r="P16" s="328"/>
      <c r="Q16" s="363"/>
      <c r="R16" s="327">
        <f>IF($AK10=0,AG68,AG50)</f>
        <v>0</v>
      </c>
      <c r="S16" s="328"/>
      <c r="T16" s="328"/>
      <c r="U16" s="328"/>
      <c r="V16" s="328"/>
      <c r="W16" s="327">
        <f>AQ28</f>
        <v>0</v>
      </c>
      <c r="X16" s="328"/>
      <c r="Y16" s="328"/>
      <c r="Z16" s="300">
        <f>IF(AF62&gt;0,(AQ28/AF62),0)</f>
        <v>0</v>
      </c>
      <c r="AA16" s="301"/>
      <c r="AB16" s="301"/>
      <c r="AC16" s="304">
        <f>IF(AF76=0,0,(AF68/AF76))</f>
        <v>0</v>
      </c>
      <c r="AD16" s="305"/>
      <c r="AE16" s="306"/>
      <c r="AF16" s="310"/>
      <c r="AG16" s="310"/>
      <c r="AH16" s="312"/>
      <c r="AI16" s="313"/>
      <c r="AJ16" s="8"/>
      <c r="AK16" s="52"/>
      <c r="AL16" s="52"/>
      <c r="AM16" s="52"/>
      <c r="AN16" s="52"/>
      <c r="AO16" s="52"/>
      <c r="AP16" s="52"/>
      <c r="AQ16" s="8"/>
      <c r="AR16" s="3"/>
      <c r="AS16" s="53"/>
      <c r="AT16" s="54"/>
      <c r="AU16" s="54"/>
    </row>
    <row r="17" spans="1:47" ht="18.75" customHeight="1" thickBot="1" x14ac:dyDescent="0.25">
      <c r="A17" s="321"/>
      <c r="B17" s="316" t="s">
        <v>11</v>
      </c>
      <c r="C17" s="317"/>
      <c r="D17" s="317"/>
      <c r="E17" s="318">
        <f>AV11</f>
        <v>0</v>
      </c>
      <c r="F17" s="319"/>
      <c r="G17" s="319"/>
      <c r="H17" s="319"/>
      <c r="I17" s="319"/>
      <c r="J17" s="319"/>
      <c r="K17" s="319"/>
      <c r="L17" s="329"/>
      <c r="M17" s="330"/>
      <c r="N17" s="330"/>
      <c r="O17" s="330"/>
      <c r="P17" s="330"/>
      <c r="Q17" s="363"/>
      <c r="R17" s="329"/>
      <c r="S17" s="330"/>
      <c r="T17" s="330"/>
      <c r="U17" s="330"/>
      <c r="V17" s="330"/>
      <c r="W17" s="329"/>
      <c r="X17" s="330"/>
      <c r="Y17" s="330"/>
      <c r="Z17" s="302"/>
      <c r="AA17" s="303"/>
      <c r="AB17" s="303"/>
      <c r="AC17" s="307"/>
      <c r="AD17" s="308"/>
      <c r="AE17" s="309"/>
      <c r="AF17" s="311"/>
      <c r="AG17" s="311"/>
      <c r="AH17" s="314"/>
      <c r="AI17" s="315"/>
      <c r="AJ17" s="8"/>
      <c r="AK17" s="52"/>
      <c r="AL17" s="52"/>
      <c r="AM17" s="52"/>
      <c r="AN17" s="52"/>
      <c r="AO17" s="52"/>
      <c r="AP17" s="52"/>
      <c r="AQ17" s="8"/>
      <c r="AR17" s="3"/>
      <c r="AS17" s="53"/>
      <c r="AT17" s="54"/>
      <c r="AU17" s="54"/>
    </row>
    <row r="18" spans="1:47" ht="21" customHeight="1" thickTop="1" thickBot="1" x14ac:dyDescent="0.25">
      <c r="A18" s="55"/>
      <c r="B18" s="297" t="s">
        <v>59</v>
      </c>
      <c r="C18" s="298"/>
      <c r="D18" s="298"/>
      <c r="E18" s="298"/>
      <c r="F18" s="298"/>
      <c r="G18" s="298"/>
      <c r="H18" s="298"/>
      <c r="I18" s="298"/>
      <c r="J18" s="298"/>
      <c r="K18" s="298"/>
      <c r="L18" s="298"/>
      <c r="M18" s="298"/>
      <c r="N18" s="298"/>
      <c r="O18" s="298"/>
      <c r="P18" s="298"/>
      <c r="Q18" s="298"/>
      <c r="R18" s="298"/>
      <c r="S18" s="298"/>
      <c r="T18" s="298"/>
      <c r="U18" s="298"/>
      <c r="V18" s="298"/>
      <c r="W18" s="298"/>
      <c r="X18" s="298"/>
      <c r="Y18" s="298"/>
      <c r="Z18" s="298"/>
      <c r="AA18" s="298"/>
      <c r="AB18" s="298"/>
      <c r="AC18" s="298"/>
      <c r="AD18" s="298"/>
      <c r="AE18" s="298"/>
      <c r="AF18" s="298"/>
      <c r="AG18" s="298"/>
      <c r="AH18" s="298"/>
      <c r="AI18" s="299"/>
      <c r="AJ18" s="8"/>
      <c r="AK18" s="52"/>
      <c r="AL18" s="52"/>
      <c r="AM18" s="52"/>
      <c r="AN18" s="52"/>
      <c r="AO18" s="52"/>
      <c r="AP18" s="52"/>
      <c r="AQ18" s="8"/>
      <c r="AR18" s="3"/>
      <c r="AS18" s="53"/>
      <c r="AT18" s="54"/>
      <c r="AU18" s="54"/>
    </row>
    <row r="19" spans="1:47" ht="13.5" customHeight="1" thickTop="1" x14ac:dyDescent="0.2">
      <c r="A19" s="4" t="s">
        <v>60</v>
      </c>
      <c r="B19" s="286">
        <v>0.35416666666666669</v>
      </c>
      <c r="C19" s="287"/>
      <c r="D19" s="288"/>
      <c r="E19" s="286">
        <v>0.39583333333333331</v>
      </c>
      <c r="F19" s="287"/>
      <c r="G19" s="288"/>
      <c r="H19" s="286">
        <v>0.4375</v>
      </c>
      <c r="I19" s="287"/>
      <c r="J19" s="288"/>
      <c r="K19" s="286">
        <v>0.5</v>
      </c>
      <c r="L19" s="287"/>
      <c r="M19" s="288"/>
      <c r="N19" s="286">
        <v>4.1666666666666664E-2</v>
      </c>
      <c r="O19" s="287"/>
      <c r="P19" s="288"/>
      <c r="Q19" s="286">
        <v>8.3333333333333329E-2</v>
      </c>
      <c r="R19" s="287"/>
      <c r="S19" s="288"/>
      <c r="T19" s="286">
        <v>4.1666666666666664E-2</v>
      </c>
      <c r="U19" s="287"/>
      <c r="V19" s="288"/>
      <c r="W19" s="286">
        <v>7.2916666666666671E-2</v>
      </c>
      <c r="X19" s="287"/>
      <c r="Y19" s="288"/>
      <c r="Z19" s="286">
        <v>0.10416666666666667</v>
      </c>
      <c r="AA19" s="287"/>
      <c r="AB19" s="288"/>
      <c r="AC19" s="286">
        <v>0.13541666666666666</v>
      </c>
      <c r="AD19" s="287"/>
      <c r="AE19" s="288"/>
      <c r="AF19" s="289" t="s">
        <v>61</v>
      </c>
      <c r="AG19" s="290"/>
      <c r="AH19" s="290"/>
      <c r="AI19" s="290"/>
      <c r="AJ19" s="291"/>
      <c r="AK19" s="291"/>
      <c r="AL19" s="291"/>
      <c r="AM19" s="291"/>
      <c r="AN19" s="291"/>
      <c r="AO19" s="291"/>
      <c r="AP19" s="291"/>
      <c r="AQ19" s="292"/>
      <c r="AS19" s="53"/>
      <c r="AT19" s="54"/>
      <c r="AU19" s="54"/>
    </row>
    <row r="20" spans="1:47" x14ac:dyDescent="0.2">
      <c r="A20" s="56" t="s">
        <v>62</v>
      </c>
      <c r="B20" s="283"/>
      <c r="C20" s="284"/>
      <c r="D20" s="285"/>
      <c r="E20" s="283"/>
      <c r="F20" s="284"/>
      <c r="G20" s="285"/>
      <c r="H20" s="283"/>
      <c r="I20" s="284"/>
      <c r="J20" s="285"/>
      <c r="K20" s="283"/>
      <c r="L20" s="284"/>
      <c r="M20" s="285"/>
      <c r="N20" s="283"/>
      <c r="O20" s="284"/>
      <c r="P20" s="285"/>
      <c r="Q20" s="283"/>
      <c r="R20" s="284"/>
      <c r="S20" s="285"/>
      <c r="T20" s="283"/>
      <c r="U20" s="284"/>
      <c r="V20" s="285"/>
      <c r="W20" s="283"/>
      <c r="X20" s="284"/>
      <c r="Y20" s="285"/>
      <c r="Z20" s="283"/>
      <c r="AA20" s="284"/>
      <c r="AB20" s="285"/>
      <c r="AC20" s="283"/>
      <c r="AD20" s="284"/>
      <c r="AE20" s="285"/>
      <c r="AF20" s="289"/>
      <c r="AG20" s="290"/>
      <c r="AH20" s="290"/>
      <c r="AI20" s="290"/>
      <c r="AJ20" s="290"/>
      <c r="AK20" s="290"/>
      <c r="AL20" s="290"/>
      <c r="AM20" s="290"/>
      <c r="AN20" s="290"/>
      <c r="AO20" s="290"/>
      <c r="AP20" s="290"/>
      <c r="AQ20" s="293"/>
      <c r="AS20" s="53"/>
      <c r="AT20" s="54"/>
      <c r="AU20" s="54"/>
    </row>
    <row r="21" spans="1:47" x14ac:dyDescent="0.2">
      <c r="A21" s="56" t="s">
        <v>63</v>
      </c>
      <c r="B21" s="283"/>
      <c r="C21" s="284"/>
      <c r="D21" s="285"/>
      <c r="E21" s="283"/>
      <c r="F21" s="284"/>
      <c r="G21" s="285"/>
      <c r="H21" s="283"/>
      <c r="I21" s="284"/>
      <c r="J21" s="285"/>
      <c r="K21" s="283"/>
      <c r="L21" s="284"/>
      <c r="M21" s="285"/>
      <c r="N21" s="283"/>
      <c r="O21" s="284"/>
      <c r="P21" s="285"/>
      <c r="Q21" s="283"/>
      <c r="R21" s="284"/>
      <c r="S21" s="285"/>
      <c r="T21" s="283"/>
      <c r="U21" s="284"/>
      <c r="V21" s="285"/>
      <c r="W21" s="283"/>
      <c r="X21" s="284"/>
      <c r="Y21" s="285"/>
      <c r="Z21" s="283"/>
      <c r="AA21" s="284"/>
      <c r="AB21" s="285"/>
      <c r="AC21" s="283"/>
      <c r="AD21" s="284"/>
      <c r="AE21" s="285"/>
      <c r="AF21" s="289"/>
      <c r="AG21" s="290"/>
      <c r="AH21" s="290"/>
      <c r="AI21" s="290"/>
      <c r="AJ21" s="290"/>
      <c r="AK21" s="290"/>
      <c r="AL21" s="290"/>
      <c r="AM21" s="290"/>
      <c r="AN21" s="290"/>
      <c r="AO21" s="290"/>
      <c r="AP21" s="290"/>
      <c r="AQ21" s="293"/>
      <c r="AS21" s="7"/>
      <c r="AT21" s="7"/>
      <c r="AU21" s="7"/>
    </row>
    <row r="22" spans="1:47" ht="13.5" thickBot="1" x14ac:dyDescent="0.25">
      <c r="A22" s="8"/>
      <c r="B22" s="173" t="s">
        <v>64</v>
      </c>
      <c r="C22" s="174"/>
      <c r="D22" s="180"/>
      <c r="E22" s="173" t="str">
        <f>IF(AK8&gt;1,"Match 2","")</f>
        <v>Match 2</v>
      </c>
      <c r="F22" s="174"/>
      <c r="G22" s="180"/>
      <c r="H22" s="173" t="str">
        <f>IF(AK8&gt;2,"Match 3","")</f>
        <v>Match 3</v>
      </c>
      <c r="I22" s="174"/>
      <c r="J22" s="180"/>
      <c r="K22" s="173" t="str">
        <f>IF(AK8&gt;3,"Match 4","")</f>
        <v>Match 4</v>
      </c>
      <c r="L22" s="174"/>
      <c r="M22" s="180"/>
      <c r="N22" s="173" t="str">
        <f>IF(AK8&gt;4,"Match 5","")</f>
        <v>Match 5</v>
      </c>
      <c r="O22" s="174"/>
      <c r="P22" s="180"/>
      <c r="Q22" s="173" t="str">
        <f>IF(AK8&gt;5,"Match 6","")</f>
        <v>Match 6</v>
      </c>
      <c r="R22" s="174"/>
      <c r="S22" s="180"/>
      <c r="T22" s="173" t="str">
        <f>IF(AK8&gt;6,"Match 7","")</f>
        <v/>
      </c>
      <c r="U22" s="174"/>
      <c r="V22" s="180"/>
      <c r="W22" s="173" t="str">
        <f>IF(AK8&gt;7,"Match 8","")</f>
        <v/>
      </c>
      <c r="X22" s="174"/>
      <c r="Y22" s="180"/>
      <c r="Z22" s="173" t="str">
        <f>IF(AK8&gt;8,"Match 9","")</f>
        <v/>
      </c>
      <c r="AA22" s="174"/>
      <c r="AB22" s="180"/>
      <c r="AC22" s="173" t="str">
        <f>IF(AK8&gt;9,"Match 10","")</f>
        <v/>
      </c>
      <c r="AD22" s="174"/>
      <c r="AE22" s="180"/>
      <c r="AF22" s="294"/>
      <c r="AG22" s="295"/>
      <c r="AH22" s="295"/>
      <c r="AI22" s="295"/>
      <c r="AJ22" s="295"/>
      <c r="AK22" s="295"/>
      <c r="AL22" s="295"/>
      <c r="AM22" s="295"/>
      <c r="AN22" s="295"/>
      <c r="AO22" s="295"/>
      <c r="AP22" s="295"/>
      <c r="AQ22" s="296"/>
      <c r="AS22" s="53"/>
      <c r="AT22" s="54"/>
      <c r="AU22" s="54"/>
    </row>
    <row r="23" spans="1:47" ht="15.75" x14ac:dyDescent="0.25">
      <c r="A23" s="8"/>
      <c r="B23" s="277" t="s">
        <v>65</v>
      </c>
      <c r="C23" s="278"/>
      <c r="D23" s="279"/>
      <c r="E23" s="277" t="s">
        <v>66</v>
      </c>
      <c r="F23" s="278"/>
      <c r="G23" s="279"/>
      <c r="H23" s="277" t="s">
        <v>67</v>
      </c>
      <c r="I23" s="278"/>
      <c r="J23" s="279"/>
      <c r="K23" s="277" t="s">
        <v>68</v>
      </c>
      <c r="L23" s="278"/>
      <c r="M23" s="279"/>
      <c r="N23" s="277" t="s">
        <v>66</v>
      </c>
      <c r="O23" s="278"/>
      <c r="P23" s="279"/>
      <c r="Q23" s="277" t="s">
        <v>67</v>
      </c>
      <c r="R23" s="278"/>
      <c r="S23" s="279"/>
      <c r="T23" s="277" t="s">
        <v>68</v>
      </c>
      <c r="U23" s="278"/>
      <c r="V23" s="279"/>
      <c r="W23" s="277" t="s">
        <v>66</v>
      </c>
      <c r="X23" s="278"/>
      <c r="Y23" s="279"/>
      <c r="Z23" s="277" t="s">
        <v>69</v>
      </c>
      <c r="AA23" s="278"/>
      <c r="AB23" s="279"/>
      <c r="AC23" s="277" t="s">
        <v>67</v>
      </c>
      <c r="AD23" s="278"/>
      <c r="AE23" s="279"/>
      <c r="AF23" s="57" t="s">
        <v>70</v>
      </c>
      <c r="AG23" s="58">
        <v>1</v>
      </c>
      <c r="AH23" s="58">
        <v>2</v>
      </c>
      <c r="AI23" s="58">
        <v>3</v>
      </c>
      <c r="AJ23" s="58">
        <v>4</v>
      </c>
      <c r="AK23" s="58">
        <v>5</v>
      </c>
      <c r="AL23" s="58">
        <v>6</v>
      </c>
      <c r="AM23" s="58">
        <v>7</v>
      </c>
      <c r="AN23" s="58">
        <v>8</v>
      </c>
      <c r="AO23" s="58">
        <v>9</v>
      </c>
      <c r="AP23" s="58">
        <v>10</v>
      </c>
      <c r="AQ23" s="59" t="s">
        <v>71</v>
      </c>
      <c r="AS23" s="60"/>
      <c r="AT23" s="54"/>
      <c r="AU23" s="54"/>
    </row>
    <row r="24" spans="1:47" ht="15.75" x14ac:dyDescent="0.25">
      <c r="A24" s="8"/>
      <c r="B24" s="61">
        <v>2</v>
      </c>
      <c r="C24" s="62" t="s">
        <v>72</v>
      </c>
      <c r="D24" s="63">
        <v>3</v>
      </c>
      <c r="E24" s="61">
        <v>1</v>
      </c>
      <c r="F24" s="62" t="str">
        <f>IF(AK8&gt;1,"v","")</f>
        <v>v</v>
      </c>
      <c r="G24" s="63">
        <v>4</v>
      </c>
      <c r="H24" s="61">
        <v>2</v>
      </c>
      <c r="I24" s="62" t="str">
        <f>IF(AK8&gt;2,"v","")</f>
        <v>v</v>
      </c>
      <c r="J24" s="63">
        <v>4</v>
      </c>
      <c r="K24" s="61">
        <v>1</v>
      </c>
      <c r="L24" s="62" t="str">
        <f>IF(AK8&gt;3,"v","")</f>
        <v>v</v>
      </c>
      <c r="M24" s="63">
        <v>3</v>
      </c>
      <c r="N24" s="61">
        <v>3</v>
      </c>
      <c r="O24" s="62" t="str">
        <f>IF(AK8&gt;4,"v","")</f>
        <v>v</v>
      </c>
      <c r="P24" s="63">
        <v>4</v>
      </c>
      <c r="Q24" s="61">
        <v>1</v>
      </c>
      <c r="R24" s="62" t="str">
        <f>IF(AK8&gt;5,"v","")</f>
        <v>v</v>
      </c>
      <c r="S24" s="63">
        <v>2</v>
      </c>
      <c r="T24" s="61">
        <v>2</v>
      </c>
      <c r="U24" s="62" t="str">
        <f>IF(AK8&gt;6,"v","")</f>
        <v/>
      </c>
      <c r="V24" s="63">
        <v>3</v>
      </c>
      <c r="W24" s="61">
        <v>1</v>
      </c>
      <c r="X24" s="62" t="str">
        <f>IF(AK8&gt;7,"v","")</f>
        <v/>
      </c>
      <c r="Y24" s="63">
        <v>5</v>
      </c>
      <c r="Z24" s="61">
        <v>3</v>
      </c>
      <c r="AA24" s="62" t="str">
        <f>IF(AK8&gt;8,"v","")</f>
        <v/>
      </c>
      <c r="AB24" s="63">
        <v>4</v>
      </c>
      <c r="AC24" s="61">
        <v>1</v>
      </c>
      <c r="AD24" s="62" t="str">
        <f>IF(AK8&gt;9,"v","")</f>
        <v/>
      </c>
      <c r="AE24" s="63">
        <v>2</v>
      </c>
      <c r="AF24" s="57" t="str">
        <f>IF(AK9&gt;0,"Team 1","")</f>
        <v>Team 1</v>
      </c>
      <c r="AG24" s="64" t="str">
        <f>IF(AK9&lt;1,"",IF(AK8&lt;1,"",IF(B24=1,B30-D30,IF(D24=1,D30-B30,""))))</f>
        <v/>
      </c>
      <c r="AH24" s="64">
        <f>IF(AK9&lt;1,"",IF(AK8&lt;2,"",IF(E24=1,E30-G30,IF(G24=1,G30-E30,""))))</f>
        <v>26</v>
      </c>
      <c r="AI24" s="64" t="str">
        <f>IF(AK9&lt;1,"",IF(AK8&lt;3,"",IF(H24=1,H30-J30,IF(J24=1,J30-H30,""))))</f>
        <v/>
      </c>
      <c r="AJ24" s="64">
        <f>IF(AK9&lt;1,"",IF(AK8&lt;4,"",IF(K24=1,K30-M30,IF(M24=1,M30-K30,""))))</f>
        <v>30</v>
      </c>
      <c r="AK24" s="64" t="str">
        <f>IF(AK9&lt;1,"",IF(AK8&lt;5,"",IF(N24=1,N30-P30,IF(P24=1,P30-N30,""))))</f>
        <v/>
      </c>
      <c r="AL24" s="64">
        <f>IF(AK9&lt;1,"",IF(AK8&lt;6,"",IF(Q24=1,Q30-S30,IF(S24=1,S30-Q30,""))))</f>
        <v>27</v>
      </c>
      <c r="AM24" s="64" t="str">
        <f>IF(AK9&lt;1,"",IF(AK8&lt;7,"",IF(T24=1,T30-V30,IF(V24=1,V30-T30,""))))</f>
        <v/>
      </c>
      <c r="AN24" s="64" t="str">
        <f>IF(AK9&lt;1,"",IF(AK8&lt;8,"",IF(W24=1,W30-Y30,IF(Y24=1,Y30-W30,""))))</f>
        <v/>
      </c>
      <c r="AO24" s="64" t="str">
        <f>IF(AK9&lt;1,"",IF(AK8&lt;9,"",IF(Z24=1,Z30-AB30,IF(AB24=1,AB30-Z30,""))))</f>
        <v/>
      </c>
      <c r="AP24" s="64" t="str">
        <f>IF(AK9&lt;1,"",IF(AK8&lt;10,"",IF(AC24=1,AC30-AE30,IF(AE24=1,AE30-AC30,""))))</f>
        <v/>
      </c>
      <c r="AQ24" s="59">
        <f>SUM(AG24:AP24)</f>
        <v>83</v>
      </c>
      <c r="AS24" s="60"/>
      <c r="AT24" s="54"/>
      <c r="AU24" s="54"/>
    </row>
    <row r="25" spans="1:47" ht="15" x14ac:dyDescent="0.2">
      <c r="A25" s="4" t="s">
        <v>73</v>
      </c>
      <c r="B25" s="65">
        <v>21</v>
      </c>
      <c r="C25" s="66" t="s">
        <v>74</v>
      </c>
      <c r="D25" s="67">
        <v>25</v>
      </c>
      <c r="E25" s="65">
        <v>25</v>
      </c>
      <c r="F25" s="66" t="str">
        <f>IF(AK8&gt;1,"/","")</f>
        <v>/</v>
      </c>
      <c r="G25" s="67">
        <v>15</v>
      </c>
      <c r="H25" s="65">
        <v>25</v>
      </c>
      <c r="I25" s="66" t="str">
        <f>IF(AK8&gt;2,"/","")</f>
        <v>/</v>
      </c>
      <c r="J25" s="67">
        <v>16</v>
      </c>
      <c r="K25" s="65">
        <v>25</v>
      </c>
      <c r="L25" s="66" t="str">
        <f>IF(AK8&gt;3,"/","")</f>
        <v>/</v>
      </c>
      <c r="M25" s="67">
        <v>9</v>
      </c>
      <c r="N25" s="65">
        <v>22</v>
      </c>
      <c r="O25" s="66" t="str">
        <f>IF(AK8&gt;4,"/","")</f>
        <v>/</v>
      </c>
      <c r="P25" s="67">
        <v>25</v>
      </c>
      <c r="Q25" s="65">
        <v>25</v>
      </c>
      <c r="R25" s="66" t="str">
        <f>IF(AK8&gt;5,"/","")</f>
        <v>/</v>
      </c>
      <c r="S25" s="67">
        <v>14</v>
      </c>
      <c r="T25" s="65"/>
      <c r="U25" s="66" t="str">
        <f>IF(AK8&gt;6,"/","")</f>
        <v/>
      </c>
      <c r="V25" s="67"/>
      <c r="W25" s="65"/>
      <c r="X25" s="66" t="str">
        <f>IF(AK8&gt;7,"/","")</f>
        <v/>
      </c>
      <c r="Y25" s="67"/>
      <c r="Z25" s="65"/>
      <c r="AA25" s="66" t="str">
        <f>IF(AK8&gt;8,"/","")</f>
        <v/>
      </c>
      <c r="AB25" s="67"/>
      <c r="AC25" s="65"/>
      <c r="AD25" s="66" t="str">
        <f>IF(AK8&gt;9,"/","")</f>
        <v/>
      </c>
      <c r="AE25" s="67"/>
      <c r="AF25" s="57" t="str">
        <f>IF(AK9&gt;1,"Team 2","")</f>
        <v>Team 2</v>
      </c>
      <c r="AG25" s="64">
        <f>IF(AK9&lt;2,"",IF(AK8&lt;1,"",IF(B24=2,B30-D30,IF(D24=2,D30-B30,""))))</f>
        <v>16</v>
      </c>
      <c r="AH25" s="64" t="str">
        <f>IF(AK9&lt;2,"",IF(AK8&lt;2,"",IF(E24=2,E30-G30,IF(G24=2,G30-E30,""))))</f>
        <v/>
      </c>
      <c r="AI25" s="64">
        <f>IF(AK9&lt;2,"",IF(AK8&lt;3,"",IF(H24=2,H30-J30,IF(J24=2,J30-H30,""))))</f>
        <v>20</v>
      </c>
      <c r="AJ25" s="64" t="str">
        <f>IF(AK9&lt;2,"",IF(AK8&lt;4,"",IF(K24=2,K30-M30,IF(M24=2,M30-K30,""))))</f>
        <v/>
      </c>
      <c r="AK25" s="64" t="str">
        <f>IF(AK9&lt;2,"",IF(AK8&lt;5,"",IF(N24=2,N30-P30,IF(P24=2,P30-N30,""))))</f>
        <v/>
      </c>
      <c r="AL25" s="64">
        <f>IF(AK9&lt;2,"",IF(AK8&lt;6,"",IF(Q24=2,Q30-S30,IF(S24=2,S30-Q30,""))))</f>
        <v>-27</v>
      </c>
      <c r="AM25" s="64" t="str">
        <f>IF(AK9&lt;2,"",IF(AK8&lt;7,"",IF(T24=2,T30-V30,IF(V24=2,V30-T30,""))))</f>
        <v/>
      </c>
      <c r="AN25" s="64" t="str">
        <f>IF(AK9&lt;2,"",IF(AK8&lt;8,"",IF(W24=2,W30-Y30,IF(Y24=2,Y30-W30,""))))</f>
        <v/>
      </c>
      <c r="AO25" s="64" t="str">
        <f>IF(AK9&lt;2,"",IF(AK8&lt;9,"",IF(Z24=2,Z30-AB30,IF(AB24=2,AB30-Z30,""))))</f>
        <v/>
      </c>
      <c r="AP25" s="64" t="str">
        <f>IF(AK9&lt;2,"",IF(AK8&lt;10,"",IF(AC24=2,AC30-AE30,IF(AE24=2,AE30-AC30,""))))</f>
        <v/>
      </c>
      <c r="AQ25" s="59">
        <f>SUM(AG25:AP25)</f>
        <v>9</v>
      </c>
    </row>
    <row r="26" spans="1:47" ht="15" x14ac:dyDescent="0.2">
      <c r="A26" s="3" t="str">
        <f>IF(AK7&gt;1,"Game 2","")</f>
        <v>Game 2</v>
      </c>
      <c r="B26" s="65">
        <v>25</v>
      </c>
      <c r="C26" s="66" t="s">
        <v>74</v>
      </c>
      <c r="D26" s="67">
        <v>9</v>
      </c>
      <c r="E26" s="65">
        <v>25</v>
      </c>
      <c r="F26" s="66" t="str">
        <f>IF(AK8&gt;1,IF(AK7&gt;1,"/",""),"")</f>
        <v>/</v>
      </c>
      <c r="G26" s="67">
        <v>9</v>
      </c>
      <c r="H26" s="65">
        <v>25</v>
      </c>
      <c r="I26" s="66" t="str">
        <f>IF(AK8&gt;2,IF(AK7&gt;1,"/",""),"")</f>
        <v>/</v>
      </c>
      <c r="J26" s="67">
        <v>14</v>
      </c>
      <c r="K26" s="65">
        <v>25</v>
      </c>
      <c r="L26" s="66" t="str">
        <f>IF(AK8&gt;3,IF(AK7&gt;1,"/",""),"")</f>
        <v>/</v>
      </c>
      <c r="M26" s="67">
        <v>11</v>
      </c>
      <c r="N26" s="65">
        <v>19</v>
      </c>
      <c r="O26" s="66" t="str">
        <f>IF(AK8&gt;4,IF(AK7&gt;1,"/",""),"")</f>
        <v>/</v>
      </c>
      <c r="P26" s="67">
        <v>25</v>
      </c>
      <c r="Q26" s="65">
        <v>25</v>
      </c>
      <c r="R26" s="66" t="str">
        <f>IF(AK8&gt;5,IF(AK7&gt;1,"/",""),"")</f>
        <v>/</v>
      </c>
      <c r="S26" s="67">
        <v>9</v>
      </c>
      <c r="T26" s="65"/>
      <c r="U26" s="66" t="str">
        <f>IF(AK8&gt;6,IF(AK7&gt;1,"/",""),"")</f>
        <v/>
      </c>
      <c r="V26" s="67"/>
      <c r="W26" s="65"/>
      <c r="X26" s="66" t="str">
        <f>IF(AK8&gt;7,IF(AK7&gt;1,"/",""),"")</f>
        <v/>
      </c>
      <c r="Y26" s="67"/>
      <c r="Z26" s="65"/>
      <c r="AA26" s="66" t="str">
        <f>IF(AK8&gt;8,IF(AK7&gt;1,"/",""),"")</f>
        <v/>
      </c>
      <c r="AB26" s="67"/>
      <c r="AC26" s="65"/>
      <c r="AD26" s="66" t="str">
        <f>IF(AK8&gt;9,IF(AK7&gt;1,"/",""),"")</f>
        <v/>
      </c>
      <c r="AE26" s="67"/>
      <c r="AF26" s="57" t="str">
        <f>IF(AK9&gt;2,"Team 3","")</f>
        <v>Team 3</v>
      </c>
      <c r="AG26" s="64">
        <f>IF(AK9&lt;3,"",IF(AK8&lt;1,"",IF(B24=3,B30-D30,IF(D24=3,D30-B30,""))))</f>
        <v>-16</v>
      </c>
      <c r="AH26" s="64" t="str">
        <f>IF(AK9&lt;3,"",IF(AK8&lt;2,"",IF(E24=3,E30-G30,IF(G24=3,G30-E30,""))))</f>
        <v/>
      </c>
      <c r="AI26" s="64" t="str">
        <f>IF(AK9&lt;3,"",IF(AK8&lt;3,"",IF(H24=3,H30-J30,IF(J24=3,J30-H30,""))))</f>
        <v/>
      </c>
      <c r="AJ26" s="64">
        <f>IF(AK9&lt;3,"",IF(AK8&lt;4,"",IF(K24=3,K30-M30,IF(M24=3,M30-K30,""))))</f>
        <v>-30</v>
      </c>
      <c r="AK26" s="64">
        <f>IF(AK9&lt;3,"",IF(AK8&lt;5,"",IF(N24=3,N30-P30,IF(P24=3,P30-N30,""))))</f>
        <v>-9</v>
      </c>
      <c r="AL26" s="64" t="str">
        <f>IF(AK9&lt;3,"",IF(AK8&lt;6,"",IF(Q24=3,Q30-S30,IF(S24=3,S30-Q30,""))))</f>
        <v/>
      </c>
      <c r="AM26" s="64" t="str">
        <f>IF(AK9&lt;3,"",IF(AK8&lt;7,"",IF(T24=3,T30-V30,IF(V24=3,V30-T30,""))))</f>
        <v/>
      </c>
      <c r="AN26" s="64" t="str">
        <f>IF(AK9&lt;3,"",IF(AK8&lt;8,"",IF(W24=3,W30-Y30,IF(Y24=3,Y30-W30,""))))</f>
        <v/>
      </c>
      <c r="AO26" s="64" t="str">
        <f>IF(AK9&lt;3,"",IF(AK8&lt;9,"",IF(Z24=3,Z30-AB30,IF(AB24=3,AB30-Z30,""))))</f>
        <v/>
      </c>
      <c r="AP26" s="64" t="str">
        <f>IF(AK9&lt;3,"",IF(AK8&lt;9,"",IF(AC24=3,AC30-AE30,IF(AE24=3,AE30-AC30,""))))</f>
        <v/>
      </c>
      <c r="AQ26" s="59">
        <f>SUM(AG26:AP26)</f>
        <v>-55</v>
      </c>
    </row>
    <row r="27" spans="1:47" ht="15" x14ac:dyDescent="0.2">
      <c r="A27" s="3" t="str">
        <f>IF(AK7&gt;2,"Game 3","")</f>
        <v>Game 3</v>
      </c>
      <c r="B27" s="65">
        <v>15</v>
      </c>
      <c r="C27" s="66" t="s">
        <v>74</v>
      </c>
      <c r="D27" s="67">
        <v>11</v>
      </c>
      <c r="E27" s="65"/>
      <c r="F27" s="66" t="str">
        <f>IF(AK8&gt;1,IF(AK7&gt;2,"/",""),"")</f>
        <v>/</v>
      </c>
      <c r="G27" s="67"/>
      <c r="H27" s="65"/>
      <c r="I27" s="66" t="str">
        <f>IF(AK8&gt;2,IF(AK7&gt;2,"/",""),"")</f>
        <v>/</v>
      </c>
      <c r="J27" s="67"/>
      <c r="K27" s="65"/>
      <c r="L27" s="66" t="str">
        <f>IF(AK8&gt;3,IF(AK7&gt;2,"/",""),"")</f>
        <v>/</v>
      </c>
      <c r="M27" s="67"/>
      <c r="N27" s="65"/>
      <c r="O27" s="66" t="str">
        <f>IF(AK8&gt;4,IF(AK7&gt;2,"/",""),"")</f>
        <v>/</v>
      </c>
      <c r="P27" s="67"/>
      <c r="Q27" s="65"/>
      <c r="R27" s="66" t="str">
        <f>IF(AK8&gt;5,IF(AK7&gt;2,"/",""),"")</f>
        <v>/</v>
      </c>
      <c r="S27" s="67"/>
      <c r="T27" s="65"/>
      <c r="U27" s="66" t="str">
        <f>IF(AK8&gt;6,IF(AK7&gt;2,"/",""),"")</f>
        <v/>
      </c>
      <c r="V27" s="67"/>
      <c r="W27" s="65"/>
      <c r="X27" s="66" t="str">
        <f>IF(AK8&gt;7,IF(AK7&gt;2,"/",""),"")</f>
        <v/>
      </c>
      <c r="Y27" s="67"/>
      <c r="Z27" s="65"/>
      <c r="AA27" s="66" t="str">
        <f>IF(AK8&gt;8,IF(AK7&gt;2,"/",""),"")</f>
        <v/>
      </c>
      <c r="AB27" s="67"/>
      <c r="AC27" s="65"/>
      <c r="AD27" s="66" t="str">
        <f>IF(AK8&gt;9,IF(AK7&gt;2,"/",""),"")</f>
        <v/>
      </c>
      <c r="AE27" s="67"/>
      <c r="AF27" s="57" t="str">
        <f>IF(AK9&gt;3,"Team 4","")</f>
        <v>Team 4</v>
      </c>
      <c r="AG27" s="64" t="str">
        <f>IF(AK9&lt;4,"",IF(AK8&lt;1,"",IF(B24=4,B30-D30,IF(D24=4,D30-B30,""))))</f>
        <v/>
      </c>
      <c r="AH27" s="64">
        <f>IF(AK9&lt;4,"",IF(AK8&lt;2,"",IF(E24=4,E30-G30,IF(G24=4,G30-E30,""))))</f>
        <v>-26</v>
      </c>
      <c r="AI27" s="64">
        <f>IF(AK9&lt;4,"",IF(AK8&lt;3,"",IF(H24=4,H30-J30,IF(J24=4,J30-H30,""))))</f>
        <v>-20</v>
      </c>
      <c r="AJ27" s="64" t="str">
        <f>IF(AK9&lt;4,"",IF(AK8&lt;4,"",IF(K24=4,K30-M30,IF(M24=4,M30-K30,""))))</f>
        <v/>
      </c>
      <c r="AK27" s="64">
        <f>IF(AK9&lt;4,"",IF(AK8&lt;5,"",IF(N24=4,N30-P30,IF(P24=4,P30-N30,""))))</f>
        <v>9</v>
      </c>
      <c r="AL27" s="64" t="str">
        <f>IF(AK9&lt;4,"",IF(AK8&lt;6,"",IF(Q24=4,Q30-S30,IF(S24=4,S30-Q30,""))))</f>
        <v/>
      </c>
      <c r="AM27" s="64" t="str">
        <f>IF(AK9&lt;4,"",IF(AK8&lt;7,"",IF(T24=4,T30-V30,IF(V24=4,V30-T30,""))))</f>
        <v/>
      </c>
      <c r="AN27" s="64" t="str">
        <f>IF(AK9&lt;4,"",IF(AK8&lt;8,"",IF(W24=4,W30-Y30,IF(Y24=4,Y30-W30,""))))</f>
        <v/>
      </c>
      <c r="AO27" s="64" t="str">
        <f>IF(AK9&lt;4,"",IF(AK8&lt;9,"",IF(Z24=4,Z30-AB30,IF(AB24=4,AB30-Z30,""))))</f>
        <v/>
      </c>
      <c r="AP27" s="64" t="str">
        <f>IF(AK9&lt;4,"",IF(AK8&lt;10,"",IF(AC24=4,AC30-AE30,IF(AE24=4,AE30-AC30,""))))</f>
        <v/>
      </c>
      <c r="AQ27" s="59">
        <f>SUM(AG27:AP27)</f>
        <v>-37</v>
      </c>
    </row>
    <row r="28" spans="1:47" ht="15" x14ac:dyDescent="0.2">
      <c r="A28" s="3" t="str">
        <f>IF(AK7&gt;3,"Game 4","")</f>
        <v/>
      </c>
      <c r="B28" s="65"/>
      <c r="C28" s="66" t="s">
        <v>74</v>
      </c>
      <c r="D28" s="67"/>
      <c r="E28" s="65"/>
      <c r="F28" s="66" t="str">
        <f>IF(AK8&gt;1,IF(AK7&gt;3,"/",""),"")</f>
        <v/>
      </c>
      <c r="G28" s="67"/>
      <c r="H28" s="65"/>
      <c r="I28" s="66" t="str">
        <f>IF(AK8&gt;2,IF(AK7&gt;3,"/",""),"")</f>
        <v/>
      </c>
      <c r="J28" s="67"/>
      <c r="K28" s="65"/>
      <c r="L28" s="66" t="str">
        <f>IF(AK8&gt;3,IF(AK7&gt;3,"/",""),"")</f>
        <v/>
      </c>
      <c r="M28" s="67"/>
      <c r="N28" s="65"/>
      <c r="O28" s="66" t="str">
        <f>IF(AK8&gt;4,IF(AK7&gt;3,"/",""),"")</f>
        <v/>
      </c>
      <c r="P28" s="67"/>
      <c r="Q28" s="65"/>
      <c r="R28" s="66" t="str">
        <f>IF(AK8&gt;5,IF(AK7&gt;3,"/",""),"")</f>
        <v/>
      </c>
      <c r="S28" s="67"/>
      <c r="T28" s="65"/>
      <c r="U28" s="66" t="str">
        <f>IF(AK8&gt;6,IF(AK7&gt;3,"/",""),"")</f>
        <v/>
      </c>
      <c r="V28" s="67"/>
      <c r="W28" s="65"/>
      <c r="X28" s="66" t="str">
        <f>IF(AK8&gt;7,IF(AK7&gt;3,"/",""),"")</f>
        <v/>
      </c>
      <c r="Y28" s="67"/>
      <c r="Z28" s="65"/>
      <c r="AA28" s="66" t="str">
        <f>IF(AK8&gt;8,IF(AK7&gt;3,"/",""),"")</f>
        <v/>
      </c>
      <c r="AB28" s="67"/>
      <c r="AC28" s="65"/>
      <c r="AD28" s="66" t="str">
        <f>IF(AK8&gt;9,IF(AK7&gt;3,"/",""),"")</f>
        <v/>
      </c>
      <c r="AE28" s="67"/>
      <c r="AF28" s="57" t="str">
        <f>IF(AK9&gt;4,"Team 5","")</f>
        <v/>
      </c>
      <c r="AG28" s="68" t="str">
        <f>IF(AK9&lt;5,"",IF(AK8&lt;1,"",IF(B24=5,B30-D30,IF(D24=5,D30-B30,""))))</f>
        <v/>
      </c>
      <c r="AH28" s="64" t="str">
        <f>IF(AK9&lt;5,"",IF(AK8&lt;2,"",IF(E24=5,E30-G30,IF(G24=5,G30-E30,""))))</f>
        <v/>
      </c>
      <c r="AI28" s="64" t="str">
        <f>IF(AK9&lt;5,"",IF(AK8&lt;3,"",IF(H24=5,H30-J30,IF(J24=5,J30-H30,""))))</f>
        <v/>
      </c>
      <c r="AJ28" s="64" t="str">
        <f>IF(AK9&lt;5,"",IF(AK8&lt;4,"",IF(K24=5,K30-M30,IF(M24=5,M30-K30,""))))</f>
        <v/>
      </c>
      <c r="AK28" s="64" t="str">
        <f>IF(AK9&lt;5,"",IF(AK8&lt;5,"",IF(N24=5,N30-P30,IF(P24=5,P30-N30,""))))</f>
        <v/>
      </c>
      <c r="AL28" s="64" t="str">
        <f>IF(AK9&lt;5,"",IF(AK8&lt;6,"",IF(Q24=5,Q30-S30,IF(S24=5,S30-Q30,""))))</f>
        <v/>
      </c>
      <c r="AM28" s="64" t="str">
        <f>IF(AK9&lt;5,"",IF(AK8&lt;7,"",IF(T24=5,T30-V30,IF(V24=5,V30-T30,""))))</f>
        <v/>
      </c>
      <c r="AN28" s="64" t="str">
        <f>IF(AK9&lt;5,"",IF(AK8&lt;8,"",IF(W24=5,W30-Y30,IF(Y24=5,Y30-W30,""))))</f>
        <v/>
      </c>
      <c r="AO28" s="64" t="str">
        <f>IF(AK9&lt;5,"",IF(AK8&lt;9,"",IF(Z24=5,Z30-AB30,IF(AB24=5,AB30-Z30,""))))</f>
        <v/>
      </c>
      <c r="AP28" s="64" t="str">
        <f>IF(AK9&lt;5,"",IF(AK8&lt;10,"",IF(AC24=5,AC30-AE30,IF(AE24=5,AE30-AC30,""))))</f>
        <v/>
      </c>
      <c r="AQ28" s="59">
        <f>SUM(AG28:AP28)</f>
        <v>0</v>
      </c>
    </row>
    <row r="29" spans="1:47" ht="15" x14ac:dyDescent="0.2">
      <c r="A29" s="3" t="str">
        <f>IF(AK7&gt;4,"Game 5","")</f>
        <v/>
      </c>
      <c r="B29" s="65"/>
      <c r="C29" s="66" t="s">
        <v>74</v>
      </c>
      <c r="D29" s="67"/>
      <c r="E29" s="65"/>
      <c r="F29" s="66" t="str">
        <f>IF(AK8&gt;1,IF(AK7&gt;4,"/",""),"")</f>
        <v/>
      </c>
      <c r="G29" s="67"/>
      <c r="H29" s="65"/>
      <c r="I29" s="66" t="str">
        <f>IF(AK8&gt;2,IF(AK7&gt;4,"/",""),"")</f>
        <v/>
      </c>
      <c r="J29" s="67"/>
      <c r="K29" s="65"/>
      <c r="L29" s="66" t="str">
        <f>IF(AK8&gt;3,IF(AK7&gt;4,"/",""),"")</f>
        <v/>
      </c>
      <c r="M29" s="67"/>
      <c r="N29" s="65"/>
      <c r="O29" s="66" t="str">
        <f>IF(AK8&gt;4,IF(AK7&gt;4,"/",""),"")</f>
        <v/>
      </c>
      <c r="P29" s="67"/>
      <c r="Q29" s="65"/>
      <c r="R29" s="66" t="str">
        <f>IF(AK8&gt;5,IF(AK7&gt;4,"/",""),"")</f>
        <v/>
      </c>
      <c r="S29" s="67"/>
      <c r="T29" s="65"/>
      <c r="U29" s="66" t="str">
        <f>IF(AK8&gt;6,IF(AK7&gt;4,"/",""),"")</f>
        <v/>
      </c>
      <c r="V29" s="67"/>
      <c r="W29" s="65"/>
      <c r="X29" s="66" t="str">
        <f>IF(AK8&gt;7,IF(AK7&gt;4,"/",""),"")</f>
        <v/>
      </c>
      <c r="Y29" s="67"/>
      <c r="Z29" s="65"/>
      <c r="AA29" s="66" t="str">
        <f>IF(AK8&gt;8,IF(AK7&gt;4,"/",""),"")</f>
        <v/>
      </c>
      <c r="AB29" s="67"/>
      <c r="AC29" s="65"/>
      <c r="AD29" s="66" t="str">
        <f>IF(AK8&gt;9,IF(AK7&gt;4,"/",""),"")</f>
        <v/>
      </c>
      <c r="AE29" s="67"/>
      <c r="AF29" s="8"/>
      <c r="AG29" s="8"/>
      <c r="AH29" s="8"/>
      <c r="AI29" s="8"/>
      <c r="AJ29" s="8"/>
      <c r="AK29" s="8"/>
      <c r="AL29" s="8"/>
      <c r="AM29" s="8"/>
      <c r="AN29" s="8"/>
      <c r="AO29" s="8"/>
      <c r="AP29" s="8"/>
      <c r="AQ29" s="8"/>
    </row>
    <row r="30" spans="1:47" hidden="1" x14ac:dyDescent="0.2">
      <c r="A30" s="69"/>
      <c r="B30" s="69">
        <f>IF($AK7=5,SUM(B25:B29),IF($AK7=4,SUM(B25:B28),IF($AK7=3,SUM(B25:B27),IF($AK7=2,SUM(B25:B26),B25))))</f>
        <v>61</v>
      </c>
      <c r="C30" s="69"/>
      <c r="D30" s="69">
        <f>IF($AK7=5,SUM(D25:D29),IF($AK7=4,SUM(D25:D28),IF($AK7=3,SUM(D25:D27),IF($AK7=2,SUM(D25:D26),D25))))</f>
        <v>45</v>
      </c>
      <c r="E30" s="69">
        <f>IF($AK7=5,SUM(E25:E29),IF($AK7=4,SUM(E25:E28),IF($AK7=3,SUM(E25:E27),IF($AK7=2,SUM(E25:E26),E25))))</f>
        <v>50</v>
      </c>
      <c r="F30" s="69"/>
      <c r="G30" s="69">
        <f>IF($AK7=5,SUM(G25:G29),IF($AK7=4,SUM(G25:G28),IF($AK7=3,SUM(G25:G27),IF($AK7=2,SUM(G25:G26),G25))))</f>
        <v>24</v>
      </c>
      <c r="H30" s="69">
        <f>IF($AK7=5,SUM(H25:H29),IF($AK7=4,SUM(H25:H28),IF($AK7=3,SUM(H25:H27),IF($AK7=2,SUM(H25:H26),H25))))</f>
        <v>50</v>
      </c>
      <c r="I30" s="69"/>
      <c r="J30" s="69">
        <f>IF($AK7=5,SUM(J25:J29),IF($AK7=4,SUM(J25:J28),IF($AK7=3,SUM(J25:J27),IF($AK7=2,SUM(J25:J26),J25))))</f>
        <v>30</v>
      </c>
      <c r="K30" s="69">
        <f>IF($AK7=5,SUM(K25:K29),IF($AK7=4,SUM(K25:K28),IF($AK7=3,SUM(K25:K27),IF($AK7=2,SUM(K25:K26),K25))))</f>
        <v>50</v>
      </c>
      <c r="L30" s="69"/>
      <c r="M30" s="69">
        <f>IF($AK7=5,SUM(M25:M29),IF($AK7=4,SUM(M25:M28),IF($AK7=3,SUM(M25:M27),IF($AK7=2,SUM(M25:M26),M25))))</f>
        <v>20</v>
      </c>
      <c r="N30" s="69">
        <f>IF($AK7=5,SUM(N25:N29),IF($AK7=4,SUM(N25:N28),IF($AK7=3,SUM(N25:N27),IF($AK7=2,SUM(N25:N26),N25))))</f>
        <v>41</v>
      </c>
      <c r="O30" s="69"/>
      <c r="P30" s="69">
        <f>IF($AK7=5,SUM(P25:P29),IF($AK7=4,SUM(P25:P28),IF($AK7=3,SUM(P25:P27),IF($AK7=2,SUM(P25:P26),P25))))</f>
        <v>50</v>
      </c>
      <c r="Q30" s="69">
        <f>IF($AK7=5,SUM(Q25:Q29),IF($AK7=4,SUM(Q25:Q28),IF($AK7=3,SUM(Q25:Q27),IF($AK7=2,SUM(Q25:Q26),Q25))))</f>
        <v>50</v>
      </c>
      <c r="R30" s="69"/>
      <c r="S30" s="69">
        <f>IF($AK7=5,SUM(S25:S29),IF($AK7=4,SUM(S25:S28),IF($AK7=3,SUM(S25:S27),IF($AK7=2,SUM(S25:S26),S25))))</f>
        <v>23</v>
      </c>
      <c r="T30" s="69">
        <f>IF($AK7=5,SUM(T25:T29),IF($AK7=4,SUM(T25:T28),IF($AK7=3,SUM(T25:T27),IF($AK7=2,SUM(T25:T26),T25))))</f>
        <v>0</v>
      </c>
      <c r="U30" s="69"/>
      <c r="V30" s="69">
        <f>IF($AK7=5,SUM(V25:V29),IF($AK7=4,SUM(V25:V28),IF($AK7=3,SUM(V25:V27),IF($AK7=2,SUM(V25:V26),V25))))</f>
        <v>0</v>
      </c>
      <c r="W30" s="69">
        <f>IF($AK7=5,SUM(W25:W29),IF($AK7=4,SUM(W25:W28),IF($AK7=3,SUM(W25:W27),IF($AK7=2,SUM(W25:W26),W25))))</f>
        <v>0</v>
      </c>
      <c r="X30" s="69"/>
      <c r="Y30" s="69">
        <f>IF($AK7=5,SUM(Y25:Y29),IF($AK7=4,SUM(Y25:Y28),IF($AK7=3,SUM(Y25:Y27),IF($AK7=2,SUM(Y25:Y26),Y25))))</f>
        <v>0</v>
      </c>
      <c r="Z30" s="69">
        <f>IF($AK7=5,SUM(Z25:Z29),IF($AK7=4,SUM(Z25:Z28),IF($AK7=3,SUM(Z25:Z27),IF($AK7=2,SUM(Z25:Z26),Z25))))</f>
        <v>0</v>
      </c>
      <c r="AA30" s="69"/>
      <c r="AB30" s="69">
        <f>IF($AK7=5,SUM(AB25:AB29),IF($AK7=4,SUM(AB25:AB28),IF($AK7=3,SUM(AB25:AB27),IF($AK7=2,SUM(AB25:AB26),AB25))))</f>
        <v>0</v>
      </c>
      <c r="AC30" s="69">
        <f>IF($AK7=5,SUM(AC25:AC29),IF($AK7=4,SUM(AC25:AC28),IF($AK7=3,SUM(AC25:AC27),IF($AK7=2,SUM(AC25:AC26),AC25))))</f>
        <v>0</v>
      </c>
      <c r="AD30" s="69"/>
      <c r="AE30" s="69">
        <f>IF($AK7=5,SUM(AE25:AE29),IF($AK7=4,SUM(AE25:AE28),IF($AK7=3,SUM(AE25:AE27),IF($AK7=2,SUM(AE25:AE26),AE25))))</f>
        <v>0</v>
      </c>
      <c r="AF30" s="8"/>
      <c r="AG30" s="8"/>
      <c r="AH30" s="8"/>
      <c r="AI30" s="8"/>
      <c r="AJ30" s="8"/>
      <c r="AK30" s="8"/>
      <c r="AL30" s="8"/>
      <c r="AM30" s="8"/>
      <c r="AN30" s="8"/>
      <c r="AO30" s="8"/>
      <c r="AP30" s="8"/>
      <c r="AQ30" s="8"/>
    </row>
    <row r="31" spans="1:47" s="70" customFormat="1" ht="12.75" hidden="1" customHeight="1" x14ac:dyDescent="0.2">
      <c r="A31" s="70" t="s">
        <v>75</v>
      </c>
      <c r="B31" s="71">
        <f>IF(AND(B25&gt;D25,$AK8&gt;0,ISNUMBER(B25),ISNUMBER(D25)),1,0)</f>
        <v>0</v>
      </c>
      <c r="C31" s="71"/>
      <c r="D31" s="72">
        <f>IF(AND(D25&gt;B25,$AK8&gt;0,ISNUMBER(B25),ISNUMBER(D25)),1,0)</f>
        <v>1</v>
      </c>
      <c r="E31" s="71">
        <f>IF(AND(E25&gt;G25,$AK8&gt;1,ISNUMBER(E25),ISNUMBER(G25)),1,0)</f>
        <v>1</v>
      </c>
      <c r="F31" s="71"/>
      <c r="G31" s="72">
        <f>IF(AND(G25&gt;E25,$AK8&gt;1,ISNUMBER(E25),ISNUMBER(G25)),1,0)</f>
        <v>0</v>
      </c>
      <c r="H31" s="71">
        <f>IF(AND(H25&gt;J25,$AK8&gt;2,ISNUMBER(H25),ISNUMBER(J25)),1,0)</f>
        <v>1</v>
      </c>
      <c r="I31" s="71"/>
      <c r="J31" s="72">
        <f>IF(AND(J25&gt;H25,$AK8&gt;2,ISNUMBER(H25),ISNUMBER(J25)),1,0)</f>
        <v>0</v>
      </c>
      <c r="K31" s="71">
        <f>IF(AND(K25&gt;M25,$AK8&gt;3,ISNUMBER(K25),ISNUMBER(M25)),1,0)</f>
        <v>1</v>
      </c>
      <c r="L31" s="71"/>
      <c r="M31" s="72">
        <f>IF(AND(M25&gt;K25,$AK8&gt;3,ISNUMBER(K25),ISNUMBER(M25)),1,0)</f>
        <v>0</v>
      </c>
      <c r="N31" s="71">
        <f>IF(AND(N25&gt;P25,$AK8&gt;4,ISNUMBER(N25),ISNUMBER(P25)),1,0)</f>
        <v>0</v>
      </c>
      <c r="O31" s="71"/>
      <c r="P31" s="72">
        <f>IF(AND(P25&gt;N25,$AK8&gt;4,ISNUMBER(N25),ISNUMBER(P25)),1,0)</f>
        <v>1</v>
      </c>
      <c r="Q31" s="71">
        <f>IF(AND(Q25&gt;S25,$AK8&gt;5,ISNUMBER(Q25),ISNUMBER(S25)),1,0)</f>
        <v>1</v>
      </c>
      <c r="R31" s="71"/>
      <c r="S31" s="72">
        <f>IF(AND(S25&gt;Q25,$AK8&gt;5,ISNUMBER(Q25),ISNUMBER(S25)),1,0)</f>
        <v>0</v>
      </c>
      <c r="T31" s="71">
        <f>IF(AND(T25&gt;V25,$AK8&gt;6,ISNUMBER(T25),ISNUMBER(V25)),1,0)</f>
        <v>0</v>
      </c>
      <c r="U31" s="71"/>
      <c r="V31" s="72">
        <f>IF(AND(V25&gt;T25,$AK8&gt;6,ISNUMBER(T25),ISNUMBER(V25)),1,0)</f>
        <v>0</v>
      </c>
      <c r="W31" s="71">
        <f>IF(AND(W25&gt;Y25,$AK8&gt;7,ISNUMBER(W25),ISNUMBER(Y25)),1,0)</f>
        <v>0</v>
      </c>
      <c r="X31" s="71"/>
      <c r="Y31" s="72">
        <f>IF(AND(Y25&gt;W25,$AK8&gt;7,ISNUMBER(W25),ISNUMBER(Y25)),1,0)</f>
        <v>0</v>
      </c>
      <c r="Z31" s="71">
        <f>IF(AND(Z25&gt;AB25,$AK8&gt;8,ISNUMBER(Z25),ISNUMBER(AB25)),1,0)</f>
        <v>0</v>
      </c>
      <c r="AA31" s="71"/>
      <c r="AB31" s="72">
        <f>IF(AND(AB25&gt;Z25,$AK8&gt;8,ISNUMBER(Z25),ISNUMBER(AB25)),1,0)</f>
        <v>0</v>
      </c>
      <c r="AC31" s="71">
        <f>IF(AND(AC25&gt;AE25,$AK8&gt;9,ISNUMBER(AC25),ISNUMBER(AE25)),1,0)</f>
        <v>0</v>
      </c>
      <c r="AD31" s="71"/>
      <c r="AE31" s="72">
        <f>IF(AND(AE25&gt;AC25,$AK8&gt;9,ISNUMBER(AC25),ISNUMBER(AE25)),1,0)</f>
        <v>0</v>
      </c>
    </row>
    <row r="32" spans="1:47" s="70" customFormat="1" ht="12.75" hidden="1" customHeight="1" x14ac:dyDescent="0.2">
      <c r="A32" s="70" t="s">
        <v>76</v>
      </c>
      <c r="B32" s="71">
        <f>IF(AND(B26&gt;D26,$AK8&gt;0,$AK7&gt;1,ISNUMBER(B26),ISNUMBER(D26)),1,0)</f>
        <v>1</v>
      </c>
      <c r="C32" s="71"/>
      <c r="D32" s="72">
        <f>IF(AND(D26&gt;B26,$AK8&gt;0,$AK7&gt;1,ISNUMBER(B26),ISNUMBER(D26)),1,0)</f>
        <v>0</v>
      </c>
      <c r="E32" s="71">
        <f>IF(AND(E26&gt;G26,$AK8&gt;1,$AK7&gt;1,ISNUMBER(E26),ISNUMBER(G26)),1,0)</f>
        <v>1</v>
      </c>
      <c r="F32" s="71"/>
      <c r="G32" s="72">
        <f>IF(AND(G26&gt;E26,$AK8&gt;1,$AK7&gt;1,ISNUMBER(E26),ISNUMBER(G26)),1,0)</f>
        <v>0</v>
      </c>
      <c r="H32" s="71">
        <f>IF(AND(H26&gt;J26,$AK8&gt;2,$AK7&gt;1,ISNUMBER(H26),ISNUMBER(J26)),1,0)</f>
        <v>1</v>
      </c>
      <c r="I32" s="71"/>
      <c r="J32" s="72">
        <f>IF(AND(J26&gt;H26,$AK8&gt;2,$AK7&gt;1,ISNUMBER(H26),ISNUMBER(J26)),1,0)</f>
        <v>0</v>
      </c>
      <c r="K32" s="71">
        <f>IF(AND(K26&gt;M26,$AK8&gt;3,$AK7&gt;1,ISNUMBER(K26),ISNUMBER(M26)),1,0)</f>
        <v>1</v>
      </c>
      <c r="L32" s="71"/>
      <c r="M32" s="72">
        <f>IF(AND(M26&gt;K26,$AK8&gt;3,$AK7&gt;1,ISNUMBER(K26),ISNUMBER(M26)),1,0)</f>
        <v>0</v>
      </c>
      <c r="N32" s="71">
        <f>IF(AND(N26&gt;P26,$AK8&gt;4,$AK7&gt;1,ISNUMBER(N26),ISNUMBER(P26)),1,0)</f>
        <v>0</v>
      </c>
      <c r="O32" s="71"/>
      <c r="P32" s="72">
        <f>IF(AND(P26&gt;N26,$AK8&gt;4,$AK7&gt;1,ISNUMBER(N26),ISNUMBER(P26)),1,0)</f>
        <v>1</v>
      </c>
      <c r="Q32" s="71">
        <f>IF(AND(Q26&gt;S26,$AK8&gt;5,$AK7&gt;1,ISNUMBER(Q26),ISNUMBER(S26)),1,0)</f>
        <v>1</v>
      </c>
      <c r="R32" s="71"/>
      <c r="S32" s="72">
        <f>IF(AND(S26&gt;Q26,$AK8&gt;5,$AK7&gt;1,ISNUMBER(Q26),ISNUMBER(S26)),1,0)</f>
        <v>0</v>
      </c>
      <c r="T32" s="71">
        <f>IF(AND(T26&gt;V26,$AK8&gt;6,$AK7&gt;1,ISNUMBER(T26),ISNUMBER(V26)),1,0)</f>
        <v>0</v>
      </c>
      <c r="U32" s="71"/>
      <c r="V32" s="72">
        <f>IF(AND(V26&gt;T26,$AK8&gt;6,$AK7&gt;1,ISNUMBER(T26),ISNUMBER(V26)),1,0)</f>
        <v>0</v>
      </c>
      <c r="W32" s="71">
        <f>IF(AND(W26&gt;Y26,$AK8&gt;7,$AK7&gt;1,ISNUMBER(W26),ISNUMBER(Y26)),1,0)</f>
        <v>0</v>
      </c>
      <c r="X32" s="71"/>
      <c r="Y32" s="72">
        <f>IF(AND(Y26&gt;W26,$AK8&gt;7,$AK7&gt;1,ISNUMBER(W26),ISNUMBER(Y26)),1,0)</f>
        <v>0</v>
      </c>
      <c r="Z32" s="71">
        <f>IF(AND(Z26&gt;AB26,$AK8&gt;8,$AK7&gt;1,ISNUMBER(Z26),ISNUMBER(AB26)),1,0)</f>
        <v>0</v>
      </c>
      <c r="AA32" s="71"/>
      <c r="AB32" s="72">
        <f>IF(AND(AB26&gt;Z26,$AK8&gt;8,$AK7&gt;1,ISNUMBER(Z26),ISNUMBER(AB26)),1,0)</f>
        <v>0</v>
      </c>
      <c r="AC32" s="71">
        <f>IF(AND(AC26&gt;AE26,$AK8&gt;9,$AK7&gt;1,ISNUMBER(AC26),ISNUMBER(AE26)),1,0)</f>
        <v>0</v>
      </c>
      <c r="AD32" s="71"/>
      <c r="AE32" s="72">
        <f>IF(AND(AE26&gt;AC26,$AK8&gt;9,$AK7&gt;1,ISNUMBER(AC26),ISNUMBER(AE26)),1,0)</f>
        <v>0</v>
      </c>
    </row>
    <row r="33" spans="1:33" s="70" customFormat="1" ht="12.75" hidden="1" customHeight="1" x14ac:dyDescent="0.2">
      <c r="A33" s="70" t="s">
        <v>77</v>
      </c>
      <c r="B33" s="71">
        <f>IF(AND(B27&gt;D27,$AK8&gt;0,$AK7&gt;2,ISNUMBER(B27),ISNUMBER(D27)),1,0)</f>
        <v>1</v>
      </c>
      <c r="C33" s="71"/>
      <c r="D33" s="72">
        <f>IF(AND(D27&gt;B27,$AK8&gt;0,$AK7&gt;2,ISNUMBER(B27),ISNUMBER(D27)),1,0)</f>
        <v>0</v>
      </c>
      <c r="E33" s="71">
        <f>IF(AND(E27&gt;G27,$AK8&gt;1,$AK7&gt;2,ISNUMBER(E27),ISNUMBER(G27)),1,0)</f>
        <v>0</v>
      </c>
      <c r="F33" s="71"/>
      <c r="G33" s="72">
        <f>IF(AND(G27&gt;E27,$AK8&gt;1,$AK7&gt;2,ISNUMBER(E27),ISNUMBER(G27)),1,0)</f>
        <v>0</v>
      </c>
      <c r="H33" s="71">
        <f>IF(AND(H27&gt;J27,$AK8&gt;2,$AK7&gt;2,ISNUMBER(H27),ISNUMBER(J27)),1,0)</f>
        <v>0</v>
      </c>
      <c r="I33" s="71"/>
      <c r="J33" s="72">
        <f>IF(AND(J27&gt;H27,$AK8&gt;2,$AK7&gt;2,ISNUMBER(H27),ISNUMBER(J27)),1,0)</f>
        <v>0</v>
      </c>
      <c r="K33" s="71">
        <f>IF(AND(K27&gt;M27,$AK8&gt;3,$AK7&gt;2,ISNUMBER(K27),ISNUMBER(M27)),1,0)</f>
        <v>0</v>
      </c>
      <c r="L33" s="71"/>
      <c r="M33" s="72">
        <f>IF(AND(M27&gt;K27,$AK8&gt;3,$AK7&gt;2,ISNUMBER(K27),ISNUMBER(M27)),1,0)</f>
        <v>0</v>
      </c>
      <c r="N33" s="71">
        <f>IF(AND(N27&gt;P27,$AK8&gt;4,$AK7&gt;2,ISNUMBER(N27),ISNUMBER(P27)),1,0)</f>
        <v>0</v>
      </c>
      <c r="O33" s="71"/>
      <c r="P33" s="72">
        <f>IF(AND(P27&gt;N27,$AK8&gt;4,$AK7&gt;2,ISNUMBER(N27),ISNUMBER(P27)),1,0)</f>
        <v>0</v>
      </c>
      <c r="Q33" s="71">
        <f>IF(AND(Q27&gt;S27,$AK8&gt;5,$AK7&gt;2,ISNUMBER(Q27),ISNUMBER(S27)),1,0)</f>
        <v>0</v>
      </c>
      <c r="R33" s="71"/>
      <c r="S33" s="72">
        <f>IF(AND(S27&gt;Q27,$AK8&gt;5,$AK7&gt;2,ISNUMBER(Q27),ISNUMBER(S27)),1,0)</f>
        <v>0</v>
      </c>
      <c r="T33" s="71">
        <f>IF(AND(T27&gt;V27,$AK8&gt;6,$AK7&gt;2,ISNUMBER(T27),ISNUMBER(V27)),1,0)</f>
        <v>0</v>
      </c>
      <c r="U33" s="71"/>
      <c r="V33" s="72">
        <f>IF(AND(V27&gt;T27,$AK8&gt;6,$AK7&gt;2,ISNUMBER(T27),ISNUMBER(V27)),1,0)</f>
        <v>0</v>
      </c>
      <c r="W33" s="71">
        <f>IF(AND(W27&gt;Y27,$AK8&gt;7,$AK7&gt;2,ISNUMBER(W27),ISNUMBER(Y27)),1,0)</f>
        <v>0</v>
      </c>
      <c r="X33" s="71"/>
      <c r="Y33" s="72">
        <f>IF(AND(Y27&gt;W27,$AK8&gt;7,$AK7&gt;2,ISNUMBER(W27),ISNUMBER(Y27)),1,0)</f>
        <v>0</v>
      </c>
      <c r="Z33" s="71">
        <f>IF(AND(Z27&gt;AB27,$AK8&gt;8,$AK7&gt;2,ISNUMBER(Z27),ISNUMBER(AB27)),1,0)</f>
        <v>0</v>
      </c>
      <c r="AA33" s="71"/>
      <c r="AB33" s="72">
        <f>IF(AND(AB27&gt;Z27,$AK8&gt;8,$AK7&gt;2,ISNUMBER(Z27),ISNUMBER(AB27)),1,0)</f>
        <v>0</v>
      </c>
      <c r="AC33" s="71">
        <f>IF(AND(AC27&gt;AE27,$AK8&gt;9,$AK7&gt;2,ISNUMBER(AC27),ISNUMBER(AE27)),1,0)</f>
        <v>0</v>
      </c>
      <c r="AD33" s="71"/>
      <c r="AE33" s="72">
        <f>IF(AND(AE27&gt;AC27,$AK8&gt;9,$AK7&gt;2,ISNUMBER(AC27),ISNUMBER(AE27)),1,0)</f>
        <v>0</v>
      </c>
    </row>
    <row r="34" spans="1:33" s="70" customFormat="1" ht="12.75" hidden="1" customHeight="1" x14ac:dyDescent="0.2">
      <c r="A34" s="70" t="s">
        <v>78</v>
      </c>
      <c r="B34" s="71">
        <f>IF(AND(B28&gt;D28,$AK8&gt;0,$AK7&gt;3,ISNUMBER(B28),ISNUMBER(D28)),1,0)</f>
        <v>0</v>
      </c>
      <c r="C34" s="71"/>
      <c r="D34" s="72">
        <f>IF(AND(D28&gt;B28,$AK8&gt;0,$AK7&gt;3,ISNUMBER(B28),ISNUMBER(D28)),1,0)</f>
        <v>0</v>
      </c>
      <c r="E34" s="71">
        <f>IF(AND(E28&gt;G28,$AK8&gt;1,$AK7&gt;3,ISNUMBER(E28),ISNUMBER(G28)),1,0)</f>
        <v>0</v>
      </c>
      <c r="F34" s="71"/>
      <c r="G34" s="72">
        <f>IF(AND(G28&gt;E28,$AK8&gt;1,$AK7&gt;3,ISNUMBER(E28),ISNUMBER(G28)),1,0)</f>
        <v>0</v>
      </c>
      <c r="H34" s="71">
        <f>IF(AND(H28&gt;J28,$AK8&gt;2,$AK7&gt;3,ISNUMBER(H28),ISNUMBER(J28)),1,0)</f>
        <v>0</v>
      </c>
      <c r="I34" s="71"/>
      <c r="J34" s="72">
        <f>IF(AND(J28&gt;H28,$AK8&gt;2,$AK7&gt;3,ISNUMBER(H28),ISNUMBER(J28)),1,0)</f>
        <v>0</v>
      </c>
      <c r="K34" s="71">
        <f>IF(AND(K28&gt;M28,$AK8&gt;3,$AK7&gt;3,ISNUMBER(K28),ISNUMBER(M28)),1,0)</f>
        <v>0</v>
      </c>
      <c r="L34" s="71"/>
      <c r="M34" s="72">
        <f>IF(AND(M28&gt;K28,$AK8&gt;3,$AK7&gt;3,ISNUMBER(K28),ISNUMBER(M28)),1,0)</f>
        <v>0</v>
      </c>
      <c r="N34" s="71">
        <f>IF(AND(N28&gt;P28,$AK8&gt;4,$AK7&gt;3,ISNUMBER(N28),ISNUMBER(P28)),1,0)</f>
        <v>0</v>
      </c>
      <c r="O34" s="71"/>
      <c r="P34" s="72">
        <f>IF(AND(P28&gt;N28,$AK8&gt;4,$AK7&gt;3,ISNUMBER(N28),ISNUMBER(P28)),1,0)</f>
        <v>0</v>
      </c>
      <c r="Q34" s="71">
        <f>IF(AND(Q28&gt;S28,$AK8&gt;5,$AK7&gt;3,ISNUMBER(Q28),ISNUMBER(S28)),1,0)</f>
        <v>0</v>
      </c>
      <c r="R34" s="71"/>
      <c r="S34" s="72">
        <f>IF(AND(S28&gt;Q28,$AK8&gt;5,$AK7&gt;3,ISNUMBER(Q28),ISNUMBER(S28)),1,0)</f>
        <v>0</v>
      </c>
      <c r="T34" s="71">
        <f>IF(AND(T28&gt;V28,$AK8&gt;6,$AK7&gt;3,ISNUMBER(T28),ISNUMBER(V28)),1,0)</f>
        <v>0</v>
      </c>
      <c r="U34" s="71"/>
      <c r="V34" s="72">
        <f>IF(AND(V28&gt;T28,$AK8&gt;6,$AK7&gt;3,ISNUMBER(T28),ISNUMBER(V28)),1,0)</f>
        <v>0</v>
      </c>
      <c r="W34" s="71">
        <f>IF(AND(W28&gt;Y28,$AK8&gt;7,$AK7&gt;3,ISNUMBER(W28),ISNUMBER(Y28)),1,0)</f>
        <v>0</v>
      </c>
      <c r="X34" s="71"/>
      <c r="Y34" s="72">
        <f>IF(AND(Y28&gt;W28,$AK8&gt;7,$AK7&gt;3,ISNUMBER(W28),ISNUMBER(Y28)),1,0)</f>
        <v>0</v>
      </c>
      <c r="Z34" s="71">
        <f>IF(AND(Z28&gt;AB28,$AK8&gt;8,$AK7&gt;3,ISNUMBER(Z28),ISNUMBER(AB28)),1,0)</f>
        <v>0</v>
      </c>
      <c r="AA34" s="71"/>
      <c r="AB34" s="72">
        <f>IF(AND(AB28&gt;Z28,$AK8&gt;8,$AK7&gt;3,ISNUMBER(Z28),ISNUMBER(AB28)),1,0)</f>
        <v>0</v>
      </c>
      <c r="AC34" s="71">
        <f>IF(AND(AC28&gt;AE28,$AK8&gt;9,$AK7&gt;3,ISNUMBER(AC28),ISNUMBER(AE28)),1,0)</f>
        <v>0</v>
      </c>
      <c r="AD34" s="71"/>
      <c r="AE34" s="72">
        <f>IF(AND(AE28&gt;AC28,$AK8&gt;9,$AK7&gt;3,ISNUMBER(AC28),ISNUMBER(AE28)),1,0)</f>
        <v>0</v>
      </c>
    </row>
    <row r="35" spans="1:33" s="70" customFormat="1" ht="12.75" hidden="1" customHeight="1" x14ac:dyDescent="0.2">
      <c r="A35" s="70" t="s">
        <v>79</v>
      </c>
      <c r="B35" s="71">
        <f>IF(AND(B29&gt;D29,$AK8&gt;0,$AK7&gt;4,ISNUMBER(B29),ISNUMBER(D29)),1,0)</f>
        <v>0</v>
      </c>
      <c r="C35" s="71"/>
      <c r="D35" s="72">
        <f>IF(AND(D29&gt;B29,$AK8&gt;0,$AK7&gt;4,ISNUMBER(B29),ISNUMBER(D29)),1,0)</f>
        <v>0</v>
      </c>
      <c r="E35" s="71">
        <f>IF(AND(E29&gt;G29,$AK8&gt;1,$AK7&gt;4,ISNUMBER(E29),ISNUMBER(G29)),1,0)</f>
        <v>0</v>
      </c>
      <c r="F35" s="71"/>
      <c r="G35" s="72">
        <f>IF(AND(G29&gt;E29,$AK8&gt;1,$AK7&gt;4,ISNUMBER(E29),ISNUMBER(G29)),1,0)</f>
        <v>0</v>
      </c>
      <c r="H35" s="71">
        <f>IF(AND(H29&gt;J29,$AK8&gt;2,$AK7&gt;4,ISNUMBER(H29),ISNUMBER(J29)),1,0)</f>
        <v>0</v>
      </c>
      <c r="I35" s="71"/>
      <c r="J35" s="72">
        <f>IF(AND(J29&gt;H29,$AK8&gt;2,$AK7&gt;4,ISNUMBER(H29),ISNUMBER(J29)),1,0)</f>
        <v>0</v>
      </c>
      <c r="K35" s="71">
        <f>IF(AND(K29&gt;M29,$AK8&gt;3,$AK7&gt;4,ISNUMBER(K29),ISNUMBER(M29)),1,0)</f>
        <v>0</v>
      </c>
      <c r="L35" s="71"/>
      <c r="M35" s="72">
        <f>IF(AND(M29&gt;K29,$AK8&gt;3,$AK7&gt;4,ISNUMBER(K29),ISNUMBER(M29)),1,0)</f>
        <v>0</v>
      </c>
      <c r="N35" s="71">
        <f>IF(AND(N29&gt;P29,$AK8&gt;4,$AK7&gt;4,ISNUMBER(N29),ISNUMBER(P29)),1,0)</f>
        <v>0</v>
      </c>
      <c r="O35" s="71"/>
      <c r="P35" s="72">
        <f>IF(AND(P29&gt;N29,$AK8&gt;4,$AK7&gt;4,ISNUMBER(N29),ISNUMBER(P29)),1,0)</f>
        <v>0</v>
      </c>
      <c r="Q35" s="71">
        <f>IF(AND(Q29&gt;S29,$AK8&gt;5,$AK7&gt;4,ISNUMBER(Q29),ISNUMBER(S29)),1,0)</f>
        <v>0</v>
      </c>
      <c r="R35" s="71"/>
      <c r="S35" s="72">
        <f>IF(AND(S29&gt;Q29,$AK8&gt;5,$AK7&gt;4,ISNUMBER(Q29),ISNUMBER(S29)),1,0)</f>
        <v>0</v>
      </c>
      <c r="T35" s="71">
        <f>IF(AND(T29&gt;V29,$AK8&gt;6,$AK7&gt;4,ISNUMBER(T29),ISNUMBER(V29)),1,0)</f>
        <v>0</v>
      </c>
      <c r="U35" s="71"/>
      <c r="V35" s="72">
        <f>IF(AND(V29&gt;T29,$AK8&gt;6,$AK7&gt;4,ISNUMBER(T29),ISNUMBER(V29)),1,0)</f>
        <v>0</v>
      </c>
      <c r="W35" s="71">
        <f>IF(AND(W29&gt;Y29,$AK8&gt;7,$AK7&gt;4,ISNUMBER(W29),ISNUMBER(Y29)),1,0)</f>
        <v>0</v>
      </c>
      <c r="X35" s="71"/>
      <c r="Y35" s="72">
        <f>IF(AND(Y29&gt;W29,$AK8&gt;7,$AK7&gt;4,ISNUMBER(W29),ISNUMBER(Y29)),1,0)</f>
        <v>0</v>
      </c>
      <c r="Z35" s="71">
        <f>IF(AND(Z29&gt;AB29,$AK8&gt;8,$AK7&gt;4,ISNUMBER(Z29),ISNUMBER(AB29)),1,0)</f>
        <v>0</v>
      </c>
      <c r="AA35" s="71"/>
      <c r="AB35" s="72">
        <f>IF(AND(AB29&gt;Z29,$AK8&gt;8,$AK7&gt;4,ISNUMBER(Z29),ISNUMBER(AB29)),1,0)</f>
        <v>0</v>
      </c>
      <c r="AC35" s="71">
        <f>IF(AND(AC29&gt;AE29,$AK8&gt;9,$AK7&gt;4,ISNUMBER(AC29),ISNUMBER(AE29)),1,0)</f>
        <v>0</v>
      </c>
      <c r="AD35" s="71"/>
      <c r="AE35" s="72">
        <f>IF(AND(AE29&gt;AC29,$AK8&gt;9,$AK7&gt;4,ISNUMBER(AC29),ISNUMBER(AE29)),1,0)</f>
        <v>0</v>
      </c>
    </row>
    <row r="36" spans="1:33" s="70" customFormat="1" ht="38.25" hidden="1" customHeight="1" x14ac:dyDescent="0.2">
      <c r="A36" s="73" t="s">
        <v>80</v>
      </c>
      <c r="B36" s="70">
        <f>SUM(B31:B35)</f>
        <v>2</v>
      </c>
      <c r="D36" s="74">
        <f>SUM(D31:D35)</f>
        <v>1</v>
      </c>
      <c r="E36" s="70">
        <f>SUM(E31:E35)</f>
        <v>2</v>
      </c>
      <c r="G36" s="74">
        <f>SUM(G31:G35)</f>
        <v>0</v>
      </c>
      <c r="H36" s="70">
        <f>SUM(H31:H35)</f>
        <v>2</v>
      </c>
      <c r="J36" s="74">
        <f>SUM(J31:J35)</f>
        <v>0</v>
      </c>
      <c r="K36" s="70">
        <f>SUM(K31:K35)</f>
        <v>2</v>
      </c>
      <c r="M36" s="74">
        <f>SUM(M31:M35)</f>
        <v>0</v>
      </c>
      <c r="N36" s="70">
        <f>SUM(N31:N35)</f>
        <v>0</v>
      </c>
      <c r="P36" s="74">
        <f>SUM(P31:P35)</f>
        <v>2</v>
      </c>
      <c r="Q36" s="70">
        <f>SUM(Q31:Q35)</f>
        <v>2</v>
      </c>
      <c r="S36" s="74">
        <f>SUM(S31:S35)</f>
        <v>0</v>
      </c>
      <c r="T36" s="70">
        <f>SUM(T31:T35)</f>
        <v>0</v>
      </c>
      <c r="V36" s="74">
        <f>SUM(V31:V35)</f>
        <v>0</v>
      </c>
      <c r="W36" s="70">
        <f>SUM(W31:W35)</f>
        <v>0</v>
      </c>
      <c r="Y36" s="74">
        <f>SUM(Y31:Y35)</f>
        <v>0</v>
      </c>
      <c r="Z36" s="70">
        <f>SUM(Z31:Z35)</f>
        <v>0</v>
      </c>
      <c r="AB36" s="74">
        <f>SUM(AB31:AB35)</f>
        <v>0</v>
      </c>
      <c r="AC36" s="70">
        <f>SUM(AC31:AC35)</f>
        <v>0</v>
      </c>
      <c r="AE36" s="74">
        <f>SUM(AE31:AE35)</f>
        <v>0</v>
      </c>
    </row>
    <row r="37" spans="1:33" s="70" customFormat="1" ht="25.5" hidden="1" customHeight="1" x14ac:dyDescent="0.2">
      <c r="A37" s="73" t="s">
        <v>81</v>
      </c>
      <c r="B37" s="70">
        <f>IF(B36&gt;D36,IF(C71=AK7,1,IF(C71=AK7-1,1,0)),0)</f>
        <v>1</v>
      </c>
      <c r="C37" s="70">
        <f>B37+D37</f>
        <v>1</v>
      </c>
      <c r="D37" s="74">
        <f>IF(D36&gt;B36,IF(C71=AK7,1,IF(C71=AK7-1,1,0)),0)</f>
        <v>0</v>
      </c>
      <c r="E37" s="70">
        <f>IF(E36&gt;G36,IF(F71=AK7,1,IF(F71=AK7-1,1,0)),0)</f>
        <v>1</v>
      </c>
      <c r="F37" s="70">
        <f>E37+G37</f>
        <v>1</v>
      </c>
      <c r="G37" s="74">
        <f>IF(G36&gt;E36,IF(F71=AK7,1,IF(F71=AK7-1,1,0)),0)</f>
        <v>0</v>
      </c>
      <c r="H37" s="70">
        <f>IF(H36&gt;J36,IF(I71=AK7,1,IF(I71=AK7-1,1,0)),0)</f>
        <v>1</v>
      </c>
      <c r="I37" s="70">
        <f>H37+J37</f>
        <v>1</v>
      </c>
      <c r="J37" s="74">
        <f>IF(J36&gt;H36,IF(I71=AK7,1,IF(I71=AK7-1,1,0)),0)</f>
        <v>0</v>
      </c>
      <c r="K37" s="70">
        <f>IF(K36&gt;M36,IF(L71=AK7,1,IF(L71=AK7-1,1,0)),0)</f>
        <v>1</v>
      </c>
      <c r="L37" s="70">
        <f>K37+M37</f>
        <v>1</v>
      </c>
      <c r="M37" s="74">
        <f>IF(M36&gt;K36,IF(L71=AK7,1,IF(L71=AK7-1,1,0)),0)</f>
        <v>0</v>
      </c>
      <c r="N37" s="70">
        <f>IF(N36&gt;P36,IF(O71=AK7,1,IF(O71=AK7-1,1,0)),0)</f>
        <v>0</v>
      </c>
      <c r="O37" s="70">
        <f>N37+P37</f>
        <v>1</v>
      </c>
      <c r="P37" s="74">
        <f>IF(P36&gt;N36,IF(O71=AK7,1,IF(O71=AK7-1,1,0)),0)</f>
        <v>1</v>
      </c>
      <c r="Q37" s="70">
        <f>IF(Q36&gt;S36,IF(R71=AK7,1,IF(R71=AK7-1,1,0)),0)</f>
        <v>1</v>
      </c>
      <c r="R37" s="70">
        <f>Q37+S37</f>
        <v>1</v>
      </c>
      <c r="S37" s="74">
        <f>IF(S36&gt;Q36,IF(R71=AK7,1,IF(R71=AK7-1,1,0)),0)</f>
        <v>0</v>
      </c>
      <c r="T37" s="70">
        <f>IF(T36&gt;V36,IF(U71=AK7,1,IF(U71=AK7-1,1,0)),0)</f>
        <v>0</v>
      </c>
      <c r="U37" s="70">
        <f>T37+V37</f>
        <v>0</v>
      </c>
      <c r="V37" s="74">
        <f>IF(V36&gt;T36,IF(U71=AK7,1,IF(U71=AK7-1,1,0)),0)</f>
        <v>0</v>
      </c>
      <c r="W37" s="70">
        <f>IF(W36&gt;Y36,IF(X71=AK7,1,IF(X71=AK7-1,1,0)),0)</f>
        <v>0</v>
      </c>
      <c r="X37" s="70">
        <f>W37+Y37</f>
        <v>0</v>
      </c>
      <c r="Y37" s="74">
        <f>IF(Y36&gt;W36,IF(X71=AK7,1,IF(X71=AK7-1,1,0)),0)</f>
        <v>0</v>
      </c>
      <c r="Z37" s="70">
        <f>IF(Z36&gt;AB36,IF(AA71=AK7,1,IF(AA71=AK7-1,1,0)),0)</f>
        <v>0</v>
      </c>
      <c r="AA37" s="70">
        <f>Z37+AB37</f>
        <v>0</v>
      </c>
      <c r="AB37" s="74">
        <f>IF(AB36&gt;Z36,IF(AA71=AK7,1,IF(AA71=AK7-1,1,0)),0)</f>
        <v>0</v>
      </c>
      <c r="AC37" s="70">
        <f>IF(AC36&gt;AE36,IF(AD71=AK7,1,IF(AD71=AK7-1,1,0)),0)</f>
        <v>0</v>
      </c>
      <c r="AD37" s="70">
        <f>AC37+AE37</f>
        <v>0</v>
      </c>
      <c r="AE37" s="74">
        <f>IF(AE36&gt;AC36,IF(AD71=AK7,1,IF(AD71=AK7-1,1,0)),0)</f>
        <v>0</v>
      </c>
    </row>
    <row r="38" spans="1:33" s="70" customFormat="1" ht="25.5" hidden="1" customHeight="1" x14ac:dyDescent="0.2">
      <c r="A38" s="73"/>
      <c r="D38" s="74"/>
      <c r="G38" s="74"/>
      <c r="J38" s="74"/>
      <c r="M38" s="74"/>
      <c r="P38" s="74"/>
      <c r="S38" s="74"/>
      <c r="V38" s="74"/>
      <c r="Y38" s="74"/>
      <c r="AB38" s="74"/>
      <c r="AE38" s="74"/>
    </row>
    <row r="39" spans="1:33" s="70" customFormat="1" ht="12.75" hidden="1" customHeight="1" x14ac:dyDescent="0.2">
      <c r="A39" s="70" t="s">
        <v>82</v>
      </c>
      <c r="B39" s="70">
        <f>IF(B31=1,B25,0)</f>
        <v>0</v>
      </c>
      <c r="D39" s="74">
        <f t="shared" ref="D39:E43" si="2">IF(D31=1,D25,0)</f>
        <v>25</v>
      </c>
      <c r="E39" s="70">
        <f t="shared" si="2"/>
        <v>25</v>
      </c>
      <c r="G39" s="74">
        <f t="shared" ref="G39:H43" si="3">IF(G31=1,G25,0)</f>
        <v>0</v>
      </c>
      <c r="H39" s="70">
        <f t="shared" si="3"/>
        <v>25</v>
      </c>
      <c r="J39" s="74">
        <f t="shared" ref="J39:K43" si="4">IF(J31=1,J25,0)</f>
        <v>0</v>
      </c>
      <c r="K39" s="70">
        <f t="shared" si="4"/>
        <v>25</v>
      </c>
      <c r="M39" s="74">
        <f t="shared" ref="M39:N43" si="5">IF(M31=1,M25,0)</f>
        <v>0</v>
      </c>
      <c r="N39" s="70">
        <f t="shared" si="5"/>
        <v>0</v>
      </c>
      <c r="P39" s="74">
        <f t="shared" ref="P39:Q43" si="6">IF(P31=1,P25,0)</f>
        <v>25</v>
      </c>
      <c r="Q39" s="70">
        <f t="shared" si="6"/>
        <v>25</v>
      </c>
      <c r="S39" s="74">
        <f t="shared" ref="S39:T43" si="7">IF(S31=1,S25,0)</f>
        <v>0</v>
      </c>
      <c r="T39" s="70">
        <f t="shared" si="7"/>
        <v>0</v>
      </c>
      <c r="V39" s="74">
        <f t="shared" ref="V39:W43" si="8">IF(V31=1,V25,0)</f>
        <v>0</v>
      </c>
      <c r="W39" s="70">
        <f t="shared" si="8"/>
        <v>0</v>
      </c>
      <c r="Y39" s="74">
        <f t="shared" ref="Y39:Z43" si="9">IF(Y31=1,Y25,0)</f>
        <v>0</v>
      </c>
      <c r="Z39" s="70">
        <f t="shared" si="9"/>
        <v>0</v>
      </c>
      <c r="AB39" s="74">
        <f t="shared" ref="AB39:AC43" si="10">IF(AB31=1,AB25,0)</f>
        <v>0</v>
      </c>
      <c r="AC39" s="70">
        <f t="shared" si="10"/>
        <v>0</v>
      </c>
      <c r="AE39" s="74">
        <f>IF(AE31=1,AE25,0)</f>
        <v>0</v>
      </c>
    </row>
    <row r="40" spans="1:33" s="70" customFormat="1" ht="12.75" hidden="1" customHeight="1" x14ac:dyDescent="0.2">
      <c r="A40" s="70" t="s">
        <v>83</v>
      </c>
      <c r="B40" s="70">
        <f>IF(B32=1,B26,0)</f>
        <v>25</v>
      </c>
      <c r="D40" s="74">
        <f t="shared" si="2"/>
        <v>0</v>
      </c>
      <c r="E40" s="70">
        <f t="shared" si="2"/>
        <v>25</v>
      </c>
      <c r="G40" s="74">
        <f t="shared" si="3"/>
        <v>0</v>
      </c>
      <c r="H40" s="70">
        <f t="shared" si="3"/>
        <v>25</v>
      </c>
      <c r="J40" s="74">
        <f t="shared" si="4"/>
        <v>0</v>
      </c>
      <c r="K40" s="70">
        <f t="shared" si="4"/>
        <v>25</v>
      </c>
      <c r="M40" s="74">
        <f t="shared" si="5"/>
        <v>0</v>
      </c>
      <c r="N40" s="70">
        <f t="shared" si="5"/>
        <v>0</v>
      </c>
      <c r="P40" s="74">
        <f t="shared" si="6"/>
        <v>25</v>
      </c>
      <c r="Q40" s="70">
        <f t="shared" si="6"/>
        <v>25</v>
      </c>
      <c r="S40" s="74">
        <f t="shared" si="7"/>
        <v>0</v>
      </c>
      <c r="T40" s="70">
        <f t="shared" si="7"/>
        <v>0</v>
      </c>
      <c r="V40" s="74">
        <f t="shared" si="8"/>
        <v>0</v>
      </c>
      <c r="W40" s="70">
        <f t="shared" si="8"/>
        <v>0</v>
      </c>
      <c r="Y40" s="74">
        <f t="shared" si="9"/>
        <v>0</v>
      </c>
      <c r="Z40" s="70">
        <f t="shared" si="9"/>
        <v>0</v>
      </c>
      <c r="AB40" s="74">
        <f t="shared" si="10"/>
        <v>0</v>
      </c>
      <c r="AC40" s="70">
        <f t="shared" si="10"/>
        <v>0</v>
      </c>
      <c r="AE40" s="74">
        <f>IF(AE32=1,AE26,0)</f>
        <v>0</v>
      </c>
    </row>
    <row r="41" spans="1:33" s="70" customFormat="1" ht="12.75" hidden="1" customHeight="1" x14ac:dyDescent="0.2">
      <c r="A41" s="70" t="s">
        <v>84</v>
      </c>
      <c r="B41" s="70">
        <f>IF(B33=1,B27,0)</f>
        <v>15</v>
      </c>
      <c r="D41" s="74">
        <f t="shared" si="2"/>
        <v>0</v>
      </c>
      <c r="E41" s="70">
        <f t="shared" si="2"/>
        <v>0</v>
      </c>
      <c r="G41" s="74">
        <f t="shared" si="3"/>
        <v>0</v>
      </c>
      <c r="H41" s="70">
        <f t="shared" si="3"/>
        <v>0</v>
      </c>
      <c r="J41" s="74">
        <f t="shared" si="4"/>
        <v>0</v>
      </c>
      <c r="K41" s="70">
        <f t="shared" si="4"/>
        <v>0</v>
      </c>
      <c r="M41" s="74">
        <f t="shared" si="5"/>
        <v>0</v>
      </c>
      <c r="N41" s="70">
        <f t="shared" si="5"/>
        <v>0</v>
      </c>
      <c r="P41" s="74">
        <f t="shared" si="6"/>
        <v>0</v>
      </c>
      <c r="Q41" s="70">
        <f t="shared" si="6"/>
        <v>0</v>
      </c>
      <c r="S41" s="74">
        <f t="shared" si="7"/>
        <v>0</v>
      </c>
      <c r="T41" s="70">
        <f t="shared" si="7"/>
        <v>0</v>
      </c>
      <c r="V41" s="74">
        <f t="shared" si="8"/>
        <v>0</v>
      </c>
      <c r="W41" s="70">
        <f t="shared" si="8"/>
        <v>0</v>
      </c>
      <c r="Y41" s="74">
        <f t="shared" si="9"/>
        <v>0</v>
      </c>
      <c r="Z41" s="70">
        <f t="shared" si="9"/>
        <v>0</v>
      </c>
      <c r="AB41" s="74">
        <f t="shared" si="10"/>
        <v>0</v>
      </c>
      <c r="AC41" s="70">
        <f t="shared" si="10"/>
        <v>0</v>
      </c>
      <c r="AE41" s="74">
        <f>IF(AE33=1,AE27,0)</f>
        <v>0</v>
      </c>
    </row>
    <row r="42" spans="1:33" s="70" customFormat="1" ht="12.75" hidden="1" customHeight="1" x14ac:dyDescent="0.2">
      <c r="A42" s="70" t="s">
        <v>85</v>
      </c>
      <c r="B42" s="70">
        <f>IF(B34=1,B28,0)</f>
        <v>0</v>
      </c>
      <c r="D42" s="74">
        <f t="shared" si="2"/>
        <v>0</v>
      </c>
      <c r="E42" s="70">
        <f t="shared" si="2"/>
        <v>0</v>
      </c>
      <c r="G42" s="74">
        <f t="shared" si="3"/>
        <v>0</v>
      </c>
      <c r="H42" s="70">
        <f t="shared" si="3"/>
        <v>0</v>
      </c>
      <c r="J42" s="74">
        <f t="shared" si="4"/>
        <v>0</v>
      </c>
      <c r="K42" s="70">
        <f t="shared" si="4"/>
        <v>0</v>
      </c>
      <c r="M42" s="74">
        <f t="shared" si="5"/>
        <v>0</v>
      </c>
      <c r="N42" s="70">
        <f t="shared" si="5"/>
        <v>0</v>
      </c>
      <c r="P42" s="74">
        <f t="shared" si="6"/>
        <v>0</v>
      </c>
      <c r="Q42" s="70">
        <f t="shared" si="6"/>
        <v>0</v>
      </c>
      <c r="S42" s="74">
        <f t="shared" si="7"/>
        <v>0</v>
      </c>
      <c r="T42" s="70">
        <f t="shared" si="7"/>
        <v>0</v>
      </c>
      <c r="V42" s="74">
        <f t="shared" si="8"/>
        <v>0</v>
      </c>
      <c r="W42" s="70">
        <f t="shared" si="8"/>
        <v>0</v>
      </c>
      <c r="Y42" s="74">
        <f t="shared" si="9"/>
        <v>0</v>
      </c>
      <c r="Z42" s="70">
        <f t="shared" si="9"/>
        <v>0</v>
      </c>
      <c r="AB42" s="74">
        <f t="shared" si="10"/>
        <v>0</v>
      </c>
      <c r="AC42" s="70">
        <f t="shared" si="10"/>
        <v>0</v>
      </c>
      <c r="AE42" s="74">
        <f>IF(AE34=1,AE28,0)</f>
        <v>0</v>
      </c>
    </row>
    <row r="43" spans="1:33" s="70" customFormat="1" ht="12.75" hidden="1" customHeight="1" x14ac:dyDescent="0.2">
      <c r="A43" s="70" t="s">
        <v>86</v>
      </c>
      <c r="B43" s="70">
        <f>IF(B35=1,B29,0)</f>
        <v>0</v>
      </c>
      <c r="D43" s="74">
        <f t="shared" si="2"/>
        <v>0</v>
      </c>
      <c r="E43" s="70">
        <f t="shared" si="2"/>
        <v>0</v>
      </c>
      <c r="G43" s="74">
        <f t="shared" si="3"/>
        <v>0</v>
      </c>
      <c r="H43" s="70">
        <f t="shared" si="3"/>
        <v>0</v>
      </c>
      <c r="J43" s="74">
        <f t="shared" si="4"/>
        <v>0</v>
      </c>
      <c r="K43" s="70">
        <f t="shared" si="4"/>
        <v>0</v>
      </c>
      <c r="M43" s="74">
        <f t="shared" si="5"/>
        <v>0</v>
      </c>
      <c r="N43" s="70">
        <f t="shared" si="5"/>
        <v>0</v>
      </c>
      <c r="P43" s="74">
        <f t="shared" si="6"/>
        <v>0</v>
      </c>
      <c r="Q43" s="70">
        <f t="shared" si="6"/>
        <v>0</v>
      </c>
      <c r="S43" s="74">
        <f t="shared" si="7"/>
        <v>0</v>
      </c>
      <c r="T43" s="70">
        <f t="shared" si="7"/>
        <v>0</v>
      </c>
      <c r="V43" s="74">
        <f t="shared" si="8"/>
        <v>0</v>
      </c>
      <c r="W43" s="70">
        <f t="shared" si="8"/>
        <v>0</v>
      </c>
      <c r="Y43" s="74">
        <f t="shared" si="9"/>
        <v>0</v>
      </c>
      <c r="Z43" s="70">
        <f t="shared" si="9"/>
        <v>0</v>
      </c>
      <c r="AB43" s="74">
        <f t="shared" si="10"/>
        <v>0</v>
      </c>
      <c r="AC43" s="70">
        <f t="shared" si="10"/>
        <v>0</v>
      </c>
      <c r="AE43" s="74">
        <f>IF(AE35=1,AE29,0)</f>
        <v>0</v>
      </c>
    </row>
    <row r="44" spans="1:33" s="70" customFormat="1" ht="38.25" hidden="1" customHeight="1" x14ac:dyDescent="0.2">
      <c r="A44" s="73" t="s">
        <v>87</v>
      </c>
      <c r="B44" s="70">
        <f>SUM(B39:D43)</f>
        <v>65</v>
      </c>
      <c r="D44" s="74"/>
      <c r="E44" s="70">
        <f>SUM(E39:G43)</f>
        <v>50</v>
      </c>
      <c r="G44" s="74"/>
      <c r="H44" s="70">
        <f>SUM(H39:J43)</f>
        <v>50</v>
      </c>
      <c r="J44" s="74"/>
      <c r="K44" s="70">
        <f>SUM(K39:M43)</f>
        <v>50</v>
      </c>
      <c r="M44" s="74"/>
      <c r="N44" s="70">
        <f>SUM(N39:P43)</f>
        <v>50</v>
      </c>
      <c r="P44" s="74"/>
      <c r="Q44" s="70">
        <f>SUM(Q39:S43)</f>
        <v>50</v>
      </c>
      <c r="S44" s="74"/>
      <c r="T44" s="70">
        <f>SUM(T39:V43)</f>
        <v>0</v>
      </c>
      <c r="V44" s="74"/>
      <c r="W44" s="70">
        <f>SUM(W39:Y43)</f>
        <v>0</v>
      </c>
      <c r="Y44" s="74"/>
      <c r="Z44" s="70">
        <f>SUM(Z39:AB43)</f>
        <v>0</v>
      </c>
      <c r="AB44" s="74"/>
      <c r="AC44" s="70">
        <f>SUM(AC39:AE43)</f>
        <v>0</v>
      </c>
      <c r="AE44" s="74"/>
    </row>
    <row r="45" spans="1:33" s="70" customFormat="1" ht="38.25" hidden="1" customHeight="1" x14ac:dyDescent="0.2">
      <c r="A45" s="70" t="s">
        <v>88</v>
      </c>
      <c r="D45" s="74"/>
      <c r="G45" s="74"/>
      <c r="J45" s="74"/>
      <c r="M45" s="74"/>
      <c r="P45" s="74"/>
      <c r="S45" s="74"/>
      <c r="V45" s="74"/>
      <c r="Y45" s="74"/>
      <c r="AB45" s="74"/>
      <c r="AE45" s="74"/>
      <c r="AF45" s="73" t="s">
        <v>89</v>
      </c>
      <c r="AG45" s="70" t="s">
        <v>90</v>
      </c>
    </row>
    <row r="46" spans="1:33" s="70" customFormat="1" ht="12.75" hidden="1" customHeight="1" x14ac:dyDescent="0.2">
      <c r="A46" s="70" t="s">
        <v>91</v>
      </c>
      <c r="B46" s="70">
        <f>IF(B24=1,IF(B37=1,1,0),0)</f>
        <v>0</v>
      </c>
      <c r="D46" s="74">
        <f>IF(D24=1,IF(D37=1,1,0),0)</f>
        <v>0</v>
      </c>
      <c r="E46" s="70">
        <f>IF(E24=1,IF(E37=1,1,0),0)</f>
        <v>1</v>
      </c>
      <c r="G46" s="74">
        <f>IF(G24=1,IF(G37=1,1,0),0)</f>
        <v>0</v>
      </c>
      <c r="H46" s="70">
        <f>IF(H24=1,IF(H37=1,1,0),0)</f>
        <v>0</v>
      </c>
      <c r="J46" s="74">
        <f>IF(J24=1,IF(J37=1,1,0),0)</f>
        <v>0</v>
      </c>
      <c r="K46" s="70">
        <f>IF(K24=1,IF(K37=1,1,0),0)</f>
        <v>1</v>
      </c>
      <c r="M46" s="74">
        <f>IF(M24=1,IF(M37=1,1,0),0)</f>
        <v>0</v>
      </c>
      <c r="N46" s="70">
        <f>IF(N24=1,IF(N37=1,1,0),0)</f>
        <v>0</v>
      </c>
      <c r="P46" s="74">
        <f>IF(P24=1,IF(P37=1,1,0),0)</f>
        <v>0</v>
      </c>
      <c r="Q46" s="70">
        <f>IF(Q24=1,IF(Q37=1,1,0),0)</f>
        <v>1</v>
      </c>
      <c r="S46" s="74">
        <f>IF(S24=1,IF(S37=1,1,0),0)</f>
        <v>0</v>
      </c>
      <c r="T46" s="70">
        <f>IF(T24=1,IF(T37=1,1,0),0)</f>
        <v>0</v>
      </c>
      <c r="V46" s="74">
        <f>IF(V24=1,IF(V37=1,1,0),0)</f>
        <v>0</v>
      </c>
      <c r="W46" s="70">
        <f>IF(W24=1,IF(W37=1,1,0),0)</f>
        <v>0</v>
      </c>
      <c r="Y46" s="74">
        <f>IF(Y24=1,IF(Y37=1,1,0),0)</f>
        <v>0</v>
      </c>
      <c r="Z46" s="70">
        <f>IF(Z24=1,IF(Z37=1,1,0),0)</f>
        <v>0</v>
      </c>
      <c r="AB46" s="74">
        <f>IF(AB24=1,IF(AB37=1,1,0),0)</f>
        <v>0</v>
      </c>
      <c r="AC46" s="70">
        <f>IF(AC24=1,IF(AC37=1,1,0),0)</f>
        <v>0</v>
      </c>
      <c r="AE46" s="74">
        <f>IF(AE24=1,IF(AE37=1,1,0),0)</f>
        <v>0</v>
      </c>
      <c r="AF46" s="70">
        <f>SUM(B46:AE46)</f>
        <v>3</v>
      </c>
      <c r="AG46" s="70">
        <f>AF52-AF46</f>
        <v>0</v>
      </c>
    </row>
    <row r="47" spans="1:33" s="70" customFormat="1" ht="12.75" hidden="1" customHeight="1" x14ac:dyDescent="0.2">
      <c r="A47" s="70" t="s">
        <v>92</v>
      </c>
      <c r="B47" s="70">
        <f>IF(B24=2,IF(B37=1,1,0),0)</f>
        <v>1</v>
      </c>
      <c r="D47" s="74">
        <f>IF(D24=2,IF(D37=1,1,0),0)</f>
        <v>0</v>
      </c>
      <c r="E47" s="70">
        <f>IF(E24=2,IF(E37=1,1,0),0)</f>
        <v>0</v>
      </c>
      <c r="G47" s="74">
        <f>IF(G24=2,IF(G37=1,1,0),0)</f>
        <v>0</v>
      </c>
      <c r="H47" s="70">
        <f>IF(H24=2,IF(H37=1,1,0),0)</f>
        <v>1</v>
      </c>
      <c r="J47" s="74">
        <f>IF(J24=2,IF(J37=1,1,0),0)</f>
        <v>0</v>
      </c>
      <c r="K47" s="70">
        <f>IF(K24=2,IF(K37=1,1,0),0)</f>
        <v>0</v>
      </c>
      <c r="M47" s="74">
        <f>IF(M24=2,IF(M37=1,1,0),0)</f>
        <v>0</v>
      </c>
      <c r="N47" s="70">
        <f>IF(N24=2,IF(N37=1,1,0),0)</f>
        <v>0</v>
      </c>
      <c r="P47" s="74">
        <f>IF(P24=2,IF(P37=1,1,0),0)</f>
        <v>0</v>
      </c>
      <c r="Q47" s="70">
        <f>IF(Q24=2,IF(Q37=1,1,0),0)</f>
        <v>0</v>
      </c>
      <c r="S47" s="74">
        <f>IF(S24=2,IF(S37=1,1,0),0)</f>
        <v>0</v>
      </c>
      <c r="T47" s="70">
        <f>IF(T24=2,IF(T37=1,1,0),0)</f>
        <v>0</v>
      </c>
      <c r="V47" s="74">
        <f>IF(V24=2,IF(V37=1,1,0),0)</f>
        <v>0</v>
      </c>
      <c r="W47" s="70">
        <f>IF(W24=2,IF(W37=1,1,0),0)</f>
        <v>0</v>
      </c>
      <c r="Y47" s="74">
        <f>IF(Y24=2,IF(Y37=1,1,0),0)</f>
        <v>0</v>
      </c>
      <c r="Z47" s="70">
        <f>IF(Z24=2,IF(Z37=1,1,0),0)</f>
        <v>0</v>
      </c>
      <c r="AB47" s="74">
        <f>IF(AB24=2,IF(AB37=1,1,0),0)</f>
        <v>0</v>
      </c>
      <c r="AC47" s="70">
        <f>IF(AC24=2,IF(AC37=1,1,0),0)</f>
        <v>0</v>
      </c>
      <c r="AE47" s="74">
        <f>IF(AE24=2,IF(AE37=1,1,0),0)</f>
        <v>0</v>
      </c>
      <c r="AF47" s="70">
        <f>SUM(B47:AE47)</f>
        <v>2</v>
      </c>
      <c r="AG47" s="70">
        <f>AF53-AF47</f>
        <v>1</v>
      </c>
    </row>
    <row r="48" spans="1:33" s="70" customFormat="1" ht="12.75" hidden="1" customHeight="1" x14ac:dyDescent="0.2">
      <c r="A48" s="70" t="s">
        <v>93</v>
      </c>
      <c r="B48" s="70">
        <f>IF(B24=3,IF(B37=1,1,0),0)</f>
        <v>0</v>
      </c>
      <c r="D48" s="74">
        <f>IF(D24=3,IF(D37=1,1,0),0)</f>
        <v>0</v>
      </c>
      <c r="E48" s="70">
        <f>IF(E24=3,IF(E37=1,1,0),0)</f>
        <v>0</v>
      </c>
      <c r="G48" s="74">
        <f>IF(G24=3,IF(G37=1,1,0),0)</f>
        <v>0</v>
      </c>
      <c r="H48" s="70">
        <f>IF(H24=3,IF(H37=1,1,0),0)</f>
        <v>0</v>
      </c>
      <c r="J48" s="74">
        <f>IF(J24=3,IF(J37=1,1,0),0)</f>
        <v>0</v>
      </c>
      <c r="K48" s="70">
        <f>IF(K24=3,IF(K37=1,1,0),0)</f>
        <v>0</v>
      </c>
      <c r="M48" s="74">
        <f>IF(M24=3,IF(M37=1,1,0),0)</f>
        <v>0</v>
      </c>
      <c r="N48" s="70">
        <f>IF(N24=3,IF(N37=1,1,0),0)</f>
        <v>0</v>
      </c>
      <c r="P48" s="74">
        <f>IF(P24=3,IF(P37=1,1,0),0)</f>
        <v>0</v>
      </c>
      <c r="Q48" s="70">
        <f>IF(Q24=3,IF(Q37=1,1,0),0)</f>
        <v>0</v>
      </c>
      <c r="S48" s="74">
        <f>IF(S24=3,IF(S37=1,1,0),0)</f>
        <v>0</v>
      </c>
      <c r="T48" s="70">
        <f>IF(T24=3,IF(T37=1,1,0),0)</f>
        <v>0</v>
      </c>
      <c r="V48" s="74">
        <f>IF(V24=3,IF(V37=1,1,0),0)</f>
        <v>0</v>
      </c>
      <c r="W48" s="70">
        <f>IF(W24=3,IF(W37=1,1,0),0)</f>
        <v>0</v>
      </c>
      <c r="Y48" s="74">
        <f>IF(Y24=3,IF(Y37=1,1,0),0)</f>
        <v>0</v>
      </c>
      <c r="Z48" s="70">
        <f>IF(Z24=3,IF(Z37=1,1,0),0)</f>
        <v>0</v>
      </c>
      <c r="AB48" s="74">
        <f>IF(AB24=3,IF(AB37=1,1,0),0)</f>
        <v>0</v>
      </c>
      <c r="AC48" s="70">
        <f>IF(AC24=3,IF(AC37=1,1,0),0)</f>
        <v>0</v>
      </c>
      <c r="AE48" s="74">
        <f>IF(AE24=3,IF(AE37=1,1,0),0)</f>
        <v>0</v>
      </c>
      <c r="AF48" s="70">
        <f>SUM(B48:AE48)</f>
        <v>0</v>
      </c>
      <c r="AG48" s="70">
        <f>AF54-AF48</f>
        <v>3</v>
      </c>
    </row>
    <row r="49" spans="1:37" s="70" customFormat="1" ht="12.75" hidden="1" customHeight="1" x14ac:dyDescent="0.2">
      <c r="A49" s="70" t="s">
        <v>94</v>
      </c>
      <c r="B49" s="70">
        <f>IF(B24=4,IF(B37=1,1,0),0)</f>
        <v>0</v>
      </c>
      <c r="D49" s="74">
        <f>IF(D24=4,IF(D37=1,1,0),0)</f>
        <v>0</v>
      </c>
      <c r="E49" s="70">
        <f>IF(E24=4,IF(E37=1,1,0),0)</f>
        <v>0</v>
      </c>
      <c r="G49" s="74">
        <f>IF(G24=4,IF(G37=1,1,0),0)</f>
        <v>0</v>
      </c>
      <c r="H49" s="70">
        <f>IF(H24=4,IF(H37=1,1,0),0)</f>
        <v>0</v>
      </c>
      <c r="J49" s="74">
        <f>IF(J24=4,IF(J37=1,1,0),0)</f>
        <v>0</v>
      </c>
      <c r="K49" s="70">
        <f>IF(K24=4,IF(K37=1,1,0),0)</f>
        <v>0</v>
      </c>
      <c r="M49" s="74">
        <f>IF(M24=4,IF(M37=1,1,0),0)</f>
        <v>0</v>
      </c>
      <c r="N49" s="70">
        <f>IF(N24=4,IF(N37=1,1,0),0)</f>
        <v>0</v>
      </c>
      <c r="P49" s="74">
        <f>IF(P24=4,IF(P37=1,1,0),0)</f>
        <v>1</v>
      </c>
      <c r="Q49" s="70">
        <f>IF(Q24=4,IF(Q37=1,1,0),0)</f>
        <v>0</v>
      </c>
      <c r="S49" s="74">
        <f>IF(S24=4,IF(S37=1,1,0),0)</f>
        <v>0</v>
      </c>
      <c r="T49" s="70">
        <f>IF(T24=4,IF(T37=1,1,0),0)</f>
        <v>0</v>
      </c>
      <c r="V49" s="74">
        <f>IF(V24=4,IF(V37=1,1,0),0)</f>
        <v>0</v>
      </c>
      <c r="W49" s="70">
        <f>IF(W24=4,IF(W37=1,1,0),0)</f>
        <v>0</v>
      </c>
      <c r="Y49" s="74">
        <f>IF(Y24=4,IF(Y37=1,1,0),0)</f>
        <v>0</v>
      </c>
      <c r="Z49" s="70">
        <f>IF(Z24=4,IF(Z37=1,1,0),0)</f>
        <v>0</v>
      </c>
      <c r="AB49" s="74">
        <f>IF(AB24=4,IF(AB37=1,1,0),0)</f>
        <v>0</v>
      </c>
      <c r="AC49" s="70">
        <f>IF(AC24=4,IF(AC37=1,1,0),0)</f>
        <v>0</v>
      </c>
      <c r="AE49" s="74">
        <f>IF(AE24=4,IF(AE37=1,1,0),0)</f>
        <v>0</v>
      </c>
      <c r="AF49" s="70">
        <f>SUM(B49:AE49)</f>
        <v>1</v>
      </c>
      <c r="AG49" s="70">
        <f>AF55-AF49</f>
        <v>2</v>
      </c>
    </row>
    <row r="50" spans="1:37" s="70" customFormat="1" ht="12.75" hidden="1" customHeight="1" x14ac:dyDescent="0.2">
      <c r="A50" s="70" t="s">
        <v>95</v>
      </c>
      <c r="B50" s="70">
        <f>IF(B24=5,IF(B37=1,1,0),0)</f>
        <v>0</v>
      </c>
      <c r="D50" s="74">
        <f>IF(D24=5,IF(D37=1,1,0),0)</f>
        <v>0</v>
      </c>
      <c r="E50" s="70">
        <f>IF(E24=5,IF(E37=1,1,0),0)</f>
        <v>0</v>
      </c>
      <c r="G50" s="74">
        <f>IF(G24=5,IF(G37=1,1,0),0)</f>
        <v>0</v>
      </c>
      <c r="H50" s="70">
        <f>IF(H24=5,IF(H37=1,1,0),0)</f>
        <v>0</v>
      </c>
      <c r="J50" s="74">
        <f>IF(J24=5,IF(J37=1,1,0),0)</f>
        <v>0</v>
      </c>
      <c r="K50" s="70">
        <f>IF(K24=5,IF(K37=1,1,0),0)</f>
        <v>0</v>
      </c>
      <c r="M50" s="74">
        <f>IF(M24=5,IF(M37=1,1,0),0)</f>
        <v>0</v>
      </c>
      <c r="N50" s="70">
        <f>IF(N24=5,IF(N37=1,1,0),0)</f>
        <v>0</v>
      </c>
      <c r="P50" s="74">
        <f>IF(P24=5,IF(P37=1,1,0),0)</f>
        <v>0</v>
      </c>
      <c r="Q50" s="70">
        <f>IF(Q24=5,IF(Q37=1,1,0),0)</f>
        <v>0</v>
      </c>
      <c r="S50" s="74">
        <f>IF(S24=5,IF(S37=1,1,0),0)</f>
        <v>0</v>
      </c>
      <c r="T50" s="70">
        <f>IF(T24=5,IF(T37=1,1,0),0)</f>
        <v>0</v>
      </c>
      <c r="V50" s="74">
        <f>IF(V24=5,IF(V37=1,1,0),0)</f>
        <v>0</v>
      </c>
      <c r="W50" s="70">
        <f>IF(W24=5,IF(W37=1,1,0),0)</f>
        <v>0</v>
      </c>
      <c r="Y50" s="74">
        <f>IF(Y24=5,IF(Y37=1,1,0),0)</f>
        <v>0</v>
      </c>
      <c r="Z50" s="70">
        <f>IF(Z24=5,IF(Z37=1,1,0),0)</f>
        <v>0</v>
      </c>
      <c r="AB50" s="74">
        <f>IF(AB24=5,IF(AB37=1,1,0),0)</f>
        <v>0</v>
      </c>
      <c r="AC50" s="70">
        <f>IF(AC24=5,IF(AC37=1,1,0),0)</f>
        <v>0</v>
      </c>
      <c r="AE50" s="74">
        <f>IF(AE24=5,IF(AE37=1,1,0),0)</f>
        <v>0</v>
      </c>
      <c r="AF50" s="70">
        <f>SUM(B50:AE50)</f>
        <v>0</v>
      </c>
      <c r="AG50" s="70">
        <f>AF56-AF50</f>
        <v>0</v>
      </c>
    </row>
    <row r="51" spans="1:37" s="70" customFormat="1" ht="38.25" hidden="1" customHeight="1" x14ac:dyDescent="0.2">
      <c r="A51" s="73"/>
      <c r="D51" s="74"/>
      <c r="G51" s="74"/>
      <c r="J51" s="74"/>
      <c r="M51" s="74"/>
      <c r="P51" s="74"/>
      <c r="S51" s="74"/>
      <c r="V51" s="74"/>
      <c r="Y51" s="74"/>
      <c r="AB51" s="74"/>
      <c r="AE51" s="74"/>
      <c r="AF51" s="73" t="s">
        <v>96</v>
      </c>
    </row>
    <row r="52" spans="1:37" s="70" customFormat="1" ht="12.75" hidden="1" customHeight="1" x14ac:dyDescent="0.2">
      <c r="A52" s="70" t="s">
        <v>97</v>
      </c>
      <c r="B52" s="70">
        <f>IF(B24=1,IF(C37=1,1,0),0)</f>
        <v>0</v>
      </c>
      <c r="D52" s="74">
        <f>IF(D24=1,IF(C37=1,1,0),0)</f>
        <v>0</v>
      </c>
      <c r="E52" s="70">
        <f>IF(E24=1,IF(F37=1,1,0),0)</f>
        <v>1</v>
      </c>
      <c r="G52" s="74">
        <f>IF(G24=1,IF(F37=1,1,0),0)</f>
        <v>0</v>
      </c>
      <c r="H52" s="70">
        <f>IF(H24=1,IF(I37=1,1,0),0)</f>
        <v>0</v>
      </c>
      <c r="J52" s="74">
        <f>IF(J24=1,IF(I37=1,1,0),0)</f>
        <v>0</v>
      </c>
      <c r="K52" s="70">
        <f>IF(K24=1,IF(L37=1,1,0),0)</f>
        <v>1</v>
      </c>
      <c r="M52" s="74">
        <f>IF(M24=1,IF(L37=1,1,0),0)</f>
        <v>0</v>
      </c>
      <c r="N52" s="70">
        <f>IF(N24=1,IF(O37=1,1,0),0)</f>
        <v>0</v>
      </c>
      <c r="P52" s="74">
        <f>IF(P24=1,IF(O37=1,1,0),0)</f>
        <v>0</v>
      </c>
      <c r="Q52" s="70">
        <f>IF(Q24=1,IF(R37=1,1,0),0)</f>
        <v>1</v>
      </c>
      <c r="S52" s="74">
        <f>IF(S24=1,IF(R37=1,1,0),0)</f>
        <v>0</v>
      </c>
      <c r="T52" s="70">
        <f>IF(T24=1,IF(U37=1,1,0),0)</f>
        <v>0</v>
      </c>
      <c r="V52" s="74">
        <f>IF(V24=1,IF(U37=1,1,0),0)</f>
        <v>0</v>
      </c>
      <c r="W52" s="70">
        <f>IF(W24=1,IF(X37=1,1,0),0)</f>
        <v>0</v>
      </c>
      <c r="Y52" s="74">
        <f>IF(Y24=1,IF(X37=1,1,0),0)</f>
        <v>0</v>
      </c>
      <c r="Z52" s="70">
        <f>IF(Z24=1,IF(AA37=1,1,0),0)</f>
        <v>0</v>
      </c>
      <c r="AB52" s="74">
        <f>IF(AB24=1,IF(AA37=1,1,0),0)</f>
        <v>0</v>
      </c>
      <c r="AC52" s="70">
        <f>IF(AC24=1,IF(AD37=1,1,0),0)</f>
        <v>0</v>
      </c>
      <c r="AE52" s="74">
        <f>IF(AE24=1,IF(AD37=1,1,0),0)</f>
        <v>0</v>
      </c>
      <c r="AF52" s="70">
        <f>SUM(B52:AE52)</f>
        <v>3</v>
      </c>
    </row>
    <row r="53" spans="1:37" s="70" customFormat="1" ht="12.75" hidden="1" customHeight="1" x14ac:dyDescent="0.2">
      <c r="A53" s="70" t="s">
        <v>98</v>
      </c>
      <c r="B53" s="70">
        <f>IF(B24=2,IF(C37=1,1,0),0)</f>
        <v>1</v>
      </c>
      <c r="D53" s="74">
        <f>IF(D24=2,IF(C37=1,1,0),0)</f>
        <v>0</v>
      </c>
      <c r="E53" s="70">
        <f>IF(E24=2,IF(F37=1,1,0),0)</f>
        <v>0</v>
      </c>
      <c r="G53" s="74">
        <f>IF(G24=2,IF(F37=1,1,0),0)</f>
        <v>0</v>
      </c>
      <c r="H53" s="70">
        <f>IF(H24=2,IF(I37=1,1,0),0)</f>
        <v>1</v>
      </c>
      <c r="J53" s="74">
        <f>IF(J24=2,IF(I37=1,1,0),0)</f>
        <v>0</v>
      </c>
      <c r="K53" s="70">
        <f>IF(K24=2,IF(L37=1,1,0),0)</f>
        <v>0</v>
      </c>
      <c r="M53" s="74">
        <f>IF(M24=2,IF(L37=1,1,0),0)</f>
        <v>0</v>
      </c>
      <c r="N53" s="70">
        <f>IF(N24=2,IF(O37=1,1,0),0)</f>
        <v>0</v>
      </c>
      <c r="P53" s="74">
        <f>IF(P24=2,IF(O37=1,1,0),0)</f>
        <v>0</v>
      </c>
      <c r="Q53" s="70">
        <f>IF(Q24=2,IF(R37=1,1,0),0)</f>
        <v>0</v>
      </c>
      <c r="S53" s="74">
        <f>IF(S24=2,IF(R37=1,1,0),0)</f>
        <v>1</v>
      </c>
      <c r="T53" s="70">
        <f>IF(T24=2,IF(U37=1,1,0),0)</f>
        <v>0</v>
      </c>
      <c r="V53" s="74">
        <f>IF(V24=2,IF(U37=1,1,0),0)</f>
        <v>0</v>
      </c>
      <c r="W53" s="70">
        <f>IF(W24=2,IF(X37=1,1,0),0)</f>
        <v>0</v>
      </c>
      <c r="Y53" s="74">
        <f>IF(Y24=2,IF(X37=1,1,0),0)</f>
        <v>0</v>
      </c>
      <c r="Z53" s="70">
        <f>IF(Z24=2,IF(AA37=1,1,0),0)</f>
        <v>0</v>
      </c>
      <c r="AB53" s="74">
        <f>IF(AB24=2,IF(AA37=1,1,0),0)</f>
        <v>0</v>
      </c>
      <c r="AC53" s="70">
        <f>IF(AC24=2,IF(AD37=1,1,0),0)</f>
        <v>0</v>
      </c>
      <c r="AE53" s="74">
        <f>IF(AE24=2,IF(AD37=1,1,0),0)</f>
        <v>0</v>
      </c>
      <c r="AF53" s="70">
        <f>SUM(B53:AE53)</f>
        <v>3</v>
      </c>
    </row>
    <row r="54" spans="1:37" s="70" customFormat="1" ht="12.75" hidden="1" customHeight="1" x14ac:dyDescent="0.2">
      <c r="A54" s="70" t="s">
        <v>99</v>
      </c>
      <c r="B54" s="70">
        <f>IF(B24=3,IF(C37=1,1,0),0)</f>
        <v>0</v>
      </c>
      <c r="D54" s="74">
        <f>IF(D24=3,IF(C37=1,1,0),0)</f>
        <v>1</v>
      </c>
      <c r="E54" s="70">
        <f>IF(E24=3,IF(F37=1,1,0),0)</f>
        <v>0</v>
      </c>
      <c r="G54" s="74">
        <f>IF(G24=3,IF(F37=1,1,0),0)</f>
        <v>0</v>
      </c>
      <c r="H54" s="70">
        <f>IF(H24=3,IF(I37=1,1,0),0)</f>
        <v>0</v>
      </c>
      <c r="J54" s="74">
        <f>IF(J24=3,IF(I37=1,1,0),0)</f>
        <v>0</v>
      </c>
      <c r="K54" s="70">
        <f>IF(K24=3,IF(L37=1,1,0),0)</f>
        <v>0</v>
      </c>
      <c r="M54" s="74">
        <f>IF(M24=3,IF(L37=1,1,0),0)</f>
        <v>1</v>
      </c>
      <c r="N54" s="70">
        <f>IF(N24=3,IF(O37=1,1,0),0)</f>
        <v>1</v>
      </c>
      <c r="P54" s="74">
        <f>IF(P24=3,IF(O37=1,1,0),0)</f>
        <v>0</v>
      </c>
      <c r="Q54" s="70">
        <f>IF(Q24=3,IF(R37=1,1,0),0)</f>
        <v>0</v>
      </c>
      <c r="S54" s="74">
        <f>IF(S24=3,IF(R37=1,1,0),0)</f>
        <v>0</v>
      </c>
      <c r="T54" s="70">
        <f>IF(T24=3,IF(U37=1,1,0),0)</f>
        <v>0</v>
      </c>
      <c r="V54" s="74">
        <f>IF(V24=3,IF(U37=1,1,0),0)</f>
        <v>0</v>
      </c>
      <c r="W54" s="70">
        <f>IF(W24=3,IF(X37=1,1,0),0)</f>
        <v>0</v>
      </c>
      <c r="Y54" s="74">
        <f>IF(Y24=3,IF(X37=1,1,0),0)</f>
        <v>0</v>
      </c>
      <c r="Z54" s="70">
        <f>IF(Z24=3,IF(AA37=1,1,0),0)</f>
        <v>0</v>
      </c>
      <c r="AB54" s="74">
        <f>IF(AB24=3,IF(AA37=1,1,0),0)</f>
        <v>0</v>
      </c>
      <c r="AC54" s="70">
        <f>IF(AC24=3,IF(AD37=1,1,0),0)</f>
        <v>0</v>
      </c>
      <c r="AE54" s="74">
        <f>IF(AE24=3,IF(AD37=1,1,0),0)</f>
        <v>0</v>
      </c>
      <c r="AF54" s="70">
        <f>SUM(B54:AE54)</f>
        <v>3</v>
      </c>
    </row>
    <row r="55" spans="1:37" s="70" customFormat="1" ht="12.75" hidden="1" customHeight="1" x14ac:dyDescent="0.2">
      <c r="A55" s="70" t="s">
        <v>100</v>
      </c>
      <c r="B55" s="70">
        <f>IF(B24=4,IF(C37=1,1,0),0)</f>
        <v>0</v>
      </c>
      <c r="D55" s="74">
        <f>IF(D24=4,IF(C37=1,1,0),0)</f>
        <v>0</v>
      </c>
      <c r="E55" s="70">
        <f>IF(E24=4,IF(F37=1,1,0),0)</f>
        <v>0</v>
      </c>
      <c r="G55" s="74">
        <f>IF(G24=4,IF(F37=1,1,0),0)</f>
        <v>1</v>
      </c>
      <c r="H55" s="70">
        <f>IF(H24=4,IF(I37=1,1,0),0)</f>
        <v>0</v>
      </c>
      <c r="J55" s="74">
        <f>IF(J24=4,IF(I37=1,1,0),0)</f>
        <v>1</v>
      </c>
      <c r="K55" s="70">
        <f>IF(K24=4,IF(L37=1,1,0),0)</f>
        <v>0</v>
      </c>
      <c r="M55" s="74">
        <f>IF(M24=4,IF(L37=1,1,0),0)</f>
        <v>0</v>
      </c>
      <c r="N55" s="70">
        <f>IF(N24=4,IF(O37=1,1,0),0)</f>
        <v>0</v>
      </c>
      <c r="P55" s="74">
        <f>IF(P24=4,IF(O37=1,1,0),0)</f>
        <v>1</v>
      </c>
      <c r="Q55" s="70">
        <f>IF(Q24=4,IF(R37=1,1,0),0)</f>
        <v>0</v>
      </c>
      <c r="S55" s="74">
        <f>IF(S24=4,IF(R37=1,1,0),0)</f>
        <v>0</v>
      </c>
      <c r="T55" s="70">
        <f>IF(T24=4,IF(U37=1,1,0),0)</f>
        <v>0</v>
      </c>
      <c r="V55" s="74">
        <f>IF(V24=4,IF(U37=1,1,0),0)</f>
        <v>0</v>
      </c>
      <c r="W55" s="70">
        <f>IF(W24=4,IF(X37=1,1,0),0)</f>
        <v>0</v>
      </c>
      <c r="Y55" s="74">
        <f>IF(Y24=4,IF(X37=1,1,0),0)</f>
        <v>0</v>
      </c>
      <c r="Z55" s="70">
        <f>IF(Z24=4,IF(AA37=1,1,0),0)</f>
        <v>0</v>
      </c>
      <c r="AB55" s="74">
        <f>IF(AB24=4,IF(AA37=1,1,0),0)</f>
        <v>0</v>
      </c>
      <c r="AC55" s="70">
        <f>IF(AC24=4,IF(AD37=1,1,0),0)</f>
        <v>0</v>
      </c>
      <c r="AE55" s="74">
        <f>IF(AE24=4,IF(AD37=1,1,0),0)</f>
        <v>0</v>
      </c>
      <c r="AF55" s="70">
        <f>SUM(B55:AE55)</f>
        <v>3</v>
      </c>
    </row>
    <row r="56" spans="1:37" s="70" customFormat="1" ht="12.75" hidden="1" customHeight="1" x14ac:dyDescent="0.2">
      <c r="A56" s="70" t="s">
        <v>101</v>
      </c>
      <c r="B56" s="70">
        <f>IF(B24=5,IF(C37=1,1,0),0)</f>
        <v>0</v>
      </c>
      <c r="D56" s="74">
        <f>IF(D24=5,IF(C37=1,1,0),0)</f>
        <v>0</v>
      </c>
      <c r="E56" s="70">
        <f>IF(E24=5,IF(F37=1,1,0),0)</f>
        <v>0</v>
      </c>
      <c r="G56" s="74">
        <f>IF(G24=5,IF(F37=1,1,0),0)</f>
        <v>0</v>
      </c>
      <c r="H56" s="70">
        <f>IF(H24=5,IF(I37=1,1,0),0)</f>
        <v>0</v>
      </c>
      <c r="J56" s="74">
        <f>IF(J24=5,IF(I37=1,1,0),0)</f>
        <v>0</v>
      </c>
      <c r="K56" s="70">
        <f>IF(K24=5,IF(L37=1,1,0),0)</f>
        <v>0</v>
      </c>
      <c r="M56" s="74">
        <f>IF(M24=5,IF(L37=1,1,0),0)</f>
        <v>0</v>
      </c>
      <c r="N56" s="70">
        <f>IF(N24=5,IF(O37=1,1,0),0)</f>
        <v>0</v>
      </c>
      <c r="P56" s="74">
        <f>IF(P24=5,IF(O37=1,1,0),0)</f>
        <v>0</v>
      </c>
      <c r="Q56" s="70">
        <f>IF(Q24=5,IF(R37=1,1,0),0)</f>
        <v>0</v>
      </c>
      <c r="S56" s="74">
        <f>IF(S24=5,IF(R37=1,1,0),0)</f>
        <v>0</v>
      </c>
      <c r="T56" s="70">
        <f>IF(T24=5,IF(U37=1,1,0),0)</f>
        <v>0</v>
      </c>
      <c r="V56" s="74">
        <f>IF(V24=5,IF(U37=1,1,0),0)</f>
        <v>0</v>
      </c>
      <c r="W56" s="70">
        <f>IF(W24=5,IF(X37=1,1,0),0)</f>
        <v>0</v>
      </c>
      <c r="Y56" s="74">
        <f>IF(Y24=5,IF(X37=1,1,0),0)</f>
        <v>0</v>
      </c>
      <c r="Z56" s="70">
        <f>IF(Z24=5,IF(AA37=1,1,0),0)</f>
        <v>0</v>
      </c>
      <c r="AB56" s="74">
        <f>IF(AB24=5,IF(AA37=1,1,0),0)</f>
        <v>0</v>
      </c>
      <c r="AC56" s="70">
        <f>IF(AC24=5,IF(AD37=1,1,0),0)</f>
        <v>0</v>
      </c>
      <c r="AE56" s="74">
        <f>IF(AE24=5,IF(AD37=1,1,0),0)</f>
        <v>0</v>
      </c>
      <c r="AF56" s="70">
        <f>SUM(B56:AE56)</f>
        <v>0</v>
      </c>
    </row>
    <row r="57" spans="1:37" s="70" customFormat="1" ht="38.25" hidden="1" customHeight="1" x14ac:dyDescent="0.2">
      <c r="A57" s="73"/>
      <c r="D57" s="74"/>
      <c r="G57" s="74"/>
      <c r="J57" s="74"/>
      <c r="M57" s="74"/>
      <c r="P57" s="74"/>
      <c r="S57" s="74"/>
      <c r="V57" s="74"/>
      <c r="Y57" s="74"/>
      <c r="AB57" s="74"/>
      <c r="AE57" s="74"/>
      <c r="AF57" s="73" t="s">
        <v>102</v>
      </c>
      <c r="AG57" s="280"/>
      <c r="AH57" s="280"/>
      <c r="AI57" s="280"/>
      <c r="AJ57" s="280"/>
      <c r="AK57" s="280"/>
    </row>
    <row r="58" spans="1:37" s="70" customFormat="1" ht="12.75" hidden="1" customHeight="1" x14ac:dyDescent="0.2">
      <c r="A58" s="70" t="s">
        <v>97</v>
      </c>
      <c r="B58" s="70">
        <f>IF(B24=1,B44,0)</f>
        <v>0</v>
      </c>
      <c r="D58" s="74">
        <f>IF(D24=1,B44,0)</f>
        <v>0</v>
      </c>
      <c r="E58" s="70">
        <f>IF(E24=1,E44,0)</f>
        <v>50</v>
      </c>
      <c r="G58" s="74">
        <f>IF(G24=1,E44,0)</f>
        <v>0</v>
      </c>
      <c r="H58" s="70">
        <f>IF(H24=1,H44,0)</f>
        <v>0</v>
      </c>
      <c r="J58" s="74">
        <f>IF(J24=1,H44,0)</f>
        <v>0</v>
      </c>
      <c r="K58" s="70">
        <f>IF(K24=1,K44,0)</f>
        <v>50</v>
      </c>
      <c r="M58" s="74">
        <f>IF(M24=1,K44,0)</f>
        <v>0</v>
      </c>
      <c r="N58" s="70">
        <f>IF(N24=1,N44,0)</f>
        <v>0</v>
      </c>
      <c r="P58" s="74">
        <f>IF(P24=1,N44,0)</f>
        <v>0</v>
      </c>
      <c r="Q58" s="70">
        <f>IF(Q24=1,Q44,0)</f>
        <v>50</v>
      </c>
      <c r="S58" s="74">
        <f>IF(S24=1,Q44,0)</f>
        <v>0</v>
      </c>
      <c r="T58" s="70">
        <f>IF(T24=1,T44,0)</f>
        <v>0</v>
      </c>
      <c r="V58" s="74">
        <f>IF(V24=1,T44,0)</f>
        <v>0</v>
      </c>
      <c r="W58" s="70">
        <f>IF(W24=1,W44,0)</f>
        <v>0</v>
      </c>
      <c r="Y58" s="74">
        <f>IF(Y24=1,W44,0)</f>
        <v>0</v>
      </c>
      <c r="Z58" s="70">
        <f>IF(Z24=1,Z44,0)</f>
        <v>0</v>
      </c>
      <c r="AB58" s="74">
        <f>IF(AB24=1,Z44,0)</f>
        <v>0</v>
      </c>
      <c r="AC58" s="70">
        <f>IF(AC24=1,AC44,0)</f>
        <v>0</v>
      </c>
      <c r="AE58" s="74">
        <f>IF(AE24=1,AC44,0)</f>
        <v>0</v>
      </c>
      <c r="AF58" s="70">
        <f>SUM(B58:AE58)</f>
        <v>150</v>
      </c>
    </row>
    <row r="59" spans="1:37" s="70" customFormat="1" ht="12.75" hidden="1" customHeight="1" x14ac:dyDescent="0.2">
      <c r="A59" s="70" t="s">
        <v>98</v>
      </c>
      <c r="B59" s="70">
        <f>IF(B24=2,B44,0)</f>
        <v>65</v>
      </c>
      <c r="D59" s="74">
        <f>IF(D24=2,B44,0)</f>
        <v>0</v>
      </c>
      <c r="E59" s="70">
        <f>IF(E24=2,E44,0)</f>
        <v>0</v>
      </c>
      <c r="G59" s="74">
        <f>IF(G24=2,E44,0)</f>
        <v>0</v>
      </c>
      <c r="H59" s="70">
        <f>IF(H24=2,H44,0)</f>
        <v>50</v>
      </c>
      <c r="J59" s="74">
        <f>IF(J24=2,H44,0)</f>
        <v>0</v>
      </c>
      <c r="K59" s="70">
        <f>IF(K24=2,K44,0)</f>
        <v>0</v>
      </c>
      <c r="M59" s="74">
        <f>IF(M24=2,K44,0)</f>
        <v>0</v>
      </c>
      <c r="N59" s="70">
        <f>IF(N24=2,N44,0)</f>
        <v>0</v>
      </c>
      <c r="P59" s="74">
        <f>IF(P24=2,N44,0)</f>
        <v>0</v>
      </c>
      <c r="Q59" s="70">
        <f>IF(Q24=2,Q44,0)</f>
        <v>0</v>
      </c>
      <c r="S59" s="74">
        <f>IF(S24=2,Q44,0)</f>
        <v>50</v>
      </c>
      <c r="T59" s="70">
        <f>IF(T24=2,T44,0)</f>
        <v>0</v>
      </c>
      <c r="V59" s="74">
        <f>IF(V24=2,T44,0)</f>
        <v>0</v>
      </c>
      <c r="W59" s="70">
        <f>IF(W24=2,W44,0)</f>
        <v>0</v>
      </c>
      <c r="Y59" s="74">
        <f>IF(Y24=2,W44,0)</f>
        <v>0</v>
      </c>
      <c r="Z59" s="70">
        <f>IF(Z24=2,Z44,0)</f>
        <v>0</v>
      </c>
      <c r="AB59" s="74">
        <f>IF(AB24=2,Z44,0)</f>
        <v>0</v>
      </c>
      <c r="AC59" s="70">
        <f>IF(AC24=2,AC44,0)</f>
        <v>0</v>
      </c>
      <c r="AE59" s="74">
        <f>IF(AE24=2,AC44,0)</f>
        <v>0</v>
      </c>
      <c r="AF59" s="70">
        <f>SUM(B59:AE59)</f>
        <v>165</v>
      </c>
    </row>
    <row r="60" spans="1:37" s="70" customFormat="1" ht="12.75" hidden="1" customHeight="1" x14ac:dyDescent="0.2">
      <c r="A60" s="70" t="s">
        <v>99</v>
      </c>
      <c r="B60" s="70">
        <f>IF(B24=3,B44,0)</f>
        <v>0</v>
      </c>
      <c r="D60" s="74">
        <f>IF(D24=3,B44,0)</f>
        <v>65</v>
      </c>
      <c r="E60" s="70">
        <f>IF(E24=3,E44,0)</f>
        <v>0</v>
      </c>
      <c r="G60" s="74">
        <f>IF(G24=3,E44,0)</f>
        <v>0</v>
      </c>
      <c r="H60" s="70">
        <f>IF(H24=3,H44,0)</f>
        <v>0</v>
      </c>
      <c r="J60" s="74">
        <f>IF(J24=3,H44,0)</f>
        <v>0</v>
      </c>
      <c r="K60" s="70">
        <f>IF(K24=3,K44,0)</f>
        <v>0</v>
      </c>
      <c r="M60" s="74">
        <f>IF(M24=3,K44,0)</f>
        <v>50</v>
      </c>
      <c r="N60" s="70">
        <f>IF(N24=3,N44,0)</f>
        <v>50</v>
      </c>
      <c r="P60" s="74">
        <f>IF(P24=3,N44,0)</f>
        <v>0</v>
      </c>
      <c r="Q60" s="70">
        <f>IF(Q24=3,Q44,0)</f>
        <v>0</v>
      </c>
      <c r="S60" s="74">
        <f>IF(S24=3,Q44,0)</f>
        <v>0</v>
      </c>
      <c r="T60" s="70">
        <f>IF(T24=3,T44,0)</f>
        <v>0</v>
      </c>
      <c r="V60" s="74">
        <f>IF(V24=3,T44,0)</f>
        <v>0</v>
      </c>
      <c r="W60" s="70">
        <f>IF(W24=3,W44,0)</f>
        <v>0</v>
      </c>
      <c r="Y60" s="74">
        <f>IF(Y24=3,W44,0)</f>
        <v>0</v>
      </c>
      <c r="Z60" s="70">
        <f>IF(Z24=3,Z44,0)</f>
        <v>0</v>
      </c>
      <c r="AB60" s="74">
        <f>IF(AB24=3,Z44,0)</f>
        <v>0</v>
      </c>
      <c r="AC60" s="70">
        <f>IF(AC24=3,AC44,0)</f>
        <v>0</v>
      </c>
      <c r="AE60" s="74">
        <f>IF(AE24=3,AC44,0)</f>
        <v>0</v>
      </c>
      <c r="AF60" s="70">
        <f>SUM(B60:AE60)</f>
        <v>165</v>
      </c>
    </row>
    <row r="61" spans="1:37" s="70" customFormat="1" ht="12.75" hidden="1" customHeight="1" x14ac:dyDescent="0.2">
      <c r="A61" s="70" t="s">
        <v>100</v>
      </c>
      <c r="B61" s="70">
        <f>IF(B24=4,B44,0)</f>
        <v>0</v>
      </c>
      <c r="D61" s="74">
        <f>IF(D24=4,B44,0)</f>
        <v>0</v>
      </c>
      <c r="E61" s="70">
        <f>IF(E24=4,E44,0)</f>
        <v>0</v>
      </c>
      <c r="G61" s="74">
        <f>IF(G24=4,E44,0)</f>
        <v>50</v>
      </c>
      <c r="H61" s="70">
        <f>IF(H24=4,H44,0)</f>
        <v>0</v>
      </c>
      <c r="J61" s="74">
        <f>IF(J24=4,H44,0)</f>
        <v>50</v>
      </c>
      <c r="K61" s="70">
        <f>IF(K24=4,K44,0)</f>
        <v>0</v>
      </c>
      <c r="M61" s="74">
        <f>IF(M24=4,K44,0)</f>
        <v>0</v>
      </c>
      <c r="N61" s="70">
        <f>IF(N24=4,N44,0)</f>
        <v>0</v>
      </c>
      <c r="P61" s="74">
        <f>IF(P24=4,N44,0)</f>
        <v>50</v>
      </c>
      <c r="Q61" s="70">
        <f>IF(Q24=4,Q44,0)</f>
        <v>0</v>
      </c>
      <c r="S61" s="74">
        <f>IF(S24=4,Q44,0)</f>
        <v>0</v>
      </c>
      <c r="T61" s="70">
        <f>IF(T24=4,T44,0)</f>
        <v>0</v>
      </c>
      <c r="V61" s="74">
        <f>IF(V24=4,T44,0)</f>
        <v>0</v>
      </c>
      <c r="W61" s="70">
        <f>IF(W24=4,W44,0)</f>
        <v>0</v>
      </c>
      <c r="Y61" s="74">
        <f>IF(Y24=4,W44,0)</f>
        <v>0</v>
      </c>
      <c r="Z61" s="70">
        <f>IF(Z24=4,Z44,0)</f>
        <v>0</v>
      </c>
      <c r="AB61" s="74">
        <f>IF(AB24=4,Z44,0)</f>
        <v>0</v>
      </c>
      <c r="AC61" s="70">
        <f>IF(AC24=4,AC44,0)</f>
        <v>0</v>
      </c>
      <c r="AE61" s="74">
        <f>IF(AE24=4,AC44,0)</f>
        <v>0</v>
      </c>
      <c r="AF61" s="70">
        <f>SUM(B61:AE61)</f>
        <v>150</v>
      </c>
    </row>
    <row r="62" spans="1:37" s="70" customFormat="1" ht="12.75" hidden="1" customHeight="1" x14ac:dyDescent="0.2">
      <c r="A62" s="70" t="s">
        <v>101</v>
      </c>
      <c r="B62" s="70">
        <f>IF(B24=5,B44,0)</f>
        <v>0</v>
      </c>
      <c r="D62" s="74">
        <f>IF(D24=5,B44,0)</f>
        <v>0</v>
      </c>
      <c r="E62" s="70">
        <f>IF(E24=5,E44,0)</f>
        <v>0</v>
      </c>
      <c r="G62" s="74">
        <f>IF(G24=5,E44,0)</f>
        <v>0</v>
      </c>
      <c r="H62" s="70">
        <f>IF(H24=5,H44,0)</f>
        <v>0</v>
      </c>
      <c r="J62" s="74">
        <f>IF(J24=5,H44,0)</f>
        <v>0</v>
      </c>
      <c r="K62" s="70">
        <f>IF(K24=5,K44,0)</f>
        <v>0</v>
      </c>
      <c r="M62" s="74">
        <f>IF(M24=5,K44,0)</f>
        <v>0</v>
      </c>
      <c r="N62" s="70">
        <f>IF(N24=5,N44,0)</f>
        <v>0</v>
      </c>
      <c r="P62" s="74">
        <f>IF(P24=5,N44,0)</f>
        <v>0</v>
      </c>
      <c r="Q62" s="70">
        <f>IF(Q24=5,Q44,0)</f>
        <v>0</v>
      </c>
      <c r="S62" s="74">
        <f>IF(S24=5,Q44,0)</f>
        <v>0</v>
      </c>
      <c r="T62" s="70">
        <f>IF(T24=5,T44,0)</f>
        <v>0</v>
      </c>
      <c r="V62" s="74">
        <f>IF(V24=5,T44,0)</f>
        <v>0</v>
      </c>
      <c r="W62" s="70">
        <f>IF(W24=5,W44,0)</f>
        <v>0</v>
      </c>
      <c r="Y62" s="74">
        <f>IF(Y24=5,W44,0)</f>
        <v>0</v>
      </c>
      <c r="Z62" s="70">
        <f>IF(Z24=5,Z44,0)</f>
        <v>0</v>
      </c>
      <c r="AB62" s="74">
        <f>IF(AB24=5,Z44,0)</f>
        <v>0</v>
      </c>
      <c r="AC62" s="70">
        <f>IF(AC24=5,AC44,0)</f>
        <v>0</v>
      </c>
      <c r="AE62" s="74">
        <f>IF(AE24=5,AC44,0)</f>
        <v>0</v>
      </c>
      <c r="AF62" s="70">
        <f>SUM(B62:AE62)</f>
        <v>0</v>
      </c>
    </row>
    <row r="63" spans="1:37" s="70" customFormat="1" ht="38.25" hidden="1" customHeight="1" x14ac:dyDescent="0.2">
      <c r="A63" s="70" t="s">
        <v>103</v>
      </c>
      <c r="D63" s="74"/>
      <c r="G63" s="74"/>
      <c r="J63" s="74"/>
      <c r="M63" s="74"/>
      <c r="P63" s="74"/>
      <c r="S63" s="74"/>
      <c r="V63" s="74"/>
      <c r="Y63" s="74"/>
      <c r="AB63" s="74"/>
      <c r="AE63" s="74"/>
      <c r="AF63" s="73" t="s">
        <v>104</v>
      </c>
      <c r="AG63" s="70" t="s">
        <v>105</v>
      </c>
    </row>
    <row r="64" spans="1:37" s="70" customFormat="1" ht="12.75" hidden="1" customHeight="1" x14ac:dyDescent="0.2">
      <c r="A64" s="70" t="s">
        <v>91</v>
      </c>
      <c r="B64" s="70">
        <f>IF(B24=1,SUMIF(B31:B35,"&gt;0"),0)</f>
        <v>0</v>
      </c>
      <c r="D64" s="74">
        <f>IF(D24=1,SUMIF(D31:D35,"&gt;0"),0)</f>
        <v>0</v>
      </c>
      <c r="E64" s="70">
        <f>IF(E24=1,SUMIF(E31:E35,"&gt;0"),0)</f>
        <v>2</v>
      </c>
      <c r="G64" s="74">
        <f>IF(G24=1,SUMIF(G31:G35,"&gt;0"),0)</f>
        <v>0</v>
      </c>
      <c r="H64" s="70">
        <f>IF(H24=1,SUMIF(H31:H35,"&gt;0"),0)</f>
        <v>0</v>
      </c>
      <c r="J64" s="74">
        <f>IF(J24=1,SUMIF(J31:J35,"&gt;0"),0)</f>
        <v>0</v>
      </c>
      <c r="K64" s="70">
        <f>IF(K24=1,SUMIF(K31:K35,"&gt;0"),0)</f>
        <v>2</v>
      </c>
      <c r="M64" s="74">
        <f>IF(M24=1,SUMIF(M31:M35,"&gt;0"),0)</f>
        <v>0</v>
      </c>
      <c r="N64" s="70">
        <f>IF(N24=1,SUMIF(N31:N35,"&gt;0"),0)</f>
        <v>0</v>
      </c>
      <c r="P64" s="74">
        <f>IF(P24=1,SUMIF(P31:P35,"&gt;0"),0)</f>
        <v>0</v>
      </c>
      <c r="Q64" s="70">
        <f>IF(Q24=1,SUMIF(Q31:Q35,"&gt;0"),0)</f>
        <v>2</v>
      </c>
      <c r="S64" s="74">
        <f>IF(S24=1,SUMIF(S31:S35,"&gt;0"),0)</f>
        <v>0</v>
      </c>
      <c r="T64" s="70">
        <f>IF(T24=1,SUMIF(T31:T35,"&gt;0"),0)</f>
        <v>0</v>
      </c>
      <c r="V64" s="74">
        <f>IF(V24=1,SUMIF(V31:V35,"&gt;0"),0)</f>
        <v>0</v>
      </c>
      <c r="W64" s="70">
        <f>IF(W24=1,SUMIF(W31:W35,"&gt;0"),0)</f>
        <v>0</v>
      </c>
      <c r="Y64" s="74">
        <f>IF(Y24=1,SUMIF(Y31:Y35,"&gt;0"),0)</f>
        <v>0</v>
      </c>
      <c r="Z64" s="70">
        <f>IF(Z24=1,SUMIF(Z31:Z35,"&gt;0"),0)</f>
        <v>0</v>
      </c>
      <c r="AB64" s="74">
        <f>IF(AB24=1,SUMIF(AB31:AB35,"&gt;0"),0)</f>
        <v>0</v>
      </c>
      <c r="AC64" s="70">
        <f>IF(AC24=1,SUMIF(AC31:AC35,"&gt;0"),0)</f>
        <v>0</v>
      </c>
      <c r="AE64" s="74">
        <f>IF(AE24=1,SUMIF(AE31:AE35,"&gt;0"),0)</f>
        <v>0</v>
      </c>
      <c r="AF64" s="70">
        <f>SUM(B64:AE64)</f>
        <v>6</v>
      </c>
      <c r="AG64" s="70">
        <f>AF72-AF64</f>
        <v>0</v>
      </c>
    </row>
    <row r="65" spans="1:54" s="70" customFormat="1" ht="12.75" hidden="1" customHeight="1" x14ac:dyDescent="0.2">
      <c r="A65" s="70" t="s">
        <v>92</v>
      </c>
      <c r="B65" s="70">
        <f>IF(B24=2,SUMIF(B31:B35,"&gt;0"),0)</f>
        <v>2</v>
      </c>
      <c r="D65" s="74">
        <f>IF(D24=2,SUMIF(D31:D35,"&gt;0"),0)</f>
        <v>0</v>
      </c>
      <c r="E65" s="70">
        <f>IF(E24=2,SUMIF(E31:E35,"&gt;0"),0)</f>
        <v>0</v>
      </c>
      <c r="G65" s="74">
        <f>IF(G24=2,SUMIF(G31:G35,"&gt;0"),0)</f>
        <v>0</v>
      </c>
      <c r="H65" s="70">
        <f>IF(H24=2,SUMIF(H31:H35,"&gt;0"),0)</f>
        <v>2</v>
      </c>
      <c r="J65" s="74">
        <f>IF(J24=2,SUMIF(J31:J35,"&gt;0"),0)</f>
        <v>0</v>
      </c>
      <c r="K65" s="70">
        <f>IF(K24=2,SUMIF(K31:K35,"&gt;0"),0)</f>
        <v>0</v>
      </c>
      <c r="M65" s="74">
        <f>IF(M24=2,SUMIF(M31:M35,"&gt;0"),0)</f>
        <v>0</v>
      </c>
      <c r="N65" s="70">
        <f>IF(N24=2,SUMIF(N31:N35,"&gt;0"),0)</f>
        <v>0</v>
      </c>
      <c r="P65" s="74">
        <f>IF(P24=2,SUMIF(P31:P35,"&gt;0"),0)</f>
        <v>0</v>
      </c>
      <c r="Q65" s="70">
        <f>IF(Q24=2,SUMIF(Q31:Q35,"&gt;0"),0)</f>
        <v>0</v>
      </c>
      <c r="S65" s="74">
        <f>IF(S24=2,SUMIF(S31:S35,"&gt;0"),0)</f>
        <v>0</v>
      </c>
      <c r="T65" s="70">
        <f>IF(T24=2,SUMIF(T31:T35,"&gt;0"),0)</f>
        <v>0</v>
      </c>
      <c r="V65" s="74">
        <f>IF(V24=2,SUMIF(V31:V35,"&gt;0"),0)</f>
        <v>0</v>
      </c>
      <c r="W65" s="70">
        <f>IF(W24=2,SUMIF(W31:W35,"&gt;0"),0)</f>
        <v>0</v>
      </c>
      <c r="Y65" s="74">
        <f>IF(Y24=2,SUMIF(Y31:Y35,"&gt;0"),0)</f>
        <v>0</v>
      </c>
      <c r="Z65" s="70">
        <f>IF(Z24=2,SUMIF(Z31:Z35,"&gt;0"),0)</f>
        <v>0</v>
      </c>
      <c r="AB65" s="74">
        <f>IF(AB24=2,SUMIF(AB31:AB35,"&gt;0"),0)</f>
        <v>0</v>
      </c>
      <c r="AC65" s="70">
        <f>IF(AC24=2,SUMIF(AC31:AC35,"&gt;0"),0)</f>
        <v>0</v>
      </c>
      <c r="AE65" s="74">
        <f>IF(AE24=2,SUMIF(AE31:AE35,"&gt;0"),0)</f>
        <v>0</v>
      </c>
      <c r="AF65" s="70">
        <f>SUM(B65:AE65)</f>
        <v>4</v>
      </c>
      <c r="AG65" s="70">
        <f>AF73-AF65</f>
        <v>3</v>
      </c>
    </row>
    <row r="66" spans="1:54" s="70" customFormat="1" ht="12.75" hidden="1" customHeight="1" x14ac:dyDescent="0.2">
      <c r="A66" s="70" t="s">
        <v>93</v>
      </c>
      <c r="B66" s="70">
        <f>IF(B24=3,SUMIF(B31:B35,"&gt;0"),0)</f>
        <v>0</v>
      </c>
      <c r="D66" s="74">
        <f>IF(D24=3,SUMIF(D31:D35,"&gt;0"),0)</f>
        <v>1</v>
      </c>
      <c r="E66" s="70">
        <f>IF(E24=3,SUMIF(E31:E35,"&gt;0"),0)</f>
        <v>0</v>
      </c>
      <c r="G66" s="74">
        <f>IF(G24=3,SUMIF(G31:G35,"&gt;0"),0)</f>
        <v>0</v>
      </c>
      <c r="H66" s="70">
        <f>IF(H24=3,SUMIF(H31:H35,"&gt;0"),0)</f>
        <v>0</v>
      </c>
      <c r="J66" s="74">
        <f>IF(J24=3,SUMIF(J31:J35,"&gt;0"),0)</f>
        <v>0</v>
      </c>
      <c r="K66" s="70">
        <f>IF(K24=3,SUMIF(K31:K35,"&gt;0"),0)</f>
        <v>0</v>
      </c>
      <c r="M66" s="74">
        <f>IF(M24=3,SUMIF(M31:M35,"&gt;0"),0)</f>
        <v>0</v>
      </c>
      <c r="N66" s="70">
        <f>IF(N24=3,SUMIF(N31:N35,"&gt;0"),0)</f>
        <v>0</v>
      </c>
      <c r="P66" s="74">
        <f>IF(P24=3,SUMIF(P31:P35,"&gt;0"),0)</f>
        <v>0</v>
      </c>
      <c r="Q66" s="70">
        <f>IF(Q24=3,SUMIF(Q31:Q35,"&gt;0"),0)</f>
        <v>0</v>
      </c>
      <c r="S66" s="74">
        <f>IF(S24=3,SUMIF(S31:S35,"&gt;0"),0)</f>
        <v>0</v>
      </c>
      <c r="T66" s="70">
        <f>IF(T24=3,SUMIF(T31:T35,"&gt;0"),0)</f>
        <v>0</v>
      </c>
      <c r="V66" s="74">
        <f>IF(V24=3,SUMIF(V31:V35,"&gt;0"),0)</f>
        <v>0</v>
      </c>
      <c r="W66" s="70">
        <f>IF(W24=3,SUMIF(W31:W35,"&gt;0"),0)</f>
        <v>0</v>
      </c>
      <c r="Y66" s="74">
        <f>IF(Y24=3,SUMIF(Y31:Y35,"&gt;0"),0)</f>
        <v>0</v>
      </c>
      <c r="Z66" s="70">
        <f>IF(Z24=3,SUMIF(Z31:Z35,"&gt;0"),0)</f>
        <v>0</v>
      </c>
      <c r="AB66" s="74">
        <f>IF(AB24=3,SUMIF(AB31:AB35,"&gt;0"),0)</f>
        <v>0</v>
      </c>
      <c r="AC66" s="70">
        <f>IF(AC24=3,SUMIF(AC31:AC35,"&gt;0"),0)</f>
        <v>0</v>
      </c>
      <c r="AE66" s="74">
        <f>IF(AE24=3,SUMIF(AE31:AE35,"&gt;0"),0)</f>
        <v>0</v>
      </c>
      <c r="AF66" s="70">
        <f>SUM(B66:AE66)</f>
        <v>1</v>
      </c>
      <c r="AG66" s="70">
        <f>AF74-AF66</f>
        <v>6</v>
      </c>
    </row>
    <row r="67" spans="1:54" s="70" customFormat="1" ht="12.75" hidden="1" customHeight="1" x14ac:dyDescent="0.2">
      <c r="A67" s="70" t="s">
        <v>94</v>
      </c>
      <c r="B67" s="70">
        <f>IF(B24=4,SUMIF(B31:B35,"&gt;0"),0)</f>
        <v>0</v>
      </c>
      <c r="D67" s="74">
        <f>IF(D24=4,SUMIF(D31:D35,"&gt;0"),0)</f>
        <v>0</v>
      </c>
      <c r="E67" s="70">
        <f>IF(E24=4,SUMIF(E31:E35,"&gt;0"),0)</f>
        <v>0</v>
      </c>
      <c r="G67" s="74">
        <f>IF(G24=4,SUMIF(G31:G35,"&gt;0"),0)</f>
        <v>0</v>
      </c>
      <c r="H67" s="70">
        <f>IF(H24=4,SUMIF(H31:H35,"&gt;0"),0)</f>
        <v>0</v>
      </c>
      <c r="J67" s="74">
        <f>IF(J24=4,SUMIF(J31:J35,"&gt;0"),0)</f>
        <v>0</v>
      </c>
      <c r="K67" s="70">
        <f>IF(K24=4,SUMIF(K31:K35,"&gt;0"),0)</f>
        <v>0</v>
      </c>
      <c r="M67" s="74">
        <f>IF(M24=4,SUMIF(M31:M35,"&gt;0"),0)</f>
        <v>0</v>
      </c>
      <c r="N67" s="70">
        <f>IF(N24=4,SUMIF(N31:N35,"&gt;0"),0)</f>
        <v>0</v>
      </c>
      <c r="P67" s="74">
        <f>IF(P24=4,SUMIF(P31:P35,"&gt;0"),0)</f>
        <v>2</v>
      </c>
      <c r="Q67" s="70">
        <f>IF(Q24=4,SUMIF(Q31:Q35,"&gt;0"),0)</f>
        <v>0</v>
      </c>
      <c r="S67" s="74">
        <f>IF(S24=4,SUMIF(S31:S35,"&gt;0"),0)</f>
        <v>0</v>
      </c>
      <c r="T67" s="70">
        <f>IF(T24=4,SUMIF(T31:T35,"&gt;0"),0)</f>
        <v>0</v>
      </c>
      <c r="V67" s="74">
        <f>IF(V24=4,SUMIF(V31:V35,"&gt;0"),0)</f>
        <v>0</v>
      </c>
      <c r="W67" s="70">
        <f>IF(W24=4,SUMIF(W31:W35,"&gt;0"),0)</f>
        <v>0</v>
      </c>
      <c r="Y67" s="74">
        <f>IF(Y24=4,SUMIF(Y31:Y35,"&gt;0"),0)</f>
        <v>0</v>
      </c>
      <c r="Z67" s="70">
        <f>IF(Z24=4,SUMIF(Z31:Z35,"&gt;0"),0)</f>
        <v>0</v>
      </c>
      <c r="AB67" s="74">
        <f>IF(AB24=4,SUMIF(AB31:AB35,"&gt;0"),0)</f>
        <v>0</v>
      </c>
      <c r="AC67" s="70">
        <f>IF(AC24=4,SUMIF(AC31:AC35,"&gt;0"),0)</f>
        <v>0</v>
      </c>
      <c r="AE67" s="74">
        <f>IF(AE24=4,SUMIF(AE31:AE35,"&gt;0"),0)</f>
        <v>0</v>
      </c>
      <c r="AF67" s="70">
        <f>SUM(B67:AE67)</f>
        <v>2</v>
      </c>
      <c r="AG67" s="70">
        <f>AF75-AF67</f>
        <v>4</v>
      </c>
    </row>
    <row r="68" spans="1:54" s="70" customFormat="1" ht="12.75" hidden="1" customHeight="1" x14ac:dyDescent="0.2">
      <c r="A68" s="70" t="s">
        <v>95</v>
      </c>
      <c r="B68" s="70">
        <f>IF(B24=5,SUMIF(B31:B35,"&gt;0"),0)</f>
        <v>0</v>
      </c>
      <c r="D68" s="74">
        <f>IF(D24=5,SUMIF(D31:D35,"&gt;0"),0)</f>
        <v>0</v>
      </c>
      <c r="E68" s="70">
        <f>IF(E24=5,SUMIF(E31:E35,"&gt;0"),0)</f>
        <v>0</v>
      </c>
      <c r="G68" s="74">
        <f>IF(G24=5,SUMIF(G31:G35,"&gt;0"),0)</f>
        <v>0</v>
      </c>
      <c r="H68" s="70">
        <f>IF(H24=5,SUMIF(H31:H35,"&gt;0"),0)</f>
        <v>0</v>
      </c>
      <c r="J68" s="74">
        <f>IF(J24=5,SUMIF(J31:J35,"&gt;0"),0)</f>
        <v>0</v>
      </c>
      <c r="K68" s="70">
        <f>IF(K24=5,SUMIF(K31:K35,"&gt;0"),0)</f>
        <v>0</v>
      </c>
      <c r="M68" s="74">
        <f>IF(M24=5,SUMIF(M31:M35,"&gt;0"),0)</f>
        <v>0</v>
      </c>
      <c r="N68" s="70">
        <f>IF(N24=5,SUMIF(N31:N35,"&gt;0"),0)</f>
        <v>0</v>
      </c>
      <c r="P68" s="74">
        <f>IF(P24=5,SUMIF(P31:P35,"&gt;0"),0)</f>
        <v>0</v>
      </c>
      <c r="Q68" s="70">
        <f>IF(Q24=5,SUMIF(Q31:Q35,"&gt;0"),0)</f>
        <v>0</v>
      </c>
      <c r="S68" s="74">
        <f>IF(S24=5,SUMIF(S31:S35,"&gt;0"),0)</f>
        <v>0</v>
      </c>
      <c r="T68" s="70">
        <f>IF(T24=5,SUMIF(T31:T35,"&gt;0"),0)</f>
        <v>0</v>
      </c>
      <c r="V68" s="74">
        <f>IF(V24=5,SUMIF(V31:V35,"&gt;0"),0)</f>
        <v>0</v>
      </c>
      <c r="W68" s="70">
        <f>IF(W24=5,SUMIF(W31:W35,"&gt;0"),0)</f>
        <v>0</v>
      </c>
      <c r="Y68" s="74">
        <f>IF(Y24=5,SUMIF(Y31:Y35,"&gt;0"),0)</f>
        <v>0</v>
      </c>
      <c r="Z68" s="70">
        <f>IF(Z24=5,SUMIF(Z31:Z35,"&gt;0"),0)</f>
        <v>0</v>
      </c>
      <c r="AB68" s="74">
        <f>IF(AB24=5,SUMIF(AB31:AB35,"&gt;0"),0)</f>
        <v>0</v>
      </c>
      <c r="AC68" s="70">
        <f>IF(AC24=5,SUMIF(AC31:AC35,"&gt;0"),0)</f>
        <v>0</v>
      </c>
      <c r="AE68" s="74">
        <f>IF(AE24=5,SUMIF(AE31:AE35,"&gt;0"),0)</f>
        <v>0</v>
      </c>
      <c r="AF68" s="70">
        <f>SUM(B68:AE68)</f>
        <v>0</v>
      </c>
      <c r="AG68" s="70">
        <f>AF76-AF68</f>
        <v>0</v>
      </c>
    </row>
    <row r="69" spans="1:54" s="70" customFormat="1" ht="12.75" hidden="1" customHeight="1" x14ac:dyDescent="0.2">
      <c r="D69" s="74"/>
      <c r="G69" s="74"/>
      <c r="J69" s="74"/>
      <c r="M69" s="74"/>
      <c r="P69" s="74"/>
      <c r="S69" s="74"/>
      <c r="V69" s="74"/>
      <c r="Y69" s="74"/>
      <c r="AB69" s="74"/>
      <c r="AE69" s="74"/>
    </row>
    <row r="70" spans="1:54" s="70" customFormat="1" ht="12.75" hidden="1" customHeight="1" x14ac:dyDescent="0.2">
      <c r="D70" s="74"/>
      <c r="G70" s="74"/>
      <c r="J70" s="74"/>
      <c r="M70" s="74"/>
      <c r="P70" s="74"/>
      <c r="S70" s="74"/>
      <c r="V70" s="74"/>
      <c r="Y70" s="74"/>
      <c r="AB70" s="74"/>
      <c r="AE70" s="74"/>
    </row>
    <row r="71" spans="1:54" s="70" customFormat="1" ht="51" hidden="1" customHeight="1" x14ac:dyDescent="0.2">
      <c r="A71" s="73" t="s">
        <v>106</v>
      </c>
      <c r="C71" s="70">
        <f>SUMIF(B64:D68,"&gt;0")</f>
        <v>3</v>
      </c>
      <c r="D71" s="74"/>
      <c r="F71" s="70">
        <f>SUMIF(E64:G68,"&gt;0")</f>
        <v>2</v>
      </c>
      <c r="G71" s="74"/>
      <c r="I71" s="70">
        <f>SUMIF(H64:J68,"&gt;0")</f>
        <v>2</v>
      </c>
      <c r="J71" s="74"/>
      <c r="L71" s="70">
        <f>SUMIF(K64:M68,"&gt;0")</f>
        <v>2</v>
      </c>
      <c r="M71" s="74"/>
      <c r="O71" s="70">
        <f>SUMIF(N64:P68,"&gt;0")</f>
        <v>2</v>
      </c>
      <c r="P71" s="74"/>
      <c r="R71" s="70">
        <f>SUMIF(Q64:S68,"&gt;0")</f>
        <v>2</v>
      </c>
      <c r="S71" s="74"/>
      <c r="U71" s="70">
        <f>SUMIF(T64:V68,"&gt;0")</f>
        <v>0</v>
      </c>
      <c r="V71" s="74"/>
      <c r="X71" s="70">
        <f>SUMIF(W64:Y68,"&gt;0")</f>
        <v>0</v>
      </c>
      <c r="Y71" s="74"/>
      <c r="AA71" s="70">
        <f>SUMIF(Z64:AB68,"&gt;0")</f>
        <v>0</v>
      </c>
      <c r="AB71" s="74"/>
      <c r="AD71" s="70">
        <f>SUMIF(AC64:AE68,"&gt;0")</f>
        <v>0</v>
      </c>
      <c r="AE71" s="74"/>
      <c r="AF71" s="73" t="s">
        <v>107</v>
      </c>
    </row>
    <row r="72" spans="1:54" s="70" customFormat="1" ht="12.75" hidden="1" customHeight="1" x14ac:dyDescent="0.2">
      <c r="A72" s="70" t="s">
        <v>97</v>
      </c>
      <c r="B72" s="70">
        <f>IF(B24=1,C71,0)</f>
        <v>0</v>
      </c>
      <c r="D72" s="74">
        <f>IF(D24=1,C71,0)</f>
        <v>0</v>
      </c>
      <c r="E72" s="70">
        <f>IF(E24=1,F71,0)</f>
        <v>2</v>
      </c>
      <c r="G72" s="74">
        <f>IF(G24=1,F71,0)</f>
        <v>0</v>
      </c>
      <c r="H72" s="70">
        <f>IF(H24=1,I71,0)</f>
        <v>0</v>
      </c>
      <c r="J72" s="74">
        <f>IF(J24=1,I71,0)</f>
        <v>0</v>
      </c>
      <c r="K72" s="70">
        <f>IF(K24=1,L71,0)</f>
        <v>2</v>
      </c>
      <c r="M72" s="74">
        <f>IF(M24=1,L71,0)</f>
        <v>0</v>
      </c>
      <c r="N72" s="70">
        <f>IF(N24=1,O71,0)</f>
        <v>0</v>
      </c>
      <c r="P72" s="74">
        <f>IF(P24=1,O71,0)</f>
        <v>0</v>
      </c>
      <c r="Q72" s="70">
        <f>IF(Q24=1,R71,0)</f>
        <v>2</v>
      </c>
      <c r="S72" s="74">
        <f>IF(S24=1,R71,0)</f>
        <v>0</v>
      </c>
      <c r="T72" s="70">
        <f>IF(T24=1,U71,0)</f>
        <v>0</v>
      </c>
      <c r="V72" s="74">
        <f>IF(V24=1,U71,0)</f>
        <v>0</v>
      </c>
      <c r="W72" s="70">
        <f>IF(W24=1,X71,0)</f>
        <v>0</v>
      </c>
      <c r="Y72" s="74">
        <f>IF(Y24=1,X71,0)</f>
        <v>0</v>
      </c>
      <c r="Z72" s="70">
        <f>IF(Z24=1,AA71,0)</f>
        <v>0</v>
      </c>
      <c r="AB72" s="74">
        <f>IF(AB24=1,AA71,0)</f>
        <v>0</v>
      </c>
      <c r="AC72" s="70">
        <f>IF(AC24=1,AD71,0)</f>
        <v>0</v>
      </c>
      <c r="AE72" s="74">
        <f>IF(AE24=1,AD71,0)</f>
        <v>0</v>
      </c>
      <c r="AF72" s="70">
        <f>SUM(B72:AE72)</f>
        <v>6</v>
      </c>
    </row>
    <row r="73" spans="1:54" s="70" customFormat="1" ht="12.75" hidden="1" customHeight="1" x14ac:dyDescent="0.2">
      <c r="A73" s="70" t="s">
        <v>98</v>
      </c>
      <c r="B73" s="70">
        <f>IF(B24=2,C71,0)</f>
        <v>3</v>
      </c>
      <c r="D73" s="74">
        <f>IF(D24=2,C71,0)</f>
        <v>0</v>
      </c>
      <c r="E73" s="70">
        <f>IF(E24=2,F71,0)</f>
        <v>0</v>
      </c>
      <c r="G73" s="74">
        <f>IF(G24=2,F71,0)</f>
        <v>0</v>
      </c>
      <c r="H73" s="70">
        <f>IF(H24=2,I71,0)</f>
        <v>2</v>
      </c>
      <c r="J73" s="74">
        <f>IF(J24=2,I71,0)</f>
        <v>0</v>
      </c>
      <c r="K73" s="70">
        <f>IF(K24=2,L71,0)</f>
        <v>0</v>
      </c>
      <c r="M73" s="74">
        <f>IF(M24=2,L71,0)</f>
        <v>0</v>
      </c>
      <c r="N73" s="70">
        <f>IF(N24=2,O71,0)</f>
        <v>0</v>
      </c>
      <c r="P73" s="74">
        <f>IF(P24=2,O71,0)</f>
        <v>0</v>
      </c>
      <c r="Q73" s="70">
        <f>IF(Q24=2,R71,0)</f>
        <v>0</v>
      </c>
      <c r="S73" s="74">
        <f>IF(S24=2,R71,0)</f>
        <v>2</v>
      </c>
      <c r="T73" s="70">
        <f>IF(T24=2,U71,0)</f>
        <v>0</v>
      </c>
      <c r="V73" s="74">
        <f>IF(V24=2,U71,0)</f>
        <v>0</v>
      </c>
      <c r="W73" s="70">
        <f>IF(W24=2,X71,0)</f>
        <v>0</v>
      </c>
      <c r="Y73" s="74">
        <f>IF(Y24=2,X71,0)</f>
        <v>0</v>
      </c>
      <c r="Z73" s="70">
        <f>IF(Z24=2,AA71,0)</f>
        <v>0</v>
      </c>
      <c r="AB73" s="74">
        <f>IF(AB24=2,AA71,0)</f>
        <v>0</v>
      </c>
      <c r="AC73" s="70">
        <f>IF(AC24=2,AD71,0)</f>
        <v>0</v>
      </c>
      <c r="AE73" s="74">
        <f>IF(AE24=2,AD71,0)</f>
        <v>0</v>
      </c>
      <c r="AF73" s="70">
        <f>SUM(B73:AE73)</f>
        <v>7</v>
      </c>
    </row>
    <row r="74" spans="1:54" s="70" customFormat="1" ht="12.75" hidden="1" customHeight="1" x14ac:dyDescent="0.2">
      <c r="A74" s="70" t="s">
        <v>99</v>
      </c>
      <c r="B74" s="70">
        <f>IF(B24=3,C71,0)</f>
        <v>0</v>
      </c>
      <c r="D74" s="74">
        <f>IF(D24=3,C71,0)</f>
        <v>3</v>
      </c>
      <c r="E74" s="70">
        <f>IF(E24=3,F71,0)</f>
        <v>0</v>
      </c>
      <c r="G74" s="74">
        <f>IF(G24=3,F71,0)</f>
        <v>0</v>
      </c>
      <c r="H74" s="70">
        <f>IF(H24=3,I71,0)</f>
        <v>0</v>
      </c>
      <c r="J74" s="74">
        <f>IF(J24=3,I71,0)</f>
        <v>0</v>
      </c>
      <c r="K74" s="70">
        <f>IF(K24=3,L71,0)</f>
        <v>0</v>
      </c>
      <c r="M74" s="74">
        <f>IF(M24=3,L71,0)</f>
        <v>2</v>
      </c>
      <c r="N74" s="70">
        <f>IF(N24=3,O71,0)</f>
        <v>2</v>
      </c>
      <c r="P74" s="74">
        <f>IF(P24=3,O71,0)</f>
        <v>0</v>
      </c>
      <c r="Q74" s="70">
        <f>IF(Q24=3,R71,0)</f>
        <v>0</v>
      </c>
      <c r="S74" s="74">
        <f>IF(S24=3,R71,0)</f>
        <v>0</v>
      </c>
      <c r="T74" s="70">
        <f>IF(T24=3,U71,0)</f>
        <v>0</v>
      </c>
      <c r="V74" s="74">
        <f>IF(V24=3,U71,0)</f>
        <v>0</v>
      </c>
      <c r="W74" s="70">
        <f>IF(W24=3,X71,0)</f>
        <v>0</v>
      </c>
      <c r="Y74" s="74">
        <f>IF(Y24=3,X71,0)</f>
        <v>0</v>
      </c>
      <c r="Z74" s="70">
        <f>IF(Z24=3,AA71,0)</f>
        <v>0</v>
      </c>
      <c r="AB74" s="74">
        <f>IF(AB24=3,AA71,0)</f>
        <v>0</v>
      </c>
      <c r="AC74" s="70">
        <f>IF(AC24=3,AD71,0)</f>
        <v>0</v>
      </c>
      <c r="AE74" s="74">
        <f>IF(AE24=3,AD71,0)</f>
        <v>0</v>
      </c>
      <c r="AF74" s="70">
        <f>SUM(B74:AE74)</f>
        <v>7</v>
      </c>
    </row>
    <row r="75" spans="1:54" s="70" customFormat="1" ht="12.75" hidden="1" customHeight="1" x14ac:dyDescent="0.2">
      <c r="A75" s="70" t="s">
        <v>100</v>
      </c>
      <c r="B75" s="70">
        <f>IF(B24=4,C71,0)</f>
        <v>0</v>
      </c>
      <c r="D75" s="74">
        <f>IF(D24=4,C71,0)</f>
        <v>0</v>
      </c>
      <c r="E75" s="70">
        <f>IF(E24=4,F71,0)</f>
        <v>0</v>
      </c>
      <c r="G75" s="74">
        <f>IF(G24=4,F71,0)</f>
        <v>2</v>
      </c>
      <c r="H75" s="70">
        <f>IF(H24=4,I71,0)</f>
        <v>0</v>
      </c>
      <c r="J75" s="74">
        <f>IF(J24=4,I71,0)</f>
        <v>2</v>
      </c>
      <c r="K75" s="70">
        <f>IF(K24=4,L71,0)</f>
        <v>0</v>
      </c>
      <c r="M75" s="74">
        <f>IF(M24=4,L71,0)</f>
        <v>0</v>
      </c>
      <c r="N75" s="70">
        <f>IF(N24=4,O71,0)</f>
        <v>0</v>
      </c>
      <c r="P75" s="74">
        <f>IF(P24=4,O71,0)</f>
        <v>2</v>
      </c>
      <c r="Q75" s="70">
        <f>IF(Q24=4,R71,0)</f>
        <v>0</v>
      </c>
      <c r="S75" s="74">
        <f>IF(S24=4,R71,0)</f>
        <v>0</v>
      </c>
      <c r="T75" s="70">
        <f>IF(T24=4,U71,0)</f>
        <v>0</v>
      </c>
      <c r="V75" s="74">
        <f>IF(V24=4,U71,0)</f>
        <v>0</v>
      </c>
      <c r="W75" s="70">
        <f>IF(W24=4,X71,0)</f>
        <v>0</v>
      </c>
      <c r="Y75" s="74">
        <f>IF(Y24=4,X71,0)</f>
        <v>0</v>
      </c>
      <c r="Z75" s="70">
        <f>IF(Z24=4,AA71,0)</f>
        <v>0</v>
      </c>
      <c r="AB75" s="74">
        <f>IF(AB24=4,AA71,0)</f>
        <v>0</v>
      </c>
      <c r="AC75" s="70">
        <f>IF(AC24=4,AD71,0)</f>
        <v>0</v>
      </c>
      <c r="AE75" s="74">
        <f>IF(AE24=4,AD71,0)</f>
        <v>0</v>
      </c>
      <c r="AF75" s="70">
        <f>SUM(B75:AE75)</f>
        <v>6</v>
      </c>
    </row>
    <row r="76" spans="1:54" s="70" customFormat="1" ht="12.75" hidden="1" customHeight="1" x14ac:dyDescent="0.2">
      <c r="A76" s="70" t="s">
        <v>101</v>
      </c>
      <c r="B76" s="70">
        <f>IF(B24=5,C71,0)</f>
        <v>0</v>
      </c>
      <c r="D76" s="74">
        <f>IF(D24=5,C71,0)</f>
        <v>0</v>
      </c>
      <c r="E76" s="70">
        <f>IF(E24=5,F71,0)</f>
        <v>0</v>
      </c>
      <c r="G76" s="74">
        <f>IF(G24=5,F71,0)</f>
        <v>0</v>
      </c>
      <c r="H76" s="70">
        <f>IF(H24=5,I71,0)</f>
        <v>0</v>
      </c>
      <c r="J76" s="74">
        <f>IF(J24=5,I71,0)</f>
        <v>0</v>
      </c>
      <c r="K76" s="70">
        <f>IF(K24=5,L71,0)</f>
        <v>0</v>
      </c>
      <c r="M76" s="74">
        <f>IF(M24=5,L71,0)</f>
        <v>0</v>
      </c>
      <c r="N76" s="70">
        <f>IF(N24=5,O71,0)</f>
        <v>0</v>
      </c>
      <c r="P76" s="74">
        <f>IF(P24=5,O71,0)</f>
        <v>0</v>
      </c>
      <c r="Q76" s="70">
        <f>IF(Q24=5,R71,0)</f>
        <v>0</v>
      </c>
      <c r="S76" s="74">
        <f>IF(S24=5,R71,0)</f>
        <v>0</v>
      </c>
      <c r="T76" s="70">
        <f>IF(T24=5,U71,0)</f>
        <v>0</v>
      </c>
      <c r="V76" s="74">
        <f>IF(V24=5,U71,0)</f>
        <v>0</v>
      </c>
      <c r="W76" s="70">
        <f>IF(W24=5,X71,0)</f>
        <v>0</v>
      </c>
      <c r="Y76" s="74">
        <f>IF(Y24=5,X71,0)</f>
        <v>0</v>
      </c>
      <c r="Z76" s="70">
        <f>IF(Z24=5,AA71,0)</f>
        <v>0</v>
      </c>
      <c r="AB76" s="74">
        <f>IF(AB24=5,AA71,0)</f>
        <v>0</v>
      </c>
      <c r="AC76" s="70">
        <f>IF(AC24=5,AD71,0)</f>
        <v>0</v>
      </c>
      <c r="AE76" s="74">
        <f>IF(AE24=5,AD71,0)</f>
        <v>0</v>
      </c>
      <c r="AF76" s="70">
        <f>SUM(B76:AE76)</f>
        <v>0</v>
      </c>
    </row>
    <row r="77" spans="1:54" hidden="1" x14ac:dyDescent="0.2">
      <c r="A77" s="75"/>
      <c r="B77" s="75"/>
      <c r="C77" s="75"/>
      <c r="D77" s="75"/>
      <c r="E77" s="75"/>
      <c r="F77" s="75"/>
      <c r="G77" s="75"/>
      <c r="H77" s="75"/>
      <c r="I77" s="75"/>
      <c r="J77" s="75"/>
      <c r="K77" s="75"/>
      <c r="L77" s="75"/>
      <c r="M77" s="75"/>
      <c r="N77" s="75"/>
      <c r="O77" s="75"/>
      <c r="P77" s="75"/>
      <c r="Q77" s="75"/>
      <c r="R77" s="75"/>
      <c r="S77" s="75"/>
      <c r="T77" s="75"/>
      <c r="U77" s="75"/>
      <c r="V77" s="75"/>
      <c r="W77" s="75"/>
      <c r="X77" s="75"/>
      <c r="Y77" s="75"/>
      <c r="Z77" s="75"/>
      <c r="AA77" s="75"/>
      <c r="AB77" s="75"/>
      <c r="AC77" s="75"/>
      <c r="AD77" s="75"/>
      <c r="AE77" s="75"/>
      <c r="AF77" s="75"/>
      <c r="AG77" s="75"/>
      <c r="AH77" s="75"/>
      <c r="AI77" s="75"/>
      <c r="AJ77" s="75"/>
      <c r="AK77" s="75"/>
      <c r="AL77" s="75"/>
      <c r="AM77" s="75"/>
      <c r="AN77" s="76"/>
      <c r="AO77" s="76"/>
      <c r="AP77" s="76"/>
      <c r="AQ77" s="76"/>
      <c r="AR77" s="77"/>
      <c r="AS77" s="77"/>
      <c r="AT77" s="77"/>
      <c r="AU77" s="77"/>
      <c r="AV77" s="77"/>
      <c r="AW77" s="78"/>
      <c r="BB77" s="78"/>
    </row>
    <row r="78" spans="1:54" s="77" customFormat="1" hidden="1" x14ac:dyDescent="0.2">
      <c r="A78" s="79"/>
      <c r="B78" s="79"/>
      <c r="C78" s="79" t="s">
        <v>108</v>
      </c>
      <c r="D78" s="79">
        <v>1</v>
      </c>
      <c r="E78" s="79"/>
      <c r="F78" s="79"/>
      <c r="G78" s="79">
        <v>2</v>
      </c>
      <c r="H78" s="79"/>
      <c r="I78" s="79"/>
      <c r="J78" s="79">
        <v>3</v>
      </c>
      <c r="K78" s="79"/>
      <c r="L78" s="79"/>
      <c r="M78" s="79">
        <v>4</v>
      </c>
      <c r="N78" s="79"/>
      <c r="O78" s="79"/>
      <c r="P78" s="79">
        <v>5</v>
      </c>
      <c r="Q78" s="79"/>
      <c r="R78" s="79"/>
      <c r="S78" s="79">
        <v>6</v>
      </c>
      <c r="T78" s="79"/>
      <c r="U78" s="79"/>
      <c r="V78" s="79">
        <v>7</v>
      </c>
      <c r="W78" s="79"/>
      <c r="X78" s="79"/>
      <c r="Y78" s="79">
        <v>8</v>
      </c>
      <c r="Z78" s="79"/>
      <c r="AA78" s="79"/>
      <c r="AB78" s="79">
        <v>9</v>
      </c>
      <c r="AC78" s="79"/>
      <c r="AD78" s="79"/>
      <c r="AE78" s="79">
        <v>10</v>
      </c>
      <c r="AF78" s="4"/>
      <c r="AG78" s="79"/>
      <c r="AI78" s="80"/>
      <c r="AJ78" s="4"/>
      <c r="AK78" s="4"/>
      <c r="AL78" s="4"/>
      <c r="AM78" s="4"/>
      <c r="AN78" s="4"/>
      <c r="AO78" s="4"/>
      <c r="AT78" s="80" t="s">
        <v>109</v>
      </c>
      <c r="AW78" s="81"/>
      <c r="BB78" s="81"/>
    </row>
    <row r="79" spans="1:54" s="77" customFormat="1" hidden="1" x14ac:dyDescent="0.2">
      <c r="A79" s="82">
        <v>1</v>
      </c>
      <c r="B79" s="82" t="str">
        <f>E8</f>
        <v>Crossfire 13 Power</v>
      </c>
      <c r="C79" s="82">
        <f>VLOOKUP(B79,AU$3:AY$12,3,FALSE)</f>
        <v>2157.74321750217</v>
      </c>
      <c r="D79" s="82">
        <f>IF(B72,B87,IF(D72,D87,C79))</f>
        <v>2157.74321750217</v>
      </c>
      <c r="E79" s="82"/>
      <c r="F79" s="82"/>
      <c r="G79" s="82">
        <f>IF(E72,E87,IF(G72,G87,D79))</f>
        <v>2168.7051319044576</v>
      </c>
      <c r="H79" s="82"/>
      <c r="I79" s="82"/>
      <c r="J79" s="82">
        <f>IF(H72,H87,IF(J72,J87,G79))</f>
        <v>2168.7051319044576</v>
      </c>
      <c r="K79" s="82"/>
      <c r="L79" s="82"/>
      <c r="M79" s="82">
        <f>IF(K72,K87,IF(M72,M87,J79))</f>
        <v>2181.4646965791953</v>
      </c>
      <c r="N79" s="82"/>
      <c r="O79" s="82"/>
      <c r="P79" s="82">
        <f>IF(N72,N87,IF(P72,P87,M79))</f>
        <v>2181.4646965791953</v>
      </c>
      <c r="Q79" s="82"/>
      <c r="R79" s="82"/>
      <c r="S79" s="82">
        <f>IF(Q72,Q87,IF(S72,S87,P79))</f>
        <v>2198.9082737681274</v>
      </c>
      <c r="T79" s="82"/>
      <c r="U79" s="82"/>
      <c r="V79" s="82">
        <f>IF(T72,T87,IF(V72,V87,S79))</f>
        <v>2198.9082737681274</v>
      </c>
      <c r="W79" s="82"/>
      <c r="X79" s="82"/>
      <c r="Y79" s="82">
        <f>IF(W72,W87,IF(Y72,Y87,V79))</f>
        <v>2198.9082737681274</v>
      </c>
      <c r="Z79" s="82"/>
      <c r="AA79" s="82"/>
      <c r="AB79" s="82">
        <f>IF(Z72,Z87,IF(AB72,AB87,Y79))</f>
        <v>2198.9082737681274</v>
      </c>
      <c r="AC79" s="82"/>
      <c r="AD79" s="82"/>
      <c r="AE79" s="82">
        <f>IF(AC72,AC87,IF(AE72,AE87,AB79))</f>
        <v>2198.9082737681274</v>
      </c>
      <c r="AF79" s="4"/>
      <c r="AG79" s="4"/>
      <c r="AJ79" s="4"/>
      <c r="AK79" s="4"/>
      <c r="AL79" s="4"/>
      <c r="AM79" s="4"/>
      <c r="AN79" s="4"/>
      <c r="AO79" s="4"/>
      <c r="AT79" s="77" t="str">
        <f>B79</f>
        <v>Crossfire 13 Power</v>
      </c>
      <c r="AU79" s="77">
        <f>AE79</f>
        <v>2198.9082737681274</v>
      </c>
      <c r="AW79" s="81"/>
      <c r="BB79" s="81"/>
    </row>
    <row r="80" spans="1:54" s="77" customFormat="1" hidden="1" x14ac:dyDescent="0.2">
      <c r="A80" s="82">
        <v>2</v>
      </c>
      <c r="B80" s="82" t="str">
        <f>E10</f>
        <v>C1VB 13 Power Grvl</v>
      </c>
      <c r="C80" s="82">
        <f>VLOOKUP(B80,AU$3:AY$12,3,FALSE)</f>
        <v>1978.9631245417181</v>
      </c>
      <c r="D80" s="82">
        <f>IF(B73,B87,IF(D73,D87,C80))</f>
        <v>1989.2607267149463</v>
      </c>
      <c r="E80" s="82"/>
      <c r="F80" s="82"/>
      <c r="G80" s="82">
        <f>IF(E73,E87,IF(G73,G87,D80))</f>
        <v>1989.2607267149463</v>
      </c>
      <c r="H80" s="82"/>
      <c r="I80" s="82"/>
      <c r="J80" s="82">
        <f>IF(H73,H87,IF(J73,J87,G80))</f>
        <v>2010.9270756578574</v>
      </c>
      <c r="K80" s="82"/>
      <c r="L80" s="82"/>
      <c r="M80" s="82">
        <f>IF(K73,K87,IF(M73,M87,J80))</f>
        <v>2010.9270756578574</v>
      </c>
      <c r="N80" s="82"/>
      <c r="O80" s="82"/>
      <c r="P80" s="82">
        <f>IF(N73,N87,IF(P73,P87,M80))</f>
        <v>2010.9270756578574</v>
      </c>
      <c r="Q80" s="82"/>
      <c r="R80" s="82"/>
      <c r="S80" s="82">
        <f>IF(Q73,Q87,IF(S73,S87,P80))</f>
        <v>1993.4834984689255</v>
      </c>
      <c r="T80" s="82"/>
      <c r="U80" s="82"/>
      <c r="V80" s="82">
        <f>IF(T73,T87,IF(V73,V87,S80))</f>
        <v>1993.4834984689255</v>
      </c>
      <c r="W80" s="82"/>
      <c r="X80" s="82"/>
      <c r="Y80" s="82">
        <f>IF(W73,W87,IF(Y73,Y87,V80))</f>
        <v>1993.4834984689255</v>
      </c>
      <c r="Z80" s="82"/>
      <c r="AA80" s="82"/>
      <c r="AB80" s="82">
        <f>IF(Z73,Z87,IF(AB73,AB87,Y80))</f>
        <v>1993.4834984689255</v>
      </c>
      <c r="AC80" s="82"/>
      <c r="AD80" s="82"/>
      <c r="AE80" s="82">
        <f>IF(AC73,AC87,IF(AE73,AE87,AB80))</f>
        <v>1993.4834984689255</v>
      </c>
      <c r="AF80" s="4"/>
      <c r="AG80" s="4"/>
      <c r="AJ80" s="4"/>
      <c r="AL80" s="4"/>
      <c r="AM80" s="4"/>
      <c r="AN80" s="4"/>
      <c r="AO80" s="4"/>
      <c r="AT80" s="77" t="str">
        <f>B80</f>
        <v>C1VB 13 Power Grvl</v>
      </c>
      <c r="AU80" s="77">
        <f>AE80</f>
        <v>1993.4834984689255</v>
      </c>
      <c r="AW80" s="81"/>
      <c r="BB80" s="81"/>
    </row>
    <row r="81" spans="1:54" s="77" customFormat="1" hidden="1" x14ac:dyDescent="0.2">
      <c r="A81" s="82">
        <v>3</v>
      </c>
      <c r="B81" s="82" t="str">
        <f>E12</f>
        <v>Chas Jrs 13 Red</v>
      </c>
      <c r="C81" s="82">
        <f>VLOOKUP(B81,AU$3:AY$12,3,FALSE)</f>
        <v>1937.4919528089513</v>
      </c>
      <c r="D81" s="82">
        <f>IF(B74,B87,IF(D74,D87,C81))</f>
        <v>1927.1943506357231</v>
      </c>
      <c r="E81" s="82"/>
      <c r="F81" s="82"/>
      <c r="G81" s="82">
        <f>IF(E74,E87,IF(G74,G87,D81))</f>
        <v>1927.1943506357231</v>
      </c>
      <c r="H81" s="82"/>
      <c r="I81" s="82"/>
      <c r="J81" s="82">
        <f>IF(H74,H87,IF(J74,J87,G81))</f>
        <v>1927.1943506357231</v>
      </c>
      <c r="K81" s="82"/>
      <c r="L81" s="82"/>
      <c r="M81" s="82">
        <f>IF(K74,K87,IF(M74,M87,J81))</f>
        <v>1914.4347859609857</v>
      </c>
      <c r="N81" s="82"/>
      <c r="O81" s="82"/>
      <c r="P81" s="82">
        <f>IF(N74,N87,IF(P74,P87,M81))</f>
        <v>1876.6771794532765</v>
      </c>
      <c r="Q81" s="82"/>
      <c r="R81" s="82"/>
      <c r="S81" s="82">
        <f>IF(Q74,Q87,IF(S74,S87,P81))</f>
        <v>1876.6771794532765</v>
      </c>
      <c r="T81" s="82"/>
      <c r="U81" s="82"/>
      <c r="V81" s="82">
        <f>IF(T74,T87,IF(V74,V87,S81))</f>
        <v>1876.6771794532765</v>
      </c>
      <c r="W81" s="82"/>
      <c r="X81" s="82"/>
      <c r="Y81" s="82">
        <f>IF(W74,W87,IF(Y74,Y87,V81))</f>
        <v>1876.6771794532765</v>
      </c>
      <c r="Z81" s="82"/>
      <c r="AA81" s="82"/>
      <c r="AB81" s="82">
        <f>IF(Z74,Z87,IF(AB74,AB87,Y81))</f>
        <v>1876.6771794532765</v>
      </c>
      <c r="AC81" s="82"/>
      <c r="AD81" s="82"/>
      <c r="AE81" s="82">
        <f>IF(AC74,AC87,IF(AE74,AE87,AB81))</f>
        <v>1876.6771794532765</v>
      </c>
      <c r="AF81" s="4"/>
      <c r="AG81" s="4"/>
      <c r="AJ81" s="4"/>
      <c r="AL81" s="4"/>
      <c r="AM81" s="4"/>
      <c r="AN81" s="4"/>
      <c r="AO81" s="4"/>
      <c r="AT81" s="77" t="str">
        <f>B81</f>
        <v>Chas Jrs 13 Red</v>
      </c>
      <c r="AU81" s="77">
        <f>AE81</f>
        <v>1876.6771794532765</v>
      </c>
      <c r="AW81" s="81"/>
      <c r="BB81" s="81"/>
    </row>
    <row r="82" spans="1:54" s="77" customFormat="1" hidden="1" x14ac:dyDescent="0.2">
      <c r="A82" s="82">
        <v>4</v>
      </c>
      <c r="B82" s="82" t="str">
        <f>E14</f>
        <v xml:space="preserve">CSRA Heat 14 Black </v>
      </c>
      <c r="C82" s="82">
        <f>VLOOKUP(B82,AU$3:AY$12,3,FALSE)</f>
        <v>1883.8626441487413</v>
      </c>
      <c r="D82" s="82">
        <f>IF(B75,B87,IF(D75,D87,C82))</f>
        <v>1883.8626441487413</v>
      </c>
      <c r="E82" s="82"/>
      <c r="F82" s="82"/>
      <c r="G82" s="82">
        <f>IF(E75,E87,IF(G75,G87,D82))</f>
        <v>1872.9007297464539</v>
      </c>
      <c r="H82" s="82"/>
      <c r="I82" s="82"/>
      <c r="J82" s="82">
        <f>IF(H75,H87,IF(J75,J87,G82))</f>
        <v>1851.2343808035428</v>
      </c>
      <c r="K82" s="82"/>
      <c r="L82" s="82"/>
      <c r="M82" s="82">
        <f>IF(K75,K87,IF(M75,M87,J82))</f>
        <v>1851.2343808035428</v>
      </c>
      <c r="N82" s="82"/>
      <c r="O82" s="82"/>
      <c r="P82" s="82">
        <f>IF(N75,N87,IF(P75,P87,M82))</f>
        <v>1888.9919873112519</v>
      </c>
      <c r="Q82" s="82"/>
      <c r="R82" s="82"/>
      <c r="S82" s="82">
        <f>IF(Q75,Q87,IF(S75,S87,P82))</f>
        <v>1888.9919873112519</v>
      </c>
      <c r="T82" s="82"/>
      <c r="U82" s="82"/>
      <c r="V82" s="82">
        <f>IF(T75,T87,IF(V75,V87,S82))</f>
        <v>1888.9919873112519</v>
      </c>
      <c r="W82" s="82"/>
      <c r="X82" s="82"/>
      <c r="Y82" s="82">
        <f>IF(W75,W87,IF(Y75,Y87,V82))</f>
        <v>1888.9919873112519</v>
      </c>
      <c r="Z82" s="82"/>
      <c r="AA82" s="82"/>
      <c r="AB82" s="82">
        <f>IF(Z75,Z87,IF(AB75,AB87,Y82))</f>
        <v>1888.9919873112519</v>
      </c>
      <c r="AC82" s="82"/>
      <c r="AD82" s="82"/>
      <c r="AE82" s="82">
        <f>IF(AC75,AC87,IF(AE75,AE87,AB82))</f>
        <v>1888.9919873112519</v>
      </c>
      <c r="AF82" s="4"/>
      <c r="AG82" s="4"/>
      <c r="AJ82" s="4"/>
      <c r="AL82" s="4"/>
      <c r="AM82" s="4"/>
      <c r="AN82" s="4"/>
      <c r="AO82" s="4"/>
      <c r="AT82" s="77" t="str">
        <f>B82</f>
        <v xml:space="preserve">CSRA Heat 14 Black </v>
      </c>
      <c r="AU82" s="77">
        <f>AE82</f>
        <v>1888.9919873112519</v>
      </c>
      <c r="AW82" s="81"/>
      <c r="BB82" s="81"/>
    </row>
    <row r="83" spans="1:54" s="77" customFormat="1" hidden="1" x14ac:dyDescent="0.2">
      <c r="A83" s="82">
        <v>5</v>
      </c>
      <c r="B83" s="82">
        <f>E16</f>
        <v>0</v>
      </c>
      <c r="C83" s="82" t="e">
        <f>VLOOKUP(B83,AU$3:AY$12,3,FALSE)</f>
        <v>#N/A</v>
      </c>
      <c r="D83" s="82" t="e">
        <f>IF(B76,B87,IF(D76,D87,C83))</f>
        <v>#N/A</v>
      </c>
      <c r="E83" s="82"/>
      <c r="F83" s="82"/>
      <c r="G83" s="82" t="e">
        <f>IF(E76,E87,IF(G76,G87,D83))</f>
        <v>#N/A</v>
      </c>
      <c r="H83" s="82"/>
      <c r="I83" s="82"/>
      <c r="J83" s="82" t="e">
        <f>IF(H76,H87,IF(J76,J87,G83))</f>
        <v>#N/A</v>
      </c>
      <c r="K83" s="82"/>
      <c r="L83" s="82"/>
      <c r="M83" s="82" t="e">
        <f>IF(K76,K87,IF(M76,M87,J83))</f>
        <v>#N/A</v>
      </c>
      <c r="N83" s="82"/>
      <c r="O83" s="82"/>
      <c r="P83" s="82" t="e">
        <f>IF(N76,N87,IF(P76,P87,M83))</f>
        <v>#N/A</v>
      </c>
      <c r="Q83" s="82"/>
      <c r="R83" s="82"/>
      <c r="S83" s="82" t="e">
        <f>IF(Q76,Q87,IF(S76,S87,P83))</f>
        <v>#N/A</v>
      </c>
      <c r="T83" s="82"/>
      <c r="U83" s="82"/>
      <c r="V83" s="82" t="e">
        <f>IF(T76,T87,IF(V76,V87,S83))</f>
        <v>#N/A</v>
      </c>
      <c r="W83" s="82"/>
      <c r="X83" s="82"/>
      <c r="Y83" s="82" t="e">
        <f>IF(W76,W87,IF(Y76,Y87,V83))</f>
        <v>#N/A</v>
      </c>
      <c r="Z83" s="82"/>
      <c r="AA83" s="82"/>
      <c r="AB83" s="82" t="e">
        <f>IF(Z76,Z87,IF(AB76,AB87,Y83))</f>
        <v>#N/A</v>
      </c>
      <c r="AC83" s="82"/>
      <c r="AD83" s="82"/>
      <c r="AE83" s="82" t="e">
        <f>IF(AC76,AC87,IF(AE76,AE87,AB83))</f>
        <v>#N/A</v>
      </c>
      <c r="AF83" s="4"/>
      <c r="AG83" s="4"/>
      <c r="AJ83" s="4"/>
      <c r="AL83" s="4"/>
      <c r="AM83" s="4"/>
      <c r="AN83" s="4"/>
      <c r="AO83" s="4"/>
      <c r="AT83" s="77">
        <f>B83</f>
        <v>0</v>
      </c>
      <c r="AU83" s="77" t="e">
        <f>AE83</f>
        <v>#N/A</v>
      </c>
      <c r="AW83" s="81"/>
      <c r="BB83" s="81"/>
    </row>
    <row r="84" spans="1:54" s="77" customFormat="1" hidden="1" x14ac:dyDescent="0.2">
      <c r="A84" s="82"/>
      <c r="B84" s="82"/>
      <c r="C84" s="82"/>
      <c r="D84" s="82"/>
      <c r="E84" s="82"/>
      <c r="F84" s="82"/>
      <c r="G84" s="82"/>
      <c r="H84" s="82"/>
      <c r="I84" s="82"/>
      <c r="J84" s="82"/>
      <c r="K84" s="82"/>
      <c r="L84" s="82"/>
      <c r="M84" s="82"/>
      <c r="N84" s="82"/>
      <c r="O84" s="82"/>
      <c r="P84" s="82"/>
      <c r="Q84" s="82"/>
      <c r="R84" s="82"/>
      <c r="S84" s="82"/>
      <c r="T84" s="82"/>
      <c r="U84" s="82"/>
      <c r="V84" s="82"/>
      <c r="W84" s="82"/>
      <c r="X84" s="82"/>
      <c r="Y84" s="82"/>
      <c r="Z84" s="82"/>
      <c r="AA84" s="82"/>
      <c r="AB84" s="82"/>
      <c r="AC84" s="82"/>
      <c r="AD84" s="82"/>
      <c r="AE84" s="82"/>
      <c r="AF84" s="4"/>
      <c r="AG84" s="4"/>
      <c r="AJ84" s="4"/>
      <c r="AL84" s="4"/>
      <c r="AM84" s="4"/>
      <c r="AN84" s="4"/>
      <c r="AO84" s="4"/>
      <c r="AW84" s="81"/>
      <c r="BB84" s="81"/>
    </row>
    <row r="85" spans="1:54" s="77" customFormat="1" hidden="1" x14ac:dyDescent="0.2">
      <c r="A85" s="82" t="s">
        <v>110</v>
      </c>
      <c r="B85" s="82">
        <f>VLOOKUP(B24,$A79:$AE83,3,FALSE)</f>
        <v>1978.9631245417181</v>
      </c>
      <c r="C85" s="82">
        <v>1</v>
      </c>
      <c r="D85" s="82">
        <f>VLOOKUP(D24,$A79:$AE83,3,FALSE)</f>
        <v>1937.4919528089513</v>
      </c>
      <c r="E85" s="82">
        <f>VLOOKUP(E24,$A79:$AE83,4,FALSE)</f>
        <v>2157.74321750217</v>
      </c>
      <c r="F85" s="82">
        <v>2</v>
      </c>
      <c r="G85" s="82">
        <f>VLOOKUP(G24,$A79:$AE83,4,FALSE)</f>
        <v>1883.8626441487413</v>
      </c>
      <c r="H85" s="82">
        <f>VLOOKUP(H24,$A79:$AE83,7,FALSE)</f>
        <v>1989.2607267149463</v>
      </c>
      <c r="I85" s="82">
        <v>3</v>
      </c>
      <c r="J85" s="82">
        <f>VLOOKUP(J24,$A79:$AE83,7,FALSE)</f>
        <v>1872.9007297464539</v>
      </c>
      <c r="K85" s="82">
        <f>VLOOKUP(K24,$A79:$AE83,10,FALSE)</f>
        <v>2168.7051319044576</v>
      </c>
      <c r="L85" s="82">
        <v>4</v>
      </c>
      <c r="M85" s="82">
        <f>VLOOKUP(M24,$A79:$AE83,10,FALSE)</f>
        <v>1927.1943506357231</v>
      </c>
      <c r="N85" s="82">
        <f>VLOOKUP(N24,$A79:$AE83,13,FALSE)</f>
        <v>1914.4347859609857</v>
      </c>
      <c r="O85" s="82">
        <v>5</v>
      </c>
      <c r="P85" s="82">
        <f>VLOOKUP(P24,$A79:$AE83,13,FALSE)</f>
        <v>1851.2343808035428</v>
      </c>
      <c r="Q85" s="82">
        <f>VLOOKUP(Q24,$A79:$AE83,16,FALSE)</f>
        <v>2181.4646965791953</v>
      </c>
      <c r="R85" s="82">
        <v>6</v>
      </c>
      <c r="S85" s="82">
        <f>VLOOKUP(S24,$A79:$AE83,16,FALSE)</f>
        <v>2010.9270756578574</v>
      </c>
      <c r="T85" s="82">
        <f>VLOOKUP(T24,$A79:$AE83,19,FALSE)</f>
        <v>1993.4834984689255</v>
      </c>
      <c r="U85" s="82">
        <v>7</v>
      </c>
      <c r="V85" s="82">
        <f>VLOOKUP(V24,$A79:$AE83,19,FALSE)</f>
        <v>1876.6771794532765</v>
      </c>
      <c r="W85" s="82">
        <f>VLOOKUP(W24,$A79:$AE83,22,FALSE)</f>
        <v>2198.9082737681274</v>
      </c>
      <c r="X85" s="82">
        <v>8</v>
      </c>
      <c r="Y85" s="82" t="e">
        <f>VLOOKUP(Y24,$A79:$AE83,22,FALSE)</f>
        <v>#N/A</v>
      </c>
      <c r="Z85" s="82">
        <f>VLOOKUP(Z24,$A79:$AE83,25,FALSE)</f>
        <v>1876.6771794532765</v>
      </c>
      <c r="AA85" s="82">
        <v>9</v>
      </c>
      <c r="AB85" s="82">
        <f>VLOOKUP(AB24,$A79:$AE83,25,FALSE)</f>
        <v>1888.9919873112519</v>
      </c>
      <c r="AC85" s="82">
        <f>VLOOKUP(AC24,$A79:$AE83,28,FALSE)</f>
        <v>2198.9082737681274</v>
      </c>
      <c r="AD85" s="82">
        <v>10</v>
      </c>
      <c r="AE85" s="82">
        <f>VLOOKUP(AE24,$A79:$AE83,28,FALSE)</f>
        <v>1993.4834984689255</v>
      </c>
      <c r="AF85" s="4"/>
      <c r="AG85" s="75"/>
      <c r="AH85" s="75"/>
      <c r="AI85" s="75"/>
      <c r="AJ85" s="75"/>
      <c r="AK85" s="75"/>
      <c r="AL85" s="75"/>
      <c r="AM85" s="75"/>
      <c r="AN85" s="76"/>
      <c r="AO85" s="76"/>
      <c r="AP85" s="76"/>
      <c r="AQ85" s="76"/>
      <c r="AW85" s="81"/>
      <c r="BB85" s="81"/>
    </row>
    <row r="86" spans="1:54" s="87" customFormat="1" hidden="1" x14ac:dyDescent="0.2">
      <c r="A86" s="83" t="s">
        <v>111</v>
      </c>
      <c r="B86" s="83">
        <f>1/(1+(10^-((B85-D85)/400)))*(B36+D36)</f>
        <v>1.6781999320866219</v>
      </c>
      <c r="C86" s="83"/>
      <c r="D86" s="83">
        <f>1/(1+(10^-((D85-B85)/400)))*(B36+D36)</f>
        <v>1.3218000679133783</v>
      </c>
      <c r="E86" s="83">
        <f>1/(1+(10^-((E85-G85)/400)))*(E36+G36)</f>
        <v>1.6574401749285161</v>
      </c>
      <c r="F86" s="83"/>
      <c r="G86" s="83">
        <f>1/(1+(10^-((G85-E85)/400)))*(E36+G36)</f>
        <v>0.34255982507148364</v>
      </c>
      <c r="H86" s="83">
        <f>1/(1+(10^-((H85-J85)/400)))*(H36+J36)</f>
        <v>1.3229265955340279</v>
      </c>
      <c r="I86" s="83"/>
      <c r="J86" s="83">
        <f>1/(1+(10^-((J85-H85)/400)))*(H36+J36)</f>
        <v>0.67707340446597231</v>
      </c>
      <c r="K86" s="83">
        <f>1/(1+(10^-((K85-M85)/400)))*(K36+M36)</f>
        <v>1.6012636039144503</v>
      </c>
      <c r="L86" s="83"/>
      <c r="M86" s="83">
        <f>1/(1+(10^-((M85-K85)/400)))*(K36+M36)</f>
        <v>0.39873639608554962</v>
      </c>
      <c r="N86" s="83">
        <f>1/(1+(10^-((N85-P85)/400)))*(N36+P36)</f>
        <v>1.1799252033659122</v>
      </c>
      <c r="O86" s="83"/>
      <c r="P86" s="83">
        <f>1/(1+(10^-((P85-N85)/400)))*(N36+P36)</f>
        <v>0.82007479663408778</v>
      </c>
      <c r="Q86" s="83">
        <f>1/(1+(10^-((Q85-S85)/400)))*(Q36+S36)</f>
        <v>1.4548882128458773</v>
      </c>
      <c r="R86" s="83"/>
      <c r="S86" s="83">
        <f>1/(1+(10^-((S85-Q85)/400)))*(Q36+S36)</f>
        <v>0.54511178715412278</v>
      </c>
      <c r="T86" s="83">
        <f>1/(1+(10^-((T85-V85)/400)))*(T36+V36)</f>
        <v>0</v>
      </c>
      <c r="U86" s="83"/>
      <c r="V86" s="83">
        <f>1/(1+(10^-((V85-T85)/400)))*(T36+V36)</f>
        <v>0</v>
      </c>
      <c r="W86" s="83" t="e">
        <f>1/(1+(10^-((W85-Y85)/400)))*(W36+Y36)</f>
        <v>#N/A</v>
      </c>
      <c r="X86" s="83"/>
      <c r="Y86" s="83" t="e">
        <f>1/(1+(10^-((Y85-W85)/400)))*(W36+Y36)</f>
        <v>#N/A</v>
      </c>
      <c r="Z86" s="83">
        <f>1/(1+(10^-((Z85-AB85)/400)))*(Z36+AB36)</f>
        <v>0</v>
      </c>
      <c r="AA86" s="83"/>
      <c r="AB86" s="83">
        <f>1/(1+(10^-((AB85-Z85)/400)))*(Z36+AB36)</f>
        <v>0</v>
      </c>
      <c r="AC86" s="83">
        <f>1/(1+(10^-((AC85-AE85)/400)))*(AC36+AE36)</f>
        <v>0</v>
      </c>
      <c r="AD86" s="83"/>
      <c r="AE86" s="83">
        <f>1/(1+(10^-((AE85-AC85)/400)))*(AC36+AE36)</f>
        <v>0</v>
      </c>
      <c r="AF86" s="84"/>
      <c r="AG86" s="85"/>
      <c r="AH86" s="85"/>
      <c r="AI86" s="85"/>
      <c r="AJ86" s="85"/>
      <c r="AK86" s="85"/>
      <c r="AL86" s="85"/>
      <c r="AM86" s="85"/>
      <c r="AN86" s="86"/>
      <c r="AO86" s="86"/>
      <c r="AP86" s="86"/>
      <c r="AQ86" s="86"/>
      <c r="AW86" s="88"/>
      <c r="BB86" s="88"/>
    </row>
    <row r="87" spans="1:54" s="93" customFormat="1" hidden="1" x14ac:dyDescent="0.2">
      <c r="A87" s="89" t="s">
        <v>112</v>
      </c>
      <c r="B87" s="89">
        <f>B85+(B36-B86)*$BA$1</f>
        <v>1989.2607267149463</v>
      </c>
      <c r="C87" s="89"/>
      <c r="D87" s="89">
        <f>D85+(D36-D86)*$BA$1</f>
        <v>1927.1943506357231</v>
      </c>
      <c r="E87" s="89">
        <f>E85+(E36-E86)*$BA$1</f>
        <v>2168.7051319044576</v>
      </c>
      <c r="F87" s="89"/>
      <c r="G87" s="89">
        <f>G85+(G36-G86)*$BA$1</f>
        <v>1872.9007297464539</v>
      </c>
      <c r="H87" s="89">
        <f>H85+(H36-H86)*$BA$1</f>
        <v>2010.9270756578574</v>
      </c>
      <c r="I87" s="89"/>
      <c r="J87" s="89">
        <f>J85+(J36-J86)*$BA$1</f>
        <v>1851.2343808035428</v>
      </c>
      <c r="K87" s="89">
        <f>K85+(K36-K86)*$BA$1</f>
        <v>2181.4646965791953</v>
      </c>
      <c r="L87" s="89"/>
      <c r="M87" s="89">
        <f>M85+(M36-M86)*$BA$1</f>
        <v>1914.4347859609857</v>
      </c>
      <c r="N87" s="89">
        <f>N85+(N36-N86)*$BA$1</f>
        <v>1876.6771794532765</v>
      </c>
      <c r="O87" s="89"/>
      <c r="P87" s="89">
        <f>P85+(P36-P86)*$BA$1</f>
        <v>1888.9919873112519</v>
      </c>
      <c r="Q87" s="89">
        <f>Q85+(Q36-Q86)*$BA$1</f>
        <v>2198.9082737681274</v>
      </c>
      <c r="R87" s="89"/>
      <c r="S87" s="89">
        <f>S85+(S36-S86)*$BA$1</f>
        <v>1993.4834984689255</v>
      </c>
      <c r="T87" s="89">
        <f>T85+(T36-T86)*$BA$1</f>
        <v>1993.4834984689255</v>
      </c>
      <c r="U87" s="89"/>
      <c r="V87" s="89">
        <f>V85+(V36-V86)*$BA$1</f>
        <v>1876.6771794532765</v>
      </c>
      <c r="W87" s="89" t="e">
        <f>W85+(W36-W86)*$BA$1</f>
        <v>#N/A</v>
      </c>
      <c r="X87" s="89"/>
      <c r="Y87" s="89" t="e">
        <f>Y85+(Y36-Y86)*$BA$1</f>
        <v>#N/A</v>
      </c>
      <c r="Z87" s="89">
        <f>Z85+(Z36-Z86)*$BA$1</f>
        <v>1876.6771794532765</v>
      </c>
      <c r="AA87" s="89"/>
      <c r="AB87" s="89">
        <f>AB85+(AB36-AB86)*$BA$1</f>
        <v>1888.9919873112519</v>
      </c>
      <c r="AC87" s="89">
        <f>AC85+(AC36-AC86)*$BA$1</f>
        <v>2198.9082737681274</v>
      </c>
      <c r="AD87" s="89"/>
      <c r="AE87" s="89">
        <f>AE85+(AE36-AE86)*$BA$1</f>
        <v>1993.4834984689255</v>
      </c>
      <c r="AF87" s="90"/>
      <c r="AG87" s="91"/>
      <c r="AH87" s="91"/>
      <c r="AI87" s="91"/>
      <c r="AJ87" s="91"/>
      <c r="AK87" s="91"/>
      <c r="AL87" s="91"/>
      <c r="AM87" s="91"/>
      <c r="AN87" s="92"/>
      <c r="AO87" s="92"/>
      <c r="AP87" s="92"/>
      <c r="AQ87" s="92"/>
      <c r="AW87" s="94"/>
      <c r="BB87" s="94"/>
    </row>
    <row r="88" spans="1:54" s="93" customFormat="1" hidden="1" x14ac:dyDescent="0.2">
      <c r="A88" s="89"/>
      <c r="B88" s="89"/>
      <c r="C88" s="89"/>
      <c r="D88" s="89"/>
      <c r="E88" s="89"/>
      <c r="F88" s="89"/>
      <c r="G88" s="89"/>
      <c r="H88" s="89"/>
      <c r="I88" s="89"/>
      <c r="J88" s="89"/>
      <c r="K88" s="89"/>
      <c r="L88" s="89"/>
      <c r="M88" s="89"/>
      <c r="N88" s="89"/>
      <c r="O88" s="89"/>
      <c r="P88" s="89"/>
      <c r="Q88" s="89"/>
      <c r="R88" s="89"/>
      <c r="S88" s="89"/>
      <c r="T88" s="89"/>
      <c r="U88" s="89"/>
      <c r="V88" s="89"/>
      <c r="W88" s="89"/>
      <c r="X88" s="89"/>
      <c r="Y88" s="89"/>
      <c r="Z88" s="89"/>
      <c r="AA88" s="89"/>
      <c r="AB88" s="89"/>
      <c r="AC88" s="89"/>
      <c r="AD88" s="89"/>
      <c r="AE88" s="89"/>
      <c r="AF88" s="90"/>
      <c r="AG88" s="91"/>
      <c r="AH88" s="91"/>
      <c r="AI88" s="91"/>
      <c r="AJ88" s="91"/>
      <c r="AK88" s="91"/>
      <c r="AL88" s="91"/>
      <c r="AM88" s="91"/>
      <c r="AN88" s="92"/>
      <c r="AO88" s="92"/>
      <c r="AP88" s="92"/>
      <c r="AQ88" s="92"/>
      <c r="AW88" s="94"/>
      <c r="BB88" s="94"/>
    </row>
    <row r="89" spans="1:54" s="77" customFormat="1" x14ac:dyDescent="0.2">
      <c r="A89" s="281" t="str">
        <f>IF($AK10=1,"Pool Tiereaker : 1) Matches Won vs Lost (if 3 way tie then #4)  2) Head to Head  3) Game Win %  4) Total Pool Net Points  5) Flip a Coin","Pool Tiebreaker : 1) Games Won vs Lost (if 3 way tie then #5)  2) Head to Head  3) Head to Head Net Points  4) Game Win %  5) Total Pool Net Points  6) Flip a Coin")</f>
        <v>Pool Tiereaker : 1) Matches Won vs Lost (if 3 way tie then #4)  2) Head to Head  3) Game Win %  4) Total Pool Net Points  5) Flip a Coin</v>
      </c>
      <c r="B89" s="281"/>
      <c r="C89" s="281"/>
      <c r="D89" s="281"/>
      <c r="E89" s="281"/>
      <c r="F89" s="281"/>
      <c r="G89" s="281"/>
      <c r="H89" s="281"/>
      <c r="I89" s="281"/>
      <c r="J89" s="281"/>
      <c r="K89" s="281"/>
      <c r="L89" s="281"/>
      <c r="M89" s="281"/>
      <c r="N89" s="281"/>
      <c r="O89" s="281"/>
      <c r="P89" s="281"/>
      <c r="Q89" s="281"/>
      <c r="R89" s="281"/>
      <c r="S89" s="281"/>
      <c r="T89" s="281"/>
      <c r="U89" s="281"/>
      <c r="V89" s="281"/>
      <c r="W89" s="281"/>
      <c r="X89" s="281"/>
      <c r="Y89" s="281"/>
      <c r="Z89" s="281"/>
      <c r="AA89" s="281"/>
      <c r="AB89" s="281"/>
      <c r="AC89" s="281"/>
      <c r="AD89" s="281"/>
      <c r="AE89" s="281"/>
      <c r="AF89" s="281"/>
      <c r="AG89" s="281"/>
      <c r="AH89" s="281"/>
      <c r="AI89" s="281"/>
      <c r="AJ89" s="281"/>
      <c r="AK89" s="281"/>
      <c r="AL89" s="281"/>
      <c r="AM89" s="259"/>
      <c r="AN89" s="259"/>
      <c r="AO89" s="259"/>
      <c r="AP89" s="259"/>
    </row>
    <row r="90" spans="1:54" s="77" customFormat="1" ht="13.5" thickBot="1" x14ac:dyDescent="0.25">
      <c r="A90" s="282"/>
      <c r="B90" s="282"/>
      <c r="C90" s="282"/>
      <c r="D90" s="282"/>
      <c r="E90" s="282"/>
      <c r="F90" s="282"/>
      <c r="G90" s="282"/>
      <c r="H90" s="282"/>
      <c r="I90" s="282"/>
      <c r="J90" s="282"/>
      <c r="K90" s="282"/>
      <c r="L90" s="282"/>
      <c r="M90" s="282"/>
      <c r="N90" s="282"/>
      <c r="O90" s="282"/>
      <c r="P90" s="282"/>
      <c r="Q90" s="282"/>
      <c r="R90" s="282"/>
      <c r="S90" s="282"/>
      <c r="T90" s="282"/>
      <c r="U90" s="282"/>
      <c r="V90" s="282"/>
      <c r="W90" s="282"/>
      <c r="X90" s="282"/>
      <c r="Y90" s="282"/>
      <c r="Z90" s="282"/>
      <c r="AA90" s="282"/>
      <c r="AB90" s="282"/>
      <c r="AC90" s="282"/>
      <c r="AD90" s="282"/>
      <c r="AE90" s="282"/>
      <c r="AF90" s="282"/>
      <c r="AG90" s="282"/>
      <c r="AH90" s="282"/>
      <c r="AI90" s="282"/>
      <c r="AJ90" s="282"/>
      <c r="AK90" s="282"/>
      <c r="AL90" s="282"/>
      <c r="AM90" s="282"/>
      <c r="AN90" s="282"/>
      <c r="AO90" s="282"/>
      <c r="AP90" s="282"/>
      <c r="AQ90" s="282"/>
    </row>
    <row r="91" spans="1:54" ht="24" customHeight="1" thickBot="1" x14ac:dyDescent="0.25">
      <c r="A91" s="27" t="s">
        <v>34</v>
      </c>
      <c r="B91" s="28" t="s">
        <v>113</v>
      </c>
      <c r="C91" s="353" t="s">
        <v>36</v>
      </c>
      <c r="D91" s="354"/>
      <c r="E91" s="354"/>
      <c r="F91" s="354"/>
      <c r="G91" s="354"/>
      <c r="H91" s="355"/>
      <c r="I91" s="356">
        <v>2</v>
      </c>
      <c r="J91" s="357"/>
      <c r="K91" s="358" t="str">
        <f>"Pool "&amp;B91&amp;" - Round 1 - Court "&amp;I91</f>
        <v>Pool B - Round 1 - Court 2</v>
      </c>
      <c r="L91" s="359"/>
      <c r="M91" s="359"/>
      <c r="N91" s="359"/>
      <c r="O91" s="359"/>
      <c r="P91" s="359"/>
      <c r="Q91" s="359"/>
      <c r="R91" s="359"/>
      <c r="S91" s="359"/>
      <c r="T91" s="359"/>
      <c r="U91" s="359"/>
      <c r="V91" s="359"/>
      <c r="W91" s="359"/>
      <c r="X91" s="359"/>
      <c r="Y91" s="359"/>
      <c r="Z91" s="359"/>
      <c r="AA91" s="359"/>
      <c r="AB91" s="359"/>
      <c r="AC91" s="359"/>
      <c r="AD91" s="359"/>
      <c r="AE91" s="359"/>
      <c r="AF91" s="359"/>
      <c r="AG91" s="359"/>
      <c r="AH91" s="359"/>
      <c r="AI91" s="360"/>
      <c r="AJ91" s="8"/>
      <c r="AK91" s="8"/>
      <c r="AL91" s="8"/>
      <c r="AM91" s="8"/>
      <c r="AN91" s="8"/>
      <c r="AO91" s="8"/>
      <c r="AP91" s="8"/>
      <c r="AQ91" s="8"/>
    </row>
    <row r="92" spans="1:54" ht="27" customHeight="1" thickBot="1" x14ac:dyDescent="0.25">
      <c r="A92" s="29" t="s">
        <v>39</v>
      </c>
      <c r="B92" s="361" t="s">
        <v>10</v>
      </c>
      <c r="C92" s="362"/>
      <c r="D92" s="362"/>
      <c r="E92" s="362"/>
      <c r="F92" s="362"/>
      <c r="G92" s="362"/>
      <c r="H92" s="362"/>
      <c r="I92" s="362"/>
      <c r="J92" s="362"/>
      <c r="K92" s="362"/>
      <c r="L92" s="361" t="str">
        <f>IF($AK95=0,"Games Won","Matches Won")</f>
        <v>Matches Won</v>
      </c>
      <c r="M92" s="362"/>
      <c r="N92" s="362"/>
      <c r="O92" s="362"/>
      <c r="P92" s="362"/>
      <c r="Q92" s="363"/>
      <c r="R92" s="361" t="str">
        <f>IF($AK95=0,"Games Lost","Matches Lost")</f>
        <v>Matches Lost</v>
      </c>
      <c r="S92" s="364"/>
      <c r="T92" s="364"/>
      <c r="U92" s="364"/>
      <c r="V92" s="365"/>
      <c r="W92" s="366" t="s">
        <v>40</v>
      </c>
      <c r="X92" s="367"/>
      <c r="Y92" s="368"/>
      <c r="Z92" s="366" t="s">
        <v>41</v>
      </c>
      <c r="AA92" s="367"/>
      <c r="AB92" s="368"/>
      <c r="AC92" s="369" t="s">
        <v>42</v>
      </c>
      <c r="AD92" s="370"/>
      <c r="AE92" s="371"/>
      <c r="AF92" s="30" t="s">
        <v>43</v>
      </c>
      <c r="AG92" s="31" t="s">
        <v>9</v>
      </c>
      <c r="AH92" s="351" t="s">
        <v>44</v>
      </c>
      <c r="AI92" s="352"/>
      <c r="AJ92" s="32"/>
      <c r="AK92" s="33">
        <v>3</v>
      </c>
      <c r="AL92" s="34" t="s">
        <v>45</v>
      </c>
      <c r="AM92" s="34"/>
      <c r="AN92" s="34"/>
      <c r="AO92" s="34"/>
      <c r="AP92" s="34"/>
      <c r="AQ92" s="34"/>
      <c r="AR92" s="35"/>
    </row>
    <row r="93" spans="1:54" ht="18.75" customHeight="1" x14ac:dyDescent="0.2">
      <c r="A93" s="320" t="str">
        <f>IF($AK94&gt;0,"1","")</f>
        <v>1</v>
      </c>
      <c r="B93" s="348" t="s">
        <v>10</v>
      </c>
      <c r="C93" s="349"/>
      <c r="D93" s="350"/>
      <c r="E93" s="324" t="str">
        <f>AU4</f>
        <v>CSRA Heat 13 Gold</v>
      </c>
      <c r="F93" s="325"/>
      <c r="G93" s="325"/>
      <c r="H93" s="325"/>
      <c r="I93" s="325"/>
      <c r="J93" s="325"/>
      <c r="K93" s="326"/>
      <c r="L93" s="327">
        <f>IF($AK95=0,AF149,AF131)</f>
        <v>3</v>
      </c>
      <c r="M93" s="328"/>
      <c r="N93" s="328"/>
      <c r="O93" s="328"/>
      <c r="P93" s="328"/>
      <c r="Q93" s="363"/>
      <c r="R93" s="327">
        <f>IF($AK95=0,AG149,AG131)</f>
        <v>0</v>
      </c>
      <c r="S93" s="328"/>
      <c r="T93" s="328"/>
      <c r="U93" s="328"/>
      <c r="V93" s="328"/>
      <c r="W93" s="327">
        <f>AQ109</f>
        <v>45</v>
      </c>
      <c r="X93" s="328"/>
      <c r="Y93" s="328"/>
      <c r="Z93" s="300">
        <f>IF(AF143&gt;0,(AQ109/AF143),0)</f>
        <v>0.25</v>
      </c>
      <c r="AA93" s="301"/>
      <c r="AB93" s="301"/>
      <c r="AC93" s="304">
        <f>IF(AF157=0,0,(AF149/AF157))</f>
        <v>0.75</v>
      </c>
      <c r="AD93" s="305"/>
      <c r="AE93" s="306"/>
      <c r="AF93" s="310">
        <v>1</v>
      </c>
      <c r="AG93" s="310"/>
      <c r="AH93" s="312">
        <v>2</v>
      </c>
      <c r="AI93" s="313"/>
      <c r="AJ93" s="32"/>
      <c r="AK93" s="33">
        <v>6</v>
      </c>
      <c r="AL93" s="34" t="s">
        <v>48</v>
      </c>
      <c r="AM93" s="34"/>
      <c r="AN93" s="34"/>
      <c r="AO93" s="34"/>
      <c r="AP93" s="34"/>
      <c r="AQ93" s="34"/>
      <c r="AR93" s="35"/>
    </row>
    <row r="94" spans="1:54" ht="18.75" customHeight="1" thickBot="1" x14ac:dyDescent="0.25">
      <c r="A94" s="321"/>
      <c r="B94" s="345" t="s">
        <v>11</v>
      </c>
      <c r="C94" s="346"/>
      <c r="D94" s="347"/>
      <c r="E94" s="341" t="str">
        <f>AV4</f>
        <v>fj3csrah1pm</v>
      </c>
      <c r="F94" s="342"/>
      <c r="G94" s="342"/>
      <c r="H94" s="342"/>
      <c r="I94" s="342"/>
      <c r="J94" s="342"/>
      <c r="K94" s="342"/>
      <c r="L94" s="343"/>
      <c r="M94" s="344"/>
      <c r="N94" s="344"/>
      <c r="O94" s="344"/>
      <c r="P94" s="344"/>
      <c r="Q94" s="363"/>
      <c r="R94" s="343"/>
      <c r="S94" s="344"/>
      <c r="T94" s="344"/>
      <c r="U94" s="344"/>
      <c r="V94" s="344"/>
      <c r="W94" s="343"/>
      <c r="X94" s="344"/>
      <c r="Y94" s="344"/>
      <c r="Z94" s="331"/>
      <c r="AA94" s="332"/>
      <c r="AB94" s="332"/>
      <c r="AC94" s="333"/>
      <c r="AD94" s="334"/>
      <c r="AE94" s="335"/>
      <c r="AF94" s="336"/>
      <c r="AG94" s="336"/>
      <c r="AH94" s="337"/>
      <c r="AI94" s="338"/>
      <c r="AJ94" s="32"/>
      <c r="AK94" s="33">
        <v>4</v>
      </c>
      <c r="AL94" s="34" t="s">
        <v>51</v>
      </c>
      <c r="AM94" s="32"/>
      <c r="AN94" s="32"/>
      <c r="AO94" s="32"/>
      <c r="AP94" s="32"/>
      <c r="AQ94" s="32"/>
      <c r="AR94" s="3"/>
    </row>
    <row r="95" spans="1:54" ht="18.75" customHeight="1" x14ac:dyDescent="0.2">
      <c r="A95" s="320" t="str">
        <f>IF($AK94&gt;1,"2","")</f>
        <v>2</v>
      </c>
      <c r="B95" s="348" t="s">
        <v>10</v>
      </c>
      <c r="C95" s="349"/>
      <c r="D95" s="350"/>
      <c r="E95" s="324" t="str">
        <f>AU5</f>
        <v>Intense 13 Elite Columbia</v>
      </c>
      <c r="F95" s="325"/>
      <c r="G95" s="325"/>
      <c r="H95" s="325"/>
      <c r="I95" s="325"/>
      <c r="J95" s="325"/>
      <c r="K95" s="326"/>
      <c r="L95" s="327">
        <f>IF($AK95=0,AF150,AF132)</f>
        <v>2</v>
      </c>
      <c r="M95" s="328"/>
      <c r="N95" s="328"/>
      <c r="O95" s="328"/>
      <c r="P95" s="328"/>
      <c r="Q95" s="363"/>
      <c r="R95" s="327">
        <f>IF($AK95=0,AG150,AG132)</f>
        <v>1</v>
      </c>
      <c r="S95" s="328"/>
      <c r="T95" s="328"/>
      <c r="U95" s="328"/>
      <c r="V95" s="328"/>
      <c r="W95" s="327">
        <f>AQ110</f>
        <v>-6</v>
      </c>
      <c r="X95" s="328"/>
      <c r="Y95" s="328"/>
      <c r="Z95" s="300">
        <f>IF(AF144&gt;0,(AQ110/AF144),0)</f>
        <v>-3.3149171270718231E-2</v>
      </c>
      <c r="AA95" s="301"/>
      <c r="AB95" s="301"/>
      <c r="AC95" s="304">
        <f>IF(AF158=0,0,(AF150/AF158))</f>
        <v>0.625</v>
      </c>
      <c r="AD95" s="305"/>
      <c r="AE95" s="306"/>
      <c r="AF95" s="310">
        <v>2</v>
      </c>
      <c r="AG95" s="310"/>
      <c r="AH95" s="312">
        <v>3</v>
      </c>
      <c r="AI95" s="313"/>
      <c r="AJ95" s="32"/>
      <c r="AK95" s="33">
        <v>1</v>
      </c>
      <c r="AL95" s="34" t="s">
        <v>54</v>
      </c>
      <c r="AM95" s="34"/>
      <c r="AN95" s="34"/>
      <c r="AO95" s="34"/>
      <c r="AP95" s="34"/>
      <c r="AQ95" s="34"/>
      <c r="AR95" s="35"/>
    </row>
    <row r="96" spans="1:54" ht="18.75" customHeight="1" thickBot="1" x14ac:dyDescent="0.25">
      <c r="A96" s="321"/>
      <c r="B96" s="339" t="s">
        <v>11</v>
      </c>
      <c r="C96" s="340"/>
      <c r="D96" s="340"/>
      <c r="E96" s="341" t="str">
        <f>AV5</f>
        <v>fj3inten1pm</v>
      </c>
      <c r="F96" s="342"/>
      <c r="G96" s="342"/>
      <c r="H96" s="342"/>
      <c r="I96" s="342"/>
      <c r="J96" s="342"/>
      <c r="K96" s="342"/>
      <c r="L96" s="343"/>
      <c r="M96" s="344"/>
      <c r="N96" s="344"/>
      <c r="O96" s="344"/>
      <c r="P96" s="344"/>
      <c r="Q96" s="363"/>
      <c r="R96" s="343"/>
      <c r="S96" s="344"/>
      <c r="T96" s="344"/>
      <c r="U96" s="344"/>
      <c r="V96" s="344"/>
      <c r="W96" s="343"/>
      <c r="X96" s="344"/>
      <c r="Y96" s="344"/>
      <c r="Z96" s="331"/>
      <c r="AA96" s="332"/>
      <c r="AB96" s="332"/>
      <c r="AC96" s="333"/>
      <c r="AD96" s="334"/>
      <c r="AE96" s="335"/>
      <c r="AF96" s="336"/>
      <c r="AG96" s="336"/>
      <c r="AH96" s="337"/>
      <c r="AI96" s="338"/>
      <c r="AJ96" s="32"/>
      <c r="AK96" s="33">
        <v>1</v>
      </c>
      <c r="AL96" s="34" t="s">
        <v>56</v>
      </c>
      <c r="AM96" s="32"/>
      <c r="AN96" s="32"/>
      <c r="AO96" s="32"/>
      <c r="AP96" s="32"/>
      <c r="AQ96" s="32"/>
      <c r="AR96" s="3"/>
    </row>
    <row r="97" spans="1:44" ht="18.75" customHeight="1" x14ac:dyDescent="0.2">
      <c r="A97" s="320" t="str">
        <f>IF($AK94&gt;2,"3","")</f>
        <v>3</v>
      </c>
      <c r="B97" s="322" t="s">
        <v>10</v>
      </c>
      <c r="C97" s="323"/>
      <c r="D97" s="323"/>
      <c r="E97" s="324" t="str">
        <f>AU8</f>
        <v>SC Midlands 13 Perf</v>
      </c>
      <c r="F97" s="325"/>
      <c r="G97" s="325"/>
      <c r="H97" s="325"/>
      <c r="I97" s="325"/>
      <c r="J97" s="325"/>
      <c r="K97" s="326"/>
      <c r="L97" s="327">
        <f>IF($AK95=0,AF151,AF133)</f>
        <v>1</v>
      </c>
      <c r="M97" s="328"/>
      <c r="N97" s="328"/>
      <c r="O97" s="328"/>
      <c r="P97" s="328"/>
      <c r="Q97" s="363"/>
      <c r="R97" s="327">
        <f>IF($AK95=0,AG151,AG133)</f>
        <v>2</v>
      </c>
      <c r="S97" s="328"/>
      <c r="T97" s="328"/>
      <c r="U97" s="328"/>
      <c r="V97" s="328"/>
      <c r="W97" s="327">
        <f>AQ111</f>
        <v>0</v>
      </c>
      <c r="X97" s="328"/>
      <c r="Y97" s="328"/>
      <c r="Z97" s="300">
        <f>IF(AF145&gt;0,(AQ111/AF145),0)</f>
        <v>0</v>
      </c>
      <c r="AA97" s="301"/>
      <c r="AB97" s="301"/>
      <c r="AC97" s="304">
        <f>IF(AF159=0,0,(AF151/AF159))</f>
        <v>0.42857142857142855</v>
      </c>
      <c r="AD97" s="305"/>
      <c r="AE97" s="306"/>
      <c r="AF97" s="310">
        <v>3</v>
      </c>
      <c r="AG97" s="310"/>
      <c r="AH97" s="312">
        <v>3</v>
      </c>
      <c r="AI97" s="313"/>
      <c r="AJ97" s="43"/>
      <c r="AK97" s="33">
        <v>3</v>
      </c>
      <c r="AL97" s="44" t="s">
        <v>57</v>
      </c>
      <c r="AM97" s="34"/>
      <c r="AN97" s="34"/>
      <c r="AO97" s="34"/>
      <c r="AP97" s="34"/>
      <c r="AQ97" s="34"/>
      <c r="AR97" s="35"/>
    </row>
    <row r="98" spans="1:44" ht="18.75" customHeight="1" thickBot="1" x14ac:dyDescent="0.25">
      <c r="A98" s="321"/>
      <c r="B98" s="339" t="s">
        <v>11</v>
      </c>
      <c r="C98" s="340"/>
      <c r="D98" s="340"/>
      <c r="E98" s="341" t="str">
        <f>AV8</f>
        <v>fj3scmid1pm</v>
      </c>
      <c r="F98" s="342"/>
      <c r="G98" s="342"/>
      <c r="H98" s="342"/>
      <c r="I98" s="342"/>
      <c r="J98" s="342"/>
      <c r="K98" s="342"/>
      <c r="L98" s="343"/>
      <c r="M98" s="344"/>
      <c r="N98" s="344"/>
      <c r="O98" s="344"/>
      <c r="P98" s="344"/>
      <c r="Q98" s="363"/>
      <c r="R98" s="343"/>
      <c r="S98" s="344"/>
      <c r="T98" s="344"/>
      <c r="U98" s="344"/>
      <c r="V98" s="344"/>
      <c r="W98" s="343"/>
      <c r="X98" s="344"/>
      <c r="Y98" s="344"/>
      <c r="Z98" s="331"/>
      <c r="AA98" s="332"/>
      <c r="AB98" s="332"/>
      <c r="AC98" s="333"/>
      <c r="AD98" s="334"/>
      <c r="AE98" s="335"/>
      <c r="AF98" s="336"/>
      <c r="AG98" s="336"/>
      <c r="AH98" s="337"/>
      <c r="AI98" s="338"/>
      <c r="AJ98" s="43"/>
      <c r="AK98" s="51"/>
      <c r="AL98" s="52"/>
      <c r="AM98" s="52"/>
      <c r="AN98" s="52"/>
      <c r="AO98" s="52"/>
      <c r="AP98" s="52"/>
      <c r="AQ98" s="32"/>
      <c r="AR98" s="3"/>
    </row>
    <row r="99" spans="1:44" ht="18.75" customHeight="1" x14ac:dyDescent="0.2">
      <c r="A99" s="320" t="str">
        <f>IF($AK94&gt;3,"4","")</f>
        <v>4</v>
      </c>
      <c r="B99" s="322" t="s">
        <v>10</v>
      </c>
      <c r="C99" s="323"/>
      <c r="D99" s="323"/>
      <c r="E99" s="324" t="str">
        <f>AU9</f>
        <v>Fort Mill 13 Purple</v>
      </c>
      <c r="F99" s="325"/>
      <c r="G99" s="325"/>
      <c r="H99" s="325"/>
      <c r="I99" s="325"/>
      <c r="J99" s="325"/>
      <c r="K99" s="326"/>
      <c r="L99" s="327">
        <f>IF($AK95=0,AF152,AF134)</f>
        <v>0</v>
      </c>
      <c r="M99" s="328"/>
      <c r="N99" s="328"/>
      <c r="O99" s="328"/>
      <c r="P99" s="328"/>
      <c r="Q99" s="363"/>
      <c r="R99" s="327">
        <f>IF($AK95=0,AG152,AG134)</f>
        <v>3</v>
      </c>
      <c r="S99" s="328"/>
      <c r="T99" s="328"/>
      <c r="U99" s="328"/>
      <c r="V99" s="328"/>
      <c r="W99" s="327">
        <f>AQ112</f>
        <v>-39</v>
      </c>
      <c r="X99" s="328"/>
      <c r="Y99" s="328"/>
      <c r="Z99" s="300">
        <f>IF(AF146&gt;0,(AQ112/AF146),0)</f>
        <v>-0.23636363636363636</v>
      </c>
      <c r="AA99" s="301"/>
      <c r="AB99" s="301"/>
      <c r="AC99" s="304">
        <f>IF(AF160=0,0,(AF152/AF160))</f>
        <v>0.14285714285714285</v>
      </c>
      <c r="AD99" s="305"/>
      <c r="AE99" s="306"/>
      <c r="AF99" s="310">
        <v>4</v>
      </c>
      <c r="AG99" s="310"/>
      <c r="AH99" s="312">
        <v>1</v>
      </c>
      <c r="AI99" s="313"/>
      <c r="AJ99" s="8"/>
      <c r="AK99" s="52"/>
      <c r="AL99" s="52"/>
      <c r="AM99" s="52"/>
      <c r="AN99" s="52"/>
      <c r="AO99" s="52"/>
      <c r="AP99" s="52"/>
      <c r="AQ99" s="34"/>
      <c r="AR99" s="35"/>
    </row>
    <row r="100" spans="1:44" ht="18.75" customHeight="1" thickBot="1" x14ac:dyDescent="0.25">
      <c r="A100" s="321"/>
      <c r="B100" s="339" t="s">
        <v>11</v>
      </c>
      <c r="C100" s="340"/>
      <c r="D100" s="340"/>
      <c r="E100" s="341" t="str">
        <f>AV9</f>
        <v>fj3fortm1pm</v>
      </c>
      <c r="F100" s="342"/>
      <c r="G100" s="342"/>
      <c r="H100" s="342"/>
      <c r="I100" s="342"/>
      <c r="J100" s="342"/>
      <c r="K100" s="342"/>
      <c r="L100" s="343"/>
      <c r="M100" s="344"/>
      <c r="N100" s="344"/>
      <c r="O100" s="344"/>
      <c r="P100" s="344"/>
      <c r="Q100" s="363"/>
      <c r="R100" s="343"/>
      <c r="S100" s="344"/>
      <c r="T100" s="344"/>
      <c r="U100" s="344"/>
      <c r="V100" s="344"/>
      <c r="W100" s="343"/>
      <c r="X100" s="344"/>
      <c r="Y100" s="344"/>
      <c r="Z100" s="331"/>
      <c r="AA100" s="332"/>
      <c r="AB100" s="332"/>
      <c r="AC100" s="333"/>
      <c r="AD100" s="334"/>
      <c r="AE100" s="335"/>
      <c r="AF100" s="336"/>
      <c r="AG100" s="336"/>
      <c r="AH100" s="337"/>
      <c r="AI100" s="338"/>
      <c r="AJ100" s="8"/>
      <c r="AK100" s="52"/>
      <c r="AL100" s="52"/>
      <c r="AM100" s="52"/>
      <c r="AN100" s="52"/>
      <c r="AO100" s="52"/>
      <c r="AP100" s="52"/>
      <c r="AQ100" s="8"/>
      <c r="AR100" s="3"/>
    </row>
    <row r="101" spans="1:44" ht="18.75" customHeight="1" x14ac:dyDescent="0.2">
      <c r="A101" s="320" t="str">
        <f>IF($AK94&gt;4,"5","")</f>
        <v/>
      </c>
      <c r="B101" s="322" t="s">
        <v>10</v>
      </c>
      <c r="C101" s="323"/>
      <c r="D101" s="323"/>
      <c r="E101" s="324">
        <f>AU12</f>
        <v>0</v>
      </c>
      <c r="F101" s="325"/>
      <c r="G101" s="325"/>
      <c r="H101" s="325"/>
      <c r="I101" s="325"/>
      <c r="J101" s="325"/>
      <c r="K101" s="326"/>
      <c r="L101" s="327">
        <f>IF($AK95=0,AF153,AF135)</f>
        <v>0</v>
      </c>
      <c r="M101" s="328"/>
      <c r="N101" s="328"/>
      <c r="O101" s="328"/>
      <c r="P101" s="328"/>
      <c r="Q101" s="363"/>
      <c r="R101" s="327">
        <f>IF($AK95=0,AG153,AG135)</f>
        <v>0</v>
      </c>
      <c r="S101" s="328"/>
      <c r="T101" s="328"/>
      <c r="U101" s="328"/>
      <c r="V101" s="328"/>
      <c r="W101" s="327">
        <f>AQ113</f>
        <v>0</v>
      </c>
      <c r="X101" s="328"/>
      <c r="Y101" s="328"/>
      <c r="Z101" s="300">
        <f>IF(AF147&gt;0,(AQ113/AF147),0)</f>
        <v>0</v>
      </c>
      <c r="AA101" s="301"/>
      <c r="AB101" s="301"/>
      <c r="AC101" s="304">
        <f>IF(AF161=0,0,(AF153/AF161))</f>
        <v>0</v>
      </c>
      <c r="AD101" s="305"/>
      <c r="AE101" s="306"/>
      <c r="AF101" s="310"/>
      <c r="AG101" s="310"/>
      <c r="AH101" s="312"/>
      <c r="AI101" s="313"/>
      <c r="AJ101" s="8"/>
      <c r="AK101" s="52"/>
      <c r="AL101" s="52"/>
      <c r="AM101" s="52"/>
      <c r="AN101" s="52"/>
      <c r="AO101" s="52"/>
      <c r="AP101" s="52"/>
      <c r="AQ101" s="8"/>
      <c r="AR101" s="3"/>
    </row>
    <row r="102" spans="1:44" ht="18.75" customHeight="1" thickBot="1" x14ac:dyDescent="0.25">
      <c r="A102" s="321"/>
      <c r="B102" s="316" t="s">
        <v>11</v>
      </c>
      <c r="C102" s="317"/>
      <c r="D102" s="317"/>
      <c r="E102" s="318">
        <f>AV12</f>
        <v>0</v>
      </c>
      <c r="F102" s="319"/>
      <c r="G102" s="319"/>
      <c r="H102" s="319"/>
      <c r="I102" s="319"/>
      <c r="J102" s="319"/>
      <c r="K102" s="319"/>
      <c r="L102" s="329"/>
      <c r="M102" s="330"/>
      <c r="N102" s="330"/>
      <c r="O102" s="330"/>
      <c r="P102" s="330"/>
      <c r="Q102" s="363"/>
      <c r="R102" s="329"/>
      <c r="S102" s="330"/>
      <c r="T102" s="330"/>
      <c r="U102" s="330"/>
      <c r="V102" s="330"/>
      <c r="W102" s="329"/>
      <c r="X102" s="330"/>
      <c r="Y102" s="330"/>
      <c r="Z102" s="302"/>
      <c r="AA102" s="303"/>
      <c r="AB102" s="303"/>
      <c r="AC102" s="307"/>
      <c r="AD102" s="308"/>
      <c r="AE102" s="309"/>
      <c r="AF102" s="311"/>
      <c r="AG102" s="311"/>
      <c r="AH102" s="314"/>
      <c r="AI102" s="315"/>
      <c r="AJ102" s="8"/>
      <c r="AK102" s="52"/>
      <c r="AL102" s="52"/>
      <c r="AM102" s="52"/>
      <c r="AN102" s="52"/>
      <c r="AO102" s="52"/>
      <c r="AP102" s="52"/>
      <c r="AQ102" s="8"/>
      <c r="AR102" s="3"/>
    </row>
    <row r="103" spans="1:44" ht="21" customHeight="1" thickTop="1" thickBot="1" x14ac:dyDescent="0.25">
      <c r="A103" s="55"/>
      <c r="B103" s="297" t="s">
        <v>59</v>
      </c>
      <c r="C103" s="298"/>
      <c r="D103" s="298"/>
      <c r="E103" s="298"/>
      <c r="F103" s="298"/>
      <c r="G103" s="298"/>
      <c r="H103" s="298"/>
      <c r="I103" s="298"/>
      <c r="J103" s="298"/>
      <c r="K103" s="298"/>
      <c r="L103" s="298"/>
      <c r="M103" s="298"/>
      <c r="N103" s="298"/>
      <c r="O103" s="298"/>
      <c r="P103" s="298"/>
      <c r="Q103" s="298"/>
      <c r="R103" s="298"/>
      <c r="S103" s="298"/>
      <c r="T103" s="298"/>
      <c r="U103" s="298"/>
      <c r="V103" s="298"/>
      <c r="W103" s="298"/>
      <c r="X103" s="298"/>
      <c r="Y103" s="298"/>
      <c r="Z103" s="298"/>
      <c r="AA103" s="298"/>
      <c r="AB103" s="298"/>
      <c r="AC103" s="298"/>
      <c r="AD103" s="298"/>
      <c r="AE103" s="298"/>
      <c r="AF103" s="298"/>
      <c r="AG103" s="298"/>
      <c r="AH103" s="298"/>
      <c r="AI103" s="299"/>
      <c r="AJ103" s="8"/>
      <c r="AK103" s="52"/>
      <c r="AL103" s="52"/>
      <c r="AM103" s="52"/>
      <c r="AN103" s="52"/>
      <c r="AO103" s="52"/>
      <c r="AP103" s="52"/>
      <c r="AQ103" s="8"/>
      <c r="AR103" s="3"/>
    </row>
    <row r="104" spans="1:44" ht="13.5" customHeight="1" thickTop="1" x14ac:dyDescent="0.2">
      <c r="A104" s="4" t="s">
        <v>60</v>
      </c>
      <c r="B104" s="286">
        <v>0.35416666666666669</v>
      </c>
      <c r="C104" s="287"/>
      <c r="D104" s="288"/>
      <c r="E104" s="286">
        <v>0.39583333333333331</v>
      </c>
      <c r="F104" s="287"/>
      <c r="G104" s="288"/>
      <c r="H104" s="286">
        <v>0.4375</v>
      </c>
      <c r="I104" s="287"/>
      <c r="J104" s="288"/>
      <c r="K104" s="286">
        <v>0.5</v>
      </c>
      <c r="L104" s="287"/>
      <c r="M104" s="288"/>
      <c r="N104" s="286">
        <v>4.1666666666666664E-2</v>
      </c>
      <c r="O104" s="287"/>
      <c r="P104" s="288"/>
      <c r="Q104" s="286">
        <v>8.3333333333333329E-2</v>
      </c>
      <c r="R104" s="287"/>
      <c r="S104" s="288"/>
      <c r="T104" s="286">
        <v>4.1666666666666664E-2</v>
      </c>
      <c r="U104" s="287"/>
      <c r="V104" s="288"/>
      <c r="W104" s="286">
        <v>7.2916666666666671E-2</v>
      </c>
      <c r="X104" s="287"/>
      <c r="Y104" s="288"/>
      <c r="Z104" s="286">
        <v>0.10416666666666667</v>
      </c>
      <c r="AA104" s="287"/>
      <c r="AB104" s="288"/>
      <c r="AC104" s="286">
        <v>0.13541666666666666</v>
      </c>
      <c r="AD104" s="287"/>
      <c r="AE104" s="288"/>
      <c r="AF104" s="289" t="s">
        <v>61</v>
      </c>
      <c r="AG104" s="290"/>
      <c r="AH104" s="290"/>
      <c r="AI104" s="290"/>
      <c r="AJ104" s="291"/>
      <c r="AK104" s="291"/>
      <c r="AL104" s="291"/>
      <c r="AM104" s="291"/>
      <c r="AN104" s="291"/>
      <c r="AO104" s="291"/>
      <c r="AP104" s="291"/>
      <c r="AQ104" s="292"/>
    </row>
    <row r="105" spans="1:44" x14ac:dyDescent="0.2">
      <c r="A105" s="56" t="s">
        <v>62</v>
      </c>
      <c r="B105" s="283"/>
      <c r="C105" s="284"/>
      <c r="D105" s="285"/>
      <c r="E105" s="283"/>
      <c r="F105" s="284"/>
      <c r="G105" s="285"/>
      <c r="H105" s="283"/>
      <c r="I105" s="284"/>
      <c r="J105" s="285"/>
      <c r="K105" s="283"/>
      <c r="L105" s="284"/>
      <c r="M105" s="285"/>
      <c r="N105" s="283"/>
      <c r="O105" s="284"/>
      <c r="P105" s="285"/>
      <c r="Q105" s="283"/>
      <c r="R105" s="284"/>
      <c r="S105" s="285"/>
      <c r="T105" s="283"/>
      <c r="U105" s="284"/>
      <c r="V105" s="285"/>
      <c r="W105" s="283"/>
      <c r="X105" s="284"/>
      <c r="Y105" s="285"/>
      <c r="Z105" s="283"/>
      <c r="AA105" s="284"/>
      <c r="AB105" s="285"/>
      <c r="AC105" s="283"/>
      <c r="AD105" s="284"/>
      <c r="AE105" s="285"/>
      <c r="AF105" s="289"/>
      <c r="AG105" s="290"/>
      <c r="AH105" s="290"/>
      <c r="AI105" s="290"/>
      <c r="AJ105" s="290"/>
      <c r="AK105" s="290"/>
      <c r="AL105" s="290"/>
      <c r="AM105" s="290"/>
      <c r="AN105" s="290"/>
      <c r="AO105" s="290"/>
      <c r="AP105" s="290"/>
      <c r="AQ105" s="293"/>
    </row>
    <row r="106" spans="1:44" x14ac:dyDescent="0.2">
      <c r="A106" s="56" t="s">
        <v>63</v>
      </c>
      <c r="B106" s="283"/>
      <c r="C106" s="284"/>
      <c r="D106" s="285"/>
      <c r="E106" s="283"/>
      <c r="F106" s="284"/>
      <c r="G106" s="285"/>
      <c r="H106" s="283"/>
      <c r="I106" s="284"/>
      <c r="J106" s="285"/>
      <c r="K106" s="283"/>
      <c r="L106" s="284"/>
      <c r="M106" s="285"/>
      <c r="N106" s="283"/>
      <c r="O106" s="284"/>
      <c r="P106" s="285"/>
      <c r="Q106" s="283"/>
      <c r="R106" s="284"/>
      <c r="S106" s="285"/>
      <c r="T106" s="283"/>
      <c r="U106" s="284"/>
      <c r="V106" s="285"/>
      <c r="W106" s="283"/>
      <c r="X106" s="284"/>
      <c r="Y106" s="285"/>
      <c r="Z106" s="283"/>
      <c r="AA106" s="284"/>
      <c r="AB106" s="285"/>
      <c r="AC106" s="283"/>
      <c r="AD106" s="284"/>
      <c r="AE106" s="285"/>
      <c r="AF106" s="289"/>
      <c r="AG106" s="290"/>
      <c r="AH106" s="290"/>
      <c r="AI106" s="290"/>
      <c r="AJ106" s="290"/>
      <c r="AK106" s="290"/>
      <c r="AL106" s="290"/>
      <c r="AM106" s="290"/>
      <c r="AN106" s="290"/>
      <c r="AO106" s="290"/>
      <c r="AP106" s="290"/>
      <c r="AQ106" s="293"/>
    </row>
    <row r="107" spans="1:44" ht="13.5" thickBot="1" x14ac:dyDescent="0.25">
      <c r="A107" s="8"/>
      <c r="B107" s="173" t="s">
        <v>64</v>
      </c>
      <c r="C107" s="174"/>
      <c r="D107" s="180"/>
      <c r="E107" s="173" t="str">
        <f>IF(AK93&gt;1,"Match 2","")</f>
        <v>Match 2</v>
      </c>
      <c r="F107" s="174"/>
      <c r="G107" s="180"/>
      <c r="H107" s="173" t="str">
        <f>IF(AK93&gt;2,"Match 3","")</f>
        <v>Match 3</v>
      </c>
      <c r="I107" s="174"/>
      <c r="J107" s="180"/>
      <c r="K107" s="173" t="str">
        <f>IF(AK93&gt;3,"Match 4","")</f>
        <v>Match 4</v>
      </c>
      <c r="L107" s="174"/>
      <c r="M107" s="180"/>
      <c r="N107" s="173" t="str">
        <f>IF(AK93&gt;4,"Match 5","")</f>
        <v>Match 5</v>
      </c>
      <c r="O107" s="174"/>
      <c r="P107" s="180"/>
      <c r="Q107" s="173" t="str">
        <f>IF(AK93&gt;5,"Match 6","")</f>
        <v>Match 6</v>
      </c>
      <c r="R107" s="174"/>
      <c r="S107" s="180"/>
      <c r="T107" s="173" t="str">
        <f>IF(AK93&gt;6,"Match 7","")</f>
        <v/>
      </c>
      <c r="U107" s="174"/>
      <c r="V107" s="180"/>
      <c r="W107" s="173" t="str">
        <f>IF(AK93&gt;7,"Match 8","")</f>
        <v/>
      </c>
      <c r="X107" s="174"/>
      <c r="Y107" s="180"/>
      <c r="Z107" s="173" t="str">
        <f>IF(AK93&gt;8,"Match 9","")</f>
        <v/>
      </c>
      <c r="AA107" s="174"/>
      <c r="AB107" s="180"/>
      <c r="AC107" s="173" t="str">
        <f>IF(AK93&gt;9,"Match 10","")</f>
        <v/>
      </c>
      <c r="AD107" s="174"/>
      <c r="AE107" s="180"/>
      <c r="AF107" s="294"/>
      <c r="AG107" s="295"/>
      <c r="AH107" s="295"/>
      <c r="AI107" s="295"/>
      <c r="AJ107" s="295"/>
      <c r="AK107" s="295"/>
      <c r="AL107" s="295"/>
      <c r="AM107" s="295"/>
      <c r="AN107" s="295"/>
      <c r="AO107" s="295"/>
      <c r="AP107" s="295"/>
      <c r="AQ107" s="296"/>
    </row>
    <row r="108" spans="1:44" ht="15.75" x14ac:dyDescent="0.25">
      <c r="A108" s="8"/>
      <c r="B108" s="277" t="s">
        <v>65</v>
      </c>
      <c r="C108" s="278"/>
      <c r="D108" s="279"/>
      <c r="E108" s="277" t="s">
        <v>66</v>
      </c>
      <c r="F108" s="278"/>
      <c r="G108" s="279"/>
      <c r="H108" s="277" t="s">
        <v>67</v>
      </c>
      <c r="I108" s="278"/>
      <c r="J108" s="279"/>
      <c r="K108" s="277" t="s">
        <v>68</v>
      </c>
      <c r="L108" s="278"/>
      <c r="M108" s="279"/>
      <c r="N108" s="277" t="s">
        <v>66</v>
      </c>
      <c r="O108" s="278"/>
      <c r="P108" s="279"/>
      <c r="Q108" s="277" t="s">
        <v>67</v>
      </c>
      <c r="R108" s="278"/>
      <c r="S108" s="279"/>
      <c r="T108" s="277" t="s">
        <v>68</v>
      </c>
      <c r="U108" s="278"/>
      <c r="V108" s="279"/>
      <c r="W108" s="277" t="s">
        <v>66</v>
      </c>
      <c r="X108" s="278"/>
      <c r="Y108" s="279"/>
      <c r="Z108" s="277" t="s">
        <v>69</v>
      </c>
      <c r="AA108" s="278"/>
      <c r="AB108" s="279"/>
      <c r="AC108" s="277" t="s">
        <v>67</v>
      </c>
      <c r="AD108" s="278"/>
      <c r="AE108" s="279"/>
      <c r="AF108" s="57" t="s">
        <v>70</v>
      </c>
      <c r="AG108" s="58">
        <v>1</v>
      </c>
      <c r="AH108" s="58">
        <v>2</v>
      </c>
      <c r="AI108" s="58">
        <v>3</v>
      </c>
      <c r="AJ108" s="58">
        <v>4</v>
      </c>
      <c r="AK108" s="58">
        <v>5</v>
      </c>
      <c r="AL108" s="58">
        <v>6</v>
      </c>
      <c r="AM108" s="58">
        <v>7</v>
      </c>
      <c r="AN108" s="58">
        <v>8</v>
      </c>
      <c r="AO108" s="58">
        <v>9</v>
      </c>
      <c r="AP108" s="58">
        <v>10</v>
      </c>
      <c r="AQ108" s="59" t="s">
        <v>71</v>
      </c>
    </row>
    <row r="109" spans="1:44" ht="15.75" x14ac:dyDescent="0.25">
      <c r="A109" s="8"/>
      <c r="B109" s="61">
        <v>2</v>
      </c>
      <c r="C109" s="62" t="s">
        <v>72</v>
      </c>
      <c r="D109" s="63">
        <v>3</v>
      </c>
      <c r="E109" s="61">
        <v>1</v>
      </c>
      <c r="F109" s="62" t="str">
        <f>IF(AK93&gt;1,"v","")</f>
        <v>v</v>
      </c>
      <c r="G109" s="63">
        <v>4</v>
      </c>
      <c r="H109" s="61">
        <v>2</v>
      </c>
      <c r="I109" s="62" t="str">
        <f>IF(AK93&gt;2,"v","")</f>
        <v>v</v>
      </c>
      <c r="J109" s="63">
        <v>4</v>
      </c>
      <c r="K109" s="61">
        <v>1</v>
      </c>
      <c r="L109" s="62" t="str">
        <f>IF(AK93&gt;3,"v","")</f>
        <v>v</v>
      </c>
      <c r="M109" s="63">
        <v>3</v>
      </c>
      <c r="N109" s="61">
        <v>3</v>
      </c>
      <c r="O109" s="62" t="str">
        <f>IF(AK93&gt;4,"v","")</f>
        <v>v</v>
      </c>
      <c r="P109" s="63">
        <v>4</v>
      </c>
      <c r="Q109" s="61">
        <v>1</v>
      </c>
      <c r="R109" s="62" t="str">
        <f>IF(AK93&gt;5,"v","")</f>
        <v>v</v>
      </c>
      <c r="S109" s="63">
        <v>2</v>
      </c>
      <c r="T109" s="61">
        <v>2</v>
      </c>
      <c r="U109" s="62" t="str">
        <f>IF(AK93&gt;6,"v","")</f>
        <v/>
      </c>
      <c r="V109" s="63">
        <v>3</v>
      </c>
      <c r="W109" s="61">
        <v>1</v>
      </c>
      <c r="X109" s="62" t="str">
        <f>IF(AK93&gt;7,"v","")</f>
        <v/>
      </c>
      <c r="Y109" s="63">
        <v>5</v>
      </c>
      <c r="Z109" s="61">
        <v>3</v>
      </c>
      <c r="AA109" s="62" t="str">
        <f>IF(AK93&gt;8,"v","")</f>
        <v/>
      </c>
      <c r="AB109" s="63">
        <v>4</v>
      </c>
      <c r="AC109" s="61">
        <v>1</v>
      </c>
      <c r="AD109" s="62" t="str">
        <f>IF(AK93&gt;9,"v","")</f>
        <v/>
      </c>
      <c r="AE109" s="63">
        <v>2</v>
      </c>
      <c r="AF109" s="57" t="str">
        <f>IF(AK94&gt;0,"Team 1","")</f>
        <v>Team 1</v>
      </c>
      <c r="AG109" s="64" t="str">
        <f>IF(AK94&lt;1,"",IF(AK93&lt;1,"",IF(B109=1,B115-D115,IF(D109=1,D115-B115,""))))</f>
        <v/>
      </c>
      <c r="AH109" s="64">
        <f>IF(AK94&lt;1,"",IF(AK93&lt;2,"",IF(E109=1,E115-G115,IF(G109=1,G115-E115,""))))</f>
        <v>26</v>
      </c>
      <c r="AI109" s="64" t="str">
        <f>IF(AK94&lt;1,"",IF(AK93&lt;3,"",IF(H109=1,H115-J115,IF(J109=1,J115-H115,""))))</f>
        <v/>
      </c>
      <c r="AJ109" s="64">
        <f>IF(AK94&lt;1,"",IF(AK93&lt;4,"",IF(K109=1,K115-M115,IF(M109=1,M115-K115,""))))</f>
        <v>7</v>
      </c>
      <c r="AK109" s="64" t="str">
        <f>IF(AK94&lt;1,"",IF(AK93&lt;5,"",IF(N109=1,N115-P115,IF(P109=1,P115-N115,""))))</f>
        <v/>
      </c>
      <c r="AL109" s="64">
        <f>IF(AK94&lt;1,"",IF(AK93&lt;6,"",IF(Q109=1,Q115-S115,IF(S109=1,S115-Q115,""))))</f>
        <v>12</v>
      </c>
      <c r="AM109" s="64" t="str">
        <f>IF(AK94&lt;1,"",IF(AK93&lt;7,"",IF(T109=1,T115-V115,IF(V109=1,V115-T115,""))))</f>
        <v/>
      </c>
      <c r="AN109" s="64" t="str">
        <f>IF(AK94&lt;1,"",IF(AK93&lt;8,"",IF(W109=1,W115-Y115,IF(Y109=1,Y115-W115,""))))</f>
        <v/>
      </c>
      <c r="AO109" s="64" t="str">
        <f>IF(AK94&lt;1,"",IF(AK93&lt;9,"",IF(Z109=1,Z115-AB115,IF(AB109=1,AB115-Z115,""))))</f>
        <v/>
      </c>
      <c r="AP109" s="64" t="str">
        <f>IF(AK94&lt;1,"",IF(AK93&lt;10,"",IF(AC109=1,AC115-AE115,IF(AE109=1,AE115-AC115,""))))</f>
        <v/>
      </c>
      <c r="AQ109" s="59">
        <f>SUM(AG109:AP109)</f>
        <v>45</v>
      </c>
    </row>
    <row r="110" spans="1:44" ht="15" x14ac:dyDescent="0.2">
      <c r="A110" s="4" t="s">
        <v>73</v>
      </c>
      <c r="B110" s="65">
        <v>25</v>
      </c>
      <c r="C110" s="66" t="s">
        <v>74</v>
      </c>
      <c r="D110" s="67">
        <v>18</v>
      </c>
      <c r="E110" s="65">
        <v>25</v>
      </c>
      <c r="F110" s="66" t="str">
        <f>IF(AK93&gt;1,"/","")</f>
        <v>/</v>
      </c>
      <c r="G110" s="67">
        <v>17</v>
      </c>
      <c r="H110" s="65">
        <v>25</v>
      </c>
      <c r="I110" s="66" t="str">
        <f>IF(AK93&gt;2,"/","")</f>
        <v>/</v>
      </c>
      <c r="J110" s="67">
        <v>23</v>
      </c>
      <c r="K110" s="65">
        <v>22</v>
      </c>
      <c r="L110" s="66" t="str">
        <f>IF(AK93&gt;3,"/","")</f>
        <v>/</v>
      </c>
      <c r="M110" s="67">
        <v>25</v>
      </c>
      <c r="N110" s="65">
        <v>25</v>
      </c>
      <c r="O110" s="66" t="str">
        <f>IF(AK93&gt;4,"/","")</f>
        <v>/</v>
      </c>
      <c r="P110" s="67">
        <v>13</v>
      </c>
      <c r="Q110" s="65">
        <v>25</v>
      </c>
      <c r="R110" s="66" t="str">
        <f>IF(AK93&gt;5,"/","")</f>
        <v>/</v>
      </c>
      <c r="S110" s="67">
        <v>19</v>
      </c>
      <c r="T110" s="65"/>
      <c r="U110" s="66" t="str">
        <f>IF(AK93&gt;6,"/","")</f>
        <v/>
      </c>
      <c r="V110" s="67"/>
      <c r="W110" s="65"/>
      <c r="X110" s="66" t="str">
        <f>IF(AK93&gt;7,"/","")</f>
        <v/>
      </c>
      <c r="Y110" s="67"/>
      <c r="Z110" s="65"/>
      <c r="AA110" s="66" t="str">
        <f>IF(AK93&gt;8,"/","")</f>
        <v/>
      </c>
      <c r="AB110" s="67"/>
      <c r="AC110" s="65"/>
      <c r="AD110" s="66" t="str">
        <f>IF(AK93&gt;9,"/","")</f>
        <v/>
      </c>
      <c r="AE110" s="67"/>
      <c r="AF110" s="57" t="str">
        <f>IF(AK94&gt;1,"Team 2","")</f>
        <v>Team 2</v>
      </c>
      <c r="AG110" s="64">
        <f>IF(AK94&lt;2,"",IF(AK93&lt;1,"",IF(B109=2,B115-D115,IF(D109=2,D115-B115,""))))</f>
        <v>9</v>
      </c>
      <c r="AH110" s="64" t="str">
        <f>IF(AK94&lt;2,"",IF(AK93&lt;2,"",IF(E109=2,E115-G115,IF(G109=2,G115-E115,""))))</f>
        <v/>
      </c>
      <c r="AI110" s="64">
        <f>IF(AK94&lt;2,"",IF(AK93&lt;3,"",IF(H109=2,H115-J115,IF(J109=2,J115-H115,""))))</f>
        <v>-3</v>
      </c>
      <c r="AJ110" s="64" t="str">
        <f>IF(AK94&lt;2,"",IF(AK93&lt;4,"",IF(K109=2,K115-M115,IF(M109=2,M115-K115,""))))</f>
        <v/>
      </c>
      <c r="AK110" s="64" t="str">
        <f>IF(AK94&lt;2,"",IF(AK93&lt;5,"",IF(N109=2,N115-P115,IF(P109=2,P115-N115,""))))</f>
        <v/>
      </c>
      <c r="AL110" s="64">
        <f>IF(AK94&lt;2,"",IF(AK93&lt;6,"",IF(Q109=2,Q115-S115,IF(S109=2,S115-Q115,""))))</f>
        <v>-12</v>
      </c>
      <c r="AM110" s="64" t="str">
        <f>IF(AK94&lt;2,"",IF(AK93&lt;7,"",IF(T109=2,T115-V115,IF(V109=2,V115-T115,""))))</f>
        <v/>
      </c>
      <c r="AN110" s="64" t="str">
        <f>IF(AK94&lt;2,"",IF(AK93&lt;8,"",IF(W109=2,W115-Y115,IF(Y109=2,Y115-W115,""))))</f>
        <v/>
      </c>
      <c r="AO110" s="64" t="str">
        <f>IF(AK94&lt;2,"",IF(AK93&lt;9,"",IF(Z109=2,Z115-AB115,IF(AB109=2,AB115-Z115,""))))</f>
        <v/>
      </c>
      <c r="AP110" s="64" t="str">
        <f>IF(AK94&lt;2,"",IF(AK93&lt;10,"",IF(AC109=2,AC115-AE115,IF(AE109=2,AE115-AC115,""))))</f>
        <v/>
      </c>
      <c r="AQ110" s="59">
        <f>SUM(AG110:AP110)</f>
        <v>-6</v>
      </c>
    </row>
    <row r="111" spans="1:44" ht="15" x14ac:dyDescent="0.2">
      <c r="A111" s="3" t="str">
        <f>IF(AK92&gt;1,"Game 2","")</f>
        <v>Game 2</v>
      </c>
      <c r="B111" s="65">
        <v>26</v>
      </c>
      <c r="C111" s="66" t="s">
        <v>74</v>
      </c>
      <c r="D111" s="67">
        <v>24</v>
      </c>
      <c r="E111" s="65">
        <v>25</v>
      </c>
      <c r="F111" s="66" t="str">
        <f>IF(AK93&gt;1,IF(AK92&gt;1,"/",""),"")</f>
        <v>/</v>
      </c>
      <c r="G111" s="67">
        <v>7</v>
      </c>
      <c r="H111" s="65">
        <v>15</v>
      </c>
      <c r="I111" s="66" t="str">
        <f>IF(AK93&gt;2,IF(AK92&gt;1,"/",""),"")</f>
        <v>/</v>
      </c>
      <c r="J111" s="67">
        <v>25</v>
      </c>
      <c r="K111" s="65">
        <v>25</v>
      </c>
      <c r="L111" s="66" t="str">
        <f>IF(AK93&gt;3,IF(AK92&gt;1,"/",""),"")</f>
        <v>/</v>
      </c>
      <c r="M111" s="67">
        <v>19</v>
      </c>
      <c r="N111" s="65">
        <v>25</v>
      </c>
      <c r="O111" s="66" t="str">
        <f>IF(AK93&gt;4,IF(AK92&gt;1,"/",""),"")</f>
        <v>/</v>
      </c>
      <c r="P111" s="67">
        <v>21</v>
      </c>
      <c r="Q111" s="65">
        <v>23</v>
      </c>
      <c r="R111" s="66" t="str">
        <f>IF(AK93&gt;5,IF(AK92&gt;1,"/",""),"")</f>
        <v>/</v>
      </c>
      <c r="S111" s="67">
        <v>25</v>
      </c>
      <c r="T111" s="65"/>
      <c r="U111" s="66" t="str">
        <f>IF(AK93&gt;6,IF(AK92&gt;1,"/",""),"")</f>
        <v/>
      </c>
      <c r="V111" s="67"/>
      <c r="W111" s="65"/>
      <c r="X111" s="66" t="str">
        <f>IF(AK93&gt;7,IF(AK92&gt;1,"/",""),"")</f>
        <v/>
      </c>
      <c r="Y111" s="67"/>
      <c r="Z111" s="65"/>
      <c r="AA111" s="66" t="str">
        <f>IF(AK93&gt;8,IF(AK92&gt;1,"/",""),"")</f>
        <v/>
      </c>
      <c r="AB111" s="67"/>
      <c r="AC111" s="65"/>
      <c r="AD111" s="66" t="str">
        <f>IF(AK93&gt;9,IF(AK92&gt;1,"/",""),"")</f>
        <v/>
      </c>
      <c r="AE111" s="67"/>
      <c r="AF111" s="57" t="str">
        <f>IF(AK94&gt;2,"Team 3","")</f>
        <v>Team 3</v>
      </c>
      <c r="AG111" s="64">
        <f>IF(AK94&lt;3,"",IF(AK93&lt;1,"",IF(B109=3,B115-D115,IF(D109=3,D115-B115,""))))</f>
        <v>-9</v>
      </c>
      <c r="AH111" s="64" t="str">
        <f>IF(AK94&lt;3,"",IF(AK93&lt;2,"",IF(E109=3,E115-G115,IF(G109=3,G115-E115,""))))</f>
        <v/>
      </c>
      <c r="AI111" s="64" t="str">
        <f>IF(AK94&lt;3,"",IF(AK93&lt;3,"",IF(H109=3,H115-J115,IF(J109=3,J115-H115,""))))</f>
        <v/>
      </c>
      <c r="AJ111" s="64">
        <f>IF(AK94&lt;3,"",IF(AK93&lt;4,"",IF(K109=3,K115-M115,IF(M109=3,M115-K115,""))))</f>
        <v>-7</v>
      </c>
      <c r="AK111" s="64">
        <f>IF(AK94&lt;3,"",IF(AK93&lt;5,"",IF(N109=3,N115-P115,IF(P109=3,P115-N115,""))))</f>
        <v>16</v>
      </c>
      <c r="AL111" s="64" t="str">
        <f>IF(AK94&lt;3,"",IF(AK93&lt;6,"",IF(Q109=3,Q115-S115,IF(S109=3,S115-Q115,""))))</f>
        <v/>
      </c>
      <c r="AM111" s="64" t="str">
        <f>IF(AK94&lt;3,"",IF(AK93&lt;7,"",IF(T109=3,T115-V115,IF(V109=3,V115-T115,""))))</f>
        <v/>
      </c>
      <c r="AN111" s="64" t="str">
        <f>IF(AK94&lt;3,"",IF(AK93&lt;8,"",IF(W109=3,W115-Y115,IF(Y109=3,Y115-W115,""))))</f>
        <v/>
      </c>
      <c r="AO111" s="64" t="str">
        <f>IF(AK94&lt;3,"",IF(AK93&lt;9,"",IF(Z109=3,Z115-AB115,IF(AB109=3,AB115-Z115,""))))</f>
        <v/>
      </c>
      <c r="AP111" s="64" t="str">
        <f>IF(AK94&lt;3,"",IF(AK93&lt;9,"",IF(AC109=3,AC115-AE115,IF(AE109=3,AE115-AC115,""))))</f>
        <v/>
      </c>
      <c r="AQ111" s="59">
        <f>SUM(AG111:AP111)</f>
        <v>0</v>
      </c>
    </row>
    <row r="112" spans="1:44" ht="15" x14ac:dyDescent="0.2">
      <c r="A112" s="3" t="str">
        <f>IF(AK92&gt;2,"Game 3","")</f>
        <v>Game 3</v>
      </c>
      <c r="B112" s="65"/>
      <c r="C112" s="66" t="s">
        <v>74</v>
      </c>
      <c r="D112" s="67"/>
      <c r="E112" s="65"/>
      <c r="F112" s="66" t="str">
        <f>IF(AK93&gt;1,IF(AK92&gt;2,"/",""),"")</f>
        <v>/</v>
      </c>
      <c r="G112" s="67"/>
      <c r="H112" s="65">
        <v>15</v>
      </c>
      <c r="I112" s="66" t="str">
        <f>IF(AK93&gt;2,IF(AK92&gt;2,"/",""),"")</f>
        <v>/</v>
      </c>
      <c r="J112" s="67">
        <v>10</v>
      </c>
      <c r="K112" s="65">
        <v>15</v>
      </c>
      <c r="L112" s="66" t="str">
        <f>IF(AK93&gt;3,IF(AK92&gt;2,"/",""),"")</f>
        <v>/</v>
      </c>
      <c r="M112" s="67">
        <v>11</v>
      </c>
      <c r="N112" s="65"/>
      <c r="O112" s="66" t="str">
        <f>IF(AK93&gt;4,IF(AK92&gt;2,"/",""),"")</f>
        <v>/</v>
      </c>
      <c r="P112" s="67"/>
      <c r="Q112" s="65">
        <v>15</v>
      </c>
      <c r="R112" s="66" t="str">
        <f>IF(AK93&gt;5,IF(AK92&gt;2,"/",""),"")</f>
        <v>/</v>
      </c>
      <c r="S112" s="67">
        <v>7</v>
      </c>
      <c r="T112" s="65"/>
      <c r="U112" s="66" t="str">
        <f>IF(AK93&gt;6,IF(AK92&gt;2,"/",""),"")</f>
        <v/>
      </c>
      <c r="V112" s="67"/>
      <c r="W112" s="65"/>
      <c r="X112" s="66" t="str">
        <f>IF(AK93&gt;7,IF(AK92&gt;2,"/",""),"")</f>
        <v/>
      </c>
      <c r="Y112" s="67"/>
      <c r="Z112" s="65"/>
      <c r="AA112" s="66" t="str">
        <f>IF(AK93&gt;8,IF(AK92&gt;2,"/",""),"")</f>
        <v/>
      </c>
      <c r="AB112" s="67"/>
      <c r="AC112" s="65"/>
      <c r="AD112" s="66" t="str">
        <f>IF(AK93&gt;9,IF(AK92&gt;2,"/",""),"")</f>
        <v/>
      </c>
      <c r="AE112" s="67"/>
      <c r="AF112" s="57" t="str">
        <f>IF(AK94&gt;3,"Team 4","")</f>
        <v>Team 4</v>
      </c>
      <c r="AG112" s="64" t="str">
        <f>IF(AK94&lt;4,"",IF(AK93&lt;1,"",IF(B109=4,B115-D115,IF(D109=4,D115-B115,""))))</f>
        <v/>
      </c>
      <c r="AH112" s="64">
        <f>IF(AK94&lt;4,"",IF(AK93&lt;2,"",IF(E109=4,E115-G115,IF(G109=4,G115-E115,""))))</f>
        <v>-26</v>
      </c>
      <c r="AI112" s="64">
        <f>IF(AK94&lt;4,"",IF(AK93&lt;3,"",IF(H109=4,H115-J115,IF(J109=4,J115-H115,""))))</f>
        <v>3</v>
      </c>
      <c r="AJ112" s="64" t="str">
        <f>IF(AK94&lt;4,"",IF(AK93&lt;4,"",IF(K109=4,K115-M115,IF(M109=4,M115-K115,""))))</f>
        <v/>
      </c>
      <c r="AK112" s="64">
        <f>IF(AK94&lt;4,"",IF(AK93&lt;5,"",IF(N109=4,N115-P115,IF(P109=4,P115-N115,""))))</f>
        <v>-16</v>
      </c>
      <c r="AL112" s="64" t="str">
        <f>IF(AK94&lt;4,"",IF(AK93&lt;6,"",IF(Q109=4,Q115-S115,IF(S109=4,S115-Q115,""))))</f>
        <v/>
      </c>
      <c r="AM112" s="64" t="str">
        <f>IF(AK94&lt;4,"",IF(AK93&lt;7,"",IF(T109=4,T115-V115,IF(V109=4,V115-T115,""))))</f>
        <v/>
      </c>
      <c r="AN112" s="64" t="str">
        <f>IF(AK94&lt;4,"",IF(AK93&lt;8,"",IF(W109=4,W115-Y115,IF(Y109=4,Y115-W115,""))))</f>
        <v/>
      </c>
      <c r="AO112" s="64" t="str">
        <f>IF(AK94&lt;4,"",IF(AK93&lt;9,"",IF(Z109=4,Z115-AB115,IF(AB109=4,AB115-Z115,""))))</f>
        <v/>
      </c>
      <c r="AP112" s="64" t="str">
        <f>IF(AK94&lt;4,"",IF(AK93&lt;10,"",IF(AC109=4,AC115-AE115,IF(AE109=4,AE115-AC115,""))))</f>
        <v/>
      </c>
      <c r="AQ112" s="59">
        <f>SUM(AG112:AP112)</f>
        <v>-39</v>
      </c>
    </row>
    <row r="113" spans="1:43" ht="15" x14ac:dyDescent="0.2">
      <c r="A113" s="3" t="str">
        <f>IF(AK92&gt;3,"Game 4","")</f>
        <v/>
      </c>
      <c r="B113" s="65"/>
      <c r="C113" s="66" t="s">
        <v>74</v>
      </c>
      <c r="D113" s="67"/>
      <c r="E113" s="65"/>
      <c r="F113" s="66" t="str">
        <f>IF(AK93&gt;1,IF(AK92&gt;3,"/",""),"")</f>
        <v/>
      </c>
      <c r="G113" s="67"/>
      <c r="H113" s="65"/>
      <c r="I113" s="66" t="str">
        <f>IF(AK93&gt;2,IF(AK92&gt;3,"/",""),"")</f>
        <v/>
      </c>
      <c r="J113" s="67"/>
      <c r="K113" s="65"/>
      <c r="L113" s="66" t="str">
        <f>IF(AK93&gt;3,IF(AK92&gt;3,"/",""),"")</f>
        <v/>
      </c>
      <c r="M113" s="67"/>
      <c r="N113" s="65"/>
      <c r="O113" s="66" t="str">
        <f>IF(AK93&gt;4,IF(AK92&gt;3,"/",""),"")</f>
        <v/>
      </c>
      <c r="P113" s="67"/>
      <c r="Q113" s="65"/>
      <c r="R113" s="66" t="str">
        <f>IF(AK93&gt;5,IF(AK92&gt;3,"/",""),"")</f>
        <v/>
      </c>
      <c r="S113" s="67"/>
      <c r="T113" s="65"/>
      <c r="U113" s="66" t="str">
        <f>IF(AK93&gt;6,IF(AK92&gt;3,"/",""),"")</f>
        <v/>
      </c>
      <c r="V113" s="67"/>
      <c r="W113" s="65"/>
      <c r="X113" s="66" t="str">
        <f>IF(AK93&gt;7,IF(AK92&gt;3,"/",""),"")</f>
        <v/>
      </c>
      <c r="Y113" s="67"/>
      <c r="Z113" s="65"/>
      <c r="AA113" s="66" t="str">
        <f>IF(AK93&gt;8,IF(AK92&gt;3,"/",""),"")</f>
        <v/>
      </c>
      <c r="AB113" s="67"/>
      <c r="AC113" s="65"/>
      <c r="AD113" s="66" t="str">
        <f>IF(AK93&gt;9,IF(AK92&gt;3,"/",""),"")</f>
        <v/>
      </c>
      <c r="AE113" s="67"/>
      <c r="AF113" s="57" t="str">
        <f>IF(AK94&gt;4,"Team 5","")</f>
        <v/>
      </c>
      <c r="AG113" s="68" t="str">
        <f>IF(AK94&lt;5,"",IF(AK93&lt;1,"",IF(B109=5,B115-D115,IF(D109=5,D115-B115,""))))</f>
        <v/>
      </c>
      <c r="AH113" s="64" t="str">
        <f>IF(AK94&lt;5,"",IF(AK93&lt;2,"",IF(E109=5,E115-G115,IF(G109=5,G115-E115,""))))</f>
        <v/>
      </c>
      <c r="AI113" s="64" t="str">
        <f>IF(AK94&lt;5,"",IF(AK93&lt;3,"",IF(H109=5,H115-J115,IF(J109=5,J115-H115,""))))</f>
        <v/>
      </c>
      <c r="AJ113" s="64" t="str">
        <f>IF(AK94&lt;5,"",IF(AK93&lt;4,"",IF(K109=5,K115-M115,IF(M109=5,M115-K115,""))))</f>
        <v/>
      </c>
      <c r="AK113" s="64" t="str">
        <f>IF(AK94&lt;5,"",IF(AK93&lt;5,"",IF(N109=5,N115-P115,IF(P109=5,P115-N115,""))))</f>
        <v/>
      </c>
      <c r="AL113" s="64" t="str">
        <f>IF(AK94&lt;5,"",IF(AK93&lt;6,"",IF(Q109=5,Q115-S115,IF(S109=5,S115-Q115,""))))</f>
        <v/>
      </c>
      <c r="AM113" s="64" t="str">
        <f>IF(AK94&lt;5,"",IF(AK93&lt;7,"",IF(T109=5,T115-V115,IF(V109=5,V115-T115,""))))</f>
        <v/>
      </c>
      <c r="AN113" s="64" t="str">
        <f>IF(AK94&lt;5,"",IF(AK93&lt;8,"",IF(W109=5,W115-Y115,IF(Y109=5,Y115-W115,""))))</f>
        <v/>
      </c>
      <c r="AO113" s="64" t="str">
        <f>IF(AK94&lt;5,"",IF(AK93&lt;9,"",IF(Z109=5,Z115-AB115,IF(AB109=5,AB115-Z115,""))))</f>
        <v/>
      </c>
      <c r="AP113" s="64" t="str">
        <f>IF(AK94&lt;5,"",IF(AK93&lt;10,"",IF(AC109=5,AC115-AE115,IF(AE109=5,AE115-AC115,""))))</f>
        <v/>
      </c>
      <c r="AQ113" s="59">
        <f>SUM(AG113:AP113)</f>
        <v>0</v>
      </c>
    </row>
    <row r="114" spans="1:43" ht="15" x14ac:dyDescent="0.2">
      <c r="A114" s="3" t="str">
        <f>IF(AK92&gt;4,"Game 5","")</f>
        <v/>
      </c>
      <c r="B114" s="65"/>
      <c r="C114" s="66" t="s">
        <v>74</v>
      </c>
      <c r="D114" s="67"/>
      <c r="E114" s="65"/>
      <c r="F114" s="66" t="str">
        <f>IF(AK93&gt;1,IF(AK92&gt;4,"/",""),"")</f>
        <v/>
      </c>
      <c r="G114" s="67"/>
      <c r="H114" s="65"/>
      <c r="I114" s="66" t="str">
        <f>IF(AK93&gt;2,IF(AK92&gt;4,"/",""),"")</f>
        <v/>
      </c>
      <c r="J114" s="67"/>
      <c r="K114" s="65"/>
      <c r="L114" s="66" t="str">
        <f>IF(AK93&gt;3,IF(AK92&gt;4,"/",""),"")</f>
        <v/>
      </c>
      <c r="M114" s="67"/>
      <c r="N114" s="65"/>
      <c r="O114" s="66" t="str">
        <f>IF(AK93&gt;4,IF(AK92&gt;4,"/",""),"")</f>
        <v/>
      </c>
      <c r="P114" s="67"/>
      <c r="Q114" s="65"/>
      <c r="R114" s="66" t="str">
        <f>IF(AK93&gt;5,IF(AK92&gt;4,"/",""),"")</f>
        <v/>
      </c>
      <c r="S114" s="67"/>
      <c r="T114" s="65"/>
      <c r="U114" s="66" t="str">
        <f>IF(AK93&gt;6,IF(AK92&gt;4,"/",""),"")</f>
        <v/>
      </c>
      <c r="V114" s="67"/>
      <c r="W114" s="65"/>
      <c r="X114" s="66" t="str">
        <f>IF(AK93&gt;7,IF(AK92&gt;4,"/",""),"")</f>
        <v/>
      </c>
      <c r="Y114" s="67"/>
      <c r="Z114" s="65"/>
      <c r="AA114" s="66" t="str">
        <f>IF(AK93&gt;8,IF(AK92&gt;4,"/",""),"")</f>
        <v/>
      </c>
      <c r="AB114" s="67"/>
      <c r="AC114" s="65"/>
      <c r="AD114" s="66" t="str">
        <f>IF(AK93&gt;9,IF(AK92&gt;4,"/",""),"")</f>
        <v/>
      </c>
      <c r="AE114" s="67"/>
      <c r="AF114" s="8"/>
      <c r="AG114" s="8"/>
      <c r="AH114" s="8"/>
      <c r="AI114" s="8"/>
      <c r="AJ114" s="8"/>
      <c r="AK114" s="8"/>
      <c r="AL114" s="8"/>
      <c r="AM114" s="8"/>
      <c r="AN114" s="8"/>
      <c r="AO114" s="8"/>
      <c r="AP114" s="8"/>
      <c r="AQ114" s="8"/>
    </row>
    <row r="115" spans="1:43" hidden="1" x14ac:dyDescent="0.2">
      <c r="A115" s="69"/>
      <c r="B115" s="69">
        <f>IF($AK92=5,SUM(B110:B114),IF($AK92=4,SUM(B110:B113),IF($AK92=3,SUM(B110:B112),IF($AK92=2,SUM(B110:B111),B110))))</f>
        <v>51</v>
      </c>
      <c r="C115" s="69"/>
      <c r="D115" s="69">
        <f>IF($AK92=5,SUM(D110:D114),IF($AK92=4,SUM(D110:D113),IF($AK92=3,SUM(D110:D112),IF($AK92=2,SUM(D110:D111),D110))))</f>
        <v>42</v>
      </c>
      <c r="E115" s="69">
        <f>IF($AK92=5,SUM(E110:E114),IF($AK92=4,SUM(E110:E113),IF($AK92=3,SUM(E110:E112),IF($AK92=2,SUM(E110:E111),E110))))</f>
        <v>50</v>
      </c>
      <c r="F115" s="69"/>
      <c r="G115" s="69">
        <f>IF($AK92=5,SUM(G110:G114),IF($AK92=4,SUM(G110:G113),IF($AK92=3,SUM(G110:G112),IF($AK92=2,SUM(G110:G111),G110))))</f>
        <v>24</v>
      </c>
      <c r="H115" s="69">
        <f>IF($AK92=5,SUM(H110:H114),IF($AK92=4,SUM(H110:H113),IF($AK92=3,SUM(H110:H112),IF($AK92=2,SUM(H110:H111),H110))))</f>
        <v>55</v>
      </c>
      <c r="I115" s="69"/>
      <c r="J115" s="69">
        <f>IF($AK92=5,SUM(J110:J114),IF($AK92=4,SUM(J110:J113),IF($AK92=3,SUM(J110:J112),IF($AK92=2,SUM(J110:J111),J110))))</f>
        <v>58</v>
      </c>
      <c r="K115" s="69">
        <f>IF($AK92=5,SUM(K110:K114),IF($AK92=4,SUM(K110:K113),IF($AK92=3,SUM(K110:K112),IF($AK92=2,SUM(K110:K111),K110))))</f>
        <v>62</v>
      </c>
      <c r="L115" s="69"/>
      <c r="M115" s="69">
        <f>IF($AK92=5,SUM(M110:M114),IF($AK92=4,SUM(M110:M113),IF($AK92=3,SUM(M110:M112),IF($AK92=2,SUM(M110:M111),M110))))</f>
        <v>55</v>
      </c>
      <c r="N115" s="69">
        <f>IF($AK92=5,SUM(N110:N114),IF($AK92=4,SUM(N110:N113),IF($AK92=3,SUM(N110:N112),IF($AK92=2,SUM(N110:N111),N110))))</f>
        <v>50</v>
      </c>
      <c r="O115" s="69"/>
      <c r="P115" s="69">
        <f>IF($AK92=5,SUM(P110:P114),IF($AK92=4,SUM(P110:P113),IF($AK92=3,SUM(P110:P112),IF($AK92=2,SUM(P110:P111),P110))))</f>
        <v>34</v>
      </c>
      <c r="Q115" s="69">
        <f>IF($AK92=5,SUM(Q110:Q114),IF($AK92=4,SUM(Q110:Q113),IF($AK92=3,SUM(Q110:Q112),IF($AK92=2,SUM(Q110:Q111),Q110))))</f>
        <v>63</v>
      </c>
      <c r="R115" s="69"/>
      <c r="S115" s="69">
        <f>IF($AK92=5,SUM(S110:S114),IF($AK92=4,SUM(S110:S113),IF($AK92=3,SUM(S110:S112),IF($AK92=2,SUM(S110:S111),S110))))</f>
        <v>51</v>
      </c>
      <c r="T115" s="69">
        <f>IF($AK92=5,SUM(T110:T114),IF($AK92=4,SUM(T110:T113),IF($AK92=3,SUM(T110:T112),IF($AK92=2,SUM(T110:T111),T110))))</f>
        <v>0</v>
      </c>
      <c r="U115" s="69"/>
      <c r="V115" s="69">
        <f>IF($AK92=5,SUM(V110:V114),IF($AK92=4,SUM(V110:V113),IF($AK92=3,SUM(V110:V112),IF($AK92=2,SUM(V110:V111),V110))))</f>
        <v>0</v>
      </c>
      <c r="W115" s="69">
        <f>IF($AK92=5,SUM(W110:W114),IF($AK92=4,SUM(W110:W113),IF($AK92=3,SUM(W110:W112),IF($AK92=2,SUM(W110:W111),W110))))</f>
        <v>0</v>
      </c>
      <c r="X115" s="69"/>
      <c r="Y115" s="69">
        <f>IF($AK92=5,SUM(Y110:Y114),IF($AK92=4,SUM(Y110:Y113),IF($AK92=3,SUM(Y110:Y112),IF($AK92=2,SUM(Y110:Y111),Y110))))</f>
        <v>0</v>
      </c>
      <c r="Z115" s="69">
        <f>IF($AK92=5,SUM(Z110:Z114),IF($AK92=4,SUM(Z110:Z113),IF($AK92=3,SUM(Z110:Z112),IF($AK92=2,SUM(Z110:Z111),Z110))))</f>
        <v>0</v>
      </c>
      <c r="AA115" s="69"/>
      <c r="AB115" s="69">
        <f>IF($AK92=5,SUM(AB110:AB114),IF($AK92=4,SUM(AB110:AB113),IF($AK92=3,SUM(AB110:AB112),IF($AK92=2,SUM(AB110:AB111),AB110))))</f>
        <v>0</v>
      </c>
      <c r="AC115" s="69">
        <f>IF($AK92=5,SUM(AC110:AC114),IF($AK92=4,SUM(AC110:AC113),IF($AK92=3,SUM(AC110:AC112),IF($AK92=2,SUM(AC110:AC111),AC110))))</f>
        <v>0</v>
      </c>
      <c r="AD115" s="69"/>
      <c r="AE115" s="69">
        <f>IF($AK92=5,SUM(AE110:AE114),IF($AK92=4,SUM(AE110:AE113),IF($AK92=3,SUM(AE110:AE112),IF($AK92=2,SUM(AE110:AE111),AE110))))</f>
        <v>0</v>
      </c>
      <c r="AF115" s="8"/>
      <c r="AG115" s="8"/>
      <c r="AH115" s="8"/>
      <c r="AI115" s="8"/>
      <c r="AJ115" s="8"/>
      <c r="AK115" s="8"/>
      <c r="AL115" s="8"/>
      <c r="AM115" s="8"/>
      <c r="AN115" s="8"/>
      <c r="AO115" s="8"/>
      <c r="AP115" s="8"/>
      <c r="AQ115" s="8"/>
    </row>
    <row r="116" spans="1:43" s="70" customFormat="1" ht="12.75" hidden="1" customHeight="1" x14ac:dyDescent="0.2">
      <c r="A116" s="70" t="s">
        <v>75</v>
      </c>
      <c r="B116" s="71">
        <f>IF(AND(B110&gt;D110,$AK93&gt;0,ISNUMBER(B110),ISNUMBER(D110)),1,0)</f>
        <v>1</v>
      </c>
      <c r="C116" s="71"/>
      <c r="D116" s="72">
        <f>IF(AND(D110&gt;B110,$AK93&gt;0,ISNUMBER(B110),ISNUMBER(D110)),1,0)</f>
        <v>0</v>
      </c>
      <c r="E116" s="71">
        <f>IF(AND(E110&gt;G110,$AK93&gt;1,ISNUMBER(E110),ISNUMBER(G110)),1,0)</f>
        <v>1</v>
      </c>
      <c r="F116" s="71"/>
      <c r="G116" s="72">
        <f>IF(AND(G110&gt;E110,$AK93&gt;1,ISNUMBER(E110),ISNUMBER(G110)),1,0)</f>
        <v>0</v>
      </c>
      <c r="H116" s="71">
        <f>IF(AND(H110&gt;J110,$AK93&gt;2,ISNUMBER(H110),ISNUMBER(J110)),1,0)</f>
        <v>1</v>
      </c>
      <c r="I116" s="71"/>
      <c r="J116" s="72">
        <f>IF(AND(J110&gt;H110,$AK93&gt;2,ISNUMBER(H110),ISNUMBER(J110)),1,0)</f>
        <v>0</v>
      </c>
      <c r="K116" s="71">
        <f>IF(AND(K110&gt;M110,$AK93&gt;3,ISNUMBER(K110),ISNUMBER(M110)),1,0)</f>
        <v>0</v>
      </c>
      <c r="L116" s="71"/>
      <c r="M116" s="72">
        <f>IF(AND(M110&gt;K110,$AK93&gt;3,ISNUMBER(K110),ISNUMBER(M110)),1,0)</f>
        <v>1</v>
      </c>
      <c r="N116" s="71">
        <f>IF(AND(N110&gt;P110,$AK93&gt;4,ISNUMBER(N110),ISNUMBER(P110)),1,0)</f>
        <v>1</v>
      </c>
      <c r="O116" s="71"/>
      <c r="P116" s="72">
        <f>IF(AND(P110&gt;N110,$AK93&gt;4,ISNUMBER(N110),ISNUMBER(P110)),1,0)</f>
        <v>0</v>
      </c>
      <c r="Q116" s="71">
        <f>IF(AND(Q110&gt;S110,$AK93&gt;5,ISNUMBER(Q110),ISNUMBER(S110)),1,0)</f>
        <v>1</v>
      </c>
      <c r="R116" s="71"/>
      <c r="S116" s="72">
        <f>IF(AND(S110&gt;Q110,$AK93&gt;5,ISNUMBER(Q110),ISNUMBER(S110)),1,0)</f>
        <v>0</v>
      </c>
      <c r="T116" s="71">
        <f>IF(AND(T110&gt;V110,$AK93&gt;6,ISNUMBER(T110),ISNUMBER(V110)),1,0)</f>
        <v>0</v>
      </c>
      <c r="U116" s="71"/>
      <c r="V116" s="72">
        <f>IF(AND(V110&gt;T110,$AK93&gt;6,ISNUMBER(T110),ISNUMBER(V110)),1,0)</f>
        <v>0</v>
      </c>
      <c r="W116" s="71">
        <f>IF(AND(W110&gt;Y110,$AK93&gt;7,ISNUMBER(W110),ISNUMBER(Y110)),1,0)</f>
        <v>0</v>
      </c>
      <c r="X116" s="71"/>
      <c r="Y116" s="72">
        <f>IF(AND(Y110&gt;W110,$AK93&gt;7,ISNUMBER(W110),ISNUMBER(Y110)),1,0)</f>
        <v>0</v>
      </c>
      <c r="Z116" s="71">
        <f>IF(AND(Z110&gt;AB110,$AK93&gt;8,ISNUMBER(Z110),ISNUMBER(AB110)),1,0)</f>
        <v>0</v>
      </c>
      <c r="AA116" s="71"/>
      <c r="AB116" s="72">
        <f>IF(AND(AB110&gt;Z110,$AK93&gt;8,ISNUMBER(Z110),ISNUMBER(AB110)),1,0)</f>
        <v>0</v>
      </c>
      <c r="AC116" s="71">
        <f>IF(AND(AC110&gt;AE110,$AK93&gt;9,ISNUMBER(AC110),ISNUMBER(AE110)),1,0)</f>
        <v>0</v>
      </c>
      <c r="AD116" s="71"/>
      <c r="AE116" s="72">
        <f>IF(AND(AE110&gt;AC110,$AK93&gt;9,ISNUMBER(AC110),ISNUMBER(AE110)),1,0)</f>
        <v>0</v>
      </c>
    </row>
    <row r="117" spans="1:43" s="70" customFormat="1" ht="12.75" hidden="1" customHeight="1" x14ac:dyDescent="0.2">
      <c r="A117" s="70" t="s">
        <v>76</v>
      </c>
      <c r="B117" s="71">
        <f>IF(AND(B111&gt;D111,$AK93&gt;0,$AK92&gt;1,ISNUMBER(B111),ISNUMBER(D111)),1,0)</f>
        <v>1</v>
      </c>
      <c r="C117" s="71"/>
      <c r="D117" s="72">
        <f>IF(AND(D111&gt;B111,$AK93&gt;0,$AK92&gt;1,ISNUMBER(B111),ISNUMBER(D111)),1,0)</f>
        <v>0</v>
      </c>
      <c r="E117" s="71">
        <f>IF(AND(E111&gt;G111,$AK93&gt;1,$AK92&gt;1,ISNUMBER(E111),ISNUMBER(G111)),1,0)</f>
        <v>1</v>
      </c>
      <c r="F117" s="71"/>
      <c r="G117" s="72">
        <f>IF(AND(G111&gt;E111,$AK93&gt;1,$AK92&gt;1,ISNUMBER(E111),ISNUMBER(G111)),1,0)</f>
        <v>0</v>
      </c>
      <c r="H117" s="71">
        <f>IF(AND(H111&gt;J111,$AK93&gt;2,$AK92&gt;1,ISNUMBER(H111),ISNUMBER(J111)),1,0)</f>
        <v>0</v>
      </c>
      <c r="I117" s="71"/>
      <c r="J117" s="72">
        <f>IF(AND(J111&gt;H111,$AK93&gt;2,$AK92&gt;1,ISNUMBER(H111),ISNUMBER(J111)),1,0)</f>
        <v>1</v>
      </c>
      <c r="K117" s="71">
        <f>IF(AND(K111&gt;M111,$AK93&gt;3,$AK92&gt;1,ISNUMBER(K111),ISNUMBER(M111)),1,0)</f>
        <v>1</v>
      </c>
      <c r="L117" s="71"/>
      <c r="M117" s="72">
        <f>IF(AND(M111&gt;K111,$AK93&gt;3,$AK92&gt;1,ISNUMBER(K111),ISNUMBER(M111)),1,0)</f>
        <v>0</v>
      </c>
      <c r="N117" s="71">
        <f>IF(AND(N111&gt;P111,$AK93&gt;4,$AK92&gt;1,ISNUMBER(N111),ISNUMBER(P111)),1,0)</f>
        <v>1</v>
      </c>
      <c r="O117" s="71"/>
      <c r="P117" s="72">
        <f>IF(AND(P111&gt;N111,$AK93&gt;4,$AK92&gt;1,ISNUMBER(N111),ISNUMBER(P111)),1,0)</f>
        <v>0</v>
      </c>
      <c r="Q117" s="71">
        <f>IF(AND(Q111&gt;S111,$AK93&gt;5,$AK92&gt;1,ISNUMBER(Q111),ISNUMBER(S111)),1,0)</f>
        <v>0</v>
      </c>
      <c r="R117" s="71"/>
      <c r="S117" s="72">
        <f>IF(AND(S111&gt;Q111,$AK93&gt;5,$AK92&gt;1,ISNUMBER(Q111),ISNUMBER(S111)),1,0)</f>
        <v>1</v>
      </c>
      <c r="T117" s="71">
        <f>IF(AND(T111&gt;V111,$AK93&gt;6,$AK92&gt;1,ISNUMBER(T111),ISNUMBER(V111)),1,0)</f>
        <v>0</v>
      </c>
      <c r="U117" s="71"/>
      <c r="V117" s="72">
        <f>IF(AND(V111&gt;T111,$AK93&gt;6,$AK92&gt;1,ISNUMBER(T111),ISNUMBER(V111)),1,0)</f>
        <v>0</v>
      </c>
      <c r="W117" s="71">
        <f>IF(AND(W111&gt;Y111,$AK93&gt;7,$AK92&gt;1,ISNUMBER(W111),ISNUMBER(Y111)),1,0)</f>
        <v>0</v>
      </c>
      <c r="X117" s="71"/>
      <c r="Y117" s="72">
        <f>IF(AND(Y111&gt;W111,$AK93&gt;7,$AK92&gt;1,ISNUMBER(W111),ISNUMBER(Y111)),1,0)</f>
        <v>0</v>
      </c>
      <c r="Z117" s="71">
        <f>IF(AND(Z111&gt;AB111,$AK93&gt;8,$AK92&gt;1,ISNUMBER(Z111),ISNUMBER(AB111)),1,0)</f>
        <v>0</v>
      </c>
      <c r="AA117" s="71"/>
      <c r="AB117" s="72">
        <f>IF(AND(AB111&gt;Z111,$AK93&gt;8,$AK92&gt;1,ISNUMBER(Z111),ISNUMBER(AB111)),1,0)</f>
        <v>0</v>
      </c>
      <c r="AC117" s="71">
        <f>IF(AND(AC111&gt;AE111,$AK93&gt;9,$AK92&gt;1,ISNUMBER(AC111),ISNUMBER(AE111)),1,0)</f>
        <v>0</v>
      </c>
      <c r="AD117" s="71"/>
      <c r="AE117" s="72">
        <f>IF(AND(AE111&gt;AC111,$AK93&gt;9,$AK92&gt;1,ISNUMBER(AC111),ISNUMBER(AE111)),1,0)</f>
        <v>0</v>
      </c>
    </row>
    <row r="118" spans="1:43" s="70" customFormat="1" ht="12.75" hidden="1" customHeight="1" x14ac:dyDescent="0.2">
      <c r="A118" s="70" t="s">
        <v>77</v>
      </c>
      <c r="B118" s="71">
        <f>IF(AND(B112&gt;D112,$AK93&gt;0,$AK92&gt;2,ISNUMBER(B112),ISNUMBER(D112)),1,0)</f>
        <v>0</v>
      </c>
      <c r="C118" s="71"/>
      <c r="D118" s="72">
        <f>IF(AND(D112&gt;B112,$AK93&gt;0,$AK92&gt;2,ISNUMBER(B112),ISNUMBER(D112)),1,0)</f>
        <v>0</v>
      </c>
      <c r="E118" s="71">
        <f>IF(AND(E112&gt;G112,$AK93&gt;1,$AK92&gt;2,ISNUMBER(E112),ISNUMBER(G112)),1,0)</f>
        <v>0</v>
      </c>
      <c r="F118" s="71"/>
      <c r="G118" s="72">
        <f>IF(AND(G112&gt;E112,$AK93&gt;1,$AK92&gt;2,ISNUMBER(E112),ISNUMBER(G112)),1,0)</f>
        <v>0</v>
      </c>
      <c r="H118" s="71">
        <f>IF(AND(H112&gt;J112,$AK93&gt;2,$AK92&gt;2,ISNUMBER(H112),ISNUMBER(J112)),1,0)</f>
        <v>1</v>
      </c>
      <c r="I118" s="71"/>
      <c r="J118" s="72">
        <f>IF(AND(J112&gt;H112,$AK93&gt;2,$AK92&gt;2,ISNUMBER(H112),ISNUMBER(J112)),1,0)</f>
        <v>0</v>
      </c>
      <c r="K118" s="71">
        <f>IF(AND(K112&gt;M112,$AK93&gt;3,$AK92&gt;2,ISNUMBER(K112),ISNUMBER(M112)),1,0)</f>
        <v>1</v>
      </c>
      <c r="L118" s="71"/>
      <c r="M118" s="72">
        <f>IF(AND(M112&gt;K112,$AK93&gt;3,$AK92&gt;2,ISNUMBER(K112),ISNUMBER(M112)),1,0)</f>
        <v>0</v>
      </c>
      <c r="N118" s="71">
        <f>IF(AND(N112&gt;P112,$AK93&gt;4,$AK92&gt;2,ISNUMBER(N112),ISNUMBER(P112)),1,0)</f>
        <v>0</v>
      </c>
      <c r="O118" s="71"/>
      <c r="P118" s="72">
        <f>IF(AND(P112&gt;N112,$AK93&gt;4,$AK92&gt;2,ISNUMBER(N112),ISNUMBER(P112)),1,0)</f>
        <v>0</v>
      </c>
      <c r="Q118" s="71">
        <f>IF(AND(Q112&gt;S112,$AK93&gt;5,$AK92&gt;2,ISNUMBER(Q112),ISNUMBER(S112)),1,0)</f>
        <v>1</v>
      </c>
      <c r="R118" s="71"/>
      <c r="S118" s="72">
        <f>IF(AND(S112&gt;Q112,$AK93&gt;5,$AK92&gt;2,ISNUMBER(Q112),ISNUMBER(S112)),1,0)</f>
        <v>0</v>
      </c>
      <c r="T118" s="71">
        <f>IF(AND(T112&gt;V112,$AK93&gt;6,$AK92&gt;2,ISNUMBER(T112),ISNUMBER(V112)),1,0)</f>
        <v>0</v>
      </c>
      <c r="U118" s="71"/>
      <c r="V118" s="72">
        <f>IF(AND(V112&gt;T112,$AK93&gt;6,$AK92&gt;2,ISNUMBER(T112),ISNUMBER(V112)),1,0)</f>
        <v>0</v>
      </c>
      <c r="W118" s="71">
        <f>IF(AND(W112&gt;Y112,$AK93&gt;7,$AK92&gt;2,ISNUMBER(W112),ISNUMBER(Y112)),1,0)</f>
        <v>0</v>
      </c>
      <c r="X118" s="71"/>
      <c r="Y118" s="72">
        <f>IF(AND(Y112&gt;W112,$AK93&gt;7,$AK92&gt;2,ISNUMBER(W112),ISNUMBER(Y112)),1,0)</f>
        <v>0</v>
      </c>
      <c r="Z118" s="71">
        <f>IF(AND(Z112&gt;AB112,$AK93&gt;8,$AK92&gt;2,ISNUMBER(Z112),ISNUMBER(AB112)),1,0)</f>
        <v>0</v>
      </c>
      <c r="AA118" s="71"/>
      <c r="AB118" s="72">
        <f>IF(AND(AB112&gt;Z112,$AK93&gt;8,$AK92&gt;2,ISNUMBER(Z112),ISNUMBER(AB112)),1,0)</f>
        <v>0</v>
      </c>
      <c r="AC118" s="71">
        <f>IF(AND(AC112&gt;AE112,$AK93&gt;9,$AK92&gt;2,ISNUMBER(AC112),ISNUMBER(AE112)),1,0)</f>
        <v>0</v>
      </c>
      <c r="AD118" s="71"/>
      <c r="AE118" s="72">
        <f>IF(AND(AE112&gt;AC112,$AK93&gt;9,$AK92&gt;2,ISNUMBER(AC112),ISNUMBER(AE112)),1,0)</f>
        <v>0</v>
      </c>
    </row>
    <row r="119" spans="1:43" s="70" customFormat="1" ht="12.75" hidden="1" customHeight="1" x14ac:dyDescent="0.2">
      <c r="A119" s="70" t="s">
        <v>78</v>
      </c>
      <c r="B119" s="71">
        <f>IF(AND(B113&gt;D113,$AK93&gt;0,$AK92&gt;3,ISNUMBER(B113),ISNUMBER(D113)),1,0)</f>
        <v>0</v>
      </c>
      <c r="C119" s="71"/>
      <c r="D119" s="72">
        <f>IF(AND(D113&gt;B113,$AK93&gt;0,$AK92&gt;3,ISNUMBER(B113),ISNUMBER(D113)),1,0)</f>
        <v>0</v>
      </c>
      <c r="E119" s="71">
        <f>IF(AND(E113&gt;G113,$AK93&gt;1,$AK92&gt;3,ISNUMBER(E113),ISNUMBER(G113)),1,0)</f>
        <v>0</v>
      </c>
      <c r="F119" s="71"/>
      <c r="G119" s="72">
        <f>IF(AND(G113&gt;E113,$AK93&gt;1,$AK92&gt;3,ISNUMBER(E113),ISNUMBER(G113)),1,0)</f>
        <v>0</v>
      </c>
      <c r="H119" s="71">
        <f>IF(AND(H113&gt;J113,$AK93&gt;2,$AK92&gt;3,ISNUMBER(H113),ISNUMBER(J113)),1,0)</f>
        <v>0</v>
      </c>
      <c r="I119" s="71"/>
      <c r="J119" s="72">
        <f>IF(AND(J113&gt;H113,$AK93&gt;2,$AK92&gt;3,ISNUMBER(H113),ISNUMBER(J113)),1,0)</f>
        <v>0</v>
      </c>
      <c r="K119" s="71">
        <f>IF(AND(K113&gt;M113,$AK93&gt;3,$AK92&gt;3,ISNUMBER(K113),ISNUMBER(M113)),1,0)</f>
        <v>0</v>
      </c>
      <c r="L119" s="71"/>
      <c r="M119" s="72">
        <f>IF(AND(M113&gt;K113,$AK93&gt;3,$AK92&gt;3,ISNUMBER(K113),ISNUMBER(M113)),1,0)</f>
        <v>0</v>
      </c>
      <c r="N119" s="71">
        <f>IF(AND(N113&gt;P113,$AK93&gt;4,$AK92&gt;3,ISNUMBER(N113),ISNUMBER(P113)),1,0)</f>
        <v>0</v>
      </c>
      <c r="O119" s="71"/>
      <c r="P119" s="72">
        <f>IF(AND(P113&gt;N113,$AK93&gt;4,$AK92&gt;3,ISNUMBER(N113),ISNUMBER(P113)),1,0)</f>
        <v>0</v>
      </c>
      <c r="Q119" s="71">
        <f>IF(AND(Q113&gt;S113,$AK93&gt;5,$AK92&gt;3,ISNUMBER(Q113),ISNUMBER(S113)),1,0)</f>
        <v>0</v>
      </c>
      <c r="R119" s="71"/>
      <c r="S119" s="72">
        <f>IF(AND(S113&gt;Q113,$AK93&gt;5,$AK92&gt;3,ISNUMBER(Q113),ISNUMBER(S113)),1,0)</f>
        <v>0</v>
      </c>
      <c r="T119" s="71">
        <f>IF(AND(T113&gt;V113,$AK93&gt;6,$AK92&gt;3,ISNUMBER(T113),ISNUMBER(V113)),1,0)</f>
        <v>0</v>
      </c>
      <c r="U119" s="71"/>
      <c r="V119" s="72">
        <f>IF(AND(V113&gt;T113,$AK93&gt;6,$AK92&gt;3,ISNUMBER(T113),ISNUMBER(V113)),1,0)</f>
        <v>0</v>
      </c>
      <c r="W119" s="71">
        <f>IF(AND(W113&gt;Y113,$AK93&gt;7,$AK92&gt;3,ISNUMBER(W113),ISNUMBER(Y113)),1,0)</f>
        <v>0</v>
      </c>
      <c r="X119" s="71"/>
      <c r="Y119" s="72">
        <f>IF(AND(Y113&gt;W113,$AK93&gt;7,$AK92&gt;3,ISNUMBER(W113),ISNUMBER(Y113)),1,0)</f>
        <v>0</v>
      </c>
      <c r="Z119" s="71">
        <f>IF(AND(Z113&gt;AB113,$AK93&gt;8,$AK92&gt;3,ISNUMBER(Z113),ISNUMBER(AB113)),1,0)</f>
        <v>0</v>
      </c>
      <c r="AA119" s="71"/>
      <c r="AB119" s="72">
        <f>IF(AND(AB113&gt;Z113,$AK93&gt;8,$AK92&gt;3,ISNUMBER(Z113),ISNUMBER(AB113)),1,0)</f>
        <v>0</v>
      </c>
      <c r="AC119" s="71">
        <f>IF(AND(AC113&gt;AE113,$AK93&gt;9,$AK92&gt;3,ISNUMBER(AC113),ISNUMBER(AE113)),1,0)</f>
        <v>0</v>
      </c>
      <c r="AD119" s="71"/>
      <c r="AE119" s="72">
        <f>IF(AND(AE113&gt;AC113,$AK93&gt;9,$AK92&gt;3,ISNUMBER(AC113),ISNUMBER(AE113)),1,0)</f>
        <v>0</v>
      </c>
    </row>
    <row r="120" spans="1:43" s="70" customFormat="1" ht="12.75" hidden="1" customHeight="1" x14ac:dyDescent="0.2">
      <c r="A120" s="70" t="s">
        <v>79</v>
      </c>
      <c r="B120" s="71">
        <f>IF(AND(B114&gt;D114,$AK93&gt;0,$AK92&gt;4,ISNUMBER(B114),ISNUMBER(D114)),1,0)</f>
        <v>0</v>
      </c>
      <c r="C120" s="71"/>
      <c r="D120" s="72">
        <f>IF(AND(D114&gt;B114,$AK93&gt;0,$AK92&gt;4,ISNUMBER(B114),ISNUMBER(D114)),1,0)</f>
        <v>0</v>
      </c>
      <c r="E120" s="71">
        <f>IF(AND(E114&gt;G114,$AK93&gt;1,$AK92&gt;4,ISNUMBER(E114),ISNUMBER(G114)),1,0)</f>
        <v>0</v>
      </c>
      <c r="F120" s="71"/>
      <c r="G120" s="72">
        <f>IF(AND(G114&gt;E114,$AK93&gt;1,$AK92&gt;4,ISNUMBER(E114),ISNUMBER(G114)),1,0)</f>
        <v>0</v>
      </c>
      <c r="H120" s="71">
        <f>IF(AND(H114&gt;J114,$AK93&gt;2,$AK92&gt;4,ISNUMBER(H114),ISNUMBER(J114)),1,0)</f>
        <v>0</v>
      </c>
      <c r="I120" s="71"/>
      <c r="J120" s="72">
        <f>IF(AND(J114&gt;H114,$AK93&gt;2,$AK92&gt;4,ISNUMBER(H114),ISNUMBER(J114)),1,0)</f>
        <v>0</v>
      </c>
      <c r="K120" s="71">
        <f>IF(AND(K114&gt;M114,$AK93&gt;3,$AK92&gt;4,ISNUMBER(K114),ISNUMBER(M114)),1,0)</f>
        <v>0</v>
      </c>
      <c r="L120" s="71"/>
      <c r="M120" s="72">
        <f>IF(AND(M114&gt;K114,$AK93&gt;3,$AK92&gt;4,ISNUMBER(K114),ISNUMBER(M114)),1,0)</f>
        <v>0</v>
      </c>
      <c r="N120" s="71">
        <f>IF(AND(N114&gt;P114,$AK93&gt;4,$AK92&gt;4,ISNUMBER(N114),ISNUMBER(P114)),1,0)</f>
        <v>0</v>
      </c>
      <c r="O120" s="71"/>
      <c r="P120" s="72">
        <f>IF(AND(P114&gt;N114,$AK93&gt;4,$AK92&gt;4,ISNUMBER(N114),ISNUMBER(P114)),1,0)</f>
        <v>0</v>
      </c>
      <c r="Q120" s="71">
        <f>IF(AND(Q114&gt;S114,$AK93&gt;5,$AK92&gt;4,ISNUMBER(Q114),ISNUMBER(S114)),1,0)</f>
        <v>0</v>
      </c>
      <c r="R120" s="71"/>
      <c r="S120" s="72">
        <f>IF(AND(S114&gt;Q114,$AK93&gt;5,$AK92&gt;4,ISNUMBER(Q114),ISNUMBER(S114)),1,0)</f>
        <v>0</v>
      </c>
      <c r="T120" s="71">
        <f>IF(AND(T114&gt;V114,$AK93&gt;6,$AK92&gt;4,ISNUMBER(T114),ISNUMBER(V114)),1,0)</f>
        <v>0</v>
      </c>
      <c r="U120" s="71"/>
      <c r="V120" s="72">
        <f>IF(AND(V114&gt;T114,$AK93&gt;6,$AK92&gt;4,ISNUMBER(T114),ISNUMBER(V114)),1,0)</f>
        <v>0</v>
      </c>
      <c r="W120" s="71">
        <f>IF(AND(W114&gt;Y114,$AK93&gt;7,$AK92&gt;4,ISNUMBER(W114),ISNUMBER(Y114)),1,0)</f>
        <v>0</v>
      </c>
      <c r="X120" s="71"/>
      <c r="Y120" s="72">
        <f>IF(AND(Y114&gt;W114,$AK93&gt;7,$AK92&gt;4,ISNUMBER(W114),ISNUMBER(Y114)),1,0)</f>
        <v>0</v>
      </c>
      <c r="Z120" s="71">
        <f>IF(AND(Z114&gt;AB114,$AK93&gt;8,$AK92&gt;4,ISNUMBER(Z114),ISNUMBER(AB114)),1,0)</f>
        <v>0</v>
      </c>
      <c r="AA120" s="71"/>
      <c r="AB120" s="72">
        <f>IF(AND(AB114&gt;Z114,$AK93&gt;8,$AK92&gt;4,ISNUMBER(Z114),ISNUMBER(AB114)),1,0)</f>
        <v>0</v>
      </c>
      <c r="AC120" s="71">
        <f>IF(AND(AC114&gt;AE114,$AK93&gt;9,$AK92&gt;4,ISNUMBER(AC114),ISNUMBER(AE114)),1,0)</f>
        <v>0</v>
      </c>
      <c r="AD120" s="71"/>
      <c r="AE120" s="72">
        <f>IF(AND(AE114&gt;AC114,$AK93&gt;9,$AK92&gt;4,ISNUMBER(AC114),ISNUMBER(AE114)),1,0)</f>
        <v>0</v>
      </c>
    </row>
    <row r="121" spans="1:43" s="70" customFormat="1" ht="38.25" hidden="1" customHeight="1" x14ac:dyDescent="0.2">
      <c r="A121" s="73" t="s">
        <v>80</v>
      </c>
      <c r="B121" s="70">
        <f>SUM(B116:B120)</f>
        <v>2</v>
      </c>
      <c r="D121" s="74">
        <f>SUM(D116:D120)</f>
        <v>0</v>
      </c>
      <c r="E121" s="70">
        <f>SUM(E116:E120)</f>
        <v>2</v>
      </c>
      <c r="G121" s="74">
        <f>SUM(G116:G120)</f>
        <v>0</v>
      </c>
      <c r="H121" s="70">
        <f>SUM(H116:H120)</f>
        <v>2</v>
      </c>
      <c r="J121" s="74">
        <f>SUM(J116:J120)</f>
        <v>1</v>
      </c>
      <c r="K121" s="70">
        <f>SUM(K116:K120)</f>
        <v>2</v>
      </c>
      <c r="M121" s="74">
        <f>SUM(M116:M120)</f>
        <v>1</v>
      </c>
      <c r="N121" s="70">
        <f>SUM(N116:N120)</f>
        <v>2</v>
      </c>
      <c r="P121" s="74">
        <f>SUM(P116:P120)</f>
        <v>0</v>
      </c>
      <c r="Q121" s="70">
        <f>SUM(Q116:Q120)</f>
        <v>2</v>
      </c>
      <c r="S121" s="74">
        <f>SUM(S116:S120)</f>
        <v>1</v>
      </c>
      <c r="T121" s="70">
        <f>SUM(T116:T120)</f>
        <v>0</v>
      </c>
      <c r="V121" s="74">
        <f>SUM(V116:V120)</f>
        <v>0</v>
      </c>
      <c r="W121" s="70">
        <f>SUM(W116:W120)</f>
        <v>0</v>
      </c>
      <c r="Y121" s="74">
        <f>SUM(Y116:Y120)</f>
        <v>0</v>
      </c>
      <c r="Z121" s="70">
        <f>SUM(Z116:Z120)</f>
        <v>0</v>
      </c>
      <c r="AB121" s="74">
        <f>SUM(AB116:AB120)</f>
        <v>0</v>
      </c>
      <c r="AC121" s="70">
        <f>SUM(AC116:AC120)</f>
        <v>0</v>
      </c>
      <c r="AE121" s="74">
        <f>SUM(AE116:AE120)</f>
        <v>0</v>
      </c>
    </row>
    <row r="122" spans="1:43" s="70" customFormat="1" ht="25.5" hidden="1" customHeight="1" x14ac:dyDescent="0.2">
      <c r="A122" s="73" t="s">
        <v>81</v>
      </c>
      <c r="B122" s="70">
        <f>IF(B121&gt;D121,IF(C156=AK92,1,IF(C156=AK92-1,1,0)),0)</f>
        <v>1</v>
      </c>
      <c r="C122" s="70">
        <f>B122+D122</f>
        <v>1</v>
      </c>
      <c r="D122" s="74">
        <f>IF(D121&gt;B121,IF(C156=AK92,1,IF(C156=AK92-1,1,0)),0)</f>
        <v>0</v>
      </c>
      <c r="E122" s="70">
        <f>IF(E121&gt;G121,IF(F156=AK92,1,IF(F156=AK92-1,1,0)),0)</f>
        <v>1</v>
      </c>
      <c r="F122" s="70">
        <f>E122+G122</f>
        <v>1</v>
      </c>
      <c r="G122" s="74">
        <f>IF(G121&gt;E121,IF(F156=AK92,1,IF(F156=AK92-1,1,0)),0)</f>
        <v>0</v>
      </c>
      <c r="H122" s="70">
        <f>IF(H121&gt;J121,IF(I156=AK92,1,IF(I156=AK92-1,1,0)),0)</f>
        <v>1</v>
      </c>
      <c r="I122" s="70">
        <f>H122+J122</f>
        <v>1</v>
      </c>
      <c r="J122" s="74">
        <f>IF(J121&gt;H121,IF(I156=AK92,1,IF(I156=AK92-1,1,0)),0)</f>
        <v>0</v>
      </c>
      <c r="K122" s="70">
        <f>IF(K121&gt;M121,IF(L156=AK92,1,IF(L156=AK92-1,1,0)),0)</f>
        <v>1</v>
      </c>
      <c r="L122" s="70">
        <f>K122+M122</f>
        <v>1</v>
      </c>
      <c r="M122" s="74">
        <f>IF(M121&gt;K121,IF(L156=AK92,1,IF(L156=AK92-1,1,0)),0)</f>
        <v>0</v>
      </c>
      <c r="N122" s="70">
        <f>IF(N121&gt;P121,IF(O156=AK92,1,IF(O156=AK92-1,1,0)),0)</f>
        <v>1</v>
      </c>
      <c r="O122" s="70">
        <f>N122+P122</f>
        <v>1</v>
      </c>
      <c r="P122" s="74">
        <f>IF(P121&gt;N121,IF(O156=AK92,1,IF(O156=AK92-1,1,0)),0)</f>
        <v>0</v>
      </c>
      <c r="Q122" s="70">
        <f>IF(Q121&gt;S121,IF(R156=AK92,1,IF(R156=AK92-1,1,0)),0)</f>
        <v>1</v>
      </c>
      <c r="R122" s="70">
        <f>Q122+S122</f>
        <v>1</v>
      </c>
      <c r="S122" s="74">
        <f>IF(S121&gt;Q121,IF(R156=AK92,1,IF(R156=AK92-1,1,0)),0)</f>
        <v>0</v>
      </c>
      <c r="T122" s="70">
        <f>IF(T121&gt;V121,IF(U156=AK92,1,IF(U156=AK92-1,1,0)),0)</f>
        <v>0</v>
      </c>
      <c r="U122" s="70">
        <f>T122+V122</f>
        <v>0</v>
      </c>
      <c r="V122" s="74">
        <f>IF(V121&gt;T121,IF(U156=AK92,1,IF(U156=AK92-1,1,0)),0)</f>
        <v>0</v>
      </c>
      <c r="W122" s="70">
        <f>IF(W121&gt;Y121,IF(X156=AK92,1,IF(X156=AK92-1,1,0)),0)</f>
        <v>0</v>
      </c>
      <c r="X122" s="70">
        <f>W122+Y122</f>
        <v>0</v>
      </c>
      <c r="Y122" s="74">
        <f>IF(Y121&gt;W121,IF(X156=AK92,1,IF(X156=AK92-1,1,0)),0)</f>
        <v>0</v>
      </c>
      <c r="Z122" s="70">
        <f>IF(Z121&gt;AB121,IF(AA156=AK92,1,IF(AA156=AK92-1,1,0)),0)</f>
        <v>0</v>
      </c>
      <c r="AA122" s="70">
        <f>Z122+AB122</f>
        <v>0</v>
      </c>
      <c r="AB122" s="74">
        <f>IF(AB121&gt;Z121,IF(AA156=AK92,1,IF(AA156=AK92-1,1,0)),0)</f>
        <v>0</v>
      </c>
      <c r="AC122" s="70">
        <f>IF(AC121&gt;AE121,IF(AD156=AK92,1,IF(AD156=AK92-1,1,0)),0)</f>
        <v>0</v>
      </c>
      <c r="AD122" s="70">
        <f>AC122+AE122</f>
        <v>0</v>
      </c>
      <c r="AE122" s="74">
        <f>IF(AE121&gt;AC121,IF(AD156=AK92,1,IF(AD156=AK92-1,1,0)),0)</f>
        <v>0</v>
      </c>
    </row>
    <row r="123" spans="1:43" s="70" customFormat="1" ht="25.5" hidden="1" customHeight="1" x14ac:dyDescent="0.2">
      <c r="A123" s="73"/>
      <c r="D123" s="74"/>
      <c r="G123" s="74"/>
      <c r="J123" s="74"/>
      <c r="M123" s="74"/>
      <c r="P123" s="74"/>
      <c r="S123" s="74"/>
      <c r="V123" s="74"/>
      <c r="Y123" s="74"/>
      <c r="AB123" s="74"/>
      <c r="AE123" s="74"/>
    </row>
    <row r="124" spans="1:43" s="70" customFormat="1" ht="12.75" hidden="1" customHeight="1" x14ac:dyDescent="0.2">
      <c r="A124" s="70" t="s">
        <v>82</v>
      </c>
      <c r="B124" s="70">
        <f>IF(B116=1,B110,0)</f>
        <v>25</v>
      </c>
      <c r="D124" s="74">
        <f t="shared" ref="D124:E128" si="11">IF(D116=1,D110,0)</f>
        <v>0</v>
      </c>
      <c r="E124" s="70">
        <f t="shared" si="11"/>
        <v>25</v>
      </c>
      <c r="G124" s="74">
        <f t="shared" ref="G124:H128" si="12">IF(G116=1,G110,0)</f>
        <v>0</v>
      </c>
      <c r="H124" s="70">
        <f t="shared" si="12"/>
        <v>25</v>
      </c>
      <c r="J124" s="74">
        <f t="shared" ref="J124:K128" si="13">IF(J116=1,J110,0)</f>
        <v>0</v>
      </c>
      <c r="K124" s="70">
        <f t="shared" si="13"/>
        <v>0</v>
      </c>
      <c r="M124" s="74">
        <f t="shared" ref="M124:N128" si="14">IF(M116=1,M110,0)</f>
        <v>25</v>
      </c>
      <c r="N124" s="70">
        <f t="shared" si="14"/>
        <v>25</v>
      </c>
      <c r="P124" s="74">
        <f t="shared" ref="P124:Q128" si="15">IF(P116=1,P110,0)</f>
        <v>0</v>
      </c>
      <c r="Q124" s="70">
        <f t="shared" si="15"/>
        <v>25</v>
      </c>
      <c r="S124" s="74">
        <f t="shared" ref="S124:T128" si="16">IF(S116=1,S110,0)</f>
        <v>0</v>
      </c>
      <c r="T124" s="70">
        <f t="shared" si="16"/>
        <v>0</v>
      </c>
      <c r="V124" s="74">
        <f t="shared" ref="V124:W128" si="17">IF(V116=1,V110,0)</f>
        <v>0</v>
      </c>
      <c r="W124" s="70">
        <f t="shared" si="17"/>
        <v>0</v>
      </c>
      <c r="Y124" s="74">
        <f t="shared" ref="Y124:Z128" si="18">IF(Y116=1,Y110,0)</f>
        <v>0</v>
      </c>
      <c r="Z124" s="70">
        <f t="shared" si="18"/>
        <v>0</v>
      </c>
      <c r="AB124" s="74">
        <f t="shared" ref="AB124:AC128" si="19">IF(AB116=1,AB110,0)</f>
        <v>0</v>
      </c>
      <c r="AC124" s="70">
        <f t="shared" si="19"/>
        <v>0</v>
      </c>
      <c r="AE124" s="74">
        <f>IF(AE116=1,AE110,0)</f>
        <v>0</v>
      </c>
    </row>
    <row r="125" spans="1:43" s="70" customFormat="1" ht="12.75" hidden="1" customHeight="1" x14ac:dyDescent="0.2">
      <c r="A125" s="70" t="s">
        <v>83</v>
      </c>
      <c r="B125" s="70">
        <f>IF(B117=1,B111,0)</f>
        <v>26</v>
      </c>
      <c r="D125" s="74">
        <f t="shared" si="11"/>
        <v>0</v>
      </c>
      <c r="E125" s="70">
        <f t="shared" si="11"/>
        <v>25</v>
      </c>
      <c r="G125" s="74">
        <f t="shared" si="12"/>
        <v>0</v>
      </c>
      <c r="H125" s="70">
        <f t="shared" si="12"/>
        <v>0</v>
      </c>
      <c r="J125" s="74">
        <f t="shared" si="13"/>
        <v>25</v>
      </c>
      <c r="K125" s="70">
        <f t="shared" si="13"/>
        <v>25</v>
      </c>
      <c r="M125" s="74">
        <f t="shared" si="14"/>
        <v>0</v>
      </c>
      <c r="N125" s="70">
        <f t="shared" si="14"/>
        <v>25</v>
      </c>
      <c r="P125" s="74">
        <f t="shared" si="15"/>
        <v>0</v>
      </c>
      <c r="Q125" s="70">
        <f t="shared" si="15"/>
        <v>0</v>
      </c>
      <c r="S125" s="74">
        <f t="shared" si="16"/>
        <v>25</v>
      </c>
      <c r="T125" s="70">
        <f t="shared" si="16"/>
        <v>0</v>
      </c>
      <c r="V125" s="74">
        <f t="shared" si="17"/>
        <v>0</v>
      </c>
      <c r="W125" s="70">
        <f t="shared" si="17"/>
        <v>0</v>
      </c>
      <c r="Y125" s="74">
        <f t="shared" si="18"/>
        <v>0</v>
      </c>
      <c r="Z125" s="70">
        <f t="shared" si="18"/>
        <v>0</v>
      </c>
      <c r="AB125" s="74">
        <f t="shared" si="19"/>
        <v>0</v>
      </c>
      <c r="AC125" s="70">
        <f t="shared" si="19"/>
        <v>0</v>
      </c>
      <c r="AE125" s="74">
        <f>IF(AE117=1,AE111,0)</f>
        <v>0</v>
      </c>
    </row>
    <row r="126" spans="1:43" s="70" customFormat="1" ht="12.75" hidden="1" customHeight="1" x14ac:dyDescent="0.2">
      <c r="A126" s="70" t="s">
        <v>84</v>
      </c>
      <c r="B126" s="70">
        <f>IF(B118=1,B112,0)</f>
        <v>0</v>
      </c>
      <c r="D126" s="74">
        <f t="shared" si="11"/>
        <v>0</v>
      </c>
      <c r="E126" s="70">
        <f t="shared" si="11"/>
        <v>0</v>
      </c>
      <c r="G126" s="74">
        <f t="shared" si="12"/>
        <v>0</v>
      </c>
      <c r="H126" s="70">
        <f t="shared" si="12"/>
        <v>15</v>
      </c>
      <c r="J126" s="74">
        <f t="shared" si="13"/>
        <v>0</v>
      </c>
      <c r="K126" s="70">
        <f t="shared" si="13"/>
        <v>15</v>
      </c>
      <c r="M126" s="74">
        <f t="shared" si="14"/>
        <v>0</v>
      </c>
      <c r="N126" s="70">
        <f t="shared" si="14"/>
        <v>0</v>
      </c>
      <c r="P126" s="74">
        <f t="shared" si="15"/>
        <v>0</v>
      </c>
      <c r="Q126" s="70">
        <f t="shared" si="15"/>
        <v>15</v>
      </c>
      <c r="S126" s="74">
        <f t="shared" si="16"/>
        <v>0</v>
      </c>
      <c r="T126" s="70">
        <f t="shared" si="16"/>
        <v>0</v>
      </c>
      <c r="V126" s="74">
        <f t="shared" si="17"/>
        <v>0</v>
      </c>
      <c r="W126" s="70">
        <f t="shared" si="17"/>
        <v>0</v>
      </c>
      <c r="Y126" s="74">
        <f t="shared" si="18"/>
        <v>0</v>
      </c>
      <c r="Z126" s="70">
        <f t="shared" si="18"/>
        <v>0</v>
      </c>
      <c r="AB126" s="74">
        <f t="shared" si="19"/>
        <v>0</v>
      </c>
      <c r="AC126" s="70">
        <f t="shared" si="19"/>
        <v>0</v>
      </c>
      <c r="AE126" s="74">
        <f>IF(AE118=1,AE112,0)</f>
        <v>0</v>
      </c>
    </row>
    <row r="127" spans="1:43" s="70" customFormat="1" ht="12.75" hidden="1" customHeight="1" x14ac:dyDescent="0.2">
      <c r="A127" s="70" t="s">
        <v>85</v>
      </c>
      <c r="B127" s="70">
        <f>IF(B119=1,B113,0)</f>
        <v>0</v>
      </c>
      <c r="D127" s="74">
        <f t="shared" si="11"/>
        <v>0</v>
      </c>
      <c r="E127" s="70">
        <f t="shared" si="11"/>
        <v>0</v>
      </c>
      <c r="G127" s="74">
        <f t="shared" si="12"/>
        <v>0</v>
      </c>
      <c r="H127" s="70">
        <f t="shared" si="12"/>
        <v>0</v>
      </c>
      <c r="J127" s="74">
        <f t="shared" si="13"/>
        <v>0</v>
      </c>
      <c r="K127" s="70">
        <f t="shared" si="13"/>
        <v>0</v>
      </c>
      <c r="M127" s="74">
        <f t="shared" si="14"/>
        <v>0</v>
      </c>
      <c r="N127" s="70">
        <f t="shared" si="14"/>
        <v>0</v>
      </c>
      <c r="P127" s="74">
        <f t="shared" si="15"/>
        <v>0</v>
      </c>
      <c r="Q127" s="70">
        <f t="shared" si="15"/>
        <v>0</v>
      </c>
      <c r="S127" s="74">
        <f t="shared" si="16"/>
        <v>0</v>
      </c>
      <c r="T127" s="70">
        <f t="shared" si="16"/>
        <v>0</v>
      </c>
      <c r="V127" s="74">
        <f t="shared" si="17"/>
        <v>0</v>
      </c>
      <c r="W127" s="70">
        <f t="shared" si="17"/>
        <v>0</v>
      </c>
      <c r="Y127" s="74">
        <f t="shared" si="18"/>
        <v>0</v>
      </c>
      <c r="Z127" s="70">
        <f t="shared" si="18"/>
        <v>0</v>
      </c>
      <c r="AB127" s="74">
        <f t="shared" si="19"/>
        <v>0</v>
      </c>
      <c r="AC127" s="70">
        <f t="shared" si="19"/>
        <v>0</v>
      </c>
      <c r="AE127" s="74">
        <f>IF(AE119=1,AE113,0)</f>
        <v>0</v>
      </c>
    </row>
    <row r="128" spans="1:43" s="70" customFormat="1" ht="12.75" hidden="1" customHeight="1" x14ac:dyDescent="0.2">
      <c r="A128" s="70" t="s">
        <v>86</v>
      </c>
      <c r="B128" s="70">
        <f>IF(B120=1,B114,0)</f>
        <v>0</v>
      </c>
      <c r="D128" s="74">
        <f t="shared" si="11"/>
        <v>0</v>
      </c>
      <c r="E128" s="70">
        <f t="shared" si="11"/>
        <v>0</v>
      </c>
      <c r="G128" s="74">
        <f t="shared" si="12"/>
        <v>0</v>
      </c>
      <c r="H128" s="70">
        <f t="shared" si="12"/>
        <v>0</v>
      </c>
      <c r="J128" s="74">
        <f t="shared" si="13"/>
        <v>0</v>
      </c>
      <c r="K128" s="70">
        <f t="shared" si="13"/>
        <v>0</v>
      </c>
      <c r="M128" s="74">
        <f t="shared" si="14"/>
        <v>0</v>
      </c>
      <c r="N128" s="70">
        <f t="shared" si="14"/>
        <v>0</v>
      </c>
      <c r="P128" s="74">
        <f t="shared" si="15"/>
        <v>0</v>
      </c>
      <c r="Q128" s="70">
        <f t="shared" si="15"/>
        <v>0</v>
      </c>
      <c r="S128" s="74">
        <f t="shared" si="16"/>
        <v>0</v>
      </c>
      <c r="T128" s="70">
        <f t="shared" si="16"/>
        <v>0</v>
      </c>
      <c r="V128" s="74">
        <f t="shared" si="17"/>
        <v>0</v>
      </c>
      <c r="W128" s="70">
        <f t="shared" si="17"/>
        <v>0</v>
      </c>
      <c r="Y128" s="74">
        <f t="shared" si="18"/>
        <v>0</v>
      </c>
      <c r="Z128" s="70">
        <f t="shared" si="18"/>
        <v>0</v>
      </c>
      <c r="AB128" s="74">
        <f t="shared" si="19"/>
        <v>0</v>
      </c>
      <c r="AC128" s="70">
        <f t="shared" si="19"/>
        <v>0</v>
      </c>
      <c r="AE128" s="74">
        <f>IF(AE120=1,AE114,0)</f>
        <v>0</v>
      </c>
    </row>
    <row r="129" spans="1:37" s="70" customFormat="1" ht="38.25" hidden="1" customHeight="1" x14ac:dyDescent="0.2">
      <c r="A129" s="73" t="s">
        <v>87</v>
      </c>
      <c r="B129" s="70">
        <f>SUM(B124:D128)</f>
        <v>51</v>
      </c>
      <c r="D129" s="74"/>
      <c r="E129" s="70">
        <f>SUM(E124:G128)</f>
        <v>50</v>
      </c>
      <c r="G129" s="74"/>
      <c r="H129" s="70">
        <f>SUM(H124:J128)</f>
        <v>65</v>
      </c>
      <c r="J129" s="74"/>
      <c r="K129" s="70">
        <f>SUM(K124:M128)</f>
        <v>65</v>
      </c>
      <c r="M129" s="74"/>
      <c r="N129" s="70">
        <f>SUM(N124:P128)</f>
        <v>50</v>
      </c>
      <c r="P129" s="74"/>
      <c r="Q129" s="70">
        <f>SUM(Q124:S128)</f>
        <v>65</v>
      </c>
      <c r="S129" s="74"/>
      <c r="T129" s="70">
        <f>SUM(T124:V128)</f>
        <v>0</v>
      </c>
      <c r="V129" s="74"/>
      <c r="W129" s="70">
        <f>SUM(W124:Y128)</f>
        <v>0</v>
      </c>
      <c r="Y129" s="74"/>
      <c r="Z129" s="70">
        <f>SUM(Z124:AB128)</f>
        <v>0</v>
      </c>
      <c r="AB129" s="74"/>
      <c r="AC129" s="70">
        <f>SUM(AC124:AE128)</f>
        <v>0</v>
      </c>
      <c r="AE129" s="74"/>
    </row>
    <row r="130" spans="1:37" s="70" customFormat="1" ht="38.25" hidden="1" customHeight="1" x14ac:dyDescent="0.2">
      <c r="A130" s="70" t="s">
        <v>88</v>
      </c>
      <c r="D130" s="74"/>
      <c r="G130" s="74"/>
      <c r="J130" s="74"/>
      <c r="M130" s="74"/>
      <c r="P130" s="74"/>
      <c r="S130" s="74"/>
      <c r="V130" s="74"/>
      <c r="Y130" s="74"/>
      <c r="AB130" s="74"/>
      <c r="AE130" s="74"/>
      <c r="AF130" s="73" t="s">
        <v>89</v>
      </c>
      <c r="AG130" s="70" t="s">
        <v>90</v>
      </c>
    </row>
    <row r="131" spans="1:37" s="70" customFormat="1" ht="12.75" hidden="1" customHeight="1" x14ac:dyDescent="0.2">
      <c r="A131" s="70" t="s">
        <v>91</v>
      </c>
      <c r="B131" s="70">
        <f>IF(B109=1,IF(B122=1,1,0),0)</f>
        <v>0</v>
      </c>
      <c r="D131" s="74">
        <f>IF(D109=1,IF(D122=1,1,0),0)</f>
        <v>0</v>
      </c>
      <c r="E131" s="70">
        <f>IF(E109=1,IF(E122=1,1,0),0)</f>
        <v>1</v>
      </c>
      <c r="G131" s="74">
        <f>IF(G109=1,IF(G122=1,1,0),0)</f>
        <v>0</v>
      </c>
      <c r="H131" s="70">
        <f>IF(H109=1,IF(H122=1,1,0),0)</f>
        <v>0</v>
      </c>
      <c r="J131" s="74">
        <f>IF(J109=1,IF(J122=1,1,0),0)</f>
        <v>0</v>
      </c>
      <c r="K131" s="70">
        <f>IF(K109=1,IF(K122=1,1,0),0)</f>
        <v>1</v>
      </c>
      <c r="M131" s="74">
        <f>IF(M109=1,IF(M122=1,1,0),0)</f>
        <v>0</v>
      </c>
      <c r="N131" s="70">
        <f>IF(N109=1,IF(N122=1,1,0),0)</f>
        <v>0</v>
      </c>
      <c r="P131" s="74">
        <f>IF(P109=1,IF(P122=1,1,0),0)</f>
        <v>0</v>
      </c>
      <c r="Q131" s="70">
        <f>IF(Q109=1,IF(Q122=1,1,0),0)</f>
        <v>1</v>
      </c>
      <c r="S131" s="74">
        <f>IF(S109=1,IF(S122=1,1,0),0)</f>
        <v>0</v>
      </c>
      <c r="T131" s="70">
        <f>IF(T109=1,IF(T122=1,1,0),0)</f>
        <v>0</v>
      </c>
      <c r="V131" s="74">
        <f>IF(V109=1,IF(V122=1,1,0),0)</f>
        <v>0</v>
      </c>
      <c r="W131" s="70">
        <f>IF(W109=1,IF(W122=1,1,0),0)</f>
        <v>0</v>
      </c>
      <c r="Y131" s="74">
        <f>IF(Y109=1,IF(Y122=1,1,0),0)</f>
        <v>0</v>
      </c>
      <c r="Z131" s="70">
        <f>IF(Z109=1,IF(Z122=1,1,0),0)</f>
        <v>0</v>
      </c>
      <c r="AB131" s="74">
        <f>IF(AB109=1,IF(AB122=1,1,0),0)</f>
        <v>0</v>
      </c>
      <c r="AC131" s="70">
        <f>IF(AC109=1,IF(AC122=1,1,0),0)</f>
        <v>0</v>
      </c>
      <c r="AE131" s="74">
        <f>IF(AE109=1,IF(AE122=1,1,0),0)</f>
        <v>0</v>
      </c>
      <c r="AF131" s="70">
        <f>SUM(B131:AE131)</f>
        <v>3</v>
      </c>
      <c r="AG131" s="70">
        <f>AF137-AF131</f>
        <v>0</v>
      </c>
    </row>
    <row r="132" spans="1:37" s="70" customFormat="1" ht="12.75" hidden="1" customHeight="1" x14ac:dyDescent="0.2">
      <c r="A132" s="70" t="s">
        <v>92</v>
      </c>
      <c r="B132" s="70">
        <f>IF(B109=2,IF(B122=1,1,0),0)</f>
        <v>1</v>
      </c>
      <c r="D132" s="74">
        <f>IF(D109=2,IF(D122=1,1,0),0)</f>
        <v>0</v>
      </c>
      <c r="E132" s="70">
        <f>IF(E109=2,IF(E122=1,1,0),0)</f>
        <v>0</v>
      </c>
      <c r="G132" s="74">
        <f>IF(G109=2,IF(G122=1,1,0),0)</f>
        <v>0</v>
      </c>
      <c r="H132" s="70">
        <f>IF(H109=2,IF(H122=1,1,0),0)</f>
        <v>1</v>
      </c>
      <c r="J132" s="74">
        <f>IF(J109=2,IF(J122=1,1,0),0)</f>
        <v>0</v>
      </c>
      <c r="K132" s="70">
        <f>IF(K109=2,IF(K122=1,1,0),0)</f>
        <v>0</v>
      </c>
      <c r="M132" s="74">
        <f>IF(M109=2,IF(M122=1,1,0),0)</f>
        <v>0</v>
      </c>
      <c r="N132" s="70">
        <f>IF(N109=2,IF(N122=1,1,0),0)</f>
        <v>0</v>
      </c>
      <c r="P132" s="74">
        <f>IF(P109=2,IF(P122=1,1,0),0)</f>
        <v>0</v>
      </c>
      <c r="Q132" s="70">
        <f>IF(Q109=2,IF(Q122=1,1,0),0)</f>
        <v>0</v>
      </c>
      <c r="S132" s="74">
        <f>IF(S109=2,IF(S122=1,1,0),0)</f>
        <v>0</v>
      </c>
      <c r="T132" s="70">
        <f>IF(T109=2,IF(T122=1,1,0),0)</f>
        <v>0</v>
      </c>
      <c r="V132" s="74">
        <f>IF(V109=2,IF(V122=1,1,0),0)</f>
        <v>0</v>
      </c>
      <c r="W132" s="70">
        <f>IF(W109=2,IF(W122=1,1,0),0)</f>
        <v>0</v>
      </c>
      <c r="Y132" s="74">
        <f>IF(Y109=2,IF(Y122=1,1,0),0)</f>
        <v>0</v>
      </c>
      <c r="Z132" s="70">
        <f>IF(Z109=2,IF(Z122=1,1,0),0)</f>
        <v>0</v>
      </c>
      <c r="AB132" s="74">
        <f>IF(AB109=2,IF(AB122=1,1,0),0)</f>
        <v>0</v>
      </c>
      <c r="AC132" s="70">
        <f>IF(AC109=2,IF(AC122=1,1,0),0)</f>
        <v>0</v>
      </c>
      <c r="AE132" s="74">
        <f>IF(AE109=2,IF(AE122=1,1,0),0)</f>
        <v>0</v>
      </c>
      <c r="AF132" s="70">
        <f>SUM(B132:AE132)</f>
        <v>2</v>
      </c>
      <c r="AG132" s="70">
        <f>AF138-AF132</f>
        <v>1</v>
      </c>
    </row>
    <row r="133" spans="1:37" s="70" customFormat="1" ht="12.75" hidden="1" customHeight="1" x14ac:dyDescent="0.2">
      <c r="A133" s="70" t="s">
        <v>93</v>
      </c>
      <c r="B133" s="70">
        <f>IF(B109=3,IF(B122=1,1,0),0)</f>
        <v>0</v>
      </c>
      <c r="D133" s="74">
        <f>IF(D109=3,IF(D122=1,1,0),0)</f>
        <v>0</v>
      </c>
      <c r="E133" s="70">
        <f>IF(E109=3,IF(E122=1,1,0),0)</f>
        <v>0</v>
      </c>
      <c r="G133" s="74">
        <f>IF(G109=3,IF(G122=1,1,0),0)</f>
        <v>0</v>
      </c>
      <c r="H133" s="70">
        <f>IF(H109=3,IF(H122=1,1,0),0)</f>
        <v>0</v>
      </c>
      <c r="J133" s="74">
        <f>IF(J109=3,IF(J122=1,1,0),0)</f>
        <v>0</v>
      </c>
      <c r="K133" s="70">
        <f>IF(K109=3,IF(K122=1,1,0),0)</f>
        <v>0</v>
      </c>
      <c r="M133" s="74">
        <f>IF(M109=3,IF(M122=1,1,0),0)</f>
        <v>0</v>
      </c>
      <c r="N133" s="70">
        <f>IF(N109=3,IF(N122=1,1,0),0)</f>
        <v>1</v>
      </c>
      <c r="P133" s="74">
        <f>IF(P109=3,IF(P122=1,1,0),0)</f>
        <v>0</v>
      </c>
      <c r="Q133" s="70">
        <f>IF(Q109=3,IF(Q122=1,1,0),0)</f>
        <v>0</v>
      </c>
      <c r="S133" s="74">
        <f>IF(S109=3,IF(S122=1,1,0),0)</f>
        <v>0</v>
      </c>
      <c r="T133" s="70">
        <f>IF(T109=3,IF(T122=1,1,0),0)</f>
        <v>0</v>
      </c>
      <c r="V133" s="74">
        <f>IF(V109=3,IF(V122=1,1,0),0)</f>
        <v>0</v>
      </c>
      <c r="W133" s="70">
        <f>IF(W109=3,IF(W122=1,1,0),0)</f>
        <v>0</v>
      </c>
      <c r="Y133" s="74">
        <f>IF(Y109=3,IF(Y122=1,1,0),0)</f>
        <v>0</v>
      </c>
      <c r="Z133" s="70">
        <f>IF(Z109=3,IF(Z122=1,1,0),0)</f>
        <v>0</v>
      </c>
      <c r="AB133" s="74">
        <f>IF(AB109=3,IF(AB122=1,1,0),0)</f>
        <v>0</v>
      </c>
      <c r="AC133" s="70">
        <f>IF(AC109=3,IF(AC122=1,1,0),0)</f>
        <v>0</v>
      </c>
      <c r="AE133" s="74">
        <f>IF(AE109=3,IF(AE122=1,1,0),0)</f>
        <v>0</v>
      </c>
      <c r="AF133" s="70">
        <f>SUM(B133:AE133)</f>
        <v>1</v>
      </c>
      <c r="AG133" s="70">
        <f>AF139-AF133</f>
        <v>2</v>
      </c>
    </row>
    <row r="134" spans="1:37" s="70" customFormat="1" ht="12.75" hidden="1" customHeight="1" x14ac:dyDescent="0.2">
      <c r="A134" s="70" t="s">
        <v>94</v>
      </c>
      <c r="B134" s="70">
        <f>IF(B109=4,IF(B122=1,1,0),0)</f>
        <v>0</v>
      </c>
      <c r="D134" s="74">
        <f>IF(D109=4,IF(D122=1,1,0),0)</f>
        <v>0</v>
      </c>
      <c r="E134" s="70">
        <f>IF(E109=4,IF(E122=1,1,0),0)</f>
        <v>0</v>
      </c>
      <c r="G134" s="74">
        <f>IF(G109=4,IF(G122=1,1,0),0)</f>
        <v>0</v>
      </c>
      <c r="H134" s="70">
        <f>IF(H109=4,IF(H122=1,1,0),0)</f>
        <v>0</v>
      </c>
      <c r="J134" s="74">
        <f>IF(J109=4,IF(J122=1,1,0),0)</f>
        <v>0</v>
      </c>
      <c r="K134" s="70">
        <f>IF(K109=4,IF(K122=1,1,0),0)</f>
        <v>0</v>
      </c>
      <c r="M134" s="74">
        <f>IF(M109=4,IF(M122=1,1,0),0)</f>
        <v>0</v>
      </c>
      <c r="N134" s="70">
        <f>IF(N109=4,IF(N122=1,1,0),0)</f>
        <v>0</v>
      </c>
      <c r="P134" s="74">
        <f>IF(P109=4,IF(P122=1,1,0),0)</f>
        <v>0</v>
      </c>
      <c r="Q134" s="70">
        <f>IF(Q109=4,IF(Q122=1,1,0),0)</f>
        <v>0</v>
      </c>
      <c r="S134" s="74">
        <f>IF(S109=4,IF(S122=1,1,0),0)</f>
        <v>0</v>
      </c>
      <c r="T134" s="70">
        <f>IF(T109=4,IF(T122=1,1,0),0)</f>
        <v>0</v>
      </c>
      <c r="V134" s="74">
        <f>IF(V109=4,IF(V122=1,1,0),0)</f>
        <v>0</v>
      </c>
      <c r="W134" s="70">
        <f>IF(W109=4,IF(W122=1,1,0),0)</f>
        <v>0</v>
      </c>
      <c r="Y134" s="74">
        <f>IF(Y109=4,IF(Y122=1,1,0),0)</f>
        <v>0</v>
      </c>
      <c r="Z134" s="70">
        <f>IF(Z109=4,IF(Z122=1,1,0),0)</f>
        <v>0</v>
      </c>
      <c r="AB134" s="74">
        <f>IF(AB109=4,IF(AB122=1,1,0),0)</f>
        <v>0</v>
      </c>
      <c r="AC134" s="70">
        <f>IF(AC109=4,IF(AC122=1,1,0),0)</f>
        <v>0</v>
      </c>
      <c r="AE134" s="74">
        <f>IF(AE109=4,IF(AE122=1,1,0),0)</f>
        <v>0</v>
      </c>
      <c r="AF134" s="70">
        <f>SUM(B134:AE134)</f>
        <v>0</v>
      </c>
      <c r="AG134" s="70">
        <f>AF140-AF134</f>
        <v>3</v>
      </c>
    </row>
    <row r="135" spans="1:37" s="70" customFormat="1" ht="12.75" hidden="1" customHeight="1" x14ac:dyDescent="0.2">
      <c r="A135" s="70" t="s">
        <v>95</v>
      </c>
      <c r="B135" s="70">
        <f>IF(B109=5,IF(B122=1,1,0),0)</f>
        <v>0</v>
      </c>
      <c r="D135" s="74">
        <f>IF(D109=5,IF(D122=1,1,0),0)</f>
        <v>0</v>
      </c>
      <c r="E135" s="70">
        <f>IF(E109=5,IF(E122=1,1,0),0)</f>
        <v>0</v>
      </c>
      <c r="G135" s="74">
        <f>IF(G109=5,IF(G122=1,1,0),0)</f>
        <v>0</v>
      </c>
      <c r="H135" s="70">
        <f>IF(H109=5,IF(H122=1,1,0),0)</f>
        <v>0</v>
      </c>
      <c r="J135" s="74">
        <f>IF(J109=5,IF(J122=1,1,0),0)</f>
        <v>0</v>
      </c>
      <c r="K135" s="70">
        <f>IF(K109=5,IF(K122=1,1,0),0)</f>
        <v>0</v>
      </c>
      <c r="M135" s="74">
        <f>IF(M109=5,IF(M122=1,1,0),0)</f>
        <v>0</v>
      </c>
      <c r="N135" s="70">
        <f>IF(N109=5,IF(N122=1,1,0),0)</f>
        <v>0</v>
      </c>
      <c r="P135" s="74">
        <f>IF(P109=5,IF(P122=1,1,0),0)</f>
        <v>0</v>
      </c>
      <c r="Q135" s="70">
        <f>IF(Q109=5,IF(Q122=1,1,0),0)</f>
        <v>0</v>
      </c>
      <c r="S135" s="74">
        <f>IF(S109=5,IF(S122=1,1,0),0)</f>
        <v>0</v>
      </c>
      <c r="T135" s="70">
        <f>IF(T109=5,IF(T122=1,1,0),0)</f>
        <v>0</v>
      </c>
      <c r="V135" s="74">
        <f>IF(V109=5,IF(V122=1,1,0),0)</f>
        <v>0</v>
      </c>
      <c r="W135" s="70">
        <f>IF(W109=5,IF(W122=1,1,0),0)</f>
        <v>0</v>
      </c>
      <c r="Y135" s="74">
        <f>IF(Y109=5,IF(Y122=1,1,0),0)</f>
        <v>0</v>
      </c>
      <c r="Z135" s="70">
        <f>IF(Z109=5,IF(Z122=1,1,0),0)</f>
        <v>0</v>
      </c>
      <c r="AB135" s="74">
        <f>IF(AB109=5,IF(AB122=1,1,0),0)</f>
        <v>0</v>
      </c>
      <c r="AC135" s="70">
        <f>IF(AC109=5,IF(AC122=1,1,0),0)</f>
        <v>0</v>
      </c>
      <c r="AE135" s="74">
        <f>IF(AE109=5,IF(AE122=1,1,0),0)</f>
        <v>0</v>
      </c>
      <c r="AF135" s="70">
        <f>SUM(B135:AE135)</f>
        <v>0</v>
      </c>
      <c r="AG135" s="70">
        <f>AF141-AF135</f>
        <v>0</v>
      </c>
    </row>
    <row r="136" spans="1:37" s="70" customFormat="1" ht="38.25" hidden="1" customHeight="1" x14ac:dyDescent="0.2">
      <c r="A136" s="73"/>
      <c r="D136" s="74"/>
      <c r="G136" s="74"/>
      <c r="J136" s="74"/>
      <c r="M136" s="74"/>
      <c r="P136" s="74"/>
      <c r="S136" s="74"/>
      <c r="V136" s="74"/>
      <c r="Y136" s="74"/>
      <c r="AB136" s="74"/>
      <c r="AE136" s="74"/>
      <c r="AF136" s="73" t="s">
        <v>96</v>
      </c>
    </row>
    <row r="137" spans="1:37" s="70" customFormat="1" ht="12.75" hidden="1" customHeight="1" x14ac:dyDescent="0.2">
      <c r="A137" s="70" t="s">
        <v>97</v>
      </c>
      <c r="B137" s="70">
        <f>IF(B109=1,IF(C122=1,1,0),0)</f>
        <v>0</v>
      </c>
      <c r="D137" s="74">
        <f>IF(D109=1,IF(C122=1,1,0),0)</f>
        <v>0</v>
      </c>
      <c r="E137" s="70">
        <f>IF(E109=1,IF(F122=1,1,0),0)</f>
        <v>1</v>
      </c>
      <c r="G137" s="74">
        <f>IF(G109=1,IF(F122=1,1,0),0)</f>
        <v>0</v>
      </c>
      <c r="H137" s="70">
        <f>IF(H109=1,IF(I122=1,1,0),0)</f>
        <v>0</v>
      </c>
      <c r="J137" s="74">
        <f>IF(J109=1,IF(I122=1,1,0),0)</f>
        <v>0</v>
      </c>
      <c r="K137" s="70">
        <f>IF(K109=1,IF(L122=1,1,0),0)</f>
        <v>1</v>
      </c>
      <c r="M137" s="74">
        <f>IF(M109=1,IF(L122=1,1,0),0)</f>
        <v>0</v>
      </c>
      <c r="N137" s="70">
        <f>IF(N109=1,IF(O122=1,1,0),0)</f>
        <v>0</v>
      </c>
      <c r="P137" s="74">
        <f>IF(P109=1,IF(O122=1,1,0),0)</f>
        <v>0</v>
      </c>
      <c r="Q137" s="70">
        <f>IF(Q109=1,IF(R122=1,1,0),0)</f>
        <v>1</v>
      </c>
      <c r="S137" s="74">
        <f>IF(S109=1,IF(R122=1,1,0),0)</f>
        <v>0</v>
      </c>
      <c r="T137" s="70">
        <f>IF(T109=1,IF(U122=1,1,0),0)</f>
        <v>0</v>
      </c>
      <c r="V137" s="74">
        <f>IF(V109=1,IF(U122=1,1,0),0)</f>
        <v>0</v>
      </c>
      <c r="W137" s="70">
        <f>IF(W109=1,IF(X122=1,1,0),0)</f>
        <v>0</v>
      </c>
      <c r="Y137" s="74">
        <f>IF(Y109=1,IF(X122=1,1,0),0)</f>
        <v>0</v>
      </c>
      <c r="Z137" s="70">
        <f>IF(Z109=1,IF(AA122=1,1,0),0)</f>
        <v>0</v>
      </c>
      <c r="AB137" s="74">
        <f>IF(AB109=1,IF(AA122=1,1,0),0)</f>
        <v>0</v>
      </c>
      <c r="AC137" s="70">
        <f>IF(AC109=1,IF(AD122=1,1,0),0)</f>
        <v>0</v>
      </c>
      <c r="AE137" s="74">
        <f>IF(AE109=1,IF(AD122=1,1,0),0)</f>
        <v>0</v>
      </c>
      <c r="AF137" s="70">
        <f>SUM(B137:AE137)</f>
        <v>3</v>
      </c>
    </row>
    <row r="138" spans="1:37" s="70" customFormat="1" ht="12.75" hidden="1" customHeight="1" x14ac:dyDescent="0.2">
      <c r="A138" s="70" t="s">
        <v>98</v>
      </c>
      <c r="B138" s="70">
        <f>IF(B109=2,IF(C122=1,1,0),0)</f>
        <v>1</v>
      </c>
      <c r="D138" s="74">
        <f>IF(D109=2,IF(C122=1,1,0),0)</f>
        <v>0</v>
      </c>
      <c r="E138" s="70">
        <f>IF(E109=2,IF(F122=1,1,0),0)</f>
        <v>0</v>
      </c>
      <c r="G138" s="74">
        <f>IF(G109=2,IF(F122=1,1,0),0)</f>
        <v>0</v>
      </c>
      <c r="H138" s="70">
        <f>IF(H109=2,IF(I122=1,1,0),0)</f>
        <v>1</v>
      </c>
      <c r="J138" s="74">
        <f>IF(J109=2,IF(I122=1,1,0),0)</f>
        <v>0</v>
      </c>
      <c r="K138" s="70">
        <f>IF(K109=2,IF(L122=1,1,0),0)</f>
        <v>0</v>
      </c>
      <c r="M138" s="74">
        <f>IF(M109=2,IF(L122=1,1,0),0)</f>
        <v>0</v>
      </c>
      <c r="N138" s="70">
        <f>IF(N109=2,IF(O122=1,1,0),0)</f>
        <v>0</v>
      </c>
      <c r="P138" s="74">
        <f>IF(P109=2,IF(O122=1,1,0),0)</f>
        <v>0</v>
      </c>
      <c r="Q138" s="70">
        <f>IF(Q109=2,IF(R122=1,1,0),0)</f>
        <v>0</v>
      </c>
      <c r="S138" s="74">
        <f>IF(S109=2,IF(R122=1,1,0),0)</f>
        <v>1</v>
      </c>
      <c r="T138" s="70">
        <f>IF(T109=2,IF(U122=1,1,0),0)</f>
        <v>0</v>
      </c>
      <c r="V138" s="74">
        <f>IF(V109=2,IF(U122=1,1,0),0)</f>
        <v>0</v>
      </c>
      <c r="W138" s="70">
        <f>IF(W109=2,IF(X122=1,1,0),0)</f>
        <v>0</v>
      </c>
      <c r="Y138" s="74">
        <f>IF(Y109=2,IF(X122=1,1,0),0)</f>
        <v>0</v>
      </c>
      <c r="Z138" s="70">
        <f>IF(Z109=2,IF(AA122=1,1,0),0)</f>
        <v>0</v>
      </c>
      <c r="AB138" s="74">
        <f>IF(AB109=2,IF(AA122=1,1,0),0)</f>
        <v>0</v>
      </c>
      <c r="AC138" s="70">
        <f>IF(AC109=2,IF(AD122=1,1,0),0)</f>
        <v>0</v>
      </c>
      <c r="AE138" s="74">
        <f>IF(AE109=2,IF(AD122=1,1,0),0)</f>
        <v>0</v>
      </c>
      <c r="AF138" s="70">
        <f>SUM(B138:AE138)</f>
        <v>3</v>
      </c>
    </row>
    <row r="139" spans="1:37" s="70" customFormat="1" ht="12.75" hidden="1" customHeight="1" x14ac:dyDescent="0.2">
      <c r="A139" s="70" t="s">
        <v>99</v>
      </c>
      <c r="B139" s="70">
        <f>IF(B109=3,IF(C122=1,1,0),0)</f>
        <v>0</v>
      </c>
      <c r="D139" s="74">
        <f>IF(D109=3,IF(C122=1,1,0),0)</f>
        <v>1</v>
      </c>
      <c r="E139" s="70">
        <f>IF(E109=3,IF(F122=1,1,0),0)</f>
        <v>0</v>
      </c>
      <c r="G139" s="74">
        <f>IF(G109=3,IF(F122=1,1,0),0)</f>
        <v>0</v>
      </c>
      <c r="H139" s="70">
        <f>IF(H109=3,IF(I122=1,1,0),0)</f>
        <v>0</v>
      </c>
      <c r="J139" s="74">
        <f>IF(J109=3,IF(I122=1,1,0),0)</f>
        <v>0</v>
      </c>
      <c r="K139" s="70">
        <f>IF(K109=3,IF(L122=1,1,0),0)</f>
        <v>0</v>
      </c>
      <c r="M139" s="74">
        <f>IF(M109=3,IF(L122=1,1,0),0)</f>
        <v>1</v>
      </c>
      <c r="N139" s="70">
        <f>IF(N109=3,IF(O122=1,1,0),0)</f>
        <v>1</v>
      </c>
      <c r="P139" s="74">
        <f>IF(P109=3,IF(O122=1,1,0),0)</f>
        <v>0</v>
      </c>
      <c r="Q139" s="70">
        <f>IF(Q109=3,IF(R122=1,1,0),0)</f>
        <v>0</v>
      </c>
      <c r="S139" s="74">
        <f>IF(S109=3,IF(R122=1,1,0),0)</f>
        <v>0</v>
      </c>
      <c r="T139" s="70">
        <f>IF(T109=3,IF(U122=1,1,0),0)</f>
        <v>0</v>
      </c>
      <c r="V139" s="74">
        <f>IF(V109=3,IF(U122=1,1,0),0)</f>
        <v>0</v>
      </c>
      <c r="W139" s="70">
        <f>IF(W109=3,IF(X122=1,1,0),0)</f>
        <v>0</v>
      </c>
      <c r="Y139" s="74">
        <f>IF(Y109=3,IF(X122=1,1,0),0)</f>
        <v>0</v>
      </c>
      <c r="Z139" s="70">
        <f>IF(Z109=3,IF(AA122=1,1,0),0)</f>
        <v>0</v>
      </c>
      <c r="AB139" s="74">
        <f>IF(AB109=3,IF(AA122=1,1,0),0)</f>
        <v>0</v>
      </c>
      <c r="AC139" s="70">
        <f>IF(AC109=3,IF(AD122=1,1,0),0)</f>
        <v>0</v>
      </c>
      <c r="AE139" s="74">
        <f>IF(AE109=3,IF(AD122=1,1,0),0)</f>
        <v>0</v>
      </c>
      <c r="AF139" s="70">
        <f>SUM(B139:AE139)</f>
        <v>3</v>
      </c>
    </row>
    <row r="140" spans="1:37" s="70" customFormat="1" ht="12.75" hidden="1" customHeight="1" x14ac:dyDescent="0.2">
      <c r="A140" s="70" t="s">
        <v>100</v>
      </c>
      <c r="B140" s="70">
        <f>IF(B109=4,IF(C122=1,1,0),0)</f>
        <v>0</v>
      </c>
      <c r="D140" s="74">
        <f>IF(D109=4,IF(C122=1,1,0),0)</f>
        <v>0</v>
      </c>
      <c r="E140" s="70">
        <f>IF(E109=4,IF(F122=1,1,0),0)</f>
        <v>0</v>
      </c>
      <c r="G140" s="74">
        <f>IF(G109=4,IF(F122=1,1,0),0)</f>
        <v>1</v>
      </c>
      <c r="H140" s="70">
        <f>IF(H109=4,IF(I122=1,1,0),0)</f>
        <v>0</v>
      </c>
      <c r="J140" s="74">
        <f>IF(J109=4,IF(I122=1,1,0),0)</f>
        <v>1</v>
      </c>
      <c r="K140" s="70">
        <f>IF(K109=4,IF(L122=1,1,0),0)</f>
        <v>0</v>
      </c>
      <c r="M140" s="74">
        <f>IF(M109=4,IF(L122=1,1,0),0)</f>
        <v>0</v>
      </c>
      <c r="N140" s="70">
        <f>IF(N109=4,IF(O122=1,1,0),0)</f>
        <v>0</v>
      </c>
      <c r="P140" s="74">
        <f>IF(P109=4,IF(O122=1,1,0),0)</f>
        <v>1</v>
      </c>
      <c r="Q140" s="70">
        <f>IF(Q109=4,IF(R122=1,1,0),0)</f>
        <v>0</v>
      </c>
      <c r="S140" s="74">
        <f>IF(S109=4,IF(R122=1,1,0),0)</f>
        <v>0</v>
      </c>
      <c r="T140" s="70">
        <f>IF(T109=4,IF(U122=1,1,0),0)</f>
        <v>0</v>
      </c>
      <c r="V140" s="74">
        <f>IF(V109=4,IF(U122=1,1,0),0)</f>
        <v>0</v>
      </c>
      <c r="W140" s="70">
        <f>IF(W109=4,IF(X122=1,1,0),0)</f>
        <v>0</v>
      </c>
      <c r="Y140" s="74">
        <f>IF(Y109=4,IF(X122=1,1,0),0)</f>
        <v>0</v>
      </c>
      <c r="Z140" s="70">
        <f>IF(Z109=4,IF(AA122=1,1,0),0)</f>
        <v>0</v>
      </c>
      <c r="AB140" s="74">
        <f>IF(AB109=4,IF(AA122=1,1,0),0)</f>
        <v>0</v>
      </c>
      <c r="AC140" s="70">
        <f>IF(AC109=4,IF(AD122=1,1,0),0)</f>
        <v>0</v>
      </c>
      <c r="AE140" s="74">
        <f>IF(AE109=4,IF(AD122=1,1,0),0)</f>
        <v>0</v>
      </c>
      <c r="AF140" s="70">
        <f>SUM(B140:AE140)</f>
        <v>3</v>
      </c>
    </row>
    <row r="141" spans="1:37" s="70" customFormat="1" ht="12.75" hidden="1" customHeight="1" x14ac:dyDescent="0.2">
      <c r="A141" s="70" t="s">
        <v>101</v>
      </c>
      <c r="B141" s="70">
        <f>IF(B109=5,IF(C122=1,1,0),0)</f>
        <v>0</v>
      </c>
      <c r="D141" s="74">
        <f>IF(D109=5,IF(C122=1,1,0),0)</f>
        <v>0</v>
      </c>
      <c r="E141" s="70">
        <f>IF(E109=5,IF(F122=1,1,0),0)</f>
        <v>0</v>
      </c>
      <c r="G141" s="74">
        <f>IF(G109=5,IF(F122=1,1,0),0)</f>
        <v>0</v>
      </c>
      <c r="H141" s="70">
        <f>IF(H109=5,IF(I122=1,1,0),0)</f>
        <v>0</v>
      </c>
      <c r="J141" s="74">
        <f>IF(J109=5,IF(I122=1,1,0),0)</f>
        <v>0</v>
      </c>
      <c r="K141" s="70">
        <f>IF(K109=5,IF(L122=1,1,0),0)</f>
        <v>0</v>
      </c>
      <c r="M141" s="74">
        <f>IF(M109=5,IF(L122=1,1,0),0)</f>
        <v>0</v>
      </c>
      <c r="N141" s="70">
        <f>IF(N109=5,IF(O122=1,1,0),0)</f>
        <v>0</v>
      </c>
      <c r="P141" s="74">
        <f>IF(P109=5,IF(O122=1,1,0),0)</f>
        <v>0</v>
      </c>
      <c r="Q141" s="70">
        <f>IF(Q109=5,IF(R122=1,1,0),0)</f>
        <v>0</v>
      </c>
      <c r="S141" s="74">
        <f>IF(S109=5,IF(R122=1,1,0),0)</f>
        <v>0</v>
      </c>
      <c r="T141" s="70">
        <f>IF(T109=5,IF(U122=1,1,0),0)</f>
        <v>0</v>
      </c>
      <c r="V141" s="74">
        <f>IF(V109=5,IF(U122=1,1,0),0)</f>
        <v>0</v>
      </c>
      <c r="W141" s="70">
        <f>IF(W109=5,IF(X122=1,1,0),0)</f>
        <v>0</v>
      </c>
      <c r="Y141" s="74">
        <f>IF(Y109=5,IF(X122=1,1,0),0)</f>
        <v>0</v>
      </c>
      <c r="Z141" s="70">
        <f>IF(Z109=5,IF(AA122=1,1,0),0)</f>
        <v>0</v>
      </c>
      <c r="AB141" s="74">
        <f>IF(AB109=5,IF(AA122=1,1,0),0)</f>
        <v>0</v>
      </c>
      <c r="AC141" s="70">
        <f>IF(AC109=5,IF(AD122=1,1,0),0)</f>
        <v>0</v>
      </c>
      <c r="AE141" s="74">
        <f>IF(AE109=5,IF(AD122=1,1,0),0)</f>
        <v>0</v>
      </c>
      <c r="AF141" s="70">
        <f>SUM(B141:AE141)</f>
        <v>0</v>
      </c>
    </row>
    <row r="142" spans="1:37" s="70" customFormat="1" ht="38.25" hidden="1" customHeight="1" x14ac:dyDescent="0.2">
      <c r="A142" s="73"/>
      <c r="D142" s="74"/>
      <c r="G142" s="74"/>
      <c r="J142" s="74"/>
      <c r="M142" s="74"/>
      <c r="P142" s="74"/>
      <c r="S142" s="74"/>
      <c r="V142" s="74"/>
      <c r="Y142" s="74"/>
      <c r="AB142" s="74"/>
      <c r="AE142" s="74"/>
      <c r="AF142" s="73" t="s">
        <v>102</v>
      </c>
      <c r="AG142" s="280"/>
      <c r="AH142" s="280"/>
      <c r="AI142" s="280"/>
      <c r="AJ142" s="280"/>
      <c r="AK142" s="280"/>
    </row>
    <row r="143" spans="1:37" s="70" customFormat="1" ht="12.75" hidden="1" customHeight="1" x14ac:dyDescent="0.2">
      <c r="A143" s="70" t="s">
        <v>97</v>
      </c>
      <c r="B143" s="70">
        <f>IF(B109=1,B129,0)</f>
        <v>0</v>
      </c>
      <c r="D143" s="74">
        <f>IF(D109=1,B129,0)</f>
        <v>0</v>
      </c>
      <c r="E143" s="70">
        <f>IF(E109=1,E129,0)</f>
        <v>50</v>
      </c>
      <c r="G143" s="74">
        <f>IF(G109=1,E129,0)</f>
        <v>0</v>
      </c>
      <c r="H143" s="70">
        <f>IF(H109=1,H129,0)</f>
        <v>0</v>
      </c>
      <c r="J143" s="74">
        <f>IF(J109=1,H129,0)</f>
        <v>0</v>
      </c>
      <c r="K143" s="70">
        <f>IF(K109=1,K129,0)</f>
        <v>65</v>
      </c>
      <c r="M143" s="74">
        <f>IF(M109=1,K129,0)</f>
        <v>0</v>
      </c>
      <c r="N143" s="70">
        <f>IF(N109=1,N129,0)</f>
        <v>0</v>
      </c>
      <c r="P143" s="74">
        <f>IF(P109=1,N129,0)</f>
        <v>0</v>
      </c>
      <c r="Q143" s="70">
        <f>IF(Q109=1,Q129,0)</f>
        <v>65</v>
      </c>
      <c r="S143" s="74">
        <f>IF(S109=1,Q129,0)</f>
        <v>0</v>
      </c>
      <c r="T143" s="70">
        <f>IF(T109=1,T129,0)</f>
        <v>0</v>
      </c>
      <c r="V143" s="74">
        <f>IF(V109=1,T129,0)</f>
        <v>0</v>
      </c>
      <c r="W143" s="70">
        <f>IF(W109=1,W129,0)</f>
        <v>0</v>
      </c>
      <c r="Y143" s="74">
        <f>IF(Y109=1,W129,0)</f>
        <v>0</v>
      </c>
      <c r="Z143" s="70">
        <f>IF(Z109=1,Z129,0)</f>
        <v>0</v>
      </c>
      <c r="AB143" s="74">
        <f>IF(AB109=1,Z129,0)</f>
        <v>0</v>
      </c>
      <c r="AC143" s="70">
        <f>IF(AC109=1,AC129,0)</f>
        <v>0</v>
      </c>
      <c r="AE143" s="74">
        <f>IF(AE109=1,AC129,0)</f>
        <v>0</v>
      </c>
      <c r="AF143" s="70">
        <f>SUM(B143:AE143)</f>
        <v>180</v>
      </c>
    </row>
    <row r="144" spans="1:37" s="70" customFormat="1" ht="12.75" hidden="1" customHeight="1" x14ac:dyDescent="0.2">
      <c r="A144" s="70" t="s">
        <v>98</v>
      </c>
      <c r="B144" s="70">
        <f>IF(B109=2,B129,0)</f>
        <v>51</v>
      </c>
      <c r="D144" s="74">
        <f>IF(D109=2,B129,0)</f>
        <v>0</v>
      </c>
      <c r="E144" s="70">
        <f>IF(E109=2,E129,0)</f>
        <v>0</v>
      </c>
      <c r="G144" s="74">
        <f>IF(G109=2,E129,0)</f>
        <v>0</v>
      </c>
      <c r="H144" s="70">
        <f>IF(H109=2,H129,0)</f>
        <v>65</v>
      </c>
      <c r="J144" s="74">
        <f>IF(J109=2,H129,0)</f>
        <v>0</v>
      </c>
      <c r="K144" s="70">
        <f>IF(K109=2,K129,0)</f>
        <v>0</v>
      </c>
      <c r="M144" s="74">
        <f>IF(M109=2,K129,0)</f>
        <v>0</v>
      </c>
      <c r="N144" s="70">
        <f>IF(N109=2,N129,0)</f>
        <v>0</v>
      </c>
      <c r="P144" s="74">
        <f>IF(P109=2,N129,0)</f>
        <v>0</v>
      </c>
      <c r="Q144" s="70">
        <f>IF(Q109=2,Q129,0)</f>
        <v>0</v>
      </c>
      <c r="S144" s="74">
        <f>IF(S109=2,Q129,0)</f>
        <v>65</v>
      </c>
      <c r="T144" s="70">
        <f>IF(T109=2,T129,0)</f>
        <v>0</v>
      </c>
      <c r="V144" s="74">
        <f>IF(V109=2,T129,0)</f>
        <v>0</v>
      </c>
      <c r="W144" s="70">
        <f>IF(W109=2,W129,0)</f>
        <v>0</v>
      </c>
      <c r="Y144" s="74">
        <f>IF(Y109=2,W129,0)</f>
        <v>0</v>
      </c>
      <c r="Z144" s="70">
        <f>IF(Z109=2,Z129,0)</f>
        <v>0</v>
      </c>
      <c r="AB144" s="74">
        <f>IF(AB109=2,Z129,0)</f>
        <v>0</v>
      </c>
      <c r="AC144" s="70">
        <f>IF(AC109=2,AC129,0)</f>
        <v>0</v>
      </c>
      <c r="AE144" s="74">
        <f>IF(AE109=2,AC129,0)</f>
        <v>0</v>
      </c>
      <c r="AF144" s="70">
        <f>SUM(B144:AE144)</f>
        <v>181</v>
      </c>
    </row>
    <row r="145" spans="1:33" s="70" customFormat="1" ht="12.75" hidden="1" customHeight="1" x14ac:dyDescent="0.2">
      <c r="A145" s="70" t="s">
        <v>99</v>
      </c>
      <c r="B145" s="70">
        <f>IF(B109=3,B129,0)</f>
        <v>0</v>
      </c>
      <c r="D145" s="74">
        <f>IF(D109=3,B129,0)</f>
        <v>51</v>
      </c>
      <c r="E145" s="70">
        <f>IF(E109=3,E129,0)</f>
        <v>0</v>
      </c>
      <c r="G145" s="74">
        <f>IF(G109=3,E129,0)</f>
        <v>0</v>
      </c>
      <c r="H145" s="70">
        <f>IF(H109=3,H129,0)</f>
        <v>0</v>
      </c>
      <c r="J145" s="74">
        <f>IF(J109=3,H129,0)</f>
        <v>0</v>
      </c>
      <c r="K145" s="70">
        <f>IF(K109=3,K129,0)</f>
        <v>0</v>
      </c>
      <c r="M145" s="74">
        <f>IF(M109=3,K129,0)</f>
        <v>65</v>
      </c>
      <c r="N145" s="70">
        <f>IF(N109=3,N129,0)</f>
        <v>50</v>
      </c>
      <c r="P145" s="74">
        <f>IF(P109=3,N129,0)</f>
        <v>0</v>
      </c>
      <c r="Q145" s="70">
        <f>IF(Q109=3,Q129,0)</f>
        <v>0</v>
      </c>
      <c r="S145" s="74">
        <f>IF(S109=3,Q129,0)</f>
        <v>0</v>
      </c>
      <c r="T145" s="70">
        <f>IF(T109=3,T129,0)</f>
        <v>0</v>
      </c>
      <c r="V145" s="74">
        <f>IF(V109=3,T129,0)</f>
        <v>0</v>
      </c>
      <c r="W145" s="70">
        <f>IF(W109=3,W129,0)</f>
        <v>0</v>
      </c>
      <c r="Y145" s="74">
        <f>IF(Y109=3,W129,0)</f>
        <v>0</v>
      </c>
      <c r="Z145" s="70">
        <f>IF(Z109=3,Z129,0)</f>
        <v>0</v>
      </c>
      <c r="AB145" s="74">
        <f>IF(AB109=3,Z129,0)</f>
        <v>0</v>
      </c>
      <c r="AC145" s="70">
        <f>IF(AC109=3,AC129,0)</f>
        <v>0</v>
      </c>
      <c r="AE145" s="74">
        <f>IF(AE109=3,AC129,0)</f>
        <v>0</v>
      </c>
      <c r="AF145" s="70">
        <f>SUM(B145:AE145)</f>
        <v>166</v>
      </c>
    </row>
    <row r="146" spans="1:33" s="70" customFormat="1" ht="12.75" hidden="1" customHeight="1" x14ac:dyDescent="0.2">
      <c r="A146" s="70" t="s">
        <v>100</v>
      </c>
      <c r="B146" s="70">
        <f>IF(B109=4,B129,0)</f>
        <v>0</v>
      </c>
      <c r="D146" s="74">
        <f>IF(D109=4,B129,0)</f>
        <v>0</v>
      </c>
      <c r="E146" s="70">
        <f>IF(E109=4,E129,0)</f>
        <v>0</v>
      </c>
      <c r="G146" s="74">
        <f>IF(G109=4,E129,0)</f>
        <v>50</v>
      </c>
      <c r="H146" s="70">
        <f>IF(H109=4,H129,0)</f>
        <v>0</v>
      </c>
      <c r="J146" s="74">
        <f>IF(J109=4,H129,0)</f>
        <v>65</v>
      </c>
      <c r="K146" s="70">
        <f>IF(K109=4,K129,0)</f>
        <v>0</v>
      </c>
      <c r="M146" s="74">
        <f>IF(M109=4,K129,0)</f>
        <v>0</v>
      </c>
      <c r="N146" s="70">
        <f>IF(N109=4,N129,0)</f>
        <v>0</v>
      </c>
      <c r="P146" s="74">
        <f>IF(P109=4,N129,0)</f>
        <v>50</v>
      </c>
      <c r="Q146" s="70">
        <f>IF(Q109=4,Q129,0)</f>
        <v>0</v>
      </c>
      <c r="S146" s="74">
        <f>IF(S109=4,Q129,0)</f>
        <v>0</v>
      </c>
      <c r="T146" s="70">
        <f>IF(T109=4,T129,0)</f>
        <v>0</v>
      </c>
      <c r="V146" s="74">
        <f>IF(V109=4,T129,0)</f>
        <v>0</v>
      </c>
      <c r="W146" s="70">
        <f>IF(W109=4,W129,0)</f>
        <v>0</v>
      </c>
      <c r="Y146" s="74">
        <f>IF(Y109=4,W129,0)</f>
        <v>0</v>
      </c>
      <c r="Z146" s="70">
        <f>IF(Z109=4,Z129,0)</f>
        <v>0</v>
      </c>
      <c r="AB146" s="74">
        <f>IF(AB109=4,Z129,0)</f>
        <v>0</v>
      </c>
      <c r="AC146" s="70">
        <f>IF(AC109=4,AC129,0)</f>
        <v>0</v>
      </c>
      <c r="AE146" s="74">
        <f>IF(AE109=4,AC129,0)</f>
        <v>0</v>
      </c>
      <c r="AF146" s="70">
        <f>SUM(B146:AE146)</f>
        <v>165</v>
      </c>
    </row>
    <row r="147" spans="1:33" s="70" customFormat="1" ht="12.75" hidden="1" customHeight="1" x14ac:dyDescent="0.2">
      <c r="A147" s="70" t="s">
        <v>101</v>
      </c>
      <c r="B147" s="70">
        <f>IF(B109=5,B129,0)</f>
        <v>0</v>
      </c>
      <c r="D147" s="74">
        <f>IF(D109=5,B129,0)</f>
        <v>0</v>
      </c>
      <c r="E147" s="70">
        <f>IF(E109=5,E129,0)</f>
        <v>0</v>
      </c>
      <c r="G147" s="74">
        <f>IF(G109=5,E129,0)</f>
        <v>0</v>
      </c>
      <c r="H147" s="70">
        <f>IF(H109=5,H129,0)</f>
        <v>0</v>
      </c>
      <c r="J147" s="74">
        <f>IF(J109=5,H129,0)</f>
        <v>0</v>
      </c>
      <c r="K147" s="70">
        <f>IF(K109=5,K129,0)</f>
        <v>0</v>
      </c>
      <c r="M147" s="74">
        <f>IF(M109=5,K129,0)</f>
        <v>0</v>
      </c>
      <c r="N147" s="70">
        <f>IF(N109=5,N129,0)</f>
        <v>0</v>
      </c>
      <c r="P147" s="74">
        <f>IF(P109=5,N129,0)</f>
        <v>0</v>
      </c>
      <c r="Q147" s="70">
        <f>IF(Q109=5,Q129,0)</f>
        <v>0</v>
      </c>
      <c r="S147" s="74">
        <f>IF(S109=5,Q129,0)</f>
        <v>0</v>
      </c>
      <c r="T147" s="70">
        <f>IF(T109=5,T129,0)</f>
        <v>0</v>
      </c>
      <c r="V147" s="74">
        <f>IF(V109=5,T129,0)</f>
        <v>0</v>
      </c>
      <c r="W147" s="70">
        <f>IF(W109=5,W129,0)</f>
        <v>0</v>
      </c>
      <c r="Y147" s="74">
        <f>IF(Y109=5,W129,0)</f>
        <v>0</v>
      </c>
      <c r="Z147" s="70">
        <f>IF(Z109=5,Z129,0)</f>
        <v>0</v>
      </c>
      <c r="AB147" s="74">
        <f>IF(AB109=5,Z129,0)</f>
        <v>0</v>
      </c>
      <c r="AC147" s="70">
        <f>IF(AC109=5,AC129,0)</f>
        <v>0</v>
      </c>
      <c r="AE147" s="74">
        <f>IF(AE109=5,AC129,0)</f>
        <v>0</v>
      </c>
      <c r="AF147" s="70">
        <f>SUM(B147:AE147)</f>
        <v>0</v>
      </c>
    </row>
    <row r="148" spans="1:33" s="70" customFormat="1" ht="38.25" hidden="1" customHeight="1" x14ac:dyDescent="0.2">
      <c r="A148" s="70" t="s">
        <v>103</v>
      </c>
      <c r="D148" s="74"/>
      <c r="G148" s="74"/>
      <c r="J148" s="74"/>
      <c r="M148" s="74"/>
      <c r="P148" s="74"/>
      <c r="S148" s="74"/>
      <c r="V148" s="74"/>
      <c r="Y148" s="74"/>
      <c r="AB148" s="74"/>
      <c r="AE148" s="74"/>
      <c r="AF148" s="73" t="s">
        <v>104</v>
      </c>
      <c r="AG148" s="70" t="s">
        <v>105</v>
      </c>
    </row>
    <row r="149" spans="1:33" s="70" customFormat="1" ht="12.75" hidden="1" customHeight="1" x14ac:dyDescent="0.2">
      <c r="A149" s="70" t="s">
        <v>91</v>
      </c>
      <c r="B149" s="70">
        <f>IF(B109=1,SUMIF(B116:B120,"&gt;0"),0)</f>
        <v>0</v>
      </c>
      <c r="D149" s="74">
        <f>IF(D109=1,SUMIF(D116:D120,"&gt;0"),0)</f>
        <v>0</v>
      </c>
      <c r="E149" s="70">
        <f>IF(E109=1,SUMIF(E116:E120,"&gt;0"),0)</f>
        <v>2</v>
      </c>
      <c r="G149" s="74">
        <f>IF(G109=1,SUMIF(G116:G120,"&gt;0"),0)</f>
        <v>0</v>
      </c>
      <c r="H149" s="70">
        <f>IF(H109=1,SUMIF(H116:H120,"&gt;0"),0)</f>
        <v>0</v>
      </c>
      <c r="J149" s="74">
        <f>IF(J109=1,SUMIF(J116:J120,"&gt;0"),0)</f>
        <v>0</v>
      </c>
      <c r="K149" s="70">
        <f>IF(K109=1,SUMIF(K116:K120,"&gt;0"),0)</f>
        <v>2</v>
      </c>
      <c r="M149" s="74">
        <f>IF(M109=1,SUMIF(M116:M120,"&gt;0"),0)</f>
        <v>0</v>
      </c>
      <c r="N149" s="70">
        <f>IF(N109=1,SUMIF(N116:N120,"&gt;0"),0)</f>
        <v>0</v>
      </c>
      <c r="P149" s="74">
        <f>IF(P109=1,SUMIF(P116:P120,"&gt;0"),0)</f>
        <v>0</v>
      </c>
      <c r="Q149" s="70">
        <f>IF(Q109=1,SUMIF(Q116:Q120,"&gt;0"),0)</f>
        <v>2</v>
      </c>
      <c r="S149" s="74">
        <f>IF(S109=1,SUMIF(S116:S120,"&gt;0"),0)</f>
        <v>0</v>
      </c>
      <c r="T149" s="70">
        <f>IF(T109=1,SUMIF(T116:T120,"&gt;0"),0)</f>
        <v>0</v>
      </c>
      <c r="V149" s="74">
        <f>IF(V109=1,SUMIF(V116:V120,"&gt;0"),0)</f>
        <v>0</v>
      </c>
      <c r="W149" s="70">
        <f>IF(W109=1,SUMIF(W116:W120,"&gt;0"),0)</f>
        <v>0</v>
      </c>
      <c r="Y149" s="74">
        <f>IF(Y109=1,SUMIF(Y116:Y120,"&gt;0"),0)</f>
        <v>0</v>
      </c>
      <c r="Z149" s="70">
        <f>IF(Z109=1,SUMIF(Z116:Z120,"&gt;0"),0)</f>
        <v>0</v>
      </c>
      <c r="AB149" s="74">
        <f>IF(AB109=1,SUMIF(AB116:AB120,"&gt;0"),0)</f>
        <v>0</v>
      </c>
      <c r="AC149" s="70">
        <f>IF(AC109=1,SUMIF(AC116:AC120,"&gt;0"),0)</f>
        <v>0</v>
      </c>
      <c r="AE149" s="74">
        <f>IF(AE109=1,SUMIF(AE116:AE120,"&gt;0"),0)</f>
        <v>0</v>
      </c>
      <c r="AF149" s="70">
        <f>SUM(B149:AE149)</f>
        <v>6</v>
      </c>
      <c r="AG149" s="70">
        <f>AF157-AF149</f>
        <v>2</v>
      </c>
    </row>
    <row r="150" spans="1:33" s="70" customFormat="1" ht="12.75" hidden="1" customHeight="1" x14ac:dyDescent="0.2">
      <c r="A150" s="70" t="s">
        <v>92</v>
      </c>
      <c r="B150" s="70">
        <f>IF(B109=2,SUMIF(B116:B120,"&gt;0"),0)</f>
        <v>2</v>
      </c>
      <c r="D150" s="74">
        <f>IF(D109=2,SUMIF(D116:D120,"&gt;0"),0)</f>
        <v>0</v>
      </c>
      <c r="E150" s="70">
        <f>IF(E109=2,SUMIF(E116:E120,"&gt;0"),0)</f>
        <v>0</v>
      </c>
      <c r="G150" s="74">
        <f>IF(G109=2,SUMIF(G116:G120,"&gt;0"),0)</f>
        <v>0</v>
      </c>
      <c r="H150" s="70">
        <f>IF(H109=2,SUMIF(H116:H120,"&gt;0"),0)</f>
        <v>2</v>
      </c>
      <c r="J150" s="74">
        <f>IF(J109=2,SUMIF(J116:J120,"&gt;0"),0)</f>
        <v>0</v>
      </c>
      <c r="K150" s="70">
        <f>IF(K109=2,SUMIF(K116:K120,"&gt;0"),0)</f>
        <v>0</v>
      </c>
      <c r="M150" s="74">
        <f>IF(M109=2,SUMIF(M116:M120,"&gt;0"),0)</f>
        <v>0</v>
      </c>
      <c r="N150" s="70">
        <f>IF(N109=2,SUMIF(N116:N120,"&gt;0"),0)</f>
        <v>0</v>
      </c>
      <c r="P150" s="74">
        <f>IF(P109=2,SUMIF(P116:P120,"&gt;0"),0)</f>
        <v>0</v>
      </c>
      <c r="Q150" s="70">
        <f>IF(Q109=2,SUMIF(Q116:Q120,"&gt;0"),0)</f>
        <v>0</v>
      </c>
      <c r="S150" s="74">
        <f>IF(S109=2,SUMIF(S116:S120,"&gt;0"),0)</f>
        <v>1</v>
      </c>
      <c r="T150" s="70">
        <f>IF(T109=2,SUMIF(T116:T120,"&gt;0"),0)</f>
        <v>0</v>
      </c>
      <c r="V150" s="74">
        <f>IF(V109=2,SUMIF(V116:V120,"&gt;0"),0)</f>
        <v>0</v>
      </c>
      <c r="W150" s="70">
        <f>IF(W109=2,SUMIF(W116:W120,"&gt;0"),0)</f>
        <v>0</v>
      </c>
      <c r="Y150" s="74">
        <f>IF(Y109=2,SUMIF(Y116:Y120,"&gt;0"),0)</f>
        <v>0</v>
      </c>
      <c r="Z150" s="70">
        <f>IF(Z109=2,SUMIF(Z116:Z120,"&gt;0"),0)</f>
        <v>0</v>
      </c>
      <c r="AB150" s="74">
        <f>IF(AB109=2,SUMIF(AB116:AB120,"&gt;0"),0)</f>
        <v>0</v>
      </c>
      <c r="AC150" s="70">
        <f>IF(AC109=2,SUMIF(AC116:AC120,"&gt;0"),0)</f>
        <v>0</v>
      </c>
      <c r="AE150" s="74">
        <f>IF(AE109=2,SUMIF(AE116:AE120,"&gt;0"),0)</f>
        <v>0</v>
      </c>
      <c r="AF150" s="70">
        <f>SUM(B150:AE150)</f>
        <v>5</v>
      </c>
      <c r="AG150" s="70">
        <f>AF158-AF150</f>
        <v>3</v>
      </c>
    </row>
    <row r="151" spans="1:33" s="70" customFormat="1" ht="12.75" hidden="1" customHeight="1" x14ac:dyDescent="0.2">
      <c r="A151" s="70" t="s">
        <v>93</v>
      </c>
      <c r="B151" s="70">
        <f>IF(B109=3,SUMIF(B116:B120,"&gt;0"),0)</f>
        <v>0</v>
      </c>
      <c r="D151" s="74">
        <f>IF(D109=3,SUMIF(D116:D120,"&gt;0"),0)</f>
        <v>0</v>
      </c>
      <c r="E151" s="70">
        <f>IF(E109=3,SUMIF(E116:E120,"&gt;0"),0)</f>
        <v>0</v>
      </c>
      <c r="G151" s="74">
        <f>IF(G109=3,SUMIF(G116:G120,"&gt;0"),0)</f>
        <v>0</v>
      </c>
      <c r="H151" s="70">
        <f>IF(H109=3,SUMIF(H116:H120,"&gt;0"),0)</f>
        <v>0</v>
      </c>
      <c r="J151" s="74">
        <f>IF(J109=3,SUMIF(J116:J120,"&gt;0"),0)</f>
        <v>0</v>
      </c>
      <c r="K151" s="70">
        <f>IF(K109=3,SUMIF(K116:K120,"&gt;0"),0)</f>
        <v>0</v>
      </c>
      <c r="M151" s="74">
        <f>IF(M109=3,SUMIF(M116:M120,"&gt;0"),0)</f>
        <v>1</v>
      </c>
      <c r="N151" s="70">
        <f>IF(N109=3,SUMIF(N116:N120,"&gt;0"),0)</f>
        <v>2</v>
      </c>
      <c r="P151" s="74">
        <f>IF(P109=3,SUMIF(P116:P120,"&gt;0"),0)</f>
        <v>0</v>
      </c>
      <c r="Q151" s="70">
        <f>IF(Q109=3,SUMIF(Q116:Q120,"&gt;0"),0)</f>
        <v>0</v>
      </c>
      <c r="S151" s="74">
        <f>IF(S109=3,SUMIF(S116:S120,"&gt;0"),0)</f>
        <v>0</v>
      </c>
      <c r="T151" s="70">
        <f>IF(T109=3,SUMIF(T116:T120,"&gt;0"),0)</f>
        <v>0</v>
      </c>
      <c r="V151" s="74">
        <f>IF(V109=3,SUMIF(V116:V120,"&gt;0"),0)</f>
        <v>0</v>
      </c>
      <c r="W151" s="70">
        <f>IF(W109=3,SUMIF(W116:W120,"&gt;0"),0)</f>
        <v>0</v>
      </c>
      <c r="Y151" s="74">
        <f>IF(Y109=3,SUMIF(Y116:Y120,"&gt;0"),0)</f>
        <v>0</v>
      </c>
      <c r="Z151" s="70">
        <f>IF(Z109=3,SUMIF(Z116:Z120,"&gt;0"),0)</f>
        <v>0</v>
      </c>
      <c r="AB151" s="74">
        <f>IF(AB109=3,SUMIF(AB116:AB120,"&gt;0"),0)</f>
        <v>0</v>
      </c>
      <c r="AC151" s="70">
        <f>IF(AC109=3,SUMIF(AC116:AC120,"&gt;0"),0)</f>
        <v>0</v>
      </c>
      <c r="AE151" s="74">
        <f>IF(AE109=3,SUMIF(AE116:AE120,"&gt;0"),0)</f>
        <v>0</v>
      </c>
      <c r="AF151" s="70">
        <f>SUM(B151:AE151)</f>
        <v>3</v>
      </c>
      <c r="AG151" s="70">
        <f>AF159-AF151</f>
        <v>4</v>
      </c>
    </row>
    <row r="152" spans="1:33" s="70" customFormat="1" ht="12.75" hidden="1" customHeight="1" x14ac:dyDescent="0.2">
      <c r="A152" s="70" t="s">
        <v>94</v>
      </c>
      <c r="B152" s="70">
        <f>IF(B109=4,SUMIF(B116:B120,"&gt;0"),0)</f>
        <v>0</v>
      </c>
      <c r="D152" s="74">
        <f>IF(D109=4,SUMIF(D116:D120,"&gt;0"),0)</f>
        <v>0</v>
      </c>
      <c r="E152" s="70">
        <f>IF(E109=4,SUMIF(E116:E120,"&gt;0"),0)</f>
        <v>0</v>
      </c>
      <c r="G152" s="74">
        <f>IF(G109=4,SUMIF(G116:G120,"&gt;0"),0)</f>
        <v>0</v>
      </c>
      <c r="H152" s="70">
        <f>IF(H109=4,SUMIF(H116:H120,"&gt;0"),0)</f>
        <v>0</v>
      </c>
      <c r="J152" s="74">
        <f>IF(J109=4,SUMIF(J116:J120,"&gt;0"),0)</f>
        <v>1</v>
      </c>
      <c r="K152" s="70">
        <f>IF(K109=4,SUMIF(K116:K120,"&gt;0"),0)</f>
        <v>0</v>
      </c>
      <c r="M152" s="74">
        <f>IF(M109=4,SUMIF(M116:M120,"&gt;0"),0)</f>
        <v>0</v>
      </c>
      <c r="N152" s="70">
        <f>IF(N109=4,SUMIF(N116:N120,"&gt;0"),0)</f>
        <v>0</v>
      </c>
      <c r="P152" s="74">
        <f>IF(P109=4,SUMIF(P116:P120,"&gt;0"),0)</f>
        <v>0</v>
      </c>
      <c r="Q152" s="70">
        <f>IF(Q109=4,SUMIF(Q116:Q120,"&gt;0"),0)</f>
        <v>0</v>
      </c>
      <c r="S152" s="74">
        <f>IF(S109=4,SUMIF(S116:S120,"&gt;0"),0)</f>
        <v>0</v>
      </c>
      <c r="T152" s="70">
        <f>IF(T109=4,SUMIF(T116:T120,"&gt;0"),0)</f>
        <v>0</v>
      </c>
      <c r="V152" s="74">
        <f>IF(V109=4,SUMIF(V116:V120,"&gt;0"),0)</f>
        <v>0</v>
      </c>
      <c r="W152" s="70">
        <f>IF(W109=4,SUMIF(W116:W120,"&gt;0"),0)</f>
        <v>0</v>
      </c>
      <c r="Y152" s="74">
        <f>IF(Y109=4,SUMIF(Y116:Y120,"&gt;0"),0)</f>
        <v>0</v>
      </c>
      <c r="Z152" s="70">
        <f>IF(Z109=4,SUMIF(Z116:Z120,"&gt;0"),0)</f>
        <v>0</v>
      </c>
      <c r="AB152" s="74">
        <f>IF(AB109=4,SUMIF(AB116:AB120,"&gt;0"),0)</f>
        <v>0</v>
      </c>
      <c r="AC152" s="70">
        <f>IF(AC109=4,SUMIF(AC116:AC120,"&gt;0"),0)</f>
        <v>0</v>
      </c>
      <c r="AE152" s="74">
        <f>IF(AE109=4,SUMIF(AE116:AE120,"&gt;0"),0)</f>
        <v>0</v>
      </c>
      <c r="AF152" s="70">
        <f>SUM(B152:AE152)</f>
        <v>1</v>
      </c>
      <c r="AG152" s="70">
        <f>AF160-AF152</f>
        <v>6</v>
      </c>
    </row>
    <row r="153" spans="1:33" s="70" customFormat="1" ht="12.75" hidden="1" customHeight="1" x14ac:dyDescent="0.2">
      <c r="A153" s="70" t="s">
        <v>95</v>
      </c>
      <c r="B153" s="70">
        <f>IF(B109=5,SUMIF(B116:B120,"&gt;0"),0)</f>
        <v>0</v>
      </c>
      <c r="D153" s="74">
        <f>IF(D109=5,SUMIF(D116:D120,"&gt;0"),0)</f>
        <v>0</v>
      </c>
      <c r="E153" s="70">
        <f>IF(E109=5,SUMIF(E116:E120,"&gt;0"),0)</f>
        <v>0</v>
      </c>
      <c r="G153" s="74">
        <f>IF(G109=5,SUMIF(G116:G120,"&gt;0"),0)</f>
        <v>0</v>
      </c>
      <c r="H153" s="70">
        <f>IF(H109=5,SUMIF(H116:H120,"&gt;0"),0)</f>
        <v>0</v>
      </c>
      <c r="J153" s="74">
        <f>IF(J109=5,SUMIF(J116:J120,"&gt;0"),0)</f>
        <v>0</v>
      </c>
      <c r="K153" s="70">
        <f>IF(K109=5,SUMIF(K116:K120,"&gt;0"),0)</f>
        <v>0</v>
      </c>
      <c r="M153" s="74">
        <f>IF(M109=5,SUMIF(M116:M120,"&gt;0"),0)</f>
        <v>0</v>
      </c>
      <c r="N153" s="70">
        <f>IF(N109=5,SUMIF(N116:N120,"&gt;0"),0)</f>
        <v>0</v>
      </c>
      <c r="P153" s="74">
        <f>IF(P109=5,SUMIF(P116:P120,"&gt;0"),0)</f>
        <v>0</v>
      </c>
      <c r="Q153" s="70">
        <f>IF(Q109=5,SUMIF(Q116:Q120,"&gt;0"),0)</f>
        <v>0</v>
      </c>
      <c r="S153" s="74">
        <f>IF(S109=5,SUMIF(S116:S120,"&gt;0"),0)</f>
        <v>0</v>
      </c>
      <c r="T153" s="70">
        <f>IF(T109=5,SUMIF(T116:T120,"&gt;0"),0)</f>
        <v>0</v>
      </c>
      <c r="V153" s="74">
        <f>IF(V109=5,SUMIF(V116:V120,"&gt;0"),0)</f>
        <v>0</v>
      </c>
      <c r="W153" s="70">
        <f>IF(W109=5,SUMIF(W116:W120,"&gt;0"),0)</f>
        <v>0</v>
      </c>
      <c r="Y153" s="74">
        <f>IF(Y109=5,SUMIF(Y116:Y120,"&gt;0"),0)</f>
        <v>0</v>
      </c>
      <c r="Z153" s="70">
        <f>IF(Z109=5,SUMIF(Z116:Z120,"&gt;0"),0)</f>
        <v>0</v>
      </c>
      <c r="AB153" s="74">
        <f>IF(AB109=5,SUMIF(AB116:AB120,"&gt;0"),0)</f>
        <v>0</v>
      </c>
      <c r="AC153" s="70">
        <f>IF(AC109=5,SUMIF(AC116:AC120,"&gt;0"),0)</f>
        <v>0</v>
      </c>
      <c r="AE153" s="74">
        <f>IF(AE109=5,SUMIF(AE116:AE120,"&gt;0"),0)</f>
        <v>0</v>
      </c>
      <c r="AF153" s="70">
        <f>SUM(B153:AE153)</f>
        <v>0</v>
      </c>
      <c r="AG153" s="70">
        <f>AF161-AF153</f>
        <v>0</v>
      </c>
    </row>
    <row r="154" spans="1:33" s="70" customFormat="1" ht="12.75" hidden="1" customHeight="1" x14ac:dyDescent="0.2">
      <c r="D154" s="74"/>
      <c r="G154" s="74"/>
      <c r="J154" s="74"/>
      <c r="M154" s="74"/>
      <c r="P154" s="74"/>
      <c r="S154" s="74"/>
      <c r="V154" s="74"/>
      <c r="Y154" s="74"/>
      <c r="AB154" s="74"/>
      <c r="AE154" s="74"/>
    </row>
    <row r="155" spans="1:33" s="70" customFormat="1" ht="12.75" hidden="1" customHeight="1" x14ac:dyDescent="0.2">
      <c r="D155" s="74"/>
      <c r="G155" s="74"/>
      <c r="J155" s="74"/>
      <c r="M155" s="74"/>
      <c r="P155" s="74"/>
      <c r="S155" s="74"/>
      <c r="V155" s="74"/>
      <c r="Y155" s="74"/>
      <c r="AB155" s="74"/>
      <c r="AE155" s="74"/>
    </row>
    <row r="156" spans="1:33" s="70" customFormat="1" ht="51" hidden="1" customHeight="1" x14ac:dyDescent="0.2">
      <c r="A156" s="73" t="s">
        <v>106</v>
      </c>
      <c r="C156" s="70">
        <f>SUMIF(B149:D153,"&gt;0")</f>
        <v>2</v>
      </c>
      <c r="D156" s="74"/>
      <c r="F156" s="70">
        <f>SUMIF(E149:G153,"&gt;0")</f>
        <v>2</v>
      </c>
      <c r="G156" s="74"/>
      <c r="I156" s="70">
        <f>SUMIF(H149:J153,"&gt;0")</f>
        <v>3</v>
      </c>
      <c r="J156" s="74"/>
      <c r="L156" s="70">
        <f>SUMIF(K149:M153,"&gt;0")</f>
        <v>3</v>
      </c>
      <c r="M156" s="74"/>
      <c r="O156" s="70">
        <f>SUMIF(N149:P153,"&gt;0")</f>
        <v>2</v>
      </c>
      <c r="P156" s="74"/>
      <c r="R156" s="70">
        <f>SUMIF(Q149:S153,"&gt;0")</f>
        <v>3</v>
      </c>
      <c r="S156" s="74"/>
      <c r="U156" s="70">
        <f>SUMIF(T149:V153,"&gt;0")</f>
        <v>0</v>
      </c>
      <c r="V156" s="74"/>
      <c r="X156" s="70">
        <f>SUMIF(W149:Y153,"&gt;0")</f>
        <v>0</v>
      </c>
      <c r="Y156" s="74"/>
      <c r="AA156" s="70">
        <f>SUMIF(Z149:AB153,"&gt;0")</f>
        <v>0</v>
      </c>
      <c r="AB156" s="74"/>
      <c r="AD156" s="70">
        <f>SUMIF(AC149:AE153,"&gt;0")</f>
        <v>0</v>
      </c>
      <c r="AE156" s="74"/>
      <c r="AF156" s="73" t="s">
        <v>107</v>
      </c>
    </row>
    <row r="157" spans="1:33" s="70" customFormat="1" ht="12.75" hidden="1" customHeight="1" x14ac:dyDescent="0.2">
      <c r="A157" s="70" t="s">
        <v>97</v>
      </c>
      <c r="B157" s="70">
        <f>IF(B109=1,C156,0)</f>
        <v>0</v>
      </c>
      <c r="D157" s="74">
        <f>IF(D109=1,C156,0)</f>
        <v>0</v>
      </c>
      <c r="E157" s="70">
        <f>IF(E109=1,F156,0)</f>
        <v>2</v>
      </c>
      <c r="G157" s="74">
        <f>IF(G109=1,F156,0)</f>
        <v>0</v>
      </c>
      <c r="H157" s="70">
        <f>IF(H109=1,I156,0)</f>
        <v>0</v>
      </c>
      <c r="J157" s="74">
        <f>IF(J109=1,I156,0)</f>
        <v>0</v>
      </c>
      <c r="K157" s="70">
        <f>IF(K109=1,L156,0)</f>
        <v>3</v>
      </c>
      <c r="M157" s="74">
        <f>IF(M109=1,L156,0)</f>
        <v>0</v>
      </c>
      <c r="N157" s="70">
        <f>IF(N109=1,O156,0)</f>
        <v>0</v>
      </c>
      <c r="P157" s="74">
        <f>IF(P109=1,O156,0)</f>
        <v>0</v>
      </c>
      <c r="Q157" s="70">
        <f>IF(Q109=1,R156,0)</f>
        <v>3</v>
      </c>
      <c r="S157" s="74">
        <f>IF(S109=1,R156,0)</f>
        <v>0</v>
      </c>
      <c r="T157" s="70">
        <f>IF(T109=1,U156,0)</f>
        <v>0</v>
      </c>
      <c r="V157" s="74">
        <f>IF(V109=1,U156,0)</f>
        <v>0</v>
      </c>
      <c r="W157" s="70">
        <f>IF(W109=1,X156,0)</f>
        <v>0</v>
      </c>
      <c r="Y157" s="74">
        <f>IF(Y109=1,X156,0)</f>
        <v>0</v>
      </c>
      <c r="Z157" s="70">
        <f>IF(Z109=1,AA156,0)</f>
        <v>0</v>
      </c>
      <c r="AB157" s="74">
        <f>IF(AB109=1,AA156,0)</f>
        <v>0</v>
      </c>
      <c r="AC157" s="70">
        <f>IF(AC109=1,AD156,0)</f>
        <v>0</v>
      </c>
      <c r="AE157" s="74">
        <f>IF(AE109=1,AD156,0)</f>
        <v>0</v>
      </c>
      <c r="AF157" s="70">
        <f>SUM(B157:AE157)</f>
        <v>8</v>
      </c>
    </row>
    <row r="158" spans="1:33" s="70" customFormat="1" ht="12.75" hidden="1" customHeight="1" x14ac:dyDescent="0.2">
      <c r="A158" s="70" t="s">
        <v>98</v>
      </c>
      <c r="B158" s="70">
        <f>IF(B109=2,C156,0)</f>
        <v>2</v>
      </c>
      <c r="D158" s="74">
        <f>IF(D109=2,C156,0)</f>
        <v>0</v>
      </c>
      <c r="E158" s="70">
        <f>IF(E109=2,F156,0)</f>
        <v>0</v>
      </c>
      <c r="G158" s="74">
        <f>IF(G109=2,F156,0)</f>
        <v>0</v>
      </c>
      <c r="H158" s="70">
        <f>IF(H109=2,I156,0)</f>
        <v>3</v>
      </c>
      <c r="J158" s="74">
        <f>IF(J109=2,I156,0)</f>
        <v>0</v>
      </c>
      <c r="K158" s="70">
        <f>IF(K109=2,L156,0)</f>
        <v>0</v>
      </c>
      <c r="M158" s="74">
        <f>IF(M109=2,L156,0)</f>
        <v>0</v>
      </c>
      <c r="N158" s="70">
        <f>IF(N109=2,O156,0)</f>
        <v>0</v>
      </c>
      <c r="P158" s="74">
        <f>IF(P109=2,O156,0)</f>
        <v>0</v>
      </c>
      <c r="Q158" s="70">
        <f>IF(Q109=2,R156,0)</f>
        <v>0</v>
      </c>
      <c r="S158" s="74">
        <f>IF(S109=2,R156,0)</f>
        <v>3</v>
      </c>
      <c r="T158" s="70">
        <f>IF(T109=2,U156,0)</f>
        <v>0</v>
      </c>
      <c r="V158" s="74">
        <f>IF(V109=2,U156,0)</f>
        <v>0</v>
      </c>
      <c r="W158" s="70">
        <f>IF(W109=2,X156,0)</f>
        <v>0</v>
      </c>
      <c r="Y158" s="74">
        <f>IF(Y109=2,X156,0)</f>
        <v>0</v>
      </c>
      <c r="Z158" s="70">
        <f>IF(Z109=2,AA156,0)</f>
        <v>0</v>
      </c>
      <c r="AB158" s="74">
        <f>IF(AB109=2,AA156,0)</f>
        <v>0</v>
      </c>
      <c r="AC158" s="70">
        <f>IF(AC109=2,AD156,0)</f>
        <v>0</v>
      </c>
      <c r="AE158" s="74">
        <f>IF(AE109=2,AD156,0)</f>
        <v>0</v>
      </c>
      <c r="AF158" s="70">
        <f>SUM(B158:AE158)</f>
        <v>8</v>
      </c>
    </row>
    <row r="159" spans="1:33" s="70" customFormat="1" ht="12.75" hidden="1" customHeight="1" x14ac:dyDescent="0.2">
      <c r="A159" s="70" t="s">
        <v>99</v>
      </c>
      <c r="B159" s="70">
        <f>IF(B109=3,C156,0)</f>
        <v>0</v>
      </c>
      <c r="D159" s="74">
        <f>IF(D109=3,C156,0)</f>
        <v>2</v>
      </c>
      <c r="E159" s="70">
        <f>IF(E109=3,F156,0)</f>
        <v>0</v>
      </c>
      <c r="G159" s="74">
        <f>IF(G109=3,F156,0)</f>
        <v>0</v>
      </c>
      <c r="H159" s="70">
        <f>IF(H109=3,I156,0)</f>
        <v>0</v>
      </c>
      <c r="J159" s="74">
        <f>IF(J109=3,I156,0)</f>
        <v>0</v>
      </c>
      <c r="K159" s="70">
        <f>IF(K109=3,L156,0)</f>
        <v>0</v>
      </c>
      <c r="M159" s="74">
        <f>IF(M109=3,L156,0)</f>
        <v>3</v>
      </c>
      <c r="N159" s="70">
        <f>IF(N109=3,O156,0)</f>
        <v>2</v>
      </c>
      <c r="P159" s="74">
        <f>IF(P109=3,O156,0)</f>
        <v>0</v>
      </c>
      <c r="Q159" s="70">
        <f>IF(Q109=3,R156,0)</f>
        <v>0</v>
      </c>
      <c r="S159" s="74">
        <f>IF(S109=3,R156,0)</f>
        <v>0</v>
      </c>
      <c r="T159" s="70">
        <f>IF(T109=3,U156,0)</f>
        <v>0</v>
      </c>
      <c r="V159" s="74">
        <f>IF(V109=3,U156,0)</f>
        <v>0</v>
      </c>
      <c r="W159" s="70">
        <f>IF(W109=3,X156,0)</f>
        <v>0</v>
      </c>
      <c r="Y159" s="74">
        <f>IF(Y109=3,X156,0)</f>
        <v>0</v>
      </c>
      <c r="Z159" s="70">
        <f>IF(Z109=3,AA156,0)</f>
        <v>0</v>
      </c>
      <c r="AB159" s="74">
        <f>IF(AB109=3,AA156,0)</f>
        <v>0</v>
      </c>
      <c r="AC159" s="70">
        <f>IF(AC109=3,AD156,0)</f>
        <v>0</v>
      </c>
      <c r="AE159" s="74">
        <f>IF(AE109=3,AD156,0)</f>
        <v>0</v>
      </c>
      <c r="AF159" s="70">
        <f>SUM(B159:AE159)</f>
        <v>7</v>
      </c>
    </row>
    <row r="160" spans="1:33" s="70" customFormat="1" ht="12.75" hidden="1" customHeight="1" x14ac:dyDescent="0.2">
      <c r="A160" s="70" t="s">
        <v>100</v>
      </c>
      <c r="B160" s="70">
        <f>IF(B109=4,C156,0)</f>
        <v>0</v>
      </c>
      <c r="D160" s="74">
        <f>IF(D109=4,C156,0)</f>
        <v>0</v>
      </c>
      <c r="E160" s="70">
        <f>IF(E109=4,F156,0)</f>
        <v>0</v>
      </c>
      <c r="G160" s="74">
        <f>IF(G109=4,F156,0)</f>
        <v>2</v>
      </c>
      <c r="H160" s="70">
        <f>IF(H109=4,I156,0)</f>
        <v>0</v>
      </c>
      <c r="J160" s="74">
        <f>IF(J109=4,I156,0)</f>
        <v>3</v>
      </c>
      <c r="K160" s="70">
        <f>IF(K109=4,L156,0)</f>
        <v>0</v>
      </c>
      <c r="M160" s="74">
        <f>IF(M109=4,L156,0)</f>
        <v>0</v>
      </c>
      <c r="N160" s="70">
        <f>IF(N109=4,O156,0)</f>
        <v>0</v>
      </c>
      <c r="P160" s="74">
        <f>IF(P109=4,O156,0)</f>
        <v>2</v>
      </c>
      <c r="Q160" s="70">
        <f>IF(Q109=4,R156,0)</f>
        <v>0</v>
      </c>
      <c r="S160" s="74">
        <f>IF(S109=4,R156,0)</f>
        <v>0</v>
      </c>
      <c r="T160" s="70">
        <f>IF(T109=4,U156,0)</f>
        <v>0</v>
      </c>
      <c r="V160" s="74">
        <f>IF(V109=4,U156,0)</f>
        <v>0</v>
      </c>
      <c r="W160" s="70">
        <f>IF(W109=4,X156,0)</f>
        <v>0</v>
      </c>
      <c r="Y160" s="74">
        <f>IF(Y109=4,X156,0)</f>
        <v>0</v>
      </c>
      <c r="Z160" s="70">
        <f>IF(Z109=4,AA156,0)</f>
        <v>0</v>
      </c>
      <c r="AB160" s="74">
        <f>IF(AB109=4,AA156,0)</f>
        <v>0</v>
      </c>
      <c r="AC160" s="70">
        <f>IF(AC109=4,AD156,0)</f>
        <v>0</v>
      </c>
      <c r="AE160" s="74">
        <f>IF(AE109=4,AD156,0)</f>
        <v>0</v>
      </c>
      <c r="AF160" s="70">
        <f>SUM(B160:AE160)</f>
        <v>7</v>
      </c>
    </row>
    <row r="161" spans="1:54" s="70" customFormat="1" ht="12.75" hidden="1" customHeight="1" x14ac:dyDescent="0.2">
      <c r="A161" s="70" t="s">
        <v>101</v>
      </c>
      <c r="B161" s="70">
        <f>IF(B109=5,C156,0)</f>
        <v>0</v>
      </c>
      <c r="D161" s="74">
        <f>IF(D109=5,C156,0)</f>
        <v>0</v>
      </c>
      <c r="E161" s="70">
        <f>IF(E109=5,F156,0)</f>
        <v>0</v>
      </c>
      <c r="G161" s="74">
        <f>IF(G109=5,F156,0)</f>
        <v>0</v>
      </c>
      <c r="H161" s="70">
        <f>IF(H109=5,I156,0)</f>
        <v>0</v>
      </c>
      <c r="J161" s="74">
        <f>IF(J109=5,I156,0)</f>
        <v>0</v>
      </c>
      <c r="K161" s="70">
        <f>IF(K109=5,L156,0)</f>
        <v>0</v>
      </c>
      <c r="M161" s="74">
        <f>IF(M109=5,L156,0)</f>
        <v>0</v>
      </c>
      <c r="N161" s="70">
        <f>IF(N109=5,O156,0)</f>
        <v>0</v>
      </c>
      <c r="P161" s="74">
        <f>IF(P109=5,O156,0)</f>
        <v>0</v>
      </c>
      <c r="Q161" s="70">
        <f>IF(Q109=5,R156,0)</f>
        <v>0</v>
      </c>
      <c r="S161" s="74">
        <f>IF(S109=5,R156,0)</f>
        <v>0</v>
      </c>
      <c r="T161" s="70">
        <f>IF(T109=5,U156,0)</f>
        <v>0</v>
      </c>
      <c r="V161" s="74">
        <f>IF(V109=5,U156,0)</f>
        <v>0</v>
      </c>
      <c r="W161" s="70">
        <f>IF(W109=5,X156,0)</f>
        <v>0</v>
      </c>
      <c r="Y161" s="74">
        <f>IF(Y109=5,X156,0)</f>
        <v>0</v>
      </c>
      <c r="Z161" s="70">
        <f>IF(Z109=5,AA156,0)</f>
        <v>0</v>
      </c>
      <c r="AB161" s="74">
        <f>IF(AB109=5,AA156,0)</f>
        <v>0</v>
      </c>
      <c r="AC161" s="70">
        <f>IF(AC109=5,AD156,0)</f>
        <v>0</v>
      </c>
      <c r="AE161" s="74">
        <f>IF(AE109=5,AD156,0)</f>
        <v>0</v>
      </c>
      <c r="AF161" s="70">
        <f>SUM(B161:AE161)</f>
        <v>0</v>
      </c>
    </row>
    <row r="162" spans="1:54" hidden="1" x14ac:dyDescent="0.2">
      <c r="A162" s="75"/>
      <c r="B162" s="75"/>
      <c r="C162" s="75"/>
      <c r="D162" s="75"/>
      <c r="E162" s="75"/>
      <c r="F162" s="75"/>
      <c r="G162" s="75"/>
      <c r="H162" s="75"/>
      <c r="I162" s="75"/>
      <c r="J162" s="75"/>
      <c r="K162" s="75"/>
      <c r="L162" s="75"/>
      <c r="M162" s="75"/>
      <c r="N162" s="75"/>
      <c r="O162" s="75"/>
      <c r="P162" s="75"/>
      <c r="Q162" s="75"/>
      <c r="R162" s="75"/>
      <c r="S162" s="75"/>
      <c r="T162" s="75"/>
      <c r="U162" s="75"/>
      <c r="V162" s="75"/>
      <c r="W162" s="75"/>
      <c r="X162" s="75"/>
      <c r="Y162" s="75"/>
      <c r="Z162" s="75"/>
      <c r="AA162" s="75"/>
      <c r="AB162" s="75"/>
      <c r="AC162" s="75"/>
      <c r="AD162" s="75"/>
      <c r="AE162" s="75"/>
      <c r="AF162" s="75"/>
      <c r="AG162" s="75"/>
      <c r="AH162" s="75"/>
      <c r="AI162" s="75"/>
      <c r="AJ162" s="75"/>
      <c r="AK162" s="75"/>
      <c r="AL162" s="75"/>
      <c r="AM162" s="75"/>
      <c r="AN162" s="76"/>
      <c r="AO162" s="76"/>
      <c r="AP162" s="76"/>
      <c r="AQ162" s="76"/>
      <c r="AR162" s="77"/>
      <c r="AS162" s="77"/>
      <c r="AT162" s="77"/>
      <c r="AU162" s="77"/>
      <c r="AV162" s="77"/>
      <c r="AW162" s="78"/>
      <c r="BB162" s="78"/>
    </row>
    <row r="163" spans="1:54" s="77" customFormat="1" hidden="1" x14ac:dyDescent="0.2">
      <c r="A163" s="79"/>
      <c r="B163" s="79"/>
      <c r="C163" s="79" t="s">
        <v>108</v>
      </c>
      <c r="D163" s="79">
        <v>1</v>
      </c>
      <c r="E163" s="79"/>
      <c r="F163" s="79"/>
      <c r="G163" s="79">
        <v>2</v>
      </c>
      <c r="H163" s="79"/>
      <c r="I163" s="79"/>
      <c r="J163" s="79">
        <v>3</v>
      </c>
      <c r="K163" s="79"/>
      <c r="L163" s="79"/>
      <c r="M163" s="79">
        <v>4</v>
      </c>
      <c r="N163" s="79"/>
      <c r="O163" s="79"/>
      <c r="P163" s="79">
        <v>5</v>
      </c>
      <c r="Q163" s="79"/>
      <c r="R163" s="79"/>
      <c r="S163" s="79">
        <v>6</v>
      </c>
      <c r="T163" s="79"/>
      <c r="U163" s="79"/>
      <c r="V163" s="79">
        <v>7</v>
      </c>
      <c r="W163" s="79"/>
      <c r="X163" s="79"/>
      <c r="Y163" s="79">
        <v>8</v>
      </c>
      <c r="Z163" s="79"/>
      <c r="AA163" s="79"/>
      <c r="AB163" s="79">
        <v>9</v>
      </c>
      <c r="AC163" s="79"/>
      <c r="AD163" s="79"/>
      <c r="AE163" s="79">
        <v>10</v>
      </c>
      <c r="AF163" s="4"/>
      <c r="AG163" s="79"/>
      <c r="AI163" s="80"/>
      <c r="AJ163" s="4"/>
      <c r="AK163" s="4"/>
      <c r="AL163" s="4"/>
      <c r="AM163" s="4"/>
      <c r="AN163" s="4"/>
      <c r="AO163" s="4"/>
      <c r="AT163" s="80" t="s">
        <v>109</v>
      </c>
      <c r="AW163" s="81"/>
      <c r="BB163" s="81"/>
    </row>
    <row r="164" spans="1:54" s="77" customFormat="1" hidden="1" x14ac:dyDescent="0.2">
      <c r="A164" s="82">
        <v>1</v>
      </c>
      <c r="B164" s="82" t="str">
        <f>E93</f>
        <v>CSRA Heat 13 Gold</v>
      </c>
      <c r="C164" s="82">
        <f>VLOOKUP(B164,AU$3:AY$12,3,FALSE)</f>
        <v>1991.6720830602626</v>
      </c>
      <c r="D164" s="82">
        <f>IF(B157,B172,IF(D157,D172,C164))</f>
        <v>1991.6720830602626</v>
      </c>
      <c r="E164" s="82"/>
      <c r="F164" s="82"/>
      <c r="G164" s="82">
        <f>IF(E157,E172,IF(G157,G172,D164))</f>
        <v>2010.9961796051425</v>
      </c>
      <c r="H164" s="82"/>
      <c r="I164" s="82"/>
      <c r="J164" s="82">
        <f>IF(H157,H172,IF(J157,J172,G164))</f>
        <v>2010.9961796051425</v>
      </c>
      <c r="K164" s="82"/>
      <c r="L164" s="82"/>
      <c r="M164" s="82">
        <f>IF(K157,K172,IF(M157,M172,J164))</f>
        <v>2004.6209614192335</v>
      </c>
      <c r="N164" s="82"/>
      <c r="O164" s="82"/>
      <c r="P164" s="82">
        <f>IF(N157,N172,IF(P157,P172,M164))</f>
        <v>2004.6209614192335</v>
      </c>
      <c r="Q164" s="82"/>
      <c r="R164" s="82"/>
      <c r="S164" s="82">
        <f>IF(Q157,Q172,IF(S157,S172,P164))</f>
        <v>2019.904371463555</v>
      </c>
      <c r="T164" s="82"/>
      <c r="U164" s="82"/>
      <c r="V164" s="82">
        <f>IF(T157,T172,IF(V157,V172,S164))</f>
        <v>2019.904371463555</v>
      </c>
      <c r="W164" s="82"/>
      <c r="X164" s="82"/>
      <c r="Y164" s="82">
        <f>IF(W157,W172,IF(Y157,Y172,V164))</f>
        <v>2019.904371463555</v>
      </c>
      <c r="Z164" s="82"/>
      <c r="AA164" s="82"/>
      <c r="AB164" s="82">
        <f>IF(Z157,Z172,IF(AB157,AB172,Y164))</f>
        <v>2019.904371463555</v>
      </c>
      <c r="AC164" s="82"/>
      <c r="AD164" s="82"/>
      <c r="AE164" s="82">
        <f>IF(AC157,AC172,IF(AE157,AE172,AB164))</f>
        <v>2019.904371463555</v>
      </c>
      <c r="AF164" s="4"/>
      <c r="AG164" s="4"/>
      <c r="AJ164" s="4"/>
      <c r="AK164" s="4"/>
      <c r="AL164" s="4"/>
      <c r="AM164" s="4"/>
      <c r="AN164" s="4"/>
      <c r="AO164" s="4"/>
      <c r="AT164" s="77" t="str">
        <f>B164</f>
        <v>CSRA Heat 13 Gold</v>
      </c>
      <c r="AU164" s="77">
        <f>AE164</f>
        <v>2019.904371463555</v>
      </c>
      <c r="AW164" s="81"/>
      <c r="BB164" s="81"/>
    </row>
    <row r="165" spans="1:54" s="77" customFormat="1" hidden="1" x14ac:dyDescent="0.2">
      <c r="A165" s="82">
        <v>2</v>
      </c>
      <c r="B165" s="82" t="str">
        <f>E95</f>
        <v>Intense 13 Elite Columbia</v>
      </c>
      <c r="C165" s="82">
        <f>VLOOKUP(B165,AU$3:AY$12,3,FALSE)</f>
        <v>1985.6455041357583</v>
      </c>
      <c r="D165" s="82">
        <f>IF(B158,B172,IF(D158,D172,C165))</f>
        <v>2006.2363975908249</v>
      </c>
      <c r="E165" s="82"/>
      <c r="F165" s="82"/>
      <c r="G165" s="82">
        <f>IF(E158,E172,IF(G158,G172,D165))</f>
        <v>2006.2363975908249</v>
      </c>
      <c r="H165" s="82"/>
      <c r="I165" s="82"/>
      <c r="J165" s="82">
        <f>IF(H158,H172,IF(J158,J172,G165))</f>
        <v>1999.43372497104</v>
      </c>
      <c r="K165" s="82"/>
      <c r="L165" s="82"/>
      <c r="M165" s="82">
        <f>IF(K158,K172,IF(M158,M172,J165))</f>
        <v>1999.43372497104</v>
      </c>
      <c r="N165" s="82"/>
      <c r="O165" s="82"/>
      <c r="P165" s="82">
        <f>IF(N158,N172,IF(P158,P172,M165))</f>
        <v>1999.43372497104</v>
      </c>
      <c r="Q165" s="82"/>
      <c r="R165" s="82"/>
      <c r="S165" s="82">
        <f>IF(Q158,Q172,IF(S158,S172,P165))</f>
        <v>1984.1503149267185</v>
      </c>
      <c r="T165" s="82"/>
      <c r="U165" s="82"/>
      <c r="V165" s="82">
        <f>IF(T158,T172,IF(V158,V172,S165))</f>
        <v>1984.1503149267185</v>
      </c>
      <c r="W165" s="82"/>
      <c r="X165" s="82"/>
      <c r="Y165" s="82">
        <f>IF(W158,W172,IF(Y158,Y172,V165))</f>
        <v>1984.1503149267185</v>
      </c>
      <c r="Z165" s="82"/>
      <c r="AA165" s="82"/>
      <c r="AB165" s="82">
        <f>IF(Z158,Z172,IF(AB158,AB172,Y165))</f>
        <v>1984.1503149267185</v>
      </c>
      <c r="AC165" s="82"/>
      <c r="AD165" s="82"/>
      <c r="AE165" s="82">
        <f>IF(AC158,AC172,IF(AE158,AE172,AB165))</f>
        <v>1984.1503149267185</v>
      </c>
      <c r="AF165" s="4"/>
      <c r="AG165" s="4"/>
      <c r="AJ165" s="4"/>
      <c r="AL165" s="4"/>
      <c r="AM165" s="4"/>
      <c r="AN165" s="4"/>
      <c r="AO165" s="4"/>
      <c r="AT165" s="77" t="str">
        <f>B165</f>
        <v>Intense 13 Elite Columbia</v>
      </c>
      <c r="AU165" s="77">
        <f>AE165</f>
        <v>1984.1503149267185</v>
      </c>
      <c r="AW165" s="81"/>
      <c r="BB165" s="81"/>
    </row>
    <row r="166" spans="1:54" s="77" customFormat="1" hidden="1" x14ac:dyDescent="0.2">
      <c r="A166" s="82">
        <v>3</v>
      </c>
      <c r="B166" s="82" t="str">
        <f>E97</f>
        <v>SC Midlands 13 Perf</v>
      </c>
      <c r="C166" s="82">
        <f>VLOOKUP(B166,AU$3:AY$12,3,FALSE)</f>
        <v>1856.0832418209029</v>
      </c>
      <c r="D166" s="82">
        <f>IF(B159,B172,IF(D159,D172,C166))</f>
        <v>1835.4923483658363</v>
      </c>
      <c r="E166" s="82"/>
      <c r="F166" s="82"/>
      <c r="G166" s="82">
        <f>IF(E159,E172,IF(G159,G172,D166))</f>
        <v>1835.4923483658363</v>
      </c>
      <c r="H166" s="82"/>
      <c r="I166" s="82"/>
      <c r="J166" s="82">
        <f>IF(H159,H172,IF(J159,J172,G166))</f>
        <v>1835.4923483658363</v>
      </c>
      <c r="K166" s="82"/>
      <c r="L166" s="82"/>
      <c r="M166" s="82">
        <f>IF(K159,K172,IF(M159,M172,J166))</f>
        <v>1841.8675665517453</v>
      </c>
      <c r="N166" s="82"/>
      <c r="O166" s="82"/>
      <c r="P166" s="82">
        <f>IF(N159,N172,IF(P159,P172,M166))</f>
        <v>1873.1026493351276</v>
      </c>
      <c r="Q166" s="82"/>
      <c r="R166" s="82"/>
      <c r="S166" s="82">
        <f>IF(Q159,Q172,IF(S159,S172,P166))</f>
        <v>1873.1026493351276</v>
      </c>
      <c r="T166" s="82"/>
      <c r="U166" s="82"/>
      <c r="V166" s="82">
        <f>IF(T159,T172,IF(V159,V172,S166))</f>
        <v>1873.1026493351276</v>
      </c>
      <c r="W166" s="82"/>
      <c r="X166" s="82"/>
      <c r="Y166" s="82">
        <f>IF(W159,W172,IF(Y159,Y172,V166))</f>
        <v>1873.1026493351276</v>
      </c>
      <c r="Z166" s="82"/>
      <c r="AA166" s="82"/>
      <c r="AB166" s="82">
        <f>IF(Z159,Z172,IF(AB159,AB172,Y166))</f>
        <v>1873.1026493351276</v>
      </c>
      <c r="AC166" s="82"/>
      <c r="AD166" s="82"/>
      <c r="AE166" s="82">
        <f>IF(AC159,AC172,IF(AE159,AE172,AB166))</f>
        <v>1873.1026493351276</v>
      </c>
      <c r="AF166" s="4"/>
      <c r="AG166" s="4"/>
      <c r="AJ166" s="4"/>
      <c r="AL166" s="4"/>
      <c r="AM166" s="4"/>
      <c r="AN166" s="4"/>
      <c r="AO166" s="4"/>
      <c r="AT166" s="77" t="str">
        <f>B166</f>
        <v>SC Midlands 13 Perf</v>
      </c>
      <c r="AU166" s="77">
        <f>AE166</f>
        <v>1873.1026493351276</v>
      </c>
      <c r="AW166" s="81"/>
      <c r="BB166" s="81"/>
    </row>
    <row r="167" spans="1:54" s="77" customFormat="1" hidden="1" x14ac:dyDescent="0.2">
      <c r="A167" s="82">
        <v>4</v>
      </c>
      <c r="B167" s="82" t="str">
        <f>E99</f>
        <v>Fort Mill 13 Purple</v>
      </c>
      <c r="C167" s="82">
        <f>VLOOKUP(B167,AU$3:AY$12,3,FALSE)</f>
        <v>1846.0824249958619</v>
      </c>
      <c r="D167" s="82">
        <f>IF(B160,B172,IF(D160,D172,C167))</f>
        <v>1846.0824249958619</v>
      </c>
      <c r="E167" s="82"/>
      <c r="F167" s="82"/>
      <c r="G167" s="82">
        <f>IF(E160,E172,IF(G160,G172,D167))</f>
        <v>1826.7583284509819</v>
      </c>
      <c r="H167" s="82"/>
      <c r="I167" s="82"/>
      <c r="J167" s="82">
        <f>IF(H160,H172,IF(J160,J172,G167))</f>
        <v>1833.5610010707669</v>
      </c>
      <c r="K167" s="82"/>
      <c r="L167" s="82"/>
      <c r="M167" s="82">
        <f>IF(K160,K172,IF(M160,M172,J167))</f>
        <v>1833.5610010707669</v>
      </c>
      <c r="N167" s="82"/>
      <c r="O167" s="82"/>
      <c r="P167" s="82">
        <f>IF(N160,N172,IF(P160,P172,M167))</f>
        <v>1802.3259182873846</v>
      </c>
      <c r="Q167" s="82"/>
      <c r="R167" s="82"/>
      <c r="S167" s="82">
        <f>IF(Q160,Q172,IF(S160,S172,P167))</f>
        <v>1802.3259182873846</v>
      </c>
      <c r="T167" s="82"/>
      <c r="U167" s="82"/>
      <c r="V167" s="82">
        <f>IF(T160,T172,IF(V160,V172,S167))</f>
        <v>1802.3259182873846</v>
      </c>
      <c r="W167" s="82"/>
      <c r="X167" s="82"/>
      <c r="Y167" s="82">
        <f>IF(W160,W172,IF(Y160,Y172,V167))</f>
        <v>1802.3259182873846</v>
      </c>
      <c r="Z167" s="82"/>
      <c r="AA167" s="82"/>
      <c r="AB167" s="82">
        <f>IF(Z160,Z172,IF(AB160,AB172,Y167))</f>
        <v>1802.3259182873846</v>
      </c>
      <c r="AC167" s="82"/>
      <c r="AD167" s="82"/>
      <c r="AE167" s="82">
        <f>IF(AC160,AC172,IF(AE160,AE172,AB167))</f>
        <v>1802.3259182873846</v>
      </c>
      <c r="AF167" s="4"/>
      <c r="AG167" s="4"/>
      <c r="AJ167" s="4"/>
      <c r="AL167" s="4"/>
      <c r="AM167" s="4"/>
      <c r="AN167" s="4"/>
      <c r="AO167" s="4"/>
      <c r="AT167" s="77" t="str">
        <f>B167</f>
        <v>Fort Mill 13 Purple</v>
      </c>
      <c r="AU167" s="77">
        <f>AE167</f>
        <v>1802.3259182873846</v>
      </c>
      <c r="AW167" s="81"/>
      <c r="BB167" s="81"/>
    </row>
    <row r="168" spans="1:54" s="77" customFormat="1" hidden="1" x14ac:dyDescent="0.2">
      <c r="A168" s="82">
        <v>5</v>
      </c>
      <c r="B168" s="82">
        <f>E101</f>
        <v>0</v>
      </c>
      <c r="C168" s="82" t="e">
        <f>VLOOKUP(B168,AU$3:AY$12,3,FALSE)</f>
        <v>#N/A</v>
      </c>
      <c r="D168" s="82" t="e">
        <f>IF(B161,B172,IF(D161,D172,C168))</f>
        <v>#N/A</v>
      </c>
      <c r="E168" s="82"/>
      <c r="F168" s="82"/>
      <c r="G168" s="82" t="e">
        <f>IF(E161,E172,IF(G161,G172,D168))</f>
        <v>#N/A</v>
      </c>
      <c r="H168" s="82"/>
      <c r="I168" s="82"/>
      <c r="J168" s="82" t="e">
        <f>IF(H161,H172,IF(J161,J172,G168))</f>
        <v>#N/A</v>
      </c>
      <c r="K168" s="82"/>
      <c r="L168" s="82"/>
      <c r="M168" s="82" t="e">
        <f>IF(K161,K172,IF(M161,M172,J168))</f>
        <v>#N/A</v>
      </c>
      <c r="N168" s="82"/>
      <c r="O168" s="82"/>
      <c r="P168" s="82" t="e">
        <f>IF(N161,N172,IF(P161,P172,M168))</f>
        <v>#N/A</v>
      </c>
      <c r="Q168" s="82"/>
      <c r="R168" s="82"/>
      <c r="S168" s="82" t="e">
        <f>IF(Q161,Q172,IF(S161,S172,P168))</f>
        <v>#N/A</v>
      </c>
      <c r="T168" s="82"/>
      <c r="U168" s="82"/>
      <c r="V168" s="82" t="e">
        <f>IF(T161,T172,IF(V161,V172,S168))</f>
        <v>#N/A</v>
      </c>
      <c r="W168" s="82"/>
      <c r="X168" s="82"/>
      <c r="Y168" s="82" t="e">
        <f>IF(W161,W172,IF(Y161,Y172,V168))</f>
        <v>#N/A</v>
      </c>
      <c r="Z168" s="82"/>
      <c r="AA168" s="82"/>
      <c r="AB168" s="82" t="e">
        <f>IF(Z161,Z172,IF(AB161,AB172,Y168))</f>
        <v>#N/A</v>
      </c>
      <c r="AC168" s="82"/>
      <c r="AD168" s="82"/>
      <c r="AE168" s="82" t="e">
        <f>IF(AC161,AC172,IF(AE161,AE172,AB168))</f>
        <v>#N/A</v>
      </c>
      <c r="AF168" s="4"/>
      <c r="AG168" s="4"/>
      <c r="AJ168" s="4"/>
      <c r="AL168" s="4"/>
      <c r="AM168" s="4"/>
      <c r="AN168" s="4"/>
      <c r="AO168" s="4"/>
      <c r="AT168" s="77">
        <f>B168</f>
        <v>0</v>
      </c>
      <c r="AU168" s="77" t="e">
        <f>AE168</f>
        <v>#N/A</v>
      </c>
      <c r="AW168" s="81"/>
      <c r="BB168" s="81"/>
    </row>
    <row r="169" spans="1:54" s="77" customFormat="1" hidden="1" x14ac:dyDescent="0.2">
      <c r="A169" s="82"/>
      <c r="B169" s="82"/>
      <c r="C169" s="82"/>
      <c r="D169" s="82"/>
      <c r="E169" s="82"/>
      <c r="F169" s="82"/>
      <c r="G169" s="82"/>
      <c r="H169" s="82"/>
      <c r="I169" s="82"/>
      <c r="J169" s="82"/>
      <c r="K169" s="82"/>
      <c r="L169" s="82"/>
      <c r="M169" s="82"/>
      <c r="N169" s="82"/>
      <c r="O169" s="82"/>
      <c r="P169" s="82"/>
      <c r="Q169" s="82"/>
      <c r="R169" s="82"/>
      <c r="S169" s="82"/>
      <c r="T169" s="82"/>
      <c r="U169" s="82"/>
      <c r="V169" s="82"/>
      <c r="W169" s="82"/>
      <c r="X169" s="82"/>
      <c r="Y169" s="82"/>
      <c r="Z169" s="82"/>
      <c r="AA169" s="82"/>
      <c r="AB169" s="82"/>
      <c r="AC169" s="82"/>
      <c r="AD169" s="82"/>
      <c r="AE169" s="82"/>
      <c r="AF169" s="4"/>
      <c r="AG169" s="4"/>
      <c r="AJ169" s="4"/>
      <c r="AL169" s="4"/>
      <c r="AM169" s="4"/>
      <c r="AN169" s="4"/>
      <c r="AO169" s="4"/>
      <c r="AW169" s="81"/>
      <c r="BB169" s="81"/>
    </row>
    <row r="170" spans="1:54" s="77" customFormat="1" hidden="1" x14ac:dyDescent="0.2">
      <c r="A170" s="82" t="s">
        <v>110</v>
      </c>
      <c r="B170" s="82">
        <f>VLOOKUP(B109,$A164:$AE168,3,FALSE)</f>
        <v>1985.6455041357583</v>
      </c>
      <c r="C170" s="82">
        <v>1</v>
      </c>
      <c r="D170" s="82">
        <f>VLOOKUP(D109,$A164:$AE168,3,FALSE)</f>
        <v>1856.0832418209029</v>
      </c>
      <c r="E170" s="82">
        <f>VLOOKUP(E109,$A164:$AE168,4,FALSE)</f>
        <v>1991.6720830602626</v>
      </c>
      <c r="F170" s="82">
        <v>2</v>
      </c>
      <c r="G170" s="82">
        <f>VLOOKUP(G109,$A164:$AE168,4,FALSE)</f>
        <v>1846.0824249958619</v>
      </c>
      <c r="H170" s="82">
        <f>VLOOKUP(H109,$A164:$AE168,7,FALSE)</f>
        <v>2006.2363975908249</v>
      </c>
      <c r="I170" s="82">
        <v>3</v>
      </c>
      <c r="J170" s="82">
        <f>VLOOKUP(J109,$A164:$AE168,7,FALSE)</f>
        <v>1826.7583284509819</v>
      </c>
      <c r="K170" s="82">
        <f>VLOOKUP(K109,$A164:$AE168,10,FALSE)</f>
        <v>2010.9961796051425</v>
      </c>
      <c r="L170" s="82">
        <v>4</v>
      </c>
      <c r="M170" s="82">
        <f>VLOOKUP(M109,$A164:$AE168,10,FALSE)</f>
        <v>1835.4923483658363</v>
      </c>
      <c r="N170" s="82">
        <f>VLOOKUP(N109,$A164:$AE168,13,FALSE)</f>
        <v>1841.8675665517453</v>
      </c>
      <c r="O170" s="82">
        <v>5</v>
      </c>
      <c r="P170" s="82">
        <f>VLOOKUP(P109,$A164:$AE168,13,FALSE)</f>
        <v>1833.5610010707669</v>
      </c>
      <c r="Q170" s="82">
        <f>VLOOKUP(Q109,$A164:$AE168,16,FALSE)</f>
        <v>2004.6209614192335</v>
      </c>
      <c r="R170" s="82">
        <v>6</v>
      </c>
      <c r="S170" s="82">
        <f>VLOOKUP(S109,$A164:$AE168,16,FALSE)</f>
        <v>1999.43372497104</v>
      </c>
      <c r="T170" s="82">
        <f>VLOOKUP(T109,$A164:$AE168,19,FALSE)</f>
        <v>1984.1503149267185</v>
      </c>
      <c r="U170" s="82">
        <v>7</v>
      </c>
      <c r="V170" s="82">
        <f>VLOOKUP(V109,$A164:$AE168,19,FALSE)</f>
        <v>1873.1026493351276</v>
      </c>
      <c r="W170" s="82">
        <f>VLOOKUP(W109,$A164:$AE168,22,FALSE)</f>
        <v>2019.904371463555</v>
      </c>
      <c r="X170" s="82">
        <v>8</v>
      </c>
      <c r="Y170" s="82" t="e">
        <f>VLOOKUP(Y109,$A164:$AE168,22,FALSE)</f>
        <v>#N/A</v>
      </c>
      <c r="Z170" s="82">
        <f>VLOOKUP(Z109,$A164:$AE168,25,FALSE)</f>
        <v>1873.1026493351276</v>
      </c>
      <c r="AA170" s="82">
        <v>9</v>
      </c>
      <c r="AB170" s="82">
        <f>VLOOKUP(AB109,$A164:$AE168,25,FALSE)</f>
        <v>1802.3259182873846</v>
      </c>
      <c r="AC170" s="82">
        <f>VLOOKUP(AC109,$A164:$AE168,28,FALSE)</f>
        <v>2019.904371463555</v>
      </c>
      <c r="AD170" s="82">
        <v>10</v>
      </c>
      <c r="AE170" s="82">
        <f>VLOOKUP(AE109,$A164:$AE168,28,FALSE)</f>
        <v>1984.1503149267185</v>
      </c>
      <c r="AF170" s="4"/>
      <c r="AG170" s="75"/>
      <c r="AH170" s="75"/>
      <c r="AI170" s="75"/>
      <c r="AJ170" s="75"/>
      <c r="AK170" s="75"/>
      <c r="AL170" s="75"/>
      <c r="AM170" s="75"/>
      <c r="AN170" s="76"/>
      <c r="AO170" s="76"/>
      <c r="AP170" s="76"/>
      <c r="AQ170" s="76"/>
      <c r="AW170" s="81"/>
      <c r="BB170" s="81"/>
    </row>
    <row r="171" spans="1:54" s="87" customFormat="1" hidden="1" x14ac:dyDescent="0.2">
      <c r="A171" s="83" t="s">
        <v>111</v>
      </c>
      <c r="B171" s="83">
        <f>1/(1+(10^-((B170-D170)/400)))*(B121+D121)</f>
        <v>1.3565345795291681</v>
      </c>
      <c r="C171" s="83"/>
      <c r="D171" s="83">
        <f>1/(1+(10^-((D170-B170)/400)))*(B121+D121)</f>
        <v>0.64346542047083188</v>
      </c>
      <c r="E171" s="83">
        <f>1/(1+(10^-((E170-G170)/400)))*(E121+G121)</f>
        <v>1.3961219829724998</v>
      </c>
      <c r="F171" s="83"/>
      <c r="G171" s="83">
        <f>1/(1+(10^-((G170-E170)/400)))*(E121+G121)</f>
        <v>0.60387801702750032</v>
      </c>
      <c r="H171" s="83">
        <f>1/(1+(10^-((H170-J170)/400)))*(H121+J121)</f>
        <v>2.2125835193682817</v>
      </c>
      <c r="I171" s="83"/>
      <c r="J171" s="83">
        <f>1/(1+(10^-((J170-H170)/400)))*(H121+J121)</f>
        <v>0.7874164806317181</v>
      </c>
      <c r="K171" s="83">
        <f>1/(1+(10^-((K170-M170)/400)))*(K121+M121)</f>
        <v>2.1992255683096604</v>
      </c>
      <c r="L171" s="83"/>
      <c r="M171" s="83">
        <f>1/(1+(10^-((M170-K170)/400)))*(K121+M121)</f>
        <v>0.80077443169033957</v>
      </c>
      <c r="N171" s="83">
        <f>1/(1+(10^-((N170-P170)/400)))*(N121+P121)</f>
        <v>1.0239036630193037</v>
      </c>
      <c r="O171" s="83"/>
      <c r="P171" s="83">
        <f>1/(1+(10^-((P170-N170)/400)))*(N121+P121)</f>
        <v>0.97609633698069631</v>
      </c>
      <c r="Q171" s="83">
        <f>1/(1+(10^-((Q170-S170)/400)))*(Q121+S121)</f>
        <v>1.5223934361149518</v>
      </c>
      <c r="R171" s="83"/>
      <c r="S171" s="83">
        <f>1/(1+(10^-((S170-Q170)/400)))*(Q121+S121)</f>
        <v>1.4776065638850482</v>
      </c>
      <c r="T171" s="83">
        <f>1/(1+(10^-((T170-V170)/400)))*(T121+V121)</f>
        <v>0</v>
      </c>
      <c r="U171" s="83"/>
      <c r="V171" s="83">
        <f>1/(1+(10^-((V170-T170)/400)))*(T121+V121)</f>
        <v>0</v>
      </c>
      <c r="W171" s="83" t="e">
        <f>1/(1+(10^-((W170-Y170)/400)))*(W121+Y121)</f>
        <v>#N/A</v>
      </c>
      <c r="X171" s="83"/>
      <c r="Y171" s="83" t="e">
        <f>1/(1+(10^-((Y170-W170)/400)))*(W121+Y121)</f>
        <v>#N/A</v>
      </c>
      <c r="Z171" s="83">
        <f>1/(1+(10^-((Z170-AB170)/400)))*(Z121+AB121)</f>
        <v>0</v>
      </c>
      <c r="AA171" s="83"/>
      <c r="AB171" s="83">
        <f>1/(1+(10^-((AB170-Z170)/400)))*(Z121+AB121)</f>
        <v>0</v>
      </c>
      <c r="AC171" s="83">
        <f>1/(1+(10^-((AC170-AE170)/400)))*(AC121+AE121)</f>
        <v>0</v>
      </c>
      <c r="AD171" s="83"/>
      <c r="AE171" s="83">
        <f>1/(1+(10^-((AE170-AC170)/400)))*(AC121+AE121)</f>
        <v>0</v>
      </c>
      <c r="AF171" s="84"/>
      <c r="AG171" s="85"/>
      <c r="AH171" s="85"/>
      <c r="AI171" s="85"/>
      <c r="AJ171" s="85"/>
      <c r="AK171" s="85"/>
      <c r="AL171" s="85"/>
      <c r="AM171" s="85"/>
      <c r="AN171" s="86"/>
      <c r="AO171" s="86"/>
      <c r="AP171" s="86"/>
      <c r="AQ171" s="86"/>
      <c r="AW171" s="88"/>
      <c r="BB171" s="88"/>
    </row>
    <row r="172" spans="1:54" s="93" customFormat="1" hidden="1" x14ac:dyDescent="0.2">
      <c r="A172" s="89" t="s">
        <v>112</v>
      </c>
      <c r="B172" s="89">
        <f>B170+(B121-B171)*$BA$1</f>
        <v>2006.2363975908249</v>
      </c>
      <c r="C172" s="89"/>
      <c r="D172" s="89">
        <f>D170+(D121-D171)*$BA$1</f>
        <v>1835.4923483658363</v>
      </c>
      <c r="E172" s="89">
        <f>E170+(E121-E171)*$BA$1</f>
        <v>2010.9961796051425</v>
      </c>
      <c r="F172" s="89"/>
      <c r="G172" s="89">
        <f>G170+(G121-G171)*$BA$1</f>
        <v>1826.7583284509819</v>
      </c>
      <c r="H172" s="89">
        <f>H170+(H121-H171)*$BA$1</f>
        <v>1999.43372497104</v>
      </c>
      <c r="I172" s="89"/>
      <c r="J172" s="89">
        <f>J170+(J121-J171)*$BA$1</f>
        <v>1833.5610010707669</v>
      </c>
      <c r="K172" s="89">
        <f>K170+(K121-K171)*$BA$1</f>
        <v>2004.6209614192335</v>
      </c>
      <c r="L172" s="89"/>
      <c r="M172" s="89">
        <f>M170+(M121-M171)*$BA$1</f>
        <v>1841.8675665517453</v>
      </c>
      <c r="N172" s="89">
        <f>N170+(N121-N171)*$BA$1</f>
        <v>1873.1026493351276</v>
      </c>
      <c r="O172" s="89"/>
      <c r="P172" s="89">
        <f>P170+(P121-P171)*$BA$1</f>
        <v>1802.3259182873846</v>
      </c>
      <c r="Q172" s="89">
        <f>Q170+(Q121-Q171)*$BA$1</f>
        <v>2019.904371463555</v>
      </c>
      <c r="R172" s="89"/>
      <c r="S172" s="89">
        <f>S170+(S121-S171)*$BA$1</f>
        <v>1984.1503149267185</v>
      </c>
      <c r="T172" s="89">
        <f>T170+(T121-T171)*$BA$1</f>
        <v>1984.1503149267185</v>
      </c>
      <c r="U172" s="89"/>
      <c r="V172" s="89">
        <f>V170+(V121-V171)*$BA$1</f>
        <v>1873.1026493351276</v>
      </c>
      <c r="W172" s="89" t="e">
        <f>W170+(W121-W171)*$BA$1</f>
        <v>#N/A</v>
      </c>
      <c r="X172" s="89"/>
      <c r="Y172" s="89" t="e">
        <f>Y170+(Y121-Y171)*$BA$1</f>
        <v>#N/A</v>
      </c>
      <c r="Z172" s="89">
        <f>Z170+(Z121-Z171)*$BA$1</f>
        <v>1873.1026493351276</v>
      </c>
      <c r="AA172" s="89"/>
      <c r="AB172" s="89">
        <f>AB170+(AB121-AB171)*$BA$1</f>
        <v>1802.3259182873846</v>
      </c>
      <c r="AC172" s="89">
        <f>AC170+(AC121-AC171)*$BA$1</f>
        <v>2019.904371463555</v>
      </c>
      <c r="AD172" s="89"/>
      <c r="AE172" s="89">
        <f>AE170+(AE121-AE171)*$BA$1</f>
        <v>1984.1503149267185</v>
      </c>
      <c r="AF172" s="90"/>
      <c r="AG172" s="91"/>
      <c r="AH172" s="91"/>
      <c r="AI172" s="91"/>
      <c r="AJ172" s="91"/>
      <c r="AK172" s="91"/>
      <c r="AL172" s="91"/>
      <c r="AM172" s="91"/>
      <c r="AN172" s="92"/>
      <c r="AO172" s="92"/>
      <c r="AP172" s="92"/>
      <c r="AQ172" s="92"/>
      <c r="AW172" s="94"/>
      <c r="BB172" s="94"/>
    </row>
    <row r="173" spans="1:54" s="93" customFormat="1" hidden="1" x14ac:dyDescent="0.2">
      <c r="A173" s="89"/>
      <c r="B173" s="89"/>
      <c r="C173" s="89"/>
      <c r="D173" s="89"/>
      <c r="E173" s="89"/>
      <c r="F173" s="89"/>
      <c r="G173" s="89"/>
      <c r="H173" s="89"/>
      <c r="I173" s="89"/>
      <c r="J173" s="89"/>
      <c r="K173" s="89"/>
      <c r="L173" s="89"/>
      <c r="M173" s="89"/>
      <c r="N173" s="89"/>
      <c r="O173" s="89"/>
      <c r="P173" s="89"/>
      <c r="Q173" s="89"/>
      <c r="R173" s="89"/>
      <c r="S173" s="89"/>
      <c r="T173" s="89"/>
      <c r="U173" s="89"/>
      <c r="V173" s="89"/>
      <c r="W173" s="89"/>
      <c r="X173" s="89"/>
      <c r="Y173" s="89"/>
      <c r="Z173" s="89"/>
      <c r="AA173" s="89"/>
      <c r="AB173" s="89"/>
      <c r="AC173" s="89"/>
      <c r="AD173" s="89"/>
      <c r="AE173" s="89"/>
      <c r="AF173" s="90"/>
      <c r="AG173" s="91"/>
      <c r="AH173" s="91"/>
      <c r="AI173" s="91"/>
      <c r="AJ173" s="91"/>
      <c r="AK173" s="91"/>
      <c r="AL173" s="91"/>
      <c r="AM173" s="91"/>
      <c r="AN173" s="92"/>
      <c r="AO173" s="92"/>
      <c r="AP173" s="92"/>
      <c r="AQ173" s="92"/>
      <c r="AW173" s="94"/>
      <c r="BB173" s="94"/>
    </row>
    <row r="174" spans="1:54" s="77" customFormat="1" x14ac:dyDescent="0.2">
      <c r="A174" s="281" t="str">
        <f>IF($AK95=1,"Pool Tiereaker : 1) Matches Won vs Lost (if 3 way tie then #4)  2) Head to Head  3) Game Win %  4) Total Pool Net Points  5) Flip a Coin","Pool Tiebreaker : 1) Games Won vs Lost (if 3 way tie then #5)  2) Head to Head  3) Head to Head Net Points  4) Game Win %  5) Total Pool Net Points  6) Flip a Coin")</f>
        <v>Pool Tiereaker : 1) Matches Won vs Lost (if 3 way tie then #4)  2) Head to Head  3) Game Win %  4) Total Pool Net Points  5) Flip a Coin</v>
      </c>
      <c r="B174" s="281"/>
      <c r="C174" s="281"/>
      <c r="D174" s="281"/>
      <c r="E174" s="281"/>
      <c r="F174" s="281"/>
      <c r="G174" s="281"/>
      <c r="H174" s="281"/>
      <c r="I174" s="281"/>
      <c r="J174" s="281"/>
      <c r="K174" s="281"/>
      <c r="L174" s="281"/>
      <c r="M174" s="281"/>
      <c r="N174" s="281"/>
      <c r="O174" s="281"/>
      <c r="P174" s="281"/>
      <c r="Q174" s="281"/>
      <c r="R174" s="281"/>
      <c r="S174" s="281"/>
      <c r="T174" s="281"/>
      <c r="U174" s="281"/>
      <c r="V174" s="281"/>
      <c r="W174" s="281"/>
      <c r="X174" s="281"/>
      <c r="Y174" s="281"/>
      <c r="Z174" s="281"/>
      <c r="AA174" s="281"/>
      <c r="AB174" s="281"/>
      <c r="AC174" s="281"/>
      <c r="AD174" s="281"/>
      <c r="AE174" s="281"/>
      <c r="AF174" s="281"/>
      <c r="AG174" s="281"/>
      <c r="AH174" s="281"/>
      <c r="AI174" s="281"/>
      <c r="AJ174" s="281"/>
      <c r="AK174" s="281"/>
      <c r="AL174" s="281"/>
      <c r="AM174" s="259"/>
      <c r="AN174" s="259"/>
      <c r="AO174" s="259"/>
      <c r="AP174" s="259"/>
    </row>
    <row r="175" spans="1:54" s="77" customFormat="1" x14ac:dyDescent="0.2">
      <c r="A175" s="282"/>
      <c r="B175" s="282"/>
      <c r="C175" s="282"/>
      <c r="D175" s="282"/>
      <c r="E175" s="282"/>
      <c r="F175" s="282"/>
      <c r="G175" s="282"/>
      <c r="H175" s="282"/>
      <c r="I175" s="282"/>
      <c r="J175" s="282"/>
      <c r="K175" s="282"/>
      <c r="L175" s="282"/>
      <c r="M175" s="282"/>
      <c r="N175" s="282"/>
      <c r="O175" s="282"/>
      <c r="P175" s="282"/>
      <c r="Q175" s="282"/>
      <c r="R175" s="282"/>
      <c r="S175" s="282"/>
      <c r="T175" s="282"/>
      <c r="U175" s="282"/>
      <c r="V175" s="282"/>
      <c r="W175" s="282"/>
      <c r="X175" s="282"/>
      <c r="Y175" s="282"/>
      <c r="Z175" s="282"/>
      <c r="AA175" s="282"/>
      <c r="AB175" s="282"/>
      <c r="AC175" s="282"/>
      <c r="AD175" s="282"/>
      <c r="AE175" s="282"/>
      <c r="AF175" s="282"/>
      <c r="AG175" s="282"/>
      <c r="AH175" s="282"/>
      <c r="AI175" s="282"/>
      <c r="AJ175" s="282"/>
      <c r="AK175" s="282"/>
      <c r="AL175" s="282"/>
      <c r="AM175" s="282"/>
      <c r="AN175" s="282"/>
      <c r="AO175" s="282"/>
      <c r="AP175" s="282"/>
      <c r="AQ175" s="282"/>
    </row>
    <row r="176" spans="1:54" ht="21" thickBot="1" x14ac:dyDescent="0.35">
      <c r="A176" s="271" t="s">
        <v>114</v>
      </c>
      <c r="B176" s="271"/>
      <c r="C176" s="271"/>
      <c r="D176" s="271"/>
      <c r="E176" s="271"/>
      <c r="F176" s="271"/>
      <c r="G176" s="271"/>
      <c r="H176" s="271"/>
      <c r="I176" s="271"/>
      <c r="J176" s="271"/>
      <c r="K176" s="271"/>
      <c r="L176" s="271"/>
      <c r="M176" s="271"/>
      <c r="N176" s="271"/>
      <c r="O176" s="271"/>
      <c r="P176" s="271"/>
      <c r="Q176" s="271"/>
      <c r="R176" s="271"/>
      <c r="S176" s="271"/>
      <c r="T176" s="271"/>
      <c r="U176" s="271"/>
      <c r="V176" s="271"/>
      <c r="W176" s="271"/>
      <c r="X176" s="271"/>
      <c r="Y176" s="271"/>
      <c r="Z176" s="271"/>
      <c r="AA176" s="271"/>
      <c r="AB176" s="271"/>
      <c r="AC176" s="271"/>
      <c r="AD176" s="271"/>
      <c r="AE176" s="271"/>
      <c r="AF176" s="271"/>
      <c r="AG176" s="271"/>
      <c r="AH176" s="271"/>
      <c r="AI176" s="271"/>
      <c r="AJ176" s="271"/>
      <c r="AK176" s="271"/>
      <c r="AL176" s="271"/>
      <c r="AM176" s="271"/>
      <c r="AN176" s="271"/>
      <c r="AO176" s="271"/>
      <c r="AP176" s="271"/>
      <c r="AQ176" s="271"/>
    </row>
    <row r="177" spans="1:53" ht="13.5" thickBot="1" x14ac:dyDescent="0.25">
      <c r="A177" s="272" t="s">
        <v>115</v>
      </c>
      <c r="B177" s="274" t="s">
        <v>116</v>
      </c>
      <c r="C177" s="275"/>
      <c r="D177" s="275"/>
      <c r="E177" s="275"/>
      <c r="F177" s="275"/>
      <c r="G177" s="275"/>
      <c r="H177" s="275"/>
      <c r="I177" s="275"/>
      <c r="J177" s="275"/>
      <c r="K177" s="276"/>
      <c r="L177" s="274" t="s">
        <v>117</v>
      </c>
      <c r="M177" s="275"/>
      <c r="N177" s="275"/>
      <c r="O177" s="275"/>
      <c r="P177" s="275"/>
      <c r="Q177" s="275"/>
      <c r="R177" s="275"/>
      <c r="S177" s="275"/>
      <c r="T177" s="275"/>
      <c r="U177" s="276"/>
      <c r="V177" s="274" t="s">
        <v>118</v>
      </c>
      <c r="W177" s="275"/>
      <c r="X177" s="275"/>
      <c r="Y177" s="275"/>
      <c r="Z177" s="275"/>
      <c r="AA177" s="275"/>
      <c r="AB177" s="275"/>
      <c r="AC177" s="275"/>
      <c r="AD177" s="275"/>
      <c r="AE177" s="276"/>
      <c r="AF177" s="274" t="s">
        <v>119</v>
      </c>
      <c r="AG177" s="275"/>
      <c r="AH177" s="275"/>
      <c r="AI177" s="275"/>
      <c r="AJ177" s="275"/>
      <c r="AK177" s="275"/>
      <c r="AL177" s="275"/>
      <c r="AM177" s="275"/>
      <c r="AN177" s="275"/>
      <c r="AO177" s="276"/>
    </row>
    <row r="178" spans="1:53" ht="13.5" thickBot="1" x14ac:dyDescent="0.25">
      <c r="A178" s="273"/>
      <c r="B178" s="268" t="s">
        <v>10</v>
      </c>
      <c r="C178" s="269"/>
      <c r="D178" s="269"/>
      <c r="E178" s="269"/>
      <c r="F178" s="269"/>
      <c r="G178" s="270"/>
      <c r="H178" s="268" t="s">
        <v>120</v>
      </c>
      <c r="I178" s="269"/>
      <c r="J178" s="269"/>
      <c r="K178" s="270"/>
      <c r="L178" s="268" t="s">
        <v>10</v>
      </c>
      <c r="M178" s="269"/>
      <c r="N178" s="269"/>
      <c r="O178" s="269"/>
      <c r="P178" s="269"/>
      <c r="Q178" s="270"/>
      <c r="R178" s="268" t="s">
        <v>120</v>
      </c>
      <c r="S178" s="269"/>
      <c r="T178" s="269"/>
      <c r="U178" s="270"/>
      <c r="V178" s="268" t="s">
        <v>10</v>
      </c>
      <c r="W178" s="269"/>
      <c r="X178" s="269"/>
      <c r="Y178" s="269"/>
      <c r="Z178" s="269"/>
      <c r="AA178" s="270"/>
      <c r="AB178" s="268" t="s">
        <v>120</v>
      </c>
      <c r="AC178" s="269"/>
      <c r="AD178" s="269"/>
      <c r="AE178" s="270"/>
      <c r="AF178" s="268" t="s">
        <v>10</v>
      </c>
      <c r="AG178" s="269"/>
      <c r="AH178" s="269"/>
      <c r="AI178" s="269"/>
      <c r="AJ178" s="269"/>
      <c r="AK178" s="270"/>
      <c r="AL178" s="268" t="s">
        <v>120</v>
      </c>
      <c r="AM178" s="269"/>
      <c r="AN178" s="269"/>
      <c r="AO178" s="270"/>
    </row>
    <row r="179" spans="1:53" x14ac:dyDescent="0.2">
      <c r="A179" s="97" t="s">
        <v>121</v>
      </c>
      <c r="B179" s="260" t="str">
        <f>IF($AF$8=1,$E$8,IF($AF$10=1,$E$10,IF($AF$12=1,$E$12,IF($AF$14=1,$E$14,IF($AF$16=1,$E$16,"1st Place "&amp;$A179)))))</f>
        <v>Crossfire 13 Power</v>
      </c>
      <c r="C179" s="261"/>
      <c r="D179" s="261"/>
      <c r="E179" s="261"/>
      <c r="F179" s="261"/>
      <c r="G179" s="261"/>
      <c r="H179" s="262" t="str">
        <f>IF($AF$8=1,$E$9,IF($AF$10=1,$E$11,IF($AF$12=1,$E$13,IF($AF$14=1,$E$15,IF($AF$16=1,$E$17,"1st Place "&amp;$A179)))))</f>
        <v>fj3crosf1pm</v>
      </c>
      <c r="I179" s="262"/>
      <c r="J179" s="262"/>
      <c r="K179" s="263"/>
      <c r="L179" s="260" t="str">
        <f>IF($AF$8=2,$E$8,IF($AF$10=2,$E$10,IF($AF$12=2,$E$12,IF($AF$14=2,$E$14,IF($AF$16=2,$E$16,"2nd Place "&amp;$A179)))))</f>
        <v>C1VB 13 Power Grvl</v>
      </c>
      <c r="M179" s="261"/>
      <c r="N179" s="261"/>
      <c r="O179" s="261"/>
      <c r="P179" s="261"/>
      <c r="Q179" s="261"/>
      <c r="R179" s="262" t="str">
        <f>IF($AF$8=2,$E$9,IF($AF$10=2,$E$11,IF($AF$12=2,$E$13,IF($AF$14=2,$E$15,IF($AF$16=2,$E$17,"2nd Place "&amp;$A179)))))</f>
        <v>fj3crone2pm</v>
      </c>
      <c r="S179" s="262"/>
      <c r="T179" s="262"/>
      <c r="U179" s="263"/>
      <c r="V179" s="260" t="str">
        <f>IF($AF$8=3,$E$8,IF($AF$10=3,$E$10,IF($AF$12=3,$E$12,IF($AF$14=3,$E$14,IF($AF$16=3,$E$16,"3rd Place "&amp;$A179)))))</f>
        <v xml:space="preserve">CSRA Heat 14 Black </v>
      </c>
      <c r="W179" s="261"/>
      <c r="X179" s="261"/>
      <c r="Y179" s="261"/>
      <c r="Z179" s="261"/>
      <c r="AA179" s="261"/>
      <c r="AB179" s="262" t="str">
        <f>IF($AF$8=3,$E$9,IF($AF$10=3,$E$11,IF($AF$12=3,$E$13,IF($AF$14=3,$E$15,IF($AF$16=3,$E$17,"3rd Place "&amp;$A179)))))</f>
        <v>fj4csrah3pm</v>
      </c>
      <c r="AC179" s="262"/>
      <c r="AD179" s="262"/>
      <c r="AE179" s="263"/>
      <c r="AF179" s="260" t="str">
        <f>IF($AF$8=4,$E$8,IF($AF$10=4,$E$10,IF($AF$12=4,$E$12,IF($AF$14=4,$E$14,IF($AF$16=4,$E$16,"4th Place "&amp;$A179)))))</f>
        <v>Chas Jrs 13 Red</v>
      </c>
      <c r="AG179" s="261"/>
      <c r="AH179" s="261"/>
      <c r="AI179" s="261"/>
      <c r="AJ179" s="261"/>
      <c r="AK179" s="261"/>
      <c r="AL179" s="262" t="str">
        <f>IF($AF$8=4,$E$9,IF($AF$10=4,$E$11,IF($AF$12=4,$E$13,IF($AF$14=4,$E$15,IF($AF$16=4,$E$17,"4th Place "&amp;$A179)))))</f>
        <v>fj3charl1pm</v>
      </c>
      <c r="AM179" s="262"/>
      <c r="AN179" s="262"/>
      <c r="AO179" s="263"/>
    </row>
    <row r="180" spans="1:53" ht="13.5" thickBot="1" x14ac:dyDescent="0.25">
      <c r="A180" s="98" t="s">
        <v>122</v>
      </c>
      <c r="B180" s="264" t="str">
        <f>IF($AF$93=1,$E$93,IF($AF$95=1,$E$95,IF($AF$97=1,$E$97,IF($AF$99=1,$E$99,IF($AF$101=1,$E$101,"1st Place "&amp;$A180)))))</f>
        <v>CSRA Heat 13 Gold</v>
      </c>
      <c r="C180" s="265"/>
      <c r="D180" s="265"/>
      <c r="E180" s="265"/>
      <c r="F180" s="265"/>
      <c r="G180" s="265"/>
      <c r="H180" s="266" t="str">
        <f>IF($AF$93=1,$E$94,IF($AF$95=1,$E$96,IF($AF$97=1,$E$98,IF($AF$99=1,$E$100,IF($AF$101=1,$E$102,"1st Place "&amp;$A180)))))</f>
        <v>fj3csrah1pm</v>
      </c>
      <c r="I180" s="266"/>
      <c r="J180" s="266"/>
      <c r="K180" s="267"/>
      <c r="L180" s="264" t="str">
        <f>IF($AF$93=2,$E$93,IF($AF$95=2,$E$95,IF($AF$97=2,$E$97,IF($AF$99=2,$E$99,IF($AF$101=2,$E$101,"2nd Place "&amp;$A180)))))</f>
        <v>Intense 13 Elite Columbia</v>
      </c>
      <c r="M180" s="265"/>
      <c r="N180" s="265"/>
      <c r="O180" s="265"/>
      <c r="P180" s="265"/>
      <c r="Q180" s="265"/>
      <c r="R180" s="266" t="str">
        <f>IF($AF$93=2,$E$94,IF($AF$95=2,$E$96,IF($AF$97=2,$E$98,IF($AF$99=2,$E$100,IF($AF$101=2,$E$102,"2nd Place "&amp;$A180)))))</f>
        <v>fj3inten1pm</v>
      </c>
      <c r="S180" s="266"/>
      <c r="T180" s="266"/>
      <c r="U180" s="267"/>
      <c r="V180" s="264" t="str">
        <f>IF($AF$93=3,$E$93,IF($AF$95=3,$E$95,IF($AF$97=3,$E$97,IF($AF$99=3,$E$99,IF($AF$101=3,$E$101,"3rd Place "&amp;$A180)))))</f>
        <v>SC Midlands 13 Perf</v>
      </c>
      <c r="W180" s="265"/>
      <c r="X180" s="265"/>
      <c r="Y180" s="265"/>
      <c r="Z180" s="265"/>
      <c r="AA180" s="265"/>
      <c r="AB180" s="266" t="str">
        <f>IF($AF$93=3,$E$94,IF($AF$95=3,$E$96,IF($AF$97=3,$E$98,IF($AF$99=3,$E$100,IF($AF$101=3,$E$102,"3rd Place "&amp;$A180)))))</f>
        <v>fj3scmid1pm</v>
      </c>
      <c r="AC180" s="266"/>
      <c r="AD180" s="266"/>
      <c r="AE180" s="267"/>
      <c r="AF180" s="264" t="str">
        <f>IF($AF$93=4,$E$93,IF($AF$95=4,$E$95,IF($AF$97=4,$E$97,IF($AF$99=4,$E$99,IF($AF$101=4,$E$101,"4th Place "&amp;$A180)))))</f>
        <v>Fort Mill 13 Purple</v>
      </c>
      <c r="AG180" s="265"/>
      <c r="AH180" s="265"/>
      <c r="AI180" s="265"/>
      <c r="AJ180" s="265"/>
      <c r="AK180" s="265"/>
      <c r="AL180" s="266" t="str">
        <f>IF($AF$93=4,$E$94,IF($AF$95=4,$E$96,IF($AF$97=4,$E$98,IF($AF$99=4,$E$100,IF($AF$101=4,$E$102,"4th Place "&amp;$A180)))))</f>
        <v>fj3fortm1pm</v>
      </c>
      <c r="AM180" s="266"/>
      <c r="AN180" s="266"/>
      <c r="AO180" s="267"/>
    </row>
    <row r="181" spans="1:53" s="3" customFormat="1" x14ac:dyDescent="0.2">
      <c r="A181" s="99"/>
      <c r="B181" s="100"/>
      <c r="C181" s="100"/>
      <c r="D181" s="100"/>
      <c r="E181" s="100"/>
      <c r="F181" s="100"/>
      <c r="G181" s="100"/>
      <c r="H181" s="100"/>
      <c r="I181" s="100"/>
      <c r="J181" s="100"/>
      <c r="K181" s="100"/>
      <c r="L181" s="100"/>
      <c r="M181" s="100"/>
      <c r="N181" s="100"/>
      <c r="O181" s="100"/>
      <c r="P181" s="100"/>
      <c r="Q181" s="100"/>
      <c r="R181" s="100"/>
      <c r="S181" s="100"/>
      <c r="T181" s="100"/>
      <c r="U181" s="100"/>
      <c r="V181" s="100"/>
      <c r="W181" s="100"/>
      <c r="X181" s="100"/>
      <c r="Y181" s="100"/>
      <c r="Z181" s="100"/>
      <c r="AA181" s="100"/>
      <c r="AB181" s="100"/>
      <c r="AC181" s="100"/>
      <c r="AD181" s="100"/>
      <c r="AE181" s="100"/>
      <c r="AF181" s="100"/>
      <c r="AG181" s="100"/>
      <c r="AH181" s="100"/>
      <c r="AI181" s="100"/>
      <c r="AJ181" s="100"/>
      <c r="AK181" s="100"/>
      <c r="AL181" s="100"/>
      <c r="AM181" s="100"/>
      <c r="AN181" s="100"/>
      <c r="AO181" s="100"/>
      <c r="AZ181" s="4"/>
      <c r="BA181" s="4"/>
    </row>
    <row r="182" spans="1:53" ht="15.75" x14ac:dyDescent="0.25">
      <c r="A182" s="255" t="s">
        <v>123</v>
      </c>
      <c r="B182" s="255"/>
      <c r="C182" s="255"/>
      <c r="D182" s="255"/>
      <c r="E182" s="255"/>
      <c r="F182" s="255"/>
      <c r="G182" s="255"/>
      <c r="H182" s="255"/>
      <c r="I182" s="255"/>
      <c r="J182" s="255"/>
      <c r="K182" s="255"/>
      <c r="L182" s="255"/>
      <c r="M182" s="255"/>
      <c r="N182" s="255"/>
      <c r="O182" s="255"/>
      <c r="P182" s="255"/>
      <c r="Q182" s="255"/>
      <c r="R182" s="255"/>
      <c r="S182" s="255"/>
      <c r="T182" s="255"/>
      <c r="U182" s="255"/>
      <c r="V182" s="255"/>
      <c r="W182" s="255"/>
      <c r="X182" s="255"/>
      <c r="Y182" s="255"/>
      <c r="Z182" s="255"/>
      <c r="AA182" s="255"/>
      <c r="AB182" s="255"/>
      <c r="AC182" s="255"/>
      <c r="AD182" s="255"/>
      <c r="AE182" s="255"/>
      <c r="AF182" s="255"/>
      <c r="AG182" s="255"/>
      <c r="AH182" s="255"/>
      <c r="AI182" s="255"/>
      <c r="AJ182" s="255"/>
      <c r="AK182" s="255"/>
      <c r="AL182" s="255"/>
      <c r="AM182" s="255"/>
      <c r="AN182" s="255"/>
      <c r="AO182" s="255"/>
      <c r="AP182" s="255"/>
      <c r="AQ182" s="255"/>
      <c r="AT182" s="101"/>
      <c r="AU182" s="101"/>
      <c r="AV182" s="101"/>
    </row>
    <row r="183" spans="1:53" ht="18" x14ac:dyDescent="0.25">
      <c r="A183" s="256" t="s">
        <v>124</v>
      </c>
      <c r="B183" s="256"/>
      <c r="C183" s="256"/>
      <c r="D183" s="256"/>
      <c r="E183" s="256"/>
      <c r="F183" s="256"/>
      <c r="G183" s="256"/>
      <c r="H183" s="256"/>
      <c r="I183" s="256"/>
      <c r="J183" s="256"/>
      <c r="K183" s="256"/>
      <c r="L183" s="256"/>
      <c r="M183" s="256"/>
      <c r="N183" s="256"/>
      <c r="O183" s="256"/>
      <c r="P183" s="256"/>
      <c r="Q183" s="256"/>
      <c r="R183" s="256"/>
      <c r="S183" s="256"/>
      <c r="T183" s="256"/>
      <c r="U183" s="256"/>
      <c r="V183" s="256"/>
      <c r="W183" s="256"/>
      <c r="X183" s="256"/>
      <c r="Y183" s="256"/>
      <c r="Z183" s="256"/>
      <c r="AA183" s="256"/>
      <c r="AB183" s="256"/>
      <c r="AC183" s="256"/>
      <c r="AD183" s="256"/>
      <c r="AE183" s="256"/>
      <c r="AF183" s="256"/>
      <c r="AG183" s="256"/>
      <c r="AH183" s="256"/>
      <c r="AI183" s="256"/>
      <c r="AJ183" s="256"/>
      <c r="AK183" s="256"/>
      <c r="AL183" s="256"/>
      <c r="AM183" s="256"/>
      <c r="AN183" s="256"/>
      <c r="AO183" s="256"/>
      <c r="AP183" s="256"/>
      <c r="AQ183" s="256"/>
    </row>
    <row r="184" spans="1:53" x14ac:dyDescent="0.2">
      <c r="A184" s="257" t="s">
        <v>125</v>
      </c>
      <c r="B184" s="257"/>
      <c r="C184" s="257"/>
      <c r="D184" s="257"/>
      <c r="E184" s="257"/>
      <c r="F184" s="257"/>
      <c r="G184" s="257"/>
      <c r="H184" s="257"/>
      <c r="I184" s="257"/>
      <c r="J184" s="257"/>
      <c r="K184" s="257"/>
      <c r="L184" s="257"/>
      <c r="M184" s="257"/>
      <c r="N184" s="257"/>
      <c r="O184" s="257"/>
      <c r="P184" s="257"/>
      <c r="Q184" s="257"/>
      <c r="R184" s="257"/>
      <c r="S184" s="257"/>
      <c r="T184" s="257"/>
      <c r="U184" s="257"/>
      <c r="V184" s="257"/>
      <c r="W184" s="257"/>
      <c r="X184" s="257"/>
      <c r="Y184" s="257"/>
      <c r="Z184" s="257"/>
      <c r="AA184" s="257"/>
      <c r="AB184" s="257"/>
      <c r="AC184" s="257"/>
      <c r="AD184" s="257"/>
      <c r="AE184" s="257"/>
      <c r="AF184" s="257"/>
      <c r="AG184" s="257"/>
      <c r="AH184" s="257"/>
      <c r="AI184" s="257"/>
      <c r="AJ184" s="257"/>
      <c r="AK184" s="257"/>
      <c r="AL184" s="257"/>
      <c r="AM184" s="257"/>
      <c r="AN184" s="257"/>
      <c r="AO184" s="257"/>
      <c r="AP184" s="257"/>
      <c r="AQ184" s="257"/>
    </row>
    <row r="185" spans="1:53" x14ac:dyDescent="0.2">
      <c r="A185" s="257"/>
      <c r="B185" s="257"/>
      <c r="C185" s="257"/>
      <c r="D185" s="257"/>
      <c r="E185" s="257"/>
      <c r="F185" s="257"/>
      <c r="G185" s="257"/>
      <c r="H185" s="257"/>
      <c r="I185" s="257"/>
      <c r="J185" s="257"/>
      <c r="K185" s="257"/>
      <c r="L185" s="257"/>
      <c r="M185" s="257"/>
      <c r="N185" s="257"/>
      <c r="O185" s="257"/>
      <c r="P185" s="257"/>
      <c r="Q185" s="257"/>
      <c r="R185" s="257"/>
      <c r="S185" s="257"/>
      <c r="T185" s="257"/>
      <c r="U185" s="257"/>
      <c r="V185" s="257"/>
      <c r="W185" s="257"/>
      <c r="X185" s="257"/>
      <c r="Y185" s="257"/>
      <c r="Z185" s="257"/>
      <c r="AA185" s="257"/>
      <c r="AB185" s="257"/>
      <c r="AC185" s="257"/>
      <c r="AD185" s="257"/>
      <c r="AE185" s="257"/>
      <c r="AF185" s="257"/>
      <c r="AG185" s="257"/>
      <c r="AH185" s="257"/>
      <c r="AI185" s="257"/>
      <c r="AJ185" s="257"/>
      <c r="AK185" s="257"/>
      <c r="AL185" s="257"/>
      <c r="AM185" s="257"/>
      <c r="AN185" s="257"/>
      <c r="AO185" s="257"/>
      <c r="AP185" s="257"/>
      <c r="AQ185" s="257"/>
    </row>
    <row r="186" spans="1:53" x14ac:dyDescent="0.2">
      <c r="A186" s="258" t="s">
        <v>126</v>
      </c>
      <c r="B186" s="258"/>
      <c r="C186" s="258"/>
      <c r="D186" s="258"/>
      <c r="E186" s="258"/>
      <c r="F186" s="258"/>
      <c r="G186" s="258"/>
      <c r="H186" s="258"/>
      <c r="I186" s="258"/>
      <c r="J186" s="258"/>
      <c r="K186" s="258"/>
      <c r="L186" s="102"/>
    </row>
    <row r="187" spans="1:53" x14ac:dyDescent="0.2">
      <c r="C187" s="3"/>
      <c r="D187" s="3"/>
      <c r="E187" s="3"/>
      <c r="L187" s="102"/>
    </row>
    <row r="188" spans="1:53" x14ac:dyDescent="0.2">
      <c r="A188" s="259" t="s">
        <v>127</v>
      </c>
      <c r="B188" s="259"/>
      <c r="C188" s="259"/>
      <c r="D188" s="259"/>
      <c r="E188" s="259"/>
      <c r="F188" s="259"/>
      <c r="G188" s="259"/>
      <c r="H188" s="259"/>
      <c r="I188" s="259"/>
      <c r="J188" s="259"/>
      <c r="K188" s="259"/>
      <c r="L188" s="259"/>
      <c r="M188" s="259"/>
      <c r="N188" s="259"/>
      <c r="O188" s="259"/>
      <c r="P188" s="78"/>
      <c r="R188" s="259" t="s">
        <v>128</v>
      </c>
      <c r="S188" s="259"/>
      <c r="T188" s="259"/>
      <c r="U188" s="259"/>
      <c r="V188" s="259"/>
      <c r="W188" s="259"/>
      <c r="X188" s="259"/>
      <c r="Y188" s="259"/>
      <c r="Z188" s="259"/>
      <c r="AA188" s="259"/>
      <c r="AB188" s="259"/>
      <c r="AC188" s="259"/>
      <c r="AD188" s="259"/>
      <c r="AE188" s="259"/>
      <c r="AF188" s="259"/>
    </row>
    <row r="190" spans="1:53" ht="13.5" thickBot="1" x14ac:dyDescent="0.25">
      <c r="A190" s="225" t="str">
        <f>IF(B218=1,B210,IF(B218=2,B211,IF(B218=3,B212,IF(B218=4,B213,IF(OR(B218="B",B218="b"),"BYE","invalid")))))</f>
        <v>Crossfire 13 Power</v>
      </c>
      <c r="B190" s="225"/>
      <c r="C190" s="225"/>
      <c r="D190" s="225"/>
      <c r="E190" s="225"/>
      <c r="F190" s="103"/>
      <c r="G190" s="103"/>
      <c r="H190" s="103"/>
      <c r="I190" s="103"/>
      <c r="J190" s="103"/>
      <c r="K190" s="103"/>
      <c r="L190" s="103"/>
      <c r="M190" s="103"/>
      <c r="N190" s="103"/>
      <c r="S190" s="104"/>
      <c r="T190" s="104"/>
      <c r="U190" s="225" t="str">
        <f>IF(W218=1,X210,IF(W218=2,X211,IF(W218=3,X212,IF(W218=4,X213,IF(OR(W218="B",W218="b"),"BYE","invalid")))))</f>
        <v xml:space="preserve">CSRA Heat 14 Black </v>
      </c>
      <c r="V190" s="225"/>
      <c r="W190" s="225"/>
      <c r="X190" s="225"/>
      <c r="Y190" s="225"/>
      <c r="Z190" s="225"/>
      <c r="AA190" s="225"/>
      <c r="AB190" s="103"/>
      <c r="AC190" s="103"/>
      <c r="AD190" s="103"/>
      <c r="AE190" s="103"/>
    </row>
    <row r="191" spans="1:53" x14ac:dyDescent="0.2">
      <c r="A191" s="227" t="s">
        <v>129</v>
      </c>
      <c r="B191" s="227"/>
      <c r="C191" s="227"/>
      <c r="D191" s="227"/>
      <c r="E191" s="227"/>
      <c r="F191" s="105"/>
      <c r="G191" s="103"/>
      <c r="H191" s="103"/>
      <c r="I191" s="103"/>
      <c r="J191" s="103"/>
      <c r="K191" s="103"/>
      <c r="L191" s="103"/>
      <c r="M191" s="103"/>
      <c r="N191" s="103"/>
      <c r="S191" s="106"/>
      <c r="T191" s="106"/>
      <c r="U191" s="228" t="s">
        <v>130</v>
      </c>
      <c r="V191" s="228"/>
      <c r="W191" s="228"/>
      <c r="X191" s="228"/>
      <c r="Y191" s="228"/>
      <c r="Z191" s="228"/>
      <c r="AA191" s="242"/>
      <c r="AB191" s="103"/>
      <c r="AC191" s="103"/>
      <c r="AD191" s="103"/>
      <c r="AE191" s="103"/>
    </row>
    <row r="192" spans="1:53" x14ac:dyDescent="0.2">
      <c r="A192" s="103"/>
      <c r="B192" s="103"/>
      <c r="C192" s="103"/>
      <c r="D192" s="103"/>
      <c r="E192" s="103"/>
      <c r="F192" s="105"/>
      <c r="G192" s="103"/>
      <c r="H192" s="103"/>
      <c r="I192" s="103"/>
      <c r="J192" s="103"/>
      <c r="K192" s="103"/>
      <c r="L192" s="103"/>
      <c r="M192" s="103"/>
      <c r="N192" s="103"/>
      <c r="R192" s="103"/>
      <c r="S192" s="103"/>
      <c r="T192" s="103"/>
      <c r="U192" s="103"/>
      <c r="V192" s="103"/>
      <c r="W192" s="103"/>
      <c r="X192" s="103"/>
      <c r="Y192" s="103"/>
      <c r="Z192" s="103"/>
      <c r="AA192" s="107"/>
      <c r="AB192" s="103"/>
      <c r="AC192" s="103"/>
      <c r="AD192" s="103"/>
      <c r="AE192" s="103"/>
    </row>
    <row r="193" spans="1:53" ht="13.5" thickBot="1" x14ac:dyDescent="0.25">
      <c r="A193" s="228" t="str">
        <f>B212&amp;" ref"</f>
        <v>C1VB 13 Power Grvl ref</v>
      </c>
      <c r="B193" s="228"/>
      <c r="C193" s="228"/>
      <c r="D193" s="228"/>
      <c r="E193" s="242"/>
      <c r="F193" s="237" t="str">
        <f>IF(H218=1,B210,IF(H218=2,B211,IF(H218=3,B212,IF(H218=4,B213,"Winner Match 1"))))</f>
        <v>Crossfire 13 Power</v>
      </c>
      <c r="G193" s="238"/>
      <c r="H193" s="238"/>
      <c r="I193" s="238"/>
      <c r="J193" s="238"/>
      <c r="K193" s="238"/>
      <c r="L193" s="238"/>
      <c r="M193" s="238"/>
      <c r="N193" s="103"/>
      <c r="P193" s="108"/>
      <c r="Q193" s="108"/>
      <c r="R193" s="108"/>
      <c r="S193" s="108"/>
      <c r="T193" s="228" t="str">
        <f>X212&amp;" ref"</f>
        <v>Chas Jrs 13 Red ref</v>
      </c>
      <c r="U193" s="228"/>
      <c r="V193" s="228"/>
      <c r="W193" s="228"/>
      <c r="X193" s="228"/>
      <c r="Y193" s="228"/>
      <c r="Z193" s="228"/>
      <c r="AA193" s="242"/>
      <c r="AB193" s="237" t="str">
        <f>IF(AC218=1,X210,IF(AC218=2,X211,IF(AC218=3,X212,IF(AC218=4,X213,"Winner Match 1"))))</f>
        <v>Fort Mill 13 Purple</v>
      </c>
      <c r="AC193" s="238"/>
      <c r="AD193" s="238"/>
      <c r="AE193" s="238"/>
      <c r="AF193" s="238"/>
      <c r="AG193" s="238"/>
      <c r="AH193" s="238"/>
    </row>
    <row r="194" spans="1:53" x14ac:dyDescent="0.2">
      <c r="A194" s="239" t="s">
        <v>131</v>
      </c>
      <c r="B194" s="239"/>
      <c r="C194" s="239"/>
      <c r="D194" s="239"/>
      <c r="E194" s="239"/>
      <c r="F194" s="251"/>
      <c r="G194" s="252"/>
      <c r="H194" s="252"/>
      <c r="I194" s="253"/>
      <c r="J194" s="233"/>
      <c r="K194" s="234"/>
      <c r="L194" s="234"/>
      <c r="M194" s="234"/>
      <c r="N194" s="103"/>
      <c r="O194" s="103"/>
      <c r="P194" s="114"/>
      <c r="Q194" s="7"/>
      <c r="R194" s="115"/>
      <c r="S194" s="115"/>
      <c r="T194" s="254" t="s">
        <v>132</v>
      </c>
      <c r="U194" s="254"/>
      <c r="V194" s="254"/>
      <c r="W194" s="254"/>
      <c r="X194" s="254"/>
      <c r="Y194" s="254"/>
      <c r="Z194" s="254"/>
      <c r="AA194" s="107"/>
      <c r="AB194" s="251"/>
      <c r="AC194" s="252"/>
      <c r="AD194" s="252"/>
      <c r="AE194" s="253"/>
      <c r="AF194" s="233"/>
      <c r="AG194" s="234"/>
      <c r="AH194" s="234"/>
    </row>
    <row r="195" spans="1:53" ht="13.5" thickBot="1" x14ac:dyDescent="0.25">
      <c r="A195" s="225" t="str">
        <f>IF(D218=1,B210,IF(D218=2,B211,IF(D218=3,B212,IF(D218=4,B213,IF(OR(D218="B",D218="b"),"BYE","invalid")))))</f>
        <v>Intense 13 Elite Columbia</v>
      </c>
      <c r="B195" s="225"/>
      <c r="C195" s="225"/>
      <c r="D195" s="225"/>
      <c r="E195" s="226"/>
      <c r="F195" s="105"/>
      <c r="G195" s="103"/>
      <c r="H195" s="103"/>
      <c r="I195" s="103"/>
      <c r="J195" s="105"/>
      <c r="K195" s="103"/>
      <c r="L195" s="103"/>
      <c r="M195" s="103"/>
      <c r="N195" s="103"/>
      <c r="O195" s="103"/>
      <c r="P195" s="103"/>
      <c r="T195" s="103"/>
      <c r="U195" s="225" t="str">
        <f>IF(Y218=1,X210,IF(Y218=2,X211,IF(Y218=3,X212,IF(Y218=4,X213,IF(OR(Y218="B",Y218="b"),"BYE","invalid")))))</f>
        <v>Fort Mill 13 Purple</v>
      </c>
      <c r="V195" s="225"/>
      <c r="W195" s="225"/>
      <c r="X195" s="225"/>
      <c r="Y195" s="225"/>
      <c r="Z195" s="225"/>
      <c r="AA195" s="226"/>
      <c r="AB195" s="103"/>
      <c r="AC195" s="103"/>
      <c r="AD195" s="103"/>
      <c r="AE195" s="107"/>
      <c r="AF195" s="103"/>
      <c r="AG195" s="103"/>
    </row>
    <row r="196" spans="1:53" x14ac:dyDescent="0.2">
      <c r="A196" s="227" t="s">
        <v>133</v>
      </c>
      <c r="B196" s="227"/>
      <c r="C196" s="227"/>
      <c r="D196" s="227"/>
      <c r="E196" s="227"/>
      <c r="F196" s="103"/>
      <c r="G196" s="103"/>
      <c r="H196" s="103"/>
      <c r="I196" s="103"/>
      <c r="J196" s="105"/>
      <c r="K196" s="103"/>
      <c r="L196" s="103"/>
      <c r="M196" s="103"/>
      <c r="N196" s="103"/>
      <c r="O196" s="103"/>
      <c r="P196" s="103"/>
      <c r="U196" s="249" t="s">
        <v>134</v>
      </c>
      <c r="V196" s="249"/>
      <c r="W196" s="249"/>
      <c r="X196" s="249"/>
      <c r="Y196" s="249"/>
      <c r="Z196" s="249"/>
      <c r="AA196" s="249"/>
      <c r="AB196" s="103"/>
      <c r="AC196" s="103"/>
      <c r="AD196" s="103"/>
      <c r="AE196" s="107"/>
      <c r="AF196" s="103"/>
      <c r="AG196" s="103"/>
      <c r="AQ196" s="116"/>
      <c r="AR196" s="116"/>
      <c r="AV196" s="116"/>
      <c r="AW196" s="116"/>
      <c r="AX196" s="116"/>
    </row>
    <row r="197" spans="1:53" x14ac:dyDescent="0.2">
      <c r="A197" s="103"/>
      <c r="B197" s="103"/>
      <c r="C197" s="103"/>
      <c r="D197" s="103"/>
      <c r="E197" s="103"/>
      <c r="F197" s="241" t="s">
        <v>135</v>
      </c>
      <c r="G197" s="241"/>
      <c r="H197" s="241"/>
      <c r="I197" s="250"/>
      <c r="J197" s="105"/>
      <c r="K197" s="103"/>
      <c r="L197" s="103"/>
      <c r="M197" s="103"/>
      <c r="N197" s="103"/>
      <c r="O197" s="103"/>
      <c r="P197" s="103"/>
      <c r="R197" s="103"/>
      <c r="S197" s="103"/>
      <c r="T197" s="103"/>
      <c r="U197" s="103"/>
      <c r="V197" s="103"/>
      <c r="W197" s="108"/>
      <c r="X197" s="108"/>
      <c r="Y197" s="108"/>
      <c r="AA197" s="108"/>
      <c r="AB197" s="241" t="s">
        <v>135</v>
      </c>
      <c r="AC197" s="241"/>
      <c r="AD197" s="241"/>
      <c r="AE197" s="250"/>
      <c r="AF197" s="103"/>
      <c r="AG197" s="103"/>
    </row>
    <row r="198" spans="1:53" ht="13.5" thickBot="1" x14ac:dyDescent="0.25">
      <c r="A198" s="103"/>
      <c r="B198" s="103"/>
      <c r="C198" s="103"/>
      <c r="D198" s="103"/>
      <c r="E198" s="103"/>
      <c r="F198" s="103"/>
      <c r="G198" s="103"/>
      <c r="H198" s="103"/>
      <c r="I198" s="103"/>
      <c r="J198" s="244" t="str">
        <f>IF(K223=1,B210,IF(K223=2,B211,IF(K223=3,B212,IF(K223=4,B213,"Division Winner"))))</f>
        <v>Crossfire 13 Power</v>
      </c>
      <c r="K198" s="245"/>
      <c r="L198" s="245"/>
      <c r="M198" s="245"/>
      <c r="N198" s="245"/>
      <c r="O198" s="245"/>
      <c r="P198" s="245"/>
      <c r="Q198" s="104"/>
      <c r="R198" s="103"/>
      <c r="S198" s="103"/>
      <c r="T198" s="103"/>
      <c r="U198" s="103"/>
      <c r="V198" s="103"/>
      <c r="W198" s="103"/>
      <c r="X198" s="103"/>
      <c r="Y198" s="103"/>
      <c r="Z198" s="103"/>
      <c r="AA198" s="118"/>
      <c r="AB198" s="118"/>
      <c r="AC198" s="118"/>
      <c r="AD198" s="118"/>
      <c r="AE198" s="119"/>
      <c r="AF198" s="245" t="str">
        <f>IF(AF223=1,X210,IF(AF223=2,X211,IF(AF223=3,X212,IF(AF223=4,X213,"Division Winner"))))</f>
        <v>Fort Mill 13 Purple</v>
      </c>
      <c r="AG198" s="245"/>
      <c r="AH198" s="245"/>
      <c r="AI198" s="245"/>
      <c r="AJ198" s="245"/>
      <c r="AK198" s="118"/>
    </row>
    <row r="199" spans="1:53" ht="13.5" thickBot="1" x14ac:dyDescent="0.25">
      <c r="A199" s="225" t="str">
        <f>IF(E218=1,B210,IF(E218=2,B211,IF(E218=3,B212,IF(E218=4,B213,IF(OR(E218="B",E218="b"),"BYE","invalid")))))</f>
        <v>CSRA Heat 13 Gold</v>
      </c>
      <c r="B199" s="225"/>
      <c r="C199" s="225"/>
      <c r="D199" s="225"/>
      <c r="E199" s="225"/>
      <c r="F199" s="239" t="s">
        <v>136</v>
      </c>
      <c r="G199" s="239"/>
      <c r="H199" s="239"/>
      <c r="I199" s="239"/>
      <c r="J199" s="240" t="s">
        <v>137</v>
      </c>
      <c r="K199" s="241"/>
      <c r="L199" s="241"/>
      <c r="M199" s="241"/>
      <c r="N199" s="241"/>
      <c r="O199" s="241"/>
      <c r="P199" s="241"/>
      <c r="R199" s="118"/>
      <c r="S199" s="118"/>
      <c r="T199" s="118"/>
      <c r="U199" s="225" t="str">
        <f>IF(Z218=1,X210,IF(Z218=2,X211,IF(Z218=3,X212,IF(Z218=4,X213,IF(OR(Z218="B",Z218="b"),"BYE","invalid")))))</f>
        <v>SC Midlands 13 Perf</v>
      </c>
      <c r="V199" s="225"/>
      <c r="W199" s="225"/>
      <c r="X199" s="225"/>
      <c r="Y199" s="225"/>
      <c r="Z199" s="225"/>
      <c r="AA199" s="225"/>
      <c r="AB199" s="239" t="s">
        <v>138</v>
      </c>
      <c r="AC199" s="239"/>
      <c r="AD199" s="239"/>
      <c r="AE199" s="246"/>
      <c r="AF199" s="247" t="s">
        <v>139</v>
      </c>
      <c r="AG199" s="248"/>
      <c r="AH199" s="248"/>
      <c r="AI199" s="248"/>
      <c r="AJ199" s="248"/>
    </row>
    <row r="200" spans="1:53" x14ac:dyDescent="0.2">
      <c r="A200" s="227" t="s">
        <v>140</v>
      </c>
      <c r="B200" s="227"/>
      <c r="C200" s="227"/>
      <c r="D200" s="227"/>
      <c r="E200" s="227"/>
      <c r="F200" s="105"/>
      <c r="G200" s="103"/>
      <c r="H200" s="103"/>
      <c r="I200" s="103"/>
      <c r="J200" s="240"/>
      <c r="K200" s="241"/>
      <c r="L200" s="241"/>
      <c r="M200" s="241"/>
      <c r="N200" s="241"/>
      <c r="O200" s="241"/>
      <c r="P200" s="241"/>
      <c r="Q200" s="103"/>
      <c r="R200" s="116"/>
      <c r="S200" s="116"/>
      <c r="T200" s="116"/>
      <c r="U200" s="228" t="s">
        <v>141</v>
      </c>
      <c r="V200" s="228"/>
      <c r="W200" s="228"/>
      <c r="X200" s="228"/>
      <c r="Y200" s="228"/>
      <c r="Z200" s="228"/>
      <c r="AA200" s="242"/>
      <c r="AB200" s="103"/>
      <c r="AC200" s="103"/>
      <c r="AD200" s="103"/>
      <c r="AE200" s="107"/>
      <c r="AF200" s="103"/>
      <c r="AG200" s="103"/>
    </row>
    <row r="201" spans="1:53" x14ac:dyDescent="0.2">
      <c r="A201" s="103"/>
      <c r="B201" s="103"/>
      <c r="C201" s="103"/>
      <c r="D201" s="103"/>
      <c r="E201" s="103"/>
      <c r="F201" s="105"/>
      <c r="G201" s="103"/>
      <c r="H201" s="103"/>
      <c r="I201" s="103"/>
      <c r="J201" s="105"/>
      <c r="K201" s="103"/>
      <c r="L201" s="103"/>
      <c r="M201" s="103"/>
      <c r="N201" s="103"/>
      <c r="P201" s="103"/>
      <c r="Q201" s="103"/>
      <c r="R201" s="103"/>
      <c r="S201" s="103"/>
      <c r="T201" s="103"/>
      <c r="U201" s="103"/>
      <c r="V201" s="103"/>
      <c r="W201" s="103"/>
      <c r="X201" s="103"/>
      <c r="Y201" s="103"/>
      <c r="Z201" s="103"/>
      <c r="AA201" s="107"/>
      <c r="AB201" s="105"/>
      <c r="AC201" s="103"/>
      <c r="AD201" s="103"/>
      <c r="AE201" s="107"/>
      <c r="AF201" s="103"/>
      <c r="AG201" s="103"/>
      <c r="AZ201" s="70"/>
      <c r="BA201" s="70"/>
    </row>
    <row r="202" spans="1:53" ht="13.5" thickBot="1" x14ac:dyDescent="0.25">
      <c r="A202" s="243" t="s">
        <v>142</v>
      </c>
      <c r="B202" s="243"/>
      <c r="C202" s="243"/>
      <c r="D202" s="243"/>
      <c r="E202" s="114"/>
      <c r="F202" s="230"/>
      <c r="G202" s="231"/>
      <c r="H202" s="231"/>
      <c r="I202" s="232"/>
      <c r="J202" s="233"/>
      <c r="K202" s="234"/>
      <c r="L202" s="234"/>
      <c r="M202" s="234"/>
      <c r="N202" s="103"/>
      <c r="Q202" s="108"/>
      <c r="R202" s="108"/>
      <c r="S202" s="108"/>
      <c r="T202" s="243" t="s">
        <v>142</v>
      </c>
      <c r="U202" s="243"/>
      <c r="V202" s="243"/>
      <c r="W202" s="243"/>
      <c r="X202" s="243"/>
      <c r="Y202" s="243"/>
      <c r="Z202" s="243"/>
      <c r="AA202" s="103"/>
      <c r="AB202" s="230"/>
      <c r="AC202" s="231"/>
      <c r="AD202" s="231"/>
      <c r="AE202" s="232"/>
      <c r="AF202" s="233"/>
      <c r="AG202" s="234"/>
      <c r="AH202" s="234"/>
      <c r="AZ202" s="70"/>
      <c r="BA202" s="70"/>
    </row>
    <row r="203" spans="1:53" x14ac:dyDescent="0.2">
      <c r="A203" s="235" t="s">
        <v>131</v>
      </c>
      <c r="B203" s="235"/>
      <c r="C203" s="235"/>
      <c r="D203" s="235"/>
      <c r="E203" s="236"/>
      <c r="F203" s="237" t="str">
        <f>IF(J218=1,B210,IF(J218=2,B211,IF(J218=3,B212,IF(J218=4,B213,"Winner Match 2"))))</f>
        <v>CSRA Heat 13 Gold</v>
      </c>
      <c r="G203" s="238"/>
      <c r="H203" s="238"/>
      <c r="I203" s="238"/>
      <c r="J203" s="238"/>
      <c r="K203" s="238"/>
      <c r="L203" s="238"/>
      <c r="M203" s="238"/>
      <c r="N203" s="103"/>
      <c r="P203" s="114"/>
      <c r="Q203" s="114"/>
      <c r="S203" s="115"/>
      <c r="T203" s="239" t="s">
        <v>132</v>
      </c>
      <c r="U203" s="239"/>
      <c r="V203" s="239"/>
      <c r="W203" s="239"/>
      <c r="X203" s="239"/>
      <c r="Y203" s="239"/>
      <c r="Z203" s="239"/>
      <c r="AA203" s="107"/>
      <c r="AB203" s="237" t="str">
        <f>IF(AE218=1,X210,IF(AE218=2,X211,IF(AE218=3,X212,IF(AE218=4,X213,"Winner Match 2"))))</f>
        <v>Chas Jrs 13 Red</v>
      </c>
      <c r="AC203" s="238"/>
      <c r="AD203" s="238"/>
      <c r="AE203" s="238"/>
      <c r="AF203" s="238"/>
      <c r="AG203" s="238"/>
      <c r="AH203" s="238"/>
      <c r="AZ203" s="70"/>
      <c r="BA203" s="70"/>
    </row>
    <row r="204" spans="1:53" ht="13.5" thickBot="1" x14ac:dyDescent="0.25">
      <c r="A204" s="225" t="str">
        <f>IF(G218=1,B210,IF(G218=2,B211,IF(G218=3,B212,IF(G218=4,B213,IF(OR(G218="B",G218="b"),"BYE","invalid")))))</f>
        <v>C1VB 13 Power Grvl</v>
      </c>
      <c r="B204" s="225"/>
      <c r="C204" s="225"/>
      <c r="D204" s="225"/>
      <c r="E204" s="226"/>
      <c r="F204" s="105"/>
      <c r="G204" s="103"/>
      <c r="H204" s="103"/>
      <c r="I204" s="103"/>
      <c r="J204" s="103"/>
      <c r="K204" s="103"/>
      <c r="L204" s="103"/>
      <c r="M204" s="103"/>
      <c r="N204" s="103"/>
      <c r="P204" s="103"/>
      <c r="Q204" s="103"/>
      <c r="R204" s="103"/>
      <c r="S204" s="118"/>
      <c r="T204" s="118"/>
      <c r="U204" s="225" t="str">
        <f>IF(AB218=1,X210,IF(AB218=2,X211,IF(AB218=3,X212,IF(AB218=4,X213,IF(OR(AB218="B",AB218="b"),"BYE","invalid")))))</f>
        <v>Chas Jrs 13 Red</v>
      </c>
      <c r="V204" s="225"/>
      <c r="W204" s="225"/>
      <c r="X204" s="225"/>
      <c r="Y204" s="225"/>
      <c r="Z204" s="225"/>
      <c r="AA204" s="226"/>
      <c r="AB204" s="103"/>
      <c r="AC204" s="103"/>
      <c r="AD204" s="103"/>
      <c r="AE204" s="103"/>
      <c r="AZ204" s="70"/>
      <c r="BA204" s="70"/>
    </row>
    <row r="205" spans="1:53" x14ac:dyDescent="0.2">
      <c r="A205" s="227" t="s">
        <v>143</v>
      </c>
      <c r="B205" s="227"/>
      <c r="C205" s="227"/>
      <c r="D205" s="227"/>
      <c r="E205" s="227"/>
      <c r="S205" s="116"/>
      <c r="T205" s="116"/>
      <c r="U205" s="228" t="s">
        <v>144</v>
      </c>
      <c r="V205" s="228"/>
      <c r="W205" s="228"/>
      <c r="X205" s="228"/>
      <c r="Y205" s="228"/>
      <c r="Z205" s="228"/>
      <c r="AA205" s="228"/>
      <c r="AZ205" s="70"/>
      <c r="BA205" s="70"/>
    </row>
    <row r="206" spans="1:53" x14ac:dyDescent="0.2">
      <c r="AS206" s="70"/>
      <c r="AT206" s="70"/>
      <c r="AU206" s="70"/>
      <c r="AZ206" s="70"/>
      <c r="BA206" s="70"/>
    </row>
    <row r="207" spans="1:53" x14ac:dyDescent="0.2">
      <c r="AS207" s="70"/>
      <c r="AT207" s="70"/>
      <c r="AU207" s="70"/>
      <c r="AZ207" s="70"/>
      <c r="BA207" s="70"/>
    </row>
    <row r="208" spans="1:53" ht="16.5" thickBot="1" x14ac:dyDescent="0.3">
      <c r="A208" s="229" t="s">
        <v>145</v>
      </c>
      <c r="B208" s="229"/>
      <c r="C208" s="229"/>
      <c r="D208" s="229"/>
      <c r="E208" s="229"/>
      <c r="F208" s="229"/>
      <c r="G208" s="229"/>
      <c r="H208" s="229"/>
      <c r="I208" s="229"/>
      <c r="J208" s="229"/>
      <c r="Q208" s="125"/>
      <c r="R208" s="125"/>
      <c r="S208" s="125"/>
      <c r="U208" s="229" t="s">
        <v>146</v>
      </c>
      <c r="V208" s="229"/>
      <c r="W208" s="229"/>
      <c r="X208" s="229"/>
      <c r="Y208" s="229"/>
      <c r="Z208" s="229"/>
      <c r="AA208" s="229"/>
      <c r="AB208" s="229"/>
      <c r="AC208" s="229"/>
      <c r="AD208" s="229"/>
      <c r="AE208" s="229"/>
      <c r="AF208" s="229"/>
      <c r="AS208" s="70"/>
      <c r="AT208" s="70"/>
      <c r="AU208" s="70"/>
      <c r="AZ208" s="70"/>
      <c r="BA208" s="70"/>
    </row>
    <row r="209" spans="1:53" ht="13.5" thickBot="1" x14ac:dyDescent="0.25">
      <c r="A209" s="126" t="s">
        <v>147</v>
      </c>
      <c r="B209" s="219" t="s">
        <v>148</v>
      </c>
      <c r="C209" s="220"/>
      <c r="D209" s="220"/>
      <c r="E209" s="220"/>
      <c r="F209" s="220"/>
      <c r="G209" s="220"/>
      <c r="H209" s="220"/>
      <c r="I209" s="220"/>
      <c r="J209" s="221"/>
      <c r="K209" s="222" t="s">
        <v>149</v>
      </c>
      <c r="L209" s="223"/>
      <c r="M209" s="223"/>
      <c r="N209" s="223"/>
      <c r="O209" s="223"/>
      <c r="P209" s="223"/>
      <c r="Q209" s="224"/>
      <c r="U209" s="207" t="s">
        <v>147</v>
      </c>
      <c r="V209" s="208"/>
      <c r="W209" s="209"/>
      <c r="X209" s="219" t="s">
        <v>148</v>
      </c>
      <c r="Y209" s="220"/>
      <c r="Z209" s="220"/>
      <c r="AA209" s="220"/>
      <c r="AB209" s="220"/>
      <c r="AC209" s="220"/>
      <c r="AD209" s="220"/>
      <c r="AE209" s="220"/>
      <c r="AF209" s="221"/>
      <c r="AG209" s="222" t="s">
        <v>149</v>
      </c>
      <c r="AH209" s="223"/>
      <c r="AI209" s="223"/>
      <c r="AJ209" s="223"/>
      <c r="AK209" s="223"/>
      <c r="AL209" s="223"/>
      <c r="AM209" s="224"/>
      <c r="AS209" s="70"/>
      <c r="AT209" s="70"/>
      <c r="AU209" s="70"/>
      <c r="AZ209" s="70"/>
      <c r="BA209" s="70"/>
    </row>
    <row r="210" spans="1:53" ht="13.5" thickBot="1" x14ac:dyDescent="0.25">
      <c r="A210" s="126">
        <v>1</v>
      </c>
      <c r="B210" s="201" t="str">
        <f>B179</f>
        <v>Crossfire 13 Power</v>
      </c>
      <c r="C210" s="202"/>
      <c r="D210" s="202"/>
      <c r="E210" s="202"/>
      <c r="F210" s="202"/>
      <c r="G210" s="202"/>
      <c r="H210" s="202"/>
      <c r="I210" s="202"/>
      <c r="J210" s="203"/>
      <c r="K210" s="204" t="str">
        <f>H179</f>
        <v>fj3crosf1pm</v>
      </c>
      <c r="L210" s="205"/>
      <c r="M210" s="205"/>
      <c r="N210" s="205"/>
      <c r="O210" s="205"/>
      <c r="P210" s="205"/>
      <c r="Q210" s="206"/>
      <c r="U210" s="207">
        <v>1</v>
      </c>
      <c r="V210" s="208"/>
      <c r="W210" s="209"/>
      <c r="X210" s="201" t="str">
        <f>V179</f>
        <v xml:space="preserve">CSRA Heat 14 Black </v>
      </c>
      <c r="Y210" s="202"/>
      <c r="Z210" s="202"/>
      <c r="AA210" s="202"/>
      <c r="AB210" s="202"/>
      <c r="AC210" s="202"/>
      <c r="AD210" s="202"/>
      <c r="AE210" s="202"/>
      <c r="AF210" s="203"/>
      <c r="AG210" s="204" t="str">
        <f>AB179</f>
        <v>fj4csrah3pm</v>
      </c>
      <c r="AH210" s="205"/>
      <c r="AI210" s="205"/>
      <c r="AJ210" s="205"/>
      <c r="AK210" s="205"/>
      <c r="AL210" s="205"/>
      <c r="AM210" s="206"/>
      <c r="AS210" s="70"/>
      <c r="AT210" s="70"/>
      <c r="AU210" s="70"/>
      <c r="AZ210" s="70"/>
      <c r="BA210" s="70"/>
    </row>
    <row r="211" spans="1:53" ht="13.5" thickBot="1" x14ac:dyDescent="0.25">
      <c r="A211" s="126">
        <v>2</v>
      </c>
      <c r="B211" s="201" t="str">
        <f>B180</f>
        <v>CSRA Heat 13 Gold</v>
      </c>
      <c r="C211" s="202"/>
      <c r="D211" s="202"/>
      <c r="E211" s="202"/>
      <c r="F211" s="202"/>
      <c r="G211" s="202"/>
      <c r="H211" s="202"/>
      <c r="I211" s="202"/>
      <c r="J211" s="203"/>
      <c r="K211" s="204" t="str">
        <f>H180</f>
        <v>fj3csrah1pm</v>
      </c>
      <c r="L211" s="205"/>
      <c r="M211" s="205"/>
      <c r="N211" s="205"/>
      <c r="O211" s="205"/>
      <c r="P211" s="205"/>
      <c r="Q211" s="206"/>
      <c r="U211" s="207">
        <v>2</v>
      </c>
      <c r="V211" s="208"/>
      <c r="W211" s="209"/>
      <c r="X211" s="201" t="str">
        <f>V180</f>
        <v>SC Midlands 13 Perf</v>
      </c>
      <c r="Y211" s="202"/>
      <c r="Z211" s="202"/>
      <c r="AA211" s="202"/>
      <c r="AB211" s="202"/>
      <c r="AC211" s="202"/>
      <c r="AD211" s="202"/>
      <c r="AE211" s="202"/>
      <c r="AF211" s="203"/>
      <c r="AG211" s="204" t="str">
        <f>AB180</f>
        <v>fj3scmid1pm</v>
      </c>
      <c r="AH211" s="205"/>
      <c r="AI211" s="205"/>
      <c r="AJ211" s="205"/>
      <c r="AK211" s="205"/>
      <c r="AL211" s="205"/>
      <c r="AM211" s="206"/>
      <c r="AS211" s="70"/>
      <c r="AT211" s="70"/>
      <c r="AU211" s="70"/>
      <c r="AZ211" s="70"/>
      <c r="BA211" s="70"/>
    </row>
    <row r="212" spans="1:53" ht="13.5" thickBot="1" x14ac:dyDescent="0.25">
      <c r="A212" s="126">
        <v>3</v>
      </c>
      <c r="B212" s="201" t="str">
        <f>L179</f>
        <v>C1VB 13 Power Grvl</v>
      </c>
      <c r="C212" s="202"/>
      <c r="D212" s="202"/>
      <c r="E212" s="202"/>
      <c r="F212" s="202"/>
      <c r="G212" s="202"/>
      <c r="H212" s="202"/>
      <c r="I212" s="202"/>
      <c r="J212" s="203"/>
      <c r="K212" s="204" t="str">
        <f>R179</f>
        <v>fj3crone2pm</v>
      </c>
      <c r="L212" s="205"/>
      <c r="M212" s="205"/>
      <c r="N212" s="205"/>
      <c r="O212" s="205"/>
      <c r="P212" s="205"/>
      <c r="Q212" s="206"/>
      <c r="U212" s="207">
        <v>3</v>
      </c>
      <c r="V212" s="208"/>
      <c r="W212" s="209"/>
      <c r="X212" s="201" t="str">
        <f>AF179</f>
        <v>Chas Jrs 13 Red</v>
      </c>
      <c r="Y212" s="202"/>
      <c r="Z212" s="202"/>
      <c r="AA212" s="202"/>
      <c r="AB212" s="202"/>
      <c r="AC212" s="202"/>
      <c r="AD212" s="202"/>
      <c r="AE212" s="202"/>
      <c r="AF212" s="203"/>
      <c r="AG212" s="204" t="str">
        <f>AL179</f>
        <v>fj3charl1pm</v>
      </c>
      <c r="AH212" s="205"/>
      <c r="AI212" s="205"/>
      <c r="AJ212" s="205"/>
      <c r="AK212" s="205"/>
      <c r="AL212" s="205"/>
      <c r="AM212" s="206"/>
      <c r="AS212" s="70"/>
      <c r="AT212" s="70"/>
      <c r="AU212" s="70"/>
      <c r="AZ212" s="70"/>
      <c r="BA212" s="70"/>
    </row>
    <row r="213" spans="1:53" ht="13.5" thickBot="1" x14ac:dyDescent="0.25">
      <c r="A213" s="126">
        <v>4</v>
      </c>
      <c r="B213" s="201" t="str">
        <f>L180</f>
        <v>Intense 13 Elite Columbia</v>
      </c>
      <c r="C213" s="202"/>
      <c r="D213" s="202"/>
      <c r="E213" s="202"/>
      <c r="F213" s="202"/>
      <c r="G213" s="202"/>
      <c r="H213" s="202"/>
      <c r="I213" s="202"/>
      <c r="J213" s="203"/>
      <c r="K213" s="204" t="str">
        <f>R180</f>
        <v>fj3inten1pm</v>
      </c>
      <c r="L213" s="205"/>
      <c r="M213" s="205"/>
      <c r="N213" s="205"/>
      <c r="O213" s="205"/>
      <c r="P213" s="205"/>
      <c r="Q213" s="206"/>
      <c r="U213" s="207">
        <v>4</v>
      </c>
      <c r="V213" s="208"/>
      <c r="W213" s="209"/>
      <c r="X213" s="201" t="str">
        <f>AF180</f>
        <v>Fort Mill 13 Purple</v>
      </c>
      <c r="Y213" s="202"/>
      <c r="Z213" s="202"/>
      <c r="AA213" s="202"/>
      <c r="AB213" s="202"/>
      <c r="AC213" s="202"/>
      <c r="AD213" s="202"/>
      <c r="AE213" s="202"/>
      <c r="AF213" s="203"/>
      <c r="AG213" s="204" t="str">
        <f>AL180</f>
        <v>fj3fortm1pm</v>
      </c>
      <c r="AH213" s="205"/>
      <c r="AI213" s="205"/>
      <c r="AJ213" s="205"/>
      <c r="AK213" s="205"/>
      <c r="AL213" s="205"/>
      <c r="AM213" s="206"/>
      <c r="AS213" s="70"/>
      <c r="AT213" s="70"/>
      <c r="AU213" s="70"/>
      <c r="AZ213" s="70"/>
      <c r="BA213" s="70"/>
    </row>
    <row r="214" spans="1:53" ht="13.5" thickBot="1" x14ac:dyDescent="0.25">
      <c r="AS214" s="70"/>
      <c r="AT214" s="70"/>
      <c r="AU214" s="70"/>
      <c r="AZ214" s="70"/>
      <c r="BA214" s="70"/>
    </row>
    <row r="215" spans="1:53" x14ac:dyDescent="0.2">
      <c r="B215" s="210" t="s">
        <v>150</v>
      </c>
      <c r="C215" s="182"/>
      <c r="D215" s="183"/>
      <c r="E215" s="181" t="s">
        <v>150</v>
      </c>
      <c r="F215" s="182"/>
      <c r="G215" s="183"/>
      <c r="H215" s="181" t="s">
        <v>14</v>
      </c>
      <c r="I215" s="182"/>
      <c r="J215" s="184"/>
      <c r="K215" s="185" t="s">
        <v>151</v>
      </c>
      <c r="L215" s="211"/>
      <c r="M215" s="211"/>
      <c r="N215" s="211"/>
      <c r="O215" s="211"/>
      <c r="P215" s="211"/>
      <c r="Q215" s="212"/>
      <c r="R215" s="127"/>
      <c r="S215" s="127"/>
      <c r="T215" s="127"/>
      <c r="U215" s="127"/>
      <c r="W215" s="210" t="s">
        <v>150</v>
      </c>
      <c r="X215" s="182"/>
      <c r="Y215" s="183"/>
      <c r="Z215" s="181" t="s">
        <v>150</v>
      </c>
      <c r="AA215" s="182"/>
      <c r="AB215" s="183"/>
      <c r="AC215" s="181" t="s">
        <v>14</v>
      </c>
      <c r="AD215" s="182"/>
      <c r="AE215" s="184"/>
      <c r="AF215" s="185" t="s">
        <v>151</v>
      </c>
      <c r="AG215" s="186"/>
      <c r="AH215" s="186"/>
      <c r="AI215" s="186"/>
      <c r="AJ215" s="187"/>
      <c r="AZ215" s="70"/>
      <c r="BA215" s="70"/>
    </row>
    <row r="216" spans="1:53" x14ac:dyDescent="0.2">
      <c r="A216" s="56" t="s">
        <v>152</v>
      </c>
      <c r="B216" s="194">
        <v>3</v>
      </c>
      <c r="C216" s="195"/>
      <c r="D216" s="196"/>
      <c r="E216" s="197" t="s">
        <v>153</v>
      </c>
      <c r="F216" s="195"/>
      <c r="G216" s="196"/>
      <c r="H216" s="197" t="s">
        <v>154</v>
      </c>
      <c r="I216" s="195"/>
      <c r="J216" s="198"/>
      <c r="K216" s="213"/>
      <c r="L216" s="214"/>
      <c r="M216" s="214"/>
      <c r="N216" s="214"/>
      <c r="O216" s="214"/>
      <c r="P216" s="214"/>
      <c r="Q216" s="215"/>
      <c r="R216" s="127"/>
      <c r="S216" s="127"/>
      <c r="T216" s="199" t="s">
        <v>152</v>
      </c>
      <c r="U216" s="199"/>
      <c r="V216" s="200"/>
      <c r="W216" s="194">
        <v>3</v>
      </c>
      <c r="X216" s="195"/>
      <c r="Y216" s="196"/>
      <c r="Z216" s="197" t="s">
        <v>153</v>
      </c>
      <c r="AA216" s="195"/>
      <c r="AB216" s="196"/>
      <c r="AC216" s="197" t="s">
        <v>154</v>
      </c>
      <c r="AD216" s="195"/>
      <c r="AE216" s="198"/>
      <c r="AF216" s="188"/>
      <c r="AG216" s="189"/>
      <c r="AH216" s="189"/>
      <c r="AI216" s="189"/>
      <c r="AJ216" s="190"/>
      <c r="AZ216" s="70"/>
      <c r="BA216" s="70"/>
    </row>
    <row r="217" spans="1:53" ht="13.5" thickBot="1" x14ac:dyDescent="0.25">
      <c r="A217" s="8"/>
      <c r="B217" s="179" t="s">
        <v>64</v>
      </c>
      <c r="C217" s="174"/>
      <c r="D217" s="180"/>
      <c r="E217" s="173" t="s">
        <v>155</v>
      </c>
      <c r="F217" s="174"/>
      <c r="G217" s="180"/>
      <c r="H217" s="173" t="s">
        <v>156</v>
      </c>
      <c r="I217" s="174"/>
      <c r="J217" s="175"/>
      <c r="K217" s="216"/>
      <c r="L217" s="217"/>
      <c r="M217" s="217"/>
      <c r="N217" s="217"/>
      <c r="O217" s="217"/>
      <c r="P217" s="217"/>
      <c r="Q217" s="218"/>
      <c r="R217" s="127"/>
      <c r="S217" s="127"/>
      <c r="T217" s="160"/>
      <c r="U217" s="160"/>
      <c r="V217" s="161"/>
      <c r="W217" s="179" t="s">
        <v>64</v>
      </c>
      <c r="X217" s="174"/>
      <c r="Y217" s="180"/>
      <c r="Z217" s="173" t="s">
        <v>155</v>
      </c>
      <c r="AA217" s="174"/>
      <c r="AB217" s="180"/>
      <c r="AC217" s="173" t="s">
        <v>156</v>
      </c>
      <c r="AD217" s="174"/>
      <c r="AE217" s="175"/>
      <c r="AF217" s="191"/>
      <c r="AG217" s="192"/>
      <c r="AH217" s="192"/>
      <c r="AI217" s="192"/>
      <c r="AJ217" s="193"/>
      <c r="AZ217" s="70"/>
      <c r="BA217" s="70"/>
    </row>
    <row r="218" spans="1:53" ht="13.5" thickBot="1" x14ac:dyDescent="0.25">
      <c r="A218" s="8"/>
      <c r="B218" s="128">
        <v>1</v>
      </c>
      <c r="C218" s="129" t="s">
        <v>72</v>
      </c>
      <c r="D218" s="130">
        <v>4</v>
      </c>
      <c r="E218" s="131">
        <v>2</v>
      </c>
      <c r="F218" s="129" t="s">
        <v>72</v>
      </c>
      <c r="G218" s="130">
        <v>3</v>
      </c>
      <c r="H218" s="132">
        <f>IF(OR(AND(OR(B222&gt;0,D222&gt;0),B222&gt;D222),OR(D218="b",D218="B")),B218,IF(OR(AND(OR(B222&gt;0,D222&gt;0),D222&gt;B222),OR(B218="b",B218="B")),D218,"W1"))</f>
        <v>1</v>
      </c>
      <c r="I218" s="133" t="s">
        <v>72</v>
      </c>
      <c r="J218" s="134">
        <f>IF(OR(AND(OR(E222&gt;0,G222&gt;0),E222&gt;G222),OR(G218="b",G218="B")),E218,IF(OR(AND(OR(E222&gt;0,G222&gt;0),G222&gt;E222),OR(E218="b",E218="B")),G218,"W2"))</f>
        <v>2</v>
      </c>
      <c r="K218" s="176" t="s">
        <v>157</v>
      </c>
      <c r="L218" s="177"/>
      <c r="M218" s="177"/>
      <c r="N218" s="178"/>
      <c r="R218" s="127"/>
      <c r="S218" s="127"/>
      <c r="T218" s="160"/>
      <c r="U218" s="160"/>
      <c r="V218" s="161"/>
      <c r="W218" s="128">
        <v>1</v>
      </c>
      <c r="X218" s="129" t="s">
        <v>72</v>
      </c>
      <c r="Y218" s="130">
        <v>4</v>
      </c>
      <c r="Z218" s="131">
        <v>2</v>
      </c>
      <c r="AA218" s="129" t="s">
        <v>72</v>
      </c>
      <c r="AB218" s="130">
        <v>3</v>
      </c>
      <c r="AC218" s="132">
        <f>IF(OR(AND(OR(W222&gt;0,Y222&gt;0),W222&gt;Y222),OR(Y218="b",Y218="B")),W218,IF(OR(AND(OR(W222&gt;0,Y222&gt;0),Y222&gt;W222),OR(W218="b",W218="B")),Y218,"W1"))</f>
        <v>4</v>
      </c>
      <c r="AD218" s="133" t="s">
        <v>72</v>
      </c>
      <c r="AE218" s="134">
        <f>IF(OR(AND(OR(Z222&gt;0,AB222&gt;0),Z222&gt;AB222),OR(AB222="b",AB222="B")),Z218,IF(OR(AND(OR(Z222&gt;0,AB222&gt;0),AB222&gt;Z222),OR(Z222="b",Z222="B")),AB218,"W2"))</f>
        <v>3</v>
      </c>
      <c r="AF218" s="176" t="s">
        <v>157</v>
      </c>
      <c r="AG218" s="178"/>
      <c r="AH218" s="127"/>
      <c r="AI218" s="127"/>
      <c r="AJ218" s="127"/>
      <c r="AZ218" s="70"/>
      <c r="BA218" s="70"/>
    </row>
    <row r="219" spans="1:53" ht="13.5" hidden="1" customHeight="1" thickBot="1" x14ac:dyDescent="0.25">
      <c r="A219" s="8"/>
      <c r="B219" s="135">
        <f>IF(B223&gt;D223,1,0)</f>
        <v>1</v>
      </c>
      <c r="C219" s="136"/>
      <c r="D219" s="137">
        <f>IF(D223&gt;B223,1,0)</f>
        <v>0</v>
      </c>
      <c r="E219" s="135">
        <f>IF(E223&gt;G223,1,0)</f>
        <v>1</v>
      </c>
      <c r="F219" s="136"/>
      <c r="G219" s="137">
        <f>IF(G223&gt;E223,1,0)</f>
        <v>0</v>
      </c>
      <c r="H219" s="135">
        <f>IF(H223&gt;J223,1,0)</f>
        <v>1</v>
      </c>
      <c r="I219" s="136"/>
      <c r="J219" s="137">
        <f>IF(J223&gt;H223,1,0)</f>
        <v>0</v>
      </c>
      <c r="K219" s="138"/>
      <c r="L219" s="139"/>
      <c r="M219" s="139"/>
      <c r="N219" s="140"/>
      <c r="R219" s="127"/>
      <c r="S219" s="127"/>
      <c r="T219" s="160"/>
      <c r="U219" s="160"/>
      <c r="V219" s="161"/>
      <c r="W219" s="135">
        <f>IF(W223&gt;Y223,1,0)</f>
        <v>0</v>
      </c>
      <c r="X219" s="136"/>
      <c r="Y219" s="137">
        <f>IF(Y223&gt;W223,1,0)</f>
        <v>1</v>
      </c>
      <c r="Z219" s="135">
        <f>IF(Z223&gt;AB223,1,0)</f>
        <v>0</v>
      </c>
      <c r="AA219" s="136"/>
      <c r="AB219" s="137">
        <f>IF(AB223&gt;Z223,1,0)</f>
        <v>1</v>
      </c>
      <c r="AC219" s="135">
        <f>IF(AC223&gt;AE223,1,0)</f>
        <v>1</v>
      </c>
      <c r="AD219" s="136"/>
      <c r="AE219" s="137">
        <f>IF(AE223&gt;AC223,1,0)</f>
        <v>0</v>
      </c>
      <c r="AF219" s="141"/>
      <c r="AG219" s="142"/>
      <c r="AH219" s="127"/>
      <c r="AI219" s="127"/>
      <c r="AJ219" s="127"/>
      <c r="AZ219" s="70"/>
      <c r="BA219" s="70"/>
    </row>
    <row r="220" spans="1:53" ht="13.5" hidden="1" customHeight="1" thickBot="1" x14ac:dyDescent="0.25">
      <c r="A220" s="8"/>
      <c r="B220" s="135">
        <f>IF(B224&gt;D224,1,0)</f>
        <v>1</v>
      </c>
      <c r="C220" s="136"/>
      <c r="D220" s="137">
        <f>IF(D224&gt;B224,1,0)</f>
        <v>0</v>
      </c>
      <c r="E220" s="135">
        <f>IF(E224&gt;G224,1,0)</f>
        <v>0</v>
      </c>
      <c r="F220" s="136"/>
      <c r="G220" s="137">
        <f>IF(G224&gt;E224,1,0)</f>
        <v>1</v>
      </c>
      <c r="H220" s="135">
        <f>IF(H224&gt;J224,1,0)</f>
        <v>1</v>
      </c>
      <c r="I220" s="136"/>
      <c r="J220" s="137">
        <f>IF(J224&gt;H224,1,0)</f>
        <v>0</v>
      </c>
      <c r="K220" s="138"/>
      <c r="L220" s="139"/>
      <c r="M220" s="139"/>
      <c r="N220" s="140"/>
      <c r="R220" s="127"/>
      <c r="S220" s="127"/>
      <c r="T220" s="160"/>
      <c r="U220" s="160"/>
      <c r="V220" s="161"/>
      <c r="W220" s="135">
        <f>IF(W224&gt;Y224,1,0)</f>
        <v>0</v>
      </c>
      <c r="X220" s="136"/>
      <c r="Y220" s="137">
        <f>IF(Y224&gt;W224,1,0)</f>
        <v>1</v>
      </c>
      <c r="Z220" s="135">
        <f>IF(Z224&gt;AB224,1,0)</f>
        <v>0</v>
      </c>
      <c r="AA220" s="136"/>
      <c r="AB220" s="137">
        <f>IF(AB224&gt;Z224,1,0)</f>
        <v>1</v>
      </c>
      <c r="AC220" s="135">
        <f>IF(AC224&gt;AE224,1,0)</f>
        <v>1</v>
      </c>
      <c r="AD220" s="136"/>
      <c r="AE220" s="137">
        <f>IF(AE224&gt;AC224,1,0)</f>
        <v>0</v>
      </c>
      <c r="AF220" s="141"/>
      <c r="AG220" s="142"/>
      <c r="AH220" s="127"/>
      <c r="AI220" s="127"/>
      <c r="AJ220" s="127"/>
      <c r="AZ220" s="70"/>
      <c r="BA220" s="70"/>
    </row>
    <row r="221" spans="1:53" ht="13.5" hidden="1" customHeight="1" thickBot="1" x14ac:dyDescent="0.25">
      <c r="A221" s="8"/>
      <c r="B221" s="135">
        <f>IF(B225&gt;D225,1,0)</f>
        <v>0</v>
      </c>
      <c r="C221" s="136"/>
      <c r="D221" s="137">
        <f>IF(D225&gt;B225,1,0)</f>
        <v>0</v>
      </c>
      <c r="E221" s="135">
        <f>IF(E225&gt;G225,1,0)</f>
        <v>1</v>
      </c>
      <c r="F221" s="136"/>
      <c r="G221" s="137">
        <f>IF(G225&gt;E225,1,0)</f>
        <v>0</v>
      </c>
      <c r="H221" s="135">
        <f>IF(H225&gt;J225,1,0)</f>
        <v>0</v>
      </c>
      <c r="I221" s="136"/>
      <c r="J221" s="137">
        <f>IF(J225&gt;H225,1,0)</f>
        <v>0</v>
      </c>
      <c r="K221" s="138"/>
      <c r="L221" s="139"/>
      <c r="M221" s="139"/>
      <c r="N221" s="140"/>
      <c r="R221" s="127"/>
      <c r="S221" s="127"/>
      <c r="T221" s="160"/>
      <c r="U221" s="160"/>
      <c r="V221" s="161"/>
      <c r="W221" s="135">
        <f>IF(W225&gt;Y225,1,0)</f>
        <v>0</v>
      </c>
      <c r="X221" s="136"/>
      <c r="Y221" s="137">
        <f>IF(Y225&gt;W225,1,0)</f>
        <v>0</v>
      </c>
      <c r="Z221" s="135">
        <f>IF(Z225&gt;AB225,1,0)</f>
        <v>0</v>
      </c>
      <c r="AA221" s="136"/>
      <c r="AB221" s="137">
        <f>IF(AB225&gt;Z225,1,0)</f>
        <v>0</v>
      </c>
      <c r="AC221" s="135">
        <f>IF(AC225&gt;AE225,1,0)</f>
        <v>0</v>
      </c>
      <c r="AD221" s="136"/>
      <c r="AE221" s="137">
        <f>IF(AE225&gt;AC225,1,0)</f>
        <v>0</v>
      </c>
      <c r="AF221" s="141"/>
      <c r="AG221" s="142"/>
      <c r="AH221" s="127"/>
      <c r="AI221" s="127"/>
      <c r="AJ221" s="127"/>
      <c r="AZ221" s="70"/>
      <c r="BA221" s="70"/>
    </row>
    <row r="222" spans="1:53" ht="13.5" hidden="1" customHeight="1" thickBot="1" x14ac:dyDescent="0.25">
      <c r="A222" s="8"/>
      <c r="B222" s="135">
        <f>SUM(B219:B221)</f>
        <v>2</v>
      </c>
      <c r="C222" s="136"/>
      <c r="D222" s="135">
        <f>SUM(D219:D221)</f>
        <v>0</v>
      </c>
      <c r="E222" s="135">
        <f>SUM(E219:E221)</f>
        <v>2</v>
      </c>
      <c r="F222" s="136"/>
      <c r="G222" s="135">
        <f>SUM(G219:G221)</f>
        <v>1</v>
      </c>
      <c r="H222" s="135">
        <f>SUM(H219:H221)</f>
        <v>2</v>
      </c>
      <c r="I222" s="136"/>
      <c r="J222" s="135">
        <f>SUM(J219:J221)</f>
        <v>0</v>
      </c>
      <c r="K222" s="138"/>
      <c r="L222" s="139"/>
      <c r="M222" s="139"/>
      <c r="N222" s="140"/>
      <c r="R222" s="127"/>
      <c r="S222" s="127"/>
      <c r="T222" s="160"/>
      <c r="U222" s="160"/>
      <c r="V222" s="161"/>
      <c r="W222" s="135">
        <f>SUM(W219:W221)</f>
        <v>0</v>
      </c>
      <c r="X222" s="136"/>
      <c r="Y222" s="135">
        <f>SUM(Y219:Y221)</f>
        <v>2</v>
      </c>
      <c r="Z222" s="135">
        <f>SUM(Z219:Z221)</f>
        <v>0</v>
      </c>
      <c r="AA222" s="136"/>
      <c r="AB222" s="135">
        <f>SUM(AB219:AB221)</f>
        <v>2</v>
      </c>
      <c r="AC222" s="135">
        <f>SUM(AC219:AC221)</f>
        <v>2</v>
      </c>
      <c r="AD222" s="136"/>
      <c r="AE222" s="135">
        <f>SUM(AE219:AE221)</f>
        <v>0</v>
      </c>
      <c r="AF222" s="141"/>
      <c r="AG222" s="142"/>
      <c r="AH222" s="127"/>
      <c r="AI222" s="127"/>
      <c r="AJ222" s="127"/>
      <c r="AZ222" s="70"/>
      <c r="BA222" s="70"/>
    </row>
    <row r="223" spans="1:53" ht="12.75" customHeight="1" x14ac:dyDescent="0.2">
      <c r="A223" s="6" t="s">
        <v>73</v>
      </c>
      <c r="B223" s="143">
        <v>25</v>
      </c>
      <c r="C223" s="66" t="s">
        <v>74</v>
      </c>
      <c r="D223" s="144">
        <v>11</v>
      </c>
      <c r="E223" s="145">
        <v>25</v>
      </c>
      <c r="F223" s="66" t="s">
        <v>74</v>
      </c>
      <c r="G223" s="144">
        <v>22</v>
      </c>
      <c r="H223" s="145">
        <v>25</v>
      </c>
      <c r="I223" s="66" t="s">
        <v>74</v>
      </c>
      <c r="J223" s="146">
        <v>10</v>
      </c>
      <c r="K223" s="162">
        <f>IF(AND(OR(H222&gt;0,J222&gt;0),AND(1&lt;=H218,H218&lt;=4),AND(1&lt;=J218,J218&lt;=4)),IF(H222&gt;J222,H218,IF(J222&gt;H222,J218,"")),"")</f>
        <v>1</v>
      </c>
      <c r="L223" s="163"/>
      <c r="M223" s="163"/>
      <c r="N223" s="164"/>
      <c r="R223" s="127"/>
      <c r="S223" s="127"/>
      <c r="T223" s="147"/>
      <c r="U223" s="147"/>
      <c r="V223" s="6" t="s">
        <v>73</v>
      </c>
      <c r="W223" s="143">
        <v>14</v>
      </c>
      <c r="X223" s="66" t="s">
        <v>74</v>
      </c>
      <c r="Y223" s="144">
        <v>25</v>
      </c>
      <c r="Z223" s="145">
        <v>12</v>
      </c>
      <c r="AA223" s="66" t="s">
        <v>74</v>
      </c>
      <c r="AB223" s="144">
        <v>25</v>
      </c>
      <c r="AC223" s="145">
        <v>25</v>
      </c>
      <c r="AD223" s="66" t="s">
        <v>74</v>
      </c>
      <c r="AE223" s="146">
        <v>17</v>
      </c>
      <c r="AF223" s="162">
        <f>IF(AND(OR(AC222&gt;0,AE222&gt;0),AND(1&lt;=AC218,AC218&lt;=4),AND(1&lt;=AE218,AE218&lt;=4)),IF(AC222&gt;AE222,AC218,IF(AE222&gt;AC222,AE218,"")),"")</f>
        <v>4</v>
      </c>
      <c r="AG223" s="164"/>
      <c r="AH223" s="127"/>
      <c r="AI223" s="127"/>
      <c r="AJ223" s="127"/>
      <c r="AZ223" s="70"/>
      <c r="BA223" s="70"/>
    </row>
    <row r="224" spans="1:53" ht="12.75" customHeight="1" x14ac:dyDescent="0.2">
      <c r="A224" s="6" t="s">
        <v>158</v>
      </c>
      <c r="B224" s="143">
        <v>25</v>
      </c>
      <c r="C224" s="66" t="s">
        <v>74</v>
      </c>
      <c r="D224" s="144">
        <v>12</v>
      </c>
      <c r="E224" s="145">
        <v>21</v>
      </c>
      <c r="F224" s="66" t="s">
        <v>74</v>
      </c>
      <c r="G224" s="144">
        <v>25</v>
      </c>
      <c r="H224" s="145">
        <v>25</v>
      </c>
      <c r="I224" s="66" t="s">
        <v>74</v>
      </c>
      <c r="J224" s="146">
        <v>18</v>
      </c>
      <c r="K224" s="165"/>
      <c r="L224" s="166"/>
      <c r="M224" s="166"/>
      <c r="N224" s="167"/>
      <c r="R224" s="127"/>
      <c r="S224" s="127"/>
      <c r="T224" s="147"/>
      <c r="U224" s="147"/>
      <c r="V224" s="6" t="s">
        <v>158</v>
      </c>
      <c r="W224" s="143">
        <v>21</v>
      </c>
      <c r="X224" s="66" t="s">
        <v>74</v>
      </c>
      <c r="Y224" s="144">
        <v>25</v>
      </c>
      <c r="Z224" s="145">
        <v>25</v>
      </c>
      <c r="AA224" s="66" t="s">
        <v>74</v>
      </c>
      <c r="AB224" s="144">
        <v>27</v>
      </c>
      <c r="AC224" s="145">
        <v>25</v>
      </c>
      <c r="AD224" s="66" t="s">
        <v>74</v>
      </c>
      <c r="AE224" s="146">
        <v>23</v>
      </c>
      <c r="AF224" s="165"/>
      <c r="AG224" s="167"/>
      <c r="AH224" s="127"/>
      <c r="AI224" s="127"/>
      <c r="AJ224" s="127"/>
      <c r="AZ224" s="70"/>
      <c r="BA224" s="70"/>
    </row>
    <row r="225" spans="1:77" ht="13.5" customHeight="1" thickBot="1" x14ac:dyDescent="0.25">
      <c r="A225" s="6" t="s">
        <v>159</v>
      </c>
      <c r="B225" s="148"/>
      <c r="C225" s="149" t="s">
        <v>74</v>
      </c>
      <c r="D225" s="150"/>
      <c r="E225" s="151">
        <v>15</v>
      </c>
      <c r="F225" s="149" t="s">
        <v>74</v>
      </c>
      <c r="G225" s="150">
        <v>13</v>
      </c>
      <c r="H225" s="151"/>
      <c r="I225" s="149" t="s">
        <v>74</v>
      </c>
      <c r="J225" s="152"/>
      <c r="K225" s="168"/>
      <c r="L225" s="169"/>
      <c r="M225" s="169"/>
      <c r="N225" s="170"/>
      <c r="R225" s="127"/>
      <c r="S225" s="127"/>
      <c r="T225" s="147"/>
      <c r="U225" s="147"/>
      <c r="V225" s="6" t="s">
        <v>159</v>
      </c>
      <c r="W225" s="148"/>
      <c r="X225" s="149" t="s">
        <v>74</v>
      </c>
      <c r="Y225" s="150"/>
      <c r="Z225" s="151"/>
      <c r="AA225" s="149" t="s">
        <v>74</v>
      </c>
      <c r="AB225" s="150"/>
      <c r="AC225" s="151"/>
      <c r="AD225" s="149" t="s">
        <v>74</v>
      </c>
      <c r="AE225" s="152"/>
      <c r="AF225" s="168"/>
      <c r="AG225" s="170"/>
      <c r="AH225" s="127"/>
      <c r="AI225" s="127"/>
      <c r="AJ225" s="127"/>
      <c r="AZ225" s="70"/>
      <c r="BA225" s="70"/>
    </row>
    <row r="226" spans="1:77" hidden="1" x14ac:dyDescent="0.2">
      <c r="B226" s="3"/>
      <c r="C226" s="153" t="s">
        <v>108</v>
      </c>
      <c r="D226" s="3" t="s">
        <v>160</v>
      </c>
      <c r="E226" s="3"/>
      <c r="F226" s="153"/>
      <c r="G226" s="4" t="s">
        <v>161</v>
      </c>
      <c r="J226" s="4" t="s">
        <v>162</v>
      </c>
      <c r="W226" s="3"/>
      <c r="X226" s="153" t="s">
        <v>108</v>
      </c>
      <c r="Y226" s="3" t="s">
        <v>160</v>
      </c>
      <c r="Z226" s="3"/>
      <c r="AA226" s="153"/>
      <c r="AB226" s="4" t="s">
        <v>161</v>
      </c>
      <c r="AE226" s="4" t="s">
        <v>162</v>
      </c>
      <c r="AT226" s="4" t="str">
        <f>B227</f>
        <v>Crossfire 13 Power</v>
      </c>
      <c r="AU226" s="4">
        <f>J227</f>
        <v>2214.4906569405434</v>
      </c>
      <c r="AW226" s="154"/>
      <c r="AX226" s="70"/>
      <c r="AY226" s="70"/>
      <c r="AZ226" s="70"/>
      <c r="BA226" s="70"/>
      <c r="BB226" s="154"/>
      <c r="BC226" s="70"/>
      <c r="BD226" s="70"/>
      <c r="BE226" s="154"/>
      <c r="BF226" s="70"/>
      <c r="BG226" s="70"/>
      <c r="BH226" s="154"/>
      <c r="BI226" s="70"/>
      <c r="BJ226" s="70"/>
      <c r="BK226" s="154"/>
      <c r="BL226" s="70"/>
      <c r="BM226" s="70"/>
      <c r="BN226" s="154"/>
      <c r="BO226" s="70"/>
      <c r="BP226" s="70"/>
      <c r="BQ226" s="154"/>
      <c r="BR226" s="70"/>
      <c r="BS226" s="70"/>
      <c r="BT226" s="154"/>
      <c r="BU226" s="70"/>
      <c r="BV226" s="70"/>
      <c r="BW226" s="154"/>
      <c r="BX226" s="70"/>
      <c r="BY226" s="70"/>
    </row>
    <row r="227" spans="1:77" hidden="1" x14ac:dyDescent="0.2">
      <c r="A227" s="4">
        <v>1</v>
      </c>
      <c r="B227" s="4" t="str">
        <f>B210</f>
        <v>Crossfire 13 Power</v>
      </c>
      <c r="C227" s="4">
        <f>VLOOKUP(B227,AU$2:AY$22,4,FALSE)</f>
        <v>2198.9082737681274</v>
      </c>
      <c r="D227" s="4">
        <f>IF(A227=B218,B233,IF(A227=D218,D233,C227))</f>
        <v>2206.1111559157912</v>
      </c>
      <c r="G227" s="4">
        <f>IF(A227=E218,E233,IF(A227=G218,G233,D227))</f>
        <v>2206.1111559157912</v>
      </c>
      <c r="J227" s="4">
        <f>IF(A227=H218,H233,IF(A227=J218,J233,G227))</f>
        <v>2214.4906569405434</v>
      </c>
      <c r="U227" s="155"/>
      <c r="V227" s="155">
        <v>1</v>
      </c>
      <c r="W227" s="4" t="str">
        <f>X210</f>
        <v xml:space="preserve">CSRA Heat 14 Black </v>
      </c>
      <c r="X227" s="4">
        <f>VLOOKUP(W227,AU$2:AY$22,4,FALSE)</f>
        <v>1888.9919873112519</v>
      </c>
      <c r="Y227" s="4">
        <f>IF(V227=W218,W233,IF(V227=Y218,Y233,X227))</f>
        <v>1869.0816372048744</v>
      </c>
      <c r="AB227" s="4">
        <f>IF(V227=Z218,Z233,IF(V227=AB218,AB233,Y227))</f>
        <v>1869.0816372048744</v>
      </c>
      <c r="AE227" s="4">
        <f>IF(V227=AC218,AC233,IF(V227=AE218,AE233,AB227))</f>
        <v>1869.0816372048744</v>
      </c>
      <c r="AT227" s="4" t="str">
        <f>B228</f>
        <v>CSRA Heat 13 Gold</v>
      </c>
      <c r="AU227" s="4">
        <f>J228</f>
        <v>2017.703291174091</v>
      </c>
      <c r="AW227" s="154"/>
      <c r="AX227" s="70"/>
      <c r="AY227" s="70"/>
      <c r="AZ227" s="70"/>
      <c r="BA227" s="70"/>
      <c r="BB227" s="154"/>
      <c r="BC227" s="70"/>
      <c r="BD227" s="70"/>
      <c r="BE227" s="154"/>
      <c r="BF227" s="70"/>
      <c r="BG227" s="70"/>
      <c r="BH227" s="154"/>
      <c r="BI227" s="70"/>
      <c r="BJ227" s="70"/>
      <c r="BK227" s="154"/>
      <c r="BL227" s="70"/>
      <c r="BM227" s="70"/>
      <c r="BN227" s="154"/>
      <c r="BO227" s="70"/>
      <c r="BP227" s="70"/>
      <c r="BQ227" s="154"/>
      <c r="BR227" s="70"/>
      <c r="BS227" s="70"/>
      <c r="BT227" s="154"/>
      <c r="BU227" s="70"/>
      <c r="BV227" s="70"/>
      <c r="BW227" s="154"/>
      <c r="BX227" s="70"/>
      <c r="BY227" s="70"/>
    </row>
    <row r="228" spans="1:77" hidden="1" x14ac:dyDescent="0.2">
      <c r="A228" s="4">
        <v>2</v>
      </c>
      <c r="B228" s="4" t="str">
        <f>B211</f>
        <v>CSRA Heat 13 Gold</v>
      </c>
      <c r="C228" s="4">
        <f>VLOOKUP(B228,AU$2:AY$22,4,FALSE)</f>
        <v>2019.904371463555</v>
      </c>
      <c r="D228" s="4">
        <f>IF(A228=B218,B233,IF(A228=D218,D233,C228))</f>
        <v>2019.904371463555</v>
      </c>
      <c r="G228" s="4">
        <f>IF(A228=E218,E233,IF(A228=G218,G233,D228))</f>
        <v>2026.082792198843</v>
      </c>
      <c r="J228" s="4">
        <f>IF(A228=H218,H233,IF(A228=J218,J233,G228))</f>
        <v>2017.703291174091</v>
      </c>
      <c r="U228" s="155"/>
      <c r="V228" s="155">
        <v>2</v>
      </c>
      <c r="W228" s="4" t="str">
        <f>X211</f>
        <v>SC Midlands 13 Perf</v>
      </c>
      <c r="X228" s="4">
        <f>VLOOKUP(W228,AU$2:AY$22,4,FALSE)</f>
        <v>1873.1026493351276</v>
      </c>
      <c r="Y228" s="4">
        <f>IF(V228=W218,W233,IF(V228=Y218,Y233,X228))</f>
        <v>1873.1026493351276</v>
      </c>
      <c r="AB228" s="4">
        <f>IF(V228=Z218,Z233,IF(V228=AB218,AB233,Y228))</f>
        <v>1857.267256722582</v>
      </c>
      <c r="AE228" s="4">
        <f>IF(V228=AC218,AC233,IF(V228=AE218,AE233,AB228))</f>
        <v>1857.267256722582</v>
      </c>
      <c r="AT228" s="4" t="str">
        <f>B229</f>
        <v>C1VB 13 Power Grvl</v>
      </c>
      <c r="AU228" s="4">
        <f>J229</f>
        <v>1987.3050777336375</v>
      </c>
      <c r="AW228" s="154"/>
      <c r="AX228" s="70"/>
      <c r="AY228" s="70"/>
      <c r="AZ228" s="70"/>
      <c r="BA228" s="70"/>
      <c r="BB228" s="154"/>
      <c r="BC228" s="70"/>
      <c r="BD228" s="70"/>
      <c r="BE228" s="154"/>
      <c r="BF228" s="70"/>
      <c r="BG228" s="70"/>
      <c r="BH228" s="154"/>
      <c r="BI228" s="70"/>
      <c r="BJ228" s="70"/>
      <c r="BK228" s="154"/>
      <c r="BL228" s="70"/>
      <c r="BM228" s="70"/>
      <c r="BN228" s="154"/>
      <c r="BO228" s="70"/>
      <c r="BP228" s="70"/>
      <c r="BQ228" s="154"/>
      <c r="BR228" s="70"/>
      <c r="BS228" s="70"/>
      <c r="BT228" s="154"/>
      <c r="BU228" s="70"/>
      <c r="BV228" s="70"/>
      <c r="BW228" s="154"/>
      <c r="BX228" s="70"/>
      <c r="BY228" s="70"/>
    </row>
    <row r="229" spans="1:77" hidden="1" x14ac:dyDescent="0.2">
      <c r="A229" s="4">
        <v>3</v>
      </c>
      <c r="B229" s="4" t="str">
        <f>B212</f>
        <v>C1VB 13 Power Grvl</v>
      </c>
      <c r="C229" s="4">
        <f>VLOOKUP(B229,AU$2:AY$22,4,FALSE)</f>
        <v>1993.4834984689255</v>
      </c>
      <c r="D229" s="4">
        <f>IF(A229=B218,B233,IF(A229=D218,D233,C229))</f>
        <v>1993.4834984689255</v>
      </c>
      <c r="G229" s="4">
        <f>IF(A229=E218,E233,IF(A229=G218,G233,D229))</f>
        <v>1987.3050777336375</v>
      </c>
      <c r="J229" s="4">
        <f>IF(A229=H218,H233,IF(A229=J218,J233,G229))</f>
        <v>1987.3050777336375</v>
      </c>
      <c r="U229" s="155"/>
      <c r="V229" s="155">
        <v>3</v>
      </c>
      <c r="W229" s="4" t="str">
        <f>X212</f>
        <v>Chas Jrs 13 Red</v>
      </c>
      <c r="X229" s="4">
        <f>VLOOKUP(W229,AU$2:AY$22,4,FALSE)</f>
        <v>1876.6771794532765</v>
      </c>
      <c r="Y229" s="4">
        <f>IF(V229=W218,W233,IF(V229=Y218,Y233,X229))</f>
        <v>1876.6771794532765</v>
      </c>
      <c r="AB229" s="4">
        <f>IF(V229=Z218,Z233,IF(V229=AB218,AB233,Y229))</f>
        <v>1892.512572065822</v>
      </c>
      <c r="AE229" s="4">
        <f>IF(V229=AC218,AC233,IF(V229=AE218,AE233,AB229))</f>
        <v>1873.3196550996381</v>
      </c>
      <c r="AT229" s="4" t="str">
        <f>B230</f>
        <v>Intense 13 Elite Columbia</v>
      </c>
      <c r="AU229" s="4">
        <f>J230</f>
        <v>1976.9474327790549</v>
      </c>
      <c r="AW229" s="154"/>
      <c r="AX229" s="70"/>
      <c r="AY229" s="70"/>
      <c r="AZ229" s="70"/>
      <c r="BA229" s="70"/>
      <c r="BB229" s="154"/>
      <c r="BC229" s="70"/>
      <c r="BD229" s="70"/>
      <c r="BE229" s="154"/>
      <c r="BF229" s="70"/>
      <c r="BG229" s="70"/>
      <c r="BH229" s="154"/>
      <c r="BI229" s="70"/>
      <c r="BJ229" s="70"/>
      <c r="BK229" s="154"/>
      <c r="BL229" s="70"/>
      <c r="BM229" s="70"/>
      <c r="BN229" s="154"/>
      <c r="BO229" s="70"/>
      <c r="BP229" s="70"/>
      <c r="BQ229" s="154"/>
      <c r="BR229" s="70"/>
      <c r="BS229" s="70"/>
      <c r="BT229" s="154"/>
      <c r="BU229" s="70"/>
      <c r="BV229" s="70"/>
      <c r="BW229" s="154"/>
      <c r="BX229" s="70"/>
      <c r="BY229" s="70"/>
    </row>
    <row r="230" spans="1:77" hidden="1" x14ac:dyDescent="0.2">
      <c r="A230" s="4">
        <v>4</v>
      </c>
      <c r="B230" s="4" t="str">
        <f>B213</f>
        <v>Intense 13 Elite Columbia</v>
      </c>
      <c r="C230" s="4">
        <f>VLOOKUP(B230,AU$2:AY$22,4,FALSE)</f>
        <v>1984.1503149267185</v>
      </c>
      <c r="D230" s="4">
        <f>IF(A230=B218,B233,IF(A230=D218,D233,C230))</f>
        <v>1976.9474327790549</v>
      </c>
      <c r="G230" s="4">
        <f>IF(A230=E218,E233,IF(A230=G218,G233,D230))</f>
        <v>1976.9474327790549</v>
      </c>
      <c r="J230" s="4">
        <f>IF(A230=H218,H233,IF(A230=J218,J233,G230))</f>
        <v>1976.9474327790549</v>
      </c>
      <c r="U230" s="155"/>
      <c r="V230" s="155">
        <v>4</v>
      </c>
      <c r="W230" s="4" t="str">
        <f>X213</f>
        <v>Fort Mill 13 Purple</v>
      </c>
      <c r="X230" s="4">
        <f>VLOOKUP(W230,AU$2:AY$22,4,FALSE)</f>
        <v>1802.3259182873846</v>
      </c>
      <c r="Y230" s="4">
        <f>IF(V230=W218,W233,IF(V230=Y218,Y233,X230))</f>
        <v>1822.2362683937622</v>
      </c>
      <c r="AB230" s="4">
        <f>IF(V230=Z218,Z233,IF(V230=AB218,AB233,Y230))</f>
        <v>1822.2362683937622</v>
      </c>
      <c r="AE230" s="4">
        <f>IF(V230=AC218,AC233,IF(V230=AE218,AE233,AB230))</f>
        <v>1841.4291853599461</v>
      </c>
      <c r="AT230" s="4" t="str">
        <f>W227</f>
        <v xml:space="preserve">CSRA Heat 14 Black </v>
      </c>
      <c r="AU230" s="4">
        <f>AE227</f>
        <v>1869.0816372048744</v>
      </c>
      <c r="AW230" s="154"/>
      <c r="AX230" s="70"/>
      <c r="AY230" s="70"/>
      <c r="AZ230" s="70"/>
      <c r="BA230" s="70"/>
      <c r="BB230" s="154"/>
      <c r="BC230" s="70"/>
      <c r="BD230" s="70"/>
      <c r="BE230" s="154"/>
      <c r="BF230" s="70"/>
      <c r="BG230" s="70"/>
      <c r="BH230" s="154"/>
      <c r="BI230" s="70"/>
      <c r="BJ230" s="70"/>
      <c r="BK230" s="154"/>
      <c r="BL230" s="70"/>
      <c r="BM230" s="70"/>
      <c r="BN230" s="154"/>
      <c r="BO230" s="70"/>
      <c r="BP230" s="70"/>
      <c r="BQ230" s="154"/>
      <c r="BR230" s="70"/>
      <c r="BS230" s="70"/>
      <c r="BT230" s="154"/>
      <c r="BU230" s="70"/>
      <c r="BV230" s="70"/>
      <c r="BW230" s="154"/>
      <c r="BX230" s="70"/>
      <c r="BY230" s="70"/>
    </row>
    <row r="231" spans="1:77" hidden="1" x14ac:dyDescent="0.2">
      <c r="A231" s="4" t="s">
        <v>110</v>
      </c>
      <c r="B231" s="4">
        <f>VLOOKUP(B218,$A227:$J230,3,FALSE)</f>
        <v>2198.9082737681274</v>
      </c>
      <c r="D231" s="4">
        <f>VLOOKUP(D218,$A227:$J230,3,FALSE)</f>
        <v>1984.1503149267185</v>
      </c>
      <c r="E231" s="4">
        <f>VLOOKUP(E218,$A227:$J230,4,FALSE)</f>
        <v>2019.904371463555</v>
      </c>
      <c r="G231" s="4">
        <f>VLOOKUP(G218,$A227:$J230,4,FALSE)</f>
        <v>1993.4834984689255</v>
      </c>
      <c r="H231" s="4">
        <f>VLOOKUP(H218,$A227:$J230,7,FALSE)</f>
        <v>2206.1111559157912</v>
      </c>
      <c r="J231" s="4">
        <f>VLOOKUP(J218,$A227:$J230,7,FALSE)</f>
        <v>2026.082792198843</v>
      </c>
      <c r="T231" s="171" t="s">
        <v>110</v>
      </c>
      <c r="U231" s="171"/>
      <c r="V231" s="171"/>
      <c r="W231" s="4">
        <f>VLOOKUP(W218,$V227:$AE230,3,FALSE)</f>
        <v>1888.9919873112519</v>
      </c>
      <c r="Y231" s="4">
        <f>VLOOKUP(Y218,$V227:$AE230,3,FALSE)</f>
        <v>1802.3259182873846</v>
      </c>
      <c r="Z231" s="4">
        <f>VLOOKUP(Z218,$V227:$AE230,4,FALSE)</f>
        <v>1873.1026493351276</v>
      </c>
      <c r="AB231" s="4">
        <f>VLOOKUP(AB218,$V227:$AE230,4,FALSE)</f>
        <v>1876.6771794532765</v>
      </c>
      <c r="AC231" s="4">
        <f>VLOOKUP(AC218,$V227:$AE230,7,FALSE)</f>
        <v>1822.2362683937622</v>
      </c>
      <c r="AE231" s="4">
        <f>VLOOKUP(AE218,$V227:$AE230,7,FALSE)</f>
        <v>1892.512572065822</v>
      </c>
      <c r="AT231" s="4" t="str">
        <f>W228</f>
        <v>SC Midlands 13 Perf</v>
      </c>
      <c r="AU231" s="4">
        <f>AE228</f>
        <v>1857.267256722582</v>
      </c>
      <c r="AW231" s="154"/>
      <c r="AX231" s="70"/>
      <c r="AY231" s="70"/>
      <c r="AZ231" s="70"/>
      <c r="BA231" s="70"/>
      <c r="BB231" s="154"/>
      <c r="BC231" s="70"/>
      <c r="BD231" s="70"/>
      <c r="BE231" s="154"/>
      <c r="BF231" s="70"/>
      <c r="BG231" s="70"/>
      <c r="BH231" s="154"/>
      <c r="BI231" s="70"/>
      <c r="BJ231" s="70"/>
      <c r="BK231" s="154"/>
      <c r="BL231" s="70"/>
      <c r="BM231" s="70"/>
      <c r="BN231" s="154"/>
      <c r="BO231" s="70"/>
      <c r="BP231" s="70"/>
      <c r="BQ231" s="154"/>
      <c r="BR231" s="70"/>
      <c r="BS231" s="70"/>
      <c r="BT231" s="154"/>
      <c r="BU231" s="70"/>
      <c r="BV231" s="70"/>
      <c r="BW231" s="154"/>
      <c r="BX231" s="70"/>
      <c r="BY231" s="70"/>
    </row>
    <row r="232" spans="1:77" hidden="1" x14ac:dyDescent="0.2">
      <c r="A232" s="84" t="s">
        <v>111</v>
      </c>
      <c r="B232" s="84">
        <f>IF(OR(B222&gt;0,D222&gt;0),1/(1+(10^-((B231-D231)/400)))*(B222+D222),0)</f>
        <v>1.5498198657710245</v>
      </c>
      <c r="C232" s="84"/>
      <c r="D232" s="84">
        <f>IF(OR(B22&gt;0, D22&gt;0),1/(1+(10^-((D231-B231)/400)))*(B222+D222),0)</f>
        <v>0.45018013422897535</v>
      </c>
      <c r="E232" s="84">
        <f>IF(OR(E222&gt;0,G222&gt;0),1/(1+(10^-((E231-G231)/400)))*(E222+G222),0)</f>
        <v>1.6138487040445042</v>
      </c>
      <c r="F232" s="84"/>
      <c r="G232" s="84">
        <f>IF(OR(E22&gt;0, G22&gt;0),1/(1+(10^-((G231-E231)/400)))*(E222+G222),0)</f>
        <v>1.386151295955496</v>
      </c>
      <c r="H232" s="84">
        <f>IF(OR(H222&gt;0,J222&gt;0),1/(1+(10^-((H231-J231)/400)))*(H222+J222),0)</f>
        <v>1.4762811859529936</v>
      </c>
      <c r="I232" s="84"/>
      <c r="J232" s="84">
        <f>IF(OR(H22&gt;0, J22&gt;0),1/(1+(10^-((J231-H231)/400)))*(H222+J222),0)</f>
        <v>0.52371881404700638</v>
      </c>
      <c r="T232" s="172" t="s">
        <v>111</v>
      </c>
      <c r="U232" s="172"/>
      <c r="V232" s="172"/>
      <c r="W232" s="84">
        <f>IF(OR(W222&gt;0,Y222&gt;0),1/(1+(10^-((W231-Y231)/400)))*(W222+Y222),0)</f>
        <v>1.2443968816485942</v>
      </c>
      <c r="X232" s="84"/>
      <c r="Y232" s="84">
        <f>IF(OR(W22&gt;0, Y22&gt;0),1/(1+(10^-((Y231-W231)/400)))*(W222+Y222),0)</f>
        <v>0.75560311835140603</v>
      </c>
      <c r="Z232" s="84">
        <f>IF(OR(Z222&gt;0,AB222&gt;0),1/(1+(10^-((Z231-AB231)/400)))*(Z222+AB222),0)</f>
        <v>0.98971203828410093</v>
      </c>
      <c r="AA232" s="84"/>
      <c r="AB232" s="84">
        <f>IF(OR(Z22&gt;0, AB22&gt;0),1/(1+(10^-((AB231-Z231)/400)))*(Z222+AB222),0)</f>
        <v>1.0102879617158991</v>
      </c>
      <c r="AC232" s="84">
        <f>IF(OR(AC222&gt;0,AE222&gt;0),1/(1+(10^-((AC231-AE231)/400)))*(AC222+AE222),0)</f>
        <v>0.80044268961351073</v>
      </c>
      <c r="AD232" s="84"/>
      <c r="AE232" s="84">
        <f>IF(OR(AC22&gt;0, AE22&gt;0),1/(1+(10^-((AE231-AC231)/400)))*(AC222+AE222),0)</f>
        <v>1.1995573103864892</v>
      </c>
      <c r="AT232" s="4" t="str">
        <f>W229</f>
        <v>Chas Jrs 13 Red</v>
      </c>
      <c r="AU232" s="4">
        <f>AE229</f>
        <v>1873.3196550996381</v>
      </c>
      <c r="AW232" s="154"/>
      <c r="AX232" s="70"/>
      <c r="AY232" s="70"/>
      <c r="AZ232" s="70"/>
      <c r="BA232" s="70"/>
      <c r="BB232" s="154"/>
      <c r="BC232" s="70"/>
      <c r="BD232" s="70"/>
      <c r="BE232" s="154"/>
      <c r="BF232" s="70"/>
      <c r="BG232" s="70"/>
      <c r="BH232" s="154"/>
      <c r="BI232" s="70"/>
      <c r="BJ232" s="70"/>
      <c r="BK232" s="154"/>
      <c r="BL232" s="70"/>
      <c r="BM232" s="70"/>
      <c r="BN232" s="154"/>
      <c r="BO232" s="70"/>
      <c r="BP232" s="70"/>
      <c r="BQ232" s="154"/>
      <c r="BR232" s="70"/>
      <c r="BS232" s="70"/>
      <c r="BT232" s="154"/>
      <c r="BU232" s="70"/>
      <c r="BV232" s="70"/>
      <c r="BW232" s="154"/>
      <c r="BX232" s="70"/>
      <c r="BY232" s="70"/>
    </row>
    <row r="233" spans="1:77" hidden="1" x14ac:dyDescent="0.2">
      <c r="A233" s="90" t="s">
        <v>112</v>
      </c>
      <c r="B233" s="90">
        <f>B231+(B222-B232)*$BA$2</f>
        <v>2206.1111559157912</v>
      </c>
      <c r="C233" s="90"/>
      <c r="D233" s="90">
        <f>D231+(D222-D232)*$BA$2</f>
        <v>1976.9474327790549</v>
      </c>
      <c r="E233" s="90">
        <f>E231+(E222-E232)*$BA$2</f>
        <v>2026.082792198843</v>
      </c>
      <c r="G233" s="90">
        <f>G231+(G222-G232)*$BA$2</f>
        <v>1987.3050777336375</v>
      </c>
      <c r="H233" s="90">
        <f>H231+(H222-H232)*$BA$2</f>
        <v>2214.4906569405434</v>
      </c>
      <c r="J233" s="90">
        <f>J231+(J222-J232)*$BA$2</f>
        <v>2017.703291174091</v>
      </c>
      <c r="T233" s="158" t="s">
        <v>112</v>
      </c>
      <c r="U233" s="158"/>
      <c r="V233" s="158"/>
      <c r="W233" s="90">
        <f>W231+(W222-W232)*$BA$2</f>
        <v>1869.0816372048744</v>
      </c>
      <c r="X233" s="90"/>
      <c r="Y233" s="90">
        <f>Y231+(Y222-Y232)*$BA$2</f>
        <v>1822.2362683937622</v>
      </c>
      <c r="Z233" s="90">
        <f>Z231+(Z222-Z232)*$BA$2</f>
        <v>1857.267256722582</v>
      </c>
      <c r="AB233" s="90">
        <f>AB231+(AB222-AB232)*$BA$2</f>
        <v>1892.512572065822</v>
      </c>
      <c r="AC233" s="90">
        <f>AC231+(AC222-AC232)*$BA$2</f>
        <v>1841.4291853599461</v>
      </c>
      <c r="AE233" s="90">
        <f>AE231+(AE222-AE232)*$BA$2</f>
        <v>1873.3196550996381</v>
      </c>
      <c r="AT233" s="4" t="str">
        <f>W230</f>
        <v>Fort Mill 13 Purple</v>
      </c>
      <c r="AU233" s="4">
        <f>AE230</f>
        <v>1841.4291853599461</v>
      </c>
      <c r="AW233" s="154"/>
      <c r="AX233" s="70"/>
      <c r="AY233" s="70"/>
      <c r="AZ233" s="70"/>
      <c r="BA233" s="70"/>
      <c r="BB233" s="154"/>
      <c r="BC233" s="70"/>
      <c r="BD233" s="70"/>
      <c r="BE233" s="154"/>
      <c r="BF233" s="70"/>
      <c r="BG233" s="70"/>
      <c r="BH233" s="154"/>
      <c r="BI233" s="70"/>
      <c r="BJ233" s="70"/>
      <c r="BK233" s="154"/>
      <c r="BL233" s="70"/>
      <c r="BM233" s="70"/>
      <c r="BN233" s="154"/>
      <c r="BO233" s="70"/>
      <c r="BP233" s="70"/>
      <c r="BQ233" s="154"/>
      <c r="BR233" s="70"/>
      <c r="BS233" s="70"/>
      <c r="BT233" s="154"/>
      <c r="BU233" s="70"/>
      <c r="BV233" s="70"/>
      <c r="BW233" s="154"/>
      <c r="BX233" s="70"/>
      <c r="BY233" s="70"/>
    </row>
    <row r="234" spans="1:77" x14ac:dyDescent="0.2">
      <c r="A234" s="159" t="s">
        <v>163</v>
      </c>
      <c r="B234" s="159"/>
      <c r="C234" s="159"/>
      <c r="D234" s="159"/>
      <c r="E234" s="159"/>
      <c r="F234" s="159"/>
      <c r="G234" s="159"/>
      <c r="H234" s="159"/>
      <c r="I234" s="159"/>
      <c r="J234" s="159"/>
      <c r="K234" s="159"/>
      <c r="L234" s="159"/>
      <c r="M234" s="159"/>
      <c r="R234" s="127"/>
      <c r="S234" s="127"/>
      <c r="T234" s="147"/>
      <c r="U234" s="147"/>
      <c r="V234" s="159" t="s">
        <v>163</v>
      </c>
      <c r="W234" s="159"/>
      <c r="X234" s="159"/>
      <c r="Y234" s="159"/>
      <c r="Z234" s="159"/>
      <c r="AA234" s="159"/>
      <c r="AB234" s="159"/>
      <c r="AC234" s="159"/>
      <c r="AD234" s="159"/>
      <c r="AE234" s="159"/>
      <c r="AF234" s="159"/>
      <c r="AG234" s="159"/>
      <c r="AH234" s="127"/>
      <c r="AI234" s="127"/>
      <c r="AJ234" s="127"/>
      <c r="AZ234" s="70"/>
      <c r="BA234" s="70"/>
    </row>
    <row r="235" spans="1:77" x14ac:dyDescent="0.2">
      <c r="AS235" s="70"/>
      <c r="AT235" s="70"/>
      <c r="AU235" s="70"/>
      <c r="AZ235" s="70"/>
      <c r="BA235" s="70"/>
    </row>
    <row r="236" spans="1:77" x14ac:dyDescent="0.2">
      <c r="AS236" s="70"/>
      <c r="AT236" s="70"/>
      <c r="AU236" s="70"/>
      <c r="AZ236" s="70"/>
      <c r="BA236" s="70"/>
    </row>
    <row r="237" spans="1:77" x14ac:dyDescent="0.2">
      <c r="AS237" s="70"/>
      <c r="AT237" s="70"/>
      <c r="AU237" s="70"/>
      <c r="AZ237" s="70"/>
      <c r="BA237" s="70"/>
    </row>
    <row r="238" spans="1:77" x14ac:dyDescent="0.2">
      <c r="AS238" s="70"/>
      <c r="AT238" s="70"/>
      <c r="AU238" s="70"/>
      <c r="AZ238" s="70"/>
      <c r="BA238" s="70"/>
    </row>
    <row r="239" spans="1:77" x14ac:dyDescent="0.2">
      <c r="AS239" s="70"/>
      <c r="AT239" s="70"/>
      <c r="AU239" s="70"/>
      <c r="AZ239" s="70"/>
      <c r="BA239" s="70"/>
    </row>
    <row r="240" spans="1:77" x14ac:dyDescent="0.2">
      <c r="AS240" s="70"/>
      <c r="AT240" s="70"/>
      <c r="AU240" s="70"/>
      <c r="AZ240" s="70"/>
      <c r="BA240" s="70"/>
    </row>
    <row r="241" spans="45:53" x14ac:dyDescent="0.2">
      <c r="AS241" s="70"/>
      <c r="AT241" s="70"/>
      <c r="AU241" s="70"/>
      <c r="AZ241" s="70"/>
      <c r="BA241" s="70"/>
    </row>
    <row r="242" spans="45:53" x14ac:dyDescent="0.2">
      <c r="AS242" s="70"/>
      <c r="AT242" s="70"/>
      <c r="AU242" s="70"/>
      <c r="AZ242" s="70"/>
      <c r="BA242" s="70"/>
    </row>
    <row r="243" spans="45:53" x14ac:dyDescent="0.2">
      <c r="AS243" s="70"/>
      <c r="AT243" s="70"/>
      <c r="AU243" s="70"/>
      <c r="AZ243" s="70"/>
      <c r="BA243" s="70"/>
    </row>
    <row r="244" spans="45:53" x14ac:dyDescent="0.2">
      <c r="AS244" s="70"/>
      <c r="AT244" s="70"/>
      <c r="AU244" s="70"/>
      <c r="AZ244" s="70"/>
      <c r="BA244" s="70"/>
    </row>
    <row r="245" spans="45:53" x14ac:dyDescent="0.2">
      <c r="AS245" s="70"/>
      <c r="AT245" s="70"/>
      <c r="AU245" s="70"/>
      <c r="AZ245" s="70"/>
      <c r="BA245" s="70"/>
    </row>
    <row r="246" spans="45:53" x14ac:dyDescent="0.2">
      <c r="AS246" s="70"/>
      <c r="AT246" s="70"/>
      <c r="AU246" s="70"/>
      <c r="AZ246" s="70"/>
      <c r="BA246" s="70"/>
    </row>
    <row r="247" spans="45:53" x14ac:dyDescent="0.2">
      <c r="AS247" s="70"/>
      <c r="AT247" s="70"/>
      <c r="AU247" s="70"/>
    </row>
    <row r="248" spans="45:53" x14ac:dyDescent="0.2">
      <c r="AS248" s="70"/>
      <c r="AT248" s="70"/>
      <c r="AU248" s="70"/>
      <c r="AZ248" s="77"/>
      <c r="BA248" s="77"/>
    </row>
    <row r="249" spans="45:53" x14ac:dyDescent="0.2">
      <c r="AS249" s="70"/>
      <c r="AT249" s="70"/>
      <c r="AU249" s="70"/>
      <c r="AZ249" s="77"/>
      <c r="BA249" s="77"/>
    </row>
    <row r="250" spans="45:53" x14ac:dyDescent="0.2">
      <c r="AS250" s="70"/>
      <c r="AT250" s="70"/>
      <c r="AU250" s="70"/>
      <c r="AZ250" s="77"/>
      <c r="BA250" s="77"/>
    </row>
    <row r="251" spans="45:53" x14ac:dyDescent="0.2">
      <c r="AS251" s="70"/>
      <c r="AT251" s="70"/>
      <c r="AU251" s="70"/>
      <c r="AZ251" s="77"/>
      <c r="BA251" s="77"/>
    </row>
    <row r="252" spans="45:53" x14ac:dyDescent="0.2">
      <c r="AS252" s="70"/>
      <c r="AT252" s="70"/>
      <c r="AU252" s="70"/>
      <c r="AZ252" s="77"/>
      <c r="BA252" s="77"/>
    </row>
    <row r="253" spans="45:53" x14ac:dyDescent="0.2">
      <c r="AS253" s="70"/>
      <c r="AT253" s="70"/>
      <c r="AU253" s="70"/>
      <c r="AZ253" s="77"/>
      <c r="BA253" s="77"/>
    </row>
    <row r="254" spans="45:53" x14ac:dyDescent="0.2">
      <c r="AS254" s="70"/>
      <c r="AT254" s="70"/>
      <c r="AU254" s="70"/>
      <c r="AZ254" s="77"/>
      <c r="BA254" s="77"/>
    </row>
    <row r="255" spans="45:53" x14ac:dyDescent="0.2">
      <c r="AS255" s="70"/>
      <c r="AT255" s="70"/>
      <c r="AU255" s="70"/>
      <c r="AZ255" s="77"/>
      <c r="BA255" s="77"/>
    </row>
    <row r="256" spans="45:53" x14ac:dyDescent="0.2">
      <c r="AS256" s="70"/>
      <c r="AT256" s="70"/>
      <c r="AU256" s="70"/>
      <c r="AZ256" s="87"/>
      <c r="BA256" s="87"/>
    </row>
    <row r="257" spans="45:53" x14ac:dyDescent="0.2">
      <c r="AS257" s="70"/>
      <c r="AT257" s="70"/>
      <c r="AU257" s="70"/>
      <c r="AZ257" s="93"/>
      <c r="BA257" s="93"/>
    </row>
    <row r="258" spans="45:53" x14ac:dyDescent="0.2">
      <c r="AS258" s="70"/>
      <c r="AT258" s="70"/>
      <c r="AU258" s="70"/>
      <c r="AZ258" s="93"/>
      <c r="BA258" s="93"/>
    </row>
    <row r="259" spans="45:53" x14ac:dyDescent="0.2">
      <c r="AS259" s="70"/>
      <c r="AT259" s="70"/>
      <c r="AU259" s="70"/>
      <c r="AZ259" s="77"/>
      <c r="BA259" s="77"/>
    </row>
    <row r="260" spans="45:53" x14ac:dyDescent="0.2">
      <c r="AS260" s="77"/>
      <c r="AT260" s="77"/>
      <c r="AU260" s="77"/>
      <c r="AZ260" s="77"/>
      <c r="BA260" s="77"/>
    </row>
    <row r="261" spans="45:53" x14ac:dyDescent="0.2">
      <c r="AS261" s="77"/>
      <c r="AT261" s="77"/>
      <c r="AU261" s="77"/>
    </row>
    <row r="286" spans="45:53" x14ac:dyDescent="0.2">
      <c r="AS286" s="70"/>
      <c r="AT286" s="70"/>
      <c r="AU286" s="70"/>
      <c r="AZ286" s="70"/>
      <c r="BA286" s="70"/>
    </row>
    <row r="287" spans="45:53" x14ac:dyDescent="0.2">
      <c r="AS287" s="70"/>
      <c r="AT287" s="70"/>
      <c r="AU287" s="70"/>
      <c r="AZ287" s="70"/>
      <c r="BA287" s="70"/>
    </row>
    <row r="288" spans="45:53" x14ac:dyDescent="0.2">
      <c r="AS288" s="70"/>
      <c r="AT288" s="70"/>
      <c r="AU288" s="70"/>
      <c r="AZ288" s="70"/>
      <c r="BA288" s="70"/>
    </row>
    <row r="289" spans="45:53" x14ac:dyDescent="0.2">
      <c r="AS289" s="70"/>
      <c r="AT289" s="70"/>
      <c r="AU289" s="70"/>
      <c r="AZ289" s="70"/>
      <c r="BA289" s="70"/>
    </row>
    <row r="290" spans="45:53" x14ac:dyDescent="0.2">
      <c r="AS290" s="70"/>
      <c r="AT290" s="70"/>
      <c r="AU290" s="70"/>
      <c r="AZ290" s="70"/>
      <c r="BA290" s="70"/>
    </row>
    <row r="291" spans="45:53" x14ac:dyDescent="0.2">
      <c r="AS291" s="70"/>
      <c r="AT291" s="70"/>
      <c r="AU291" s="70"/>
      <c r="AZ291" s="70"/>
      <c r="BA291" s="70"/>
    </row>
    <row r="292" spans="45:53" x14ac:dyDescent="0.2">
      <c r="AS292" s="70"/>
      <c r="AT292" s="70"/>
      <c r="AU292" s="70"/>
      <c r="AZ292" s="70"/>
      <c r="BA292" s="70"/>
    </row>
    <row r="293" spans="45:53" x14ac:dyDescent="0.2">
      <c r="AS293" s="70"/>
      <c r="AT293" s="70"/>
      <c r="AU293" s="70"/>
      <c r="AZ293" s="70"/>
      <c r="BA293" s="70"/>
    </row>
    <row r="294" spans="45:53" x14ac:dyDescent="0.2">
      <c r="AS294" s="70"/>
      <c r="AT294" s="70"/>
      <c r="AU294" s="70"/>
      <c r="AZ294" s="70"/>
      <c r="BA294" s="70"/>
    </row>
    <row r="295" spans="45:53" x14ac:dyDescent="0.2">
      <c r="AS295" s="70"/>
      <c r="AT295" s="70"/>
      <c r="AU295" s="70"/>
      <c r="AZ295" s="70"/>
      <c r="BA295" s="70"/>
    </row>
    <row r="296" spans="45:53" x14ac:dyDescent="0.2">
      <c r="AS296" s="70"/>
      <c r="AT296" s="70"/>
      <c r="AU296" s="70"/>
      <c r="AZ296" s="70"/>
      <c r="BA296" s="70"/>
    </row>
    <row r="297" spans="45:53" x14ac:dyDescent="0.2">
      <c r="AS297" s="70"/>
      <c r="AT297" s="70"/>
      <c r="AU297" s="70"/>
      <c r="AZ297" s="70"/>
      <c r="BA297" s="70"/>
    </row>
    <row r="298" spans="45:53" x14ac:dyDescent="0.2">
      <c r="AS298" s="70"/>
      <c r="AT298" s="70"/>
      <c r="AU298" s="70"/>
      <c r="AZ298" s="70"/>
      <c r="BA298" s="70"/>
    </row>
    <row r="299" spans="45:53" x14ac:dyDescent="0.2">
      <c r="AS299" s="70"/>
      <c r="AT299" s="70"/>
      <c r="AU299" s="70"/>
      <c r="AZ299" s="70"/>
      <c r="BA299" s="70"/>
    </row>
    <row r="300" spans="45:53" x14ac:dyDescent="0.2">
      <c r="AS300" s="70"/>
      <c r="AT300" s="70"/>
      <c r="AU300" s="70"/>
      <c r="AZ300" s="70"/>
      <c r="BA300" s="70"/>
    </row>
    <row r="301" spans="45:53" x14ac:dyDescent="0.2">
      <c r="AS301" s="70"/>
      <c r="AT301" s="70"/>
      <c r="AU301" s="70"/>
      <c r="AZ301" s="70"/>
      <c r="BA301" s="70"/>
    </row>
    <row r="302" spans="45:53" x14ac:dyDescent="0.2">
      <c r="AS302" s="70"/>
      <c r="AT302" s="70"/>
      <c r="AU302" s="70"/>
      <c r="AZ302" s="70"/>
      <c r="BA302" s="70"/>
    </row>
    <row r="303" spans="45:53" x14ac:dyDescent="0.2">
      <c r="AS303" s="70"/>
      <c r="AT303" s="70"/>
      <c r="AU303" s="70"/>
      <c r="AZ303" s="70"/>
      <c r="BA303" s="70"/>
    </row>
    <row r="304" spans="45:53" x14ac:dyDescent="0.2">
      <c r="AS304" s="70"/>
      <c r="AT304" s="70"/>
      <c r="AU304" s="70"/>
      <c r="AZ304" s="70"/>
      <c r="BA304" s="70"/>
    </row>
    <row r="305" spans="45:53" x14ac:dyDescent="0.2">
      <c r="AS305" s="70"/>
      <c r="AT305" s="70"/>
      <c r="AU305" s="70"/>
      <c r="AZ305" s="70"/>
      <c r="BA305" s="70"/>
    </row>
    <row r="306" spans="45:53" x14ac:dyDescent="0.2">
      <c r="AS306" s="70"/>
      <c r="AT306" s="70"/>
      <c r="AU306" s="70"/>
      <c r="AZ306" s="70"/>
      <c r="BA306" s="70"/>
    </row>
    <row r="307" spans="45:53" x14ac:dyDescent="0.2">
      <c r="AS307" s="70"/>
      <c r="AT307" s="70"/>
      <c r="AU307" s="70"/>
      <c r="AZ307" s="70"/>
      <c r="BA307" s="70"/>
    </row>
    <row r="308" spans="45:53" x14ac:dyDescent="0.2">
      <c r="AS308" s="70"/>
      <c r="AT308" s="70"/>
      <c r="AU308" s="70"/>
      <c r="AZ308" s="70"/>
      <c r="BA308" s="70"/>
    </row>
    <row r="309" spans="45:53" x14ac:dyDescent="0.2">
      <c r="AS309" s="70"/>
      <c r="AT309" s="70"/>
      <c r="AU309" s="70"/>
      <c r="AZ309" s="70"/>
      <c r="BA309" s="70"/>
    </row>
    <row r="310" spans="45:53" x14ac:dyDescent="0.2">
      <c r="AS310" s="70"/>
      <c r="AT310" s="70"/>
      <c r="AU310" s="70"/>
      <c r="AZ310" s="70"/>
      <c r="BA310" s="70"/>
    </row>
    <row r="311" spans="45:53" x14ac:dyDescent="0.2">
      <c r="AS311" s="70"/>
      <c r="AT311" s="70"/>
      <c r="AU311" s="70"/>
      <c r="AZ311" s="70"/>
      <c r="BA311" s="70"/>
    </row>
    <row r="312" spans="45:53" x14ac:dyDescent="0.2">
      <c r="AS312" s="70"/>
      <c r="AT312" s="70"/>
      <c r="AU312" s="70"/>
      <c r="AZ312" s="70"/>
      <c r="BA312" s="70"/>
    </row>
    <row r="313" spans="45:53" x14ac:dyDescent="0.2">
      <c r="AS313" s="70"/>
      <c r="AT313" s="70"/>
      <c r="AU313" s="70"/>
      <c r="AZ313" s="70"/>
      <c r="BA313" s="70"/>
    </row>
    <row r="314" spans="45:53" x14ac:dyDescent="0.2">
      <c r="AS314" s="70"/>
      <c r="AT314" s="70"/>
      <c r="AU314" s="70"/>
      <c r="AZ314" s="70"/>
      <c r="BA314" s="70"/>
    </row>
    <row r="315" spans="45:53" x14ac:dyDescent="0.2">
      <c r="AS315" s="70"/>
      <c r="AT315" s="70"/>
      <c r="AU315" s="70"/>
      <c r="AZ315" s="70"/>
      <c r="BA315" s="70"/>
    </row>
    <row r="316" spans="45:53" x14ac:dyDescent="0.2">
      <c r="AS316" s="70"/>
      <c r="AT316" s="70"/>
      <c r="AU316" s="70"/>
      <c r="AZ316" s="70"/>
      <c r="BA316" s="70"/>
    </row>
    <row r="317" spans="45:53" x14ac:dyDescent="0.2">
      <c r="AS317" s="70"/>
      <c r="AT317" s="70"/>
      <c r="AU317" s="70"/>
      <c r="AZ317" s="70"/>
      <c r="BA317" s="70"/>
    </row>
    <row r="318" spans="45:53" x14ac:dyDescent="0.2">
      <c r="AS318" s="70"/>
      <c r="AT318" s="70"/>
      <c r="AU318" s="70"/>
      <c r="AZ318" s="70"/>
      <c r="BA318" s="70"/>
    </row>
    <row r="319" spans="45:53" x14ac:dyDescent="0.2">
      <c r="AS319" s="70"/>
      <c r="AT319" s="70"/>
      <c r="AU319" s="70"/>
      <c r="AZ319" s="70"/>
      <c r="BA319" s="70"/>
    </row>
    <row r="320" spans="45:53" x14ac:dyDescent="0.2">
      <c r="AS320" s="70"/>
      <c r="AT320" s="70"/>
      <c r="AU320" s="70"/>
      <c r="AZ320" s="70"/>
      <c r="BA320" s="70"/>
    </row>
    <row r="321" spans="45:53" x14ac:dyDescent="0.2">
      <c r="AS321" s="70"/>
      <c r="AT321" s="70"/>
      <c r="AU321" s="70"/>
      <c r="AZ321" s="70"/>
      <c r="BA321" s="70"/>
    </row>
    <row r="322" spans="45:53" x14ac:dyDescent="0.2">
      <c r="AS322" s="70"/>
      <c r="AT322" s="70"/>
      <c r="AU322" s="70"/>
      <c r="AZ322" s="70"/>
      <c r="BA322" s="70"/>
    </row>
    <row r="323" spans="45:53" x14ac:dyDescent="0.2">
      <c r="AS323" s="70"/>
      <c r="AT323" s="70"/>
      <c r="AU323" s="70"/>
      <c r="AZ323" s="70"/>
      <c r="BA323" s="70"/>
    </row>
    <row r="324" spans="45:53" x14ac:dyDescent="0.2">
      <c r="AS324" s="70"/>
      <c r="AT324" s="70"/>
      <c r="AU324" s="70"/>
      <c r="AZ324" s="70"/>
      <c r="BA324" s="70"/>
    </row>
    <row r="325" spans="45:53" x14ac:dyDescent="0.2">
      <c r="AS325" s="70"/>
      <c r="AT325" s="70"/>
      <c r="AU325" s="70"/>
      <c r="AZ325" s="70"/>
      <c r="BA325" s="70"/>
    </row>
    <row r="326" spans="45:53" x14ac:dyDescent="0.2">
      <c r="AS326" s="70"/>
      <c r="AT326" s="70"/>
      <c r="AU326" s="70"/>
      <c r="AZ326" s="70"/>
      <c r="BA326" s="70"/>
    </row>
    <row r="327" spans="45:53" x14ac:dyDescent="0.2">
      <c r="AS327" s="70"/>
      <c r="AT327" s="70"/>
      <c r="AU327" s="70"/>
      <c r="AZ327" s="70"/>
      <c r="BA327" s="70"/>
    </row>
    <row r="328" spans="45:53" x14ac:dyDescent="0.2">
      <c r="AS328" s="70"/>
      <c r="AT328" s="70"/>
      <c r="AU328" s="70"/>
      <c r="AZ328" s="70"/>
      <c r="BA328" s="70"/>
    </row>
    <row r="329" spans="45:53" x14ac:dyDescent="0.2">
      <c r="AS329" s="70"/>
      <c r="AT329" s="70"/>
      <c r="AU329" s="70"/>
      <c r="AZ329" s="70"/>
      <c r="BA329" s="70"/>
    </row>
    <row r="330" spans="45:53" x14ac:dyDescent="0.2">
      <c r="AS330" s="70"/>
      <c r="AT330" s="70"/>
      <c r="AU330" s="70"/>
      <c r="AZ330" s="70"/>
      <c r="BA330" s="70"/>
    </row>
    <row r="331" spans="45:53" x14ac:dyDescent="0.2">
      <c r="AS331" s="70"/>
      <c r="AT331" s="70"/>
      <c r="AU331" s="70"/>
      <c r="AZ331" s="70"/>
      <c r="BA331" s="70"/>
    </row>
    <row r="332" spans="45:53" x14ac:dyDescent="0.2">
      <c r="AS332" s="77"/>
      <c r="AT332" s="77"/>
      <c r="AU332" s="77"/>
    </row>
    <row r="333" spans="45:53" x14ac:dyDescent="0.2">
      <c r="AS333" s="77"/>
      <c r="AT333" s="77"/>
      <c r="AU333" s="77"/>
      <c r="AZ333" s="77"/>
      <c r="BA333" s="77"/>
    </row>
    <row r="334" spans="45:53" x14ac:dyDescent="0.2">
      <c r="AZ334" s="77"/>
      <c r="BA334" s="77"/>
    </row>
    <row r="335" spans="45:53" x14ac:dyDescent="0.2">
      <c r="AZ335" s="77"/>
      <c r="BA335" s="77"/>
    </row>
    <row r="336" spans="45:53" x14ac:dyDescent="0.2">
      <c r="AZ336" s="77"/>
      <c r="BA336" s="77"/>
    </row>
    <row r="337" spans="45:53" x14ac:dyDescent="0.2">
      <c r="AZ337" s="77"/>
      <c r="BA337" s="77"/>
    </row>
    <row r="338" spans="45:53" x14ac:dyDescent="0.2">
      <c r="AZ338" s="77"/>
      <c r="BA338" s="77"/>
    </row>
    <row r="339" spans="45:53" x14ac:dyDescent="0.2">
      <c r="AZ339" s="77"/>
      <c r="BA339" s="77"/>
    </row>
    <row r="340" spans="45:53" x14ac:dyDescent="0.2">
      <c r="AZ340" s="77"/>
      <c r="BA340" s="77"/>
    </row>
    <row r="341" spans="45:53" x14ac:dyDescent="0.2">
      <c r="AZ341" s="87"/>
      <c r="BA341" s="87"/>
    </row>
    <row r="342" spans="45:53" x14ac:dyDescent="0.2">
      <c r="AZ342" s="93"/>
      <c r="BA342" s="93"/>
    </row>
    <row r="343" spans="45:53" x14ac:dyDescent="0.2">
      <c r="AZ343" s="93"/>
      <c r="BA343" s="93"/>
    </row>
    <row r="344" spans="45:53" x14ac:dyDescent="0.2">
      <c r="AZ344" s="77"/>
      <c r="BA344" s="77"/>
    </row>
    <row r="345" spans="45:53" x14ac:dyDescent="0.2">
      <c r="AZ345" s="77"/>
      <c r="BA345" s="77"/>
    </row>
    <row r="348" spans="45:53" x14ac:dyDescent="0.2">
      <c r="AS348" s="116"/>
      <c r="AT348" s="116"/>
    </row>
    <row r="371" spans="45:53" x14ac:dyDescent="0.2">
      <c r="AZ371" s="70"/>
      <c r="BA371" s="70"/>
    </row>
    <row r="372" spans="45:53" x14ac:dyDescent="0.2">
      <c r="AZ372" s="70"/>
      <c r="BA372" s="70"/>
    </row>
    <row r="373" spans="45:53" x14ac:dyDescent="0.2">
      <c r="AZ373" s="70"/>
      <c r="BA373" s="70"/>
    </row>
    <row r="374" spans="45:53" x14ac:dyDescent="0.2">
      <c r="AZ374" s="70"/>
      <c r="BA374" s="70"/>
    </row>
    <row r="375" spans="45:53" x14ac:dyDescent="0.2">
      <c r="AZ375" s="70"/>
      <c r="BA375" s="70"/>
    </row>
    <row r="376" spans="45:53" x14ac:dyDescent="0.2">
      <c r="AZ376" s="70"/>
      <c r="BA376" s="70"/>
    </row>
    <row r="377" spans="45:53" x14ac:dyDescent="0.2">
      <c r="AZ377" s="70"/>
      <c r="BA377" s="70"/>
    </row>
    <row r="378" spans="45:53" x14ac:dyDescent="0.2">
      <c r="AZ378" s="70"/>
      <c r="BA378" s="70"/>
    </row>
    <row r="379" spans="45:53" x14ac:dyDescent="0.2">
      <c r="AZ379" s="70"/>
      <c r="BA379" s="70"/>
    </row>
    <row r="380" spans="45:53" x14ac:dyDescent="0.2">
      <c r="AZ380" s="70"/>
      <c r="BA380" s="70"/>
    </row>
    <row r="381" spans="45:53" x14ac:dyDescent="0.2">
      <c r="AZ381" s="70"/>
      <c r="BA381" s="70"/>
    </row>
    <row r="382" spans="45:53" x14ac:dyDescent="0.2">
      <c r="AZ382" s="70"/>
      <c r="BA382" s="70"/>
    </row>
    <row r="383" spans="45:53" x14ac:dyDescent="0.2">
      <c r="AZ383" s="70"/>
      <c r="BA383" s="70"/>
    </row>
    <row r="384" spans="45:53" x14ac:dyDescent="0.2">
      <c r="AS384" s="116"/>
      <c r="AT384" s="116"/>
      <c r="AZ384" s="70"/>
      <c r="BA384" s="70"/>
    </row>
    <row r="385" spans="52:53" x14ac:dyDescent="0.2">
      <c r="AZ385" s="70"/>
      <c r="BA385" s="70"/>
    </row>
    <row r="386" spans="52:53" x14ac:dyDescent="0.2">
      <c r="AZ386" s="70"/>
      <c r="BA386" s="70"/>
    </row>
    <row r="387" spans="52:53" x14ac:dyDescent="0.2">
      <c r="AZ387" s="70"/>
      <c r="BA387" s="70"/>
    </row>
    <row r="388" spans="52:53" x14ac:dyDescent="0.2">
      <c r="AZ388" s="70"/>
      <c r="BA388" s="70"/>
    </row>
    <row r="389" spans="52:53" x14ac:dyDescent="0.2">
      <c r="AZ389" s="70"/>
      <c r="BA389" s="70"/>
    </row>
    <row r="390" spans="52:53" x14ac:dyDescent="0.2">
      <c r="AZ390" s="70"/>
      <c r="BA390" s="70"/>
    </row>
    <row r="391" spans="52:53" x14ac:dyDescent="0.2">
      <c r="AZ391" s="70"/>
      <c r="BA391" s="70"/>
    </row>
    <row r="392" spans="52:53" x14ac:dyDescent="0.2">
      <c r="AZ392" s="70"/>
      <c r="BA392" s="70"/>
    </row>
    <row r="393" spans="52:53" x14ac:dyDescent="0.2">
      <c r="AZ393" s="70"/>
      <c r="BA393" s="70"/>
    </row>
    <row r="394" spans="52:53" x14ac:dyDescent="0.2">
      <c r="AZ394" s="70"/>
      <c r="BA394" s="70"/>
    </row>
    <row r="395" spans="52:53" x14ac:dyDescent="0.2">
      <c r="AZ395" s="70"/>
      <c r="BA395" s="70"/>
    </row>
    <row r="396" spans="52:53" x14ac:dyDescent="0.2">
      <c r="AZ396" s="70"/>
      <c r="BA396" s="70"/>
    </row>
    <row r="397" spans="52:53" x14ac:dyDescent="0.2">
      <c r="AZ397" s="70"/>
      <c r="BA397" s="70"/>
    </row>
    <row r="398" spans="52:53" x14ac:dyDescent="0.2">
      <c r="AZ398" s="70"/>
      <c r="BA398" s="70"/>
    </row>
    <row r="399" spans="52:53" x14ac:dyDescent="0.2">
      <c r="AZ399" s="70"/>
      <c r="BA399" s="70"/>
    </row>
    <row r="400" spans="52:53" x14ac:dyDescent="0.2">
      <c r="AZ400" s="70"/>
      <c r="BA400" s="70"/>
    </row>
    <row r="401" spans="52:53" x14ac:dyDescent="0.2">
      <c r="AZ401" s="70"/>
      <c r="BA401" s="70"/>
    </row>
    <row r="402" spans="52:53" x14ac:dyDescent="0.2">
      <c r="AZ402" s="70"/>
      <c r="BA402" s="70"/>
    </row>
    <row r="403" spans="52:53" x14ac:dyDescent="0.2">
      <c r="AZ403" s="70"/>
      <c r="BA403" s="70"/>
    </row>
    <row r="404" spans="52:53" x14ac:dyDescent="0.2">
      <c r="AZ404" s="70"/>
      <c r="BA404" s="70"/>
    </row>
    <row r="405" spans="52:53" x14ac:dyDescent="0.2">
      <c r="AZ405" s="70"/>
      <c r="BA405" s="70"/>
    </row>
    <row r="406" spans="52:53" x14ac:dyDescent="0.2">
      <c r="AZ406" s="70"/>
      <c r="BA406" s="70"/>
    </row>
    <row r="407" spans="52:53" x14ac:dyDescent="0.2">
      <c r="AZ407" s="70"/>
      <c r="BA407" s="70"/>
    </row>
    <row r="408" spans="52:53" x14ac:dyDescent="0.2">
      <c r="AZ408" s="70"/>
      <c r="BA408" s="70"/>
    </row>
    <row r="409" spans="52:53" x14ac:dyDescent="0.2">
      <c r="AZ409" s="70"/>
      <c r="BA409" s="70"/>
    </row>
    <row r="410" spans="52:53" x14ac:dyDescent="0.2">
      <c r="AZ410" s="70"/>
      <c r="BA410" s="70"/>
    </row>
    <row r="411" spans="52:53" x14ac:dyDescent="0.2">
      <c r="AZ411" s="70"/>
      <c r="BA411" s="70"/>
    </row>
    <row r="412" spans="52:53" x14ac:dyDescent="0.2">
      <c r="AZ412" s="70"/>
      <c r="BA412" s="70"/>
    </row>
    <row r="413" spans="52:53" x14ac:dyDescent="0.2">
      <c r="AZ413" s="70"/>
      <c r="BA413" s="70"/>
    </row>
    <row r="414" spans="52:53" x14ac:dyDescent="0.2">
      <c r="AZ414" s="70"/>
      <c r="BA414" s="70"/>
    </row>
    <row r="415" spans="52:53" x14ac:dyDescent="0.2">
      <c r="AZ415" s="70"/>
      <c r="BA415" s="70"/>
    </row>
    <row r="416" spans="52:53" x14ac:dyDescent="0.2">
      <c r="AZ416" s="70"/>
      <c r="BA416" s="70"/>
    </row>
    <row r="418" spans="52:53" x14ac:dyDescent="0.2">
      <c r="AZ418" s="77"/>
      <c r="BA418" s="77"/>
    </row>
    <row r="419" spans="52:53" x14ac:dyDescent="0.2">
      <c r="AZ419" s="77"/>
      <c r="BA419" s="77"/>
    </row>
    <row r="420" spans="52:53" x14ac:dyDescent="0.2">
      <c r="AZ420" s="77"/>
      <c r="BA420" s="77"/>
    </row>
    <row r="421" spans="52:53" x14ac:dyDescent="0.2">
      <c r="AZ421" s="77"/>
      <c r="BA421" s="77"/>
    </row>
    <row r="422" spans="52:53" x14ac:dyDescent="0.2">
      <c r="AZ422" s="77"/>
      <c r="BA422" s="77"/>
    </row>
    <row r="423" spans="52:53" x14ac:dyDescent="0.2">
      <c r="AZ423" s="77"/>
      <c r="BA423" s="77"/>
    </row>
    <row r="424" spans="52:53" x14ac:dyDescent="0.2">
      <c r="AZ424" s="77"/>
      <c r="BA424" s="77"/>
    </row>
    <row r="425" spans="52:53" x14ac:dyDescent="0.2">
      <c r="AZ425" s="77"/>
      <c r="BA425" s="77"/>
    </row>
    <row r="426" spans="52:53" x14ac:dyDescent="0.2">
      <c r="AZ426" s="87"/>
      <c r="BA426" s="87"/>
    </row>
    <row r="427" spans="52:53" x14ac:dyDescent="0.2">
      <c r="AZ427" s="93"/>
      <c r="BA427" s="93"/>
    </row>
    <row r="428" spans="52:53" x14ac:dyDescent="0.2">
      <c r="AZ428" s="93"/>
      <c r="BA428" s="93"/>
    </row>
    <row r="429" spans="52:53" x14ac:dyDescent="0.2">
      <c r="AZ429" s="77"/>
      <c r="BA429" s="77"/>
    </row>
    <row r="430" spans="52:53" x14ac:dyDescent="0.2">
      <c r="AZ430" s="77"/>
      <c r="BA430" s="77"/>
    </row>
  </sheetData>
  <sheetProtection sheet="1" objects="1" scenarios="1" formatCells="0" selectLockedCells="1"/>
  <mergeCells count="430">
    <mergeCell ref="A1:AI1"/>
    <mergeCell ref="AT1:AW1"/>
    <mergeCell ref="AX1:AY1"/>
    <mergeCell ref="A2:I2"/>
    <mergeCell ref="J2:X2"/>
    <mergeCell ref="Y2:AC2"/>
    <mergeCell ref="AD2:AI2"/>
    <mergeCell ref="AF4:AI4"/>
    <mergeCell ref="B5:J5"/>
    <mergeCell ref="K5:AE5"/>
    <mergeCell ref="C6:H6"/>
    <mergeCell ref="I6:J6"/>
    <mergeCell ref="K6:AI6"/>
    <mergeCell ref="B3:O3"/>
    <mergeCell ref="P3:R3"/>
    <mergeCell ref="S3:X3"/>
    <mergeCell ref="AC3:AF3"/>
    <mergeCell ref="AH3:AI3"/>
    <mergeCell ref="A4:D4"/>
    <mergeCell ref="E4:M4"/>
    <mergeCell ref="N4:Q4"/>
    <mergeCell ref="R4:AA4"/>
    <mergeCell ref="AB4:AE4"/>
    <mergeCell ref="AC7:AE7"/>
    <mergeCell ref="AH7:AI7"/>
    <mergeCell ref="A8:A9"/>
    <mergeCell ref="B8:D8"/>
    <mergeCell ref="E8:K8"/>
    <mergeCell ref="L8:P9"/>
    <mergeCell ref="R8:V9"/>
    <mergeCell ref="W8:Y9"/>
    <mergeCell ref="Z8:AB9"/>
    <mergeCell ref="AC8:AE9"/>
    <mergeCell ref="B7:K7"/>
    <mergeCell ref="L7:P7"/>
    <mergeCell ref="Q7:Q17"/>
    <mergeCell ref="R7:V7"/>
    <mergeCell ref="W7:Y7"/>
    <mergeCell ref="Z7:AB7"/>
    <mergeCell ref="W10:Y11"/>
    <mergeCell ref="Z10:AB11"/>
    <mergeCell ref="Z12:AB13"/>
    <mergeCell ref="Z16:AB17"/>
    <mergeCell ref="AF8:AF9"/>
    <mergeCell ref="AG8:AG9"/>
    <mergeCell ref="AH8:AI9"/>
    <mergeCell ref="B9:D9"/>
    <mergeCell ref="E9:K9"/>
    <mergeCell ref="A10:A11"/>
    <mergeCell ref="B10:D10"/>
    <mergeCell ref="E10:K10"/>
    <mergeCell ref="L10:P11"/>
    <mergeCell ref="R10:V11"/>
    <mergeCell ref="E12:K12"/>
    <mergeCell ref="L12:P13"/>
    <mergeCell ref="R12:V13"/>
    <mergeCell ref="W12:Y13"/>
    <mergeCell ref="AC10:AE11"/>
    <mergeCell ref="AF10:AF11"/>
    <mergeCell ref="AG10:AG11"/>
    <mergeCell ref="AH10:AI11"/>
    <mergeCell ref="B11:D11"/>
    <mergeCell ref="E11:K11"/>
    <mergeCell ref="A16:A17"/>
    <mergeCell ref="B16:D16"/>
    <mergeCell ref="E16:K16"/>
    <mergeCell ref="L16:P17"/>
    <mergeCell ref="R16:V17"/>
    <mergeCell ref="W16:Y17"/>
    <mergeCell ref="AT13:AY14"/>
    <mergeCell ref="A14:A15"/>
    <mergeCell ref="B14:D14"/>
    <mergeCell ref="E14:K14"/>
    <mergeCell ref="L14:P15"/>
    <mergeCell ref="R14:V15"/>
    <mergeCell ref="W14:Y15"/>
    <mergeCell ref="Z14:AB15"/>
    <mergeCell ref="AC14:AE15"/>
    <mergeCell ref="AF14:AF15"/>
    <mergeCell ref="AC12:AE13"/>
    <mergeCell ref="AF12:AF13"/>
    <mergeCell ref="AG12:AG13"/>
    <mergeCell ref="AH12:AI13"/>
    <mergeCell ref="B13:D13"/>
    <mergeCell ref="E13:K13"/>
    <mergeCell ref="A12:A13"/>
    <mergeCell ref="B12:D12"/>
    <mergeCell ref="AC16:AE17"/>
    <mergeCell ref="AF16:AF17"/>
    <mergeCell ref="AG16:AG17"/>
    <mergeCell ref="AH16:AI17"/>
    <mergeCell ref="B17:D17"/>
    <mergeCell ref="E17:K17"/>
    <mergeCell ref="AG14:AG15"/>
    <mergeCell ref="AH14:AI15"/>
    <mergeCell ref="B15:D15"/>
    <mergeCell ref="E15:K15"/>
    <mergeCell ref="B18:AI18"/>
    <mergeCell ref="B19:D19"/>
    <mergeCell ref="E19:G19"/>
    <mergeCell ref="H19:J19"/>
    <mergeCell ref="K19:M19"/>
    <mergeCell ref="N19:P19"/>
    <mergeCell ref="Q19:S19"/>
    <mergeCell ref="T19:V19"/>
    <mergeCell ref="W19:Y19"/>
    <mergeCell ref="Z19:AB19"/>
    <mergeCell ref="AC19:AE19"/>
    <mergeCell ref="AF19:AQ22"/>
    <mergeCell ref="B20:D20"/>
    <mergeCell ref="E20:G20"/>
    <mergeCell ref="H20:J20"/>
    <mergeCell ref="K20:M20"/>
    <mergeCell ref="N20:P20"/>
    <mergeCell ref="Q20:S20"/>
    <mergeCell ref="T20:V20"/>
    <mergeCell ref="W20:Y20"/>
    <mergeCell ref="Z20:AB20"/>
    <mergeCell ref="AC20:AE20"/>
    <mergeCell ref="B21:D21"/>
    <mergeCell ref="E21:G21"/>
    <mergeCell ref="H21:J21"/>
    <mergeCell ref="K21:M21"/>
    <mergeCell ref="N21:P21"/>
    <mergeCell ref="Q21:S21"/>
    <mergeCell ref="T21:V21"/>
    <mergeCell ref="W21:Y21"/>
    <mergeCell ref="Z21:AB21"/>
    <mergeCell ref="AC21:AE21"/>
    <mergeCell ref="B22:D22"/>
    <mergeCell ref="E22:G22"/>
    <mergeCell ref="H22:J22"/>
    <mergeCell ref="K22:M22"/>
    <mergeCell ref="N22:P22"/>
    <mergeCell ref="Q22:S22"/>
    <mergeCell ref="T22:V22"/>
    <mergeCell ref="W22:Y22"/>
    <mergeCell ref="Z23:AB23"/>
    <mergeCell ref="AC23:AE23"/>
    <mergeCell ref="AG57:AK57"/>
    <mergeCell ref="A89:AL89"/>
    <mergeCell ref="AM89:AP89"/>
    <mergeCell ref="A90:AQ90"/>
    <mergeCell ref="Z22:AB22"/>
    <mergeCell ref="AC22:AE22"/>
    <mergeCell ref="B23:D23"/>
    <mergeCell ref="E23:G23"/>
    <mergeCell ref="H23:J23"/>
    <mergeCell ref="K23:M23"/>
    <mergeCell ref="N23:P23"/>
    <mergeCell ref="Q23:S23"/>
    <mergeCell ref="T23:V23"/>
    <mergeCell ref="W23:Y23"/>
    <mergeCell ref="C91:H91"/>
    <mergeCell ref="I91:J91"/>
    <mergeCell ref="K91:AI91"/>
    <mergeCell ref="B92:K92"/>
    <mergeCell ref="L92:P92"/>
    <mergeCell ref="Q92:Q102"/>
    <mergeCell ref="R92:V92"/>
    <mergeCell ref="W92:Y92"/>
    <mergeCell ref="Z92:AB92"/>
    <mergeCell ref="AC92:AE92"/>
    <mergeCell ref="A95:A96"/>
    <mergeCell ref="B95:D95"/>
    <mergeCell ref="E95:K95"/>
    <mergeCell ref="L95:P96"/>
    <mergeCell ref="R95:V96"/>
    <mergeCell ref="W95:Y96"/>
    <mergeCell ref="AH92:AI92"/>
    <mergeCell ref="A93:A94"/>
    <mergeCell ref="B93:D93"/>
    <mergeCell ref="E93:K93"/>
    <mergeCell ref="L93:P94"/>
    <mergeCell ref="R93:V94"/>
    <mergeCell ref="W93:Y94"/>
    <mergeCell ref="Z93:AB94"/>
    <mergeCell ref="AC93:AE94"/>
    <mergeCell ref="AF93:AF94"/>
    <mergeCell ref="Z95:AB96"/>
    <mergeCell ref="AC95:AE96"/>
    <mergeCell ref="AF95:AF96"/>
    <mergeCell ref="AG95:AG96"/>
    <mergeCell ref="AH95:AI96"/>
    <mergeCell ref="B96:D96"/>
    <mergeCell ref="E96:K96"/>
    <mergeCell ref="AG93:AG94"/>
    <mergeCell ref="AH93:AI94"/>
    <mergeCell ref="B94:D94"/>
    <mergeCell ref="E94:K94"/>
    <mergeCell ref="Z97:AB98"/>
    <mergeCell ref="AC97:AE98"/>
    <mergeCell ref="AF97:AF98"/>
    <mergeCell ref="AG97:AG98"/>
    <mergeCell ref="AH97:AI98"/>
    <mergeCell ref="B98:D98"/>
    <mergeCell ref="E98:K98"/>
    <mergeCell ref="A97:A98"/>
    <mergeCell ref="B97:D97"/>
    <mergeCell ref="E97:K97"/>
    <mergeCell ref="L97:P98"/>
    <mergeCell ref="R97:V98"/>
    <mergeCell ref="W97:Y98"/>
    <mergeCell ref="Z99:AB100"/>
    <mergeCell ref="AC99:AE100"/>
    <mergeCell ref="AF99:AF100"/>
    <mergeCell ref="AG99:AG100"/>
    <mergeCell ref="AH99:AI100"/>
    <mergeCell ref="B100:D100"/>
    <mergeCell ref="E100:K100"/>
    <mergeCell ref="A99:A100"/>
    <mergeCell ref="B99:D99"/>
    <mergeCell ref="E99:K99"/>
    <mergeCell ref="L99:P100"/>
    <mergeCell ref="R99:V100"/>
    <mergeCell ref="W99:Y100"/>
    <mergeCell ref="Z101:AB102"/>
    <mergeCell ref="AC101:AE102"/>
    <mergeCell ref="AF101:AF102"/>
    <mergeCell ref="AG101:AG102"/>
    <mergeCell ref="AH101:AI102"/>
    <mergeCell ref="B102:D102"/>
    <mergeCell ref="E102:K102"/>
    <mergeCell ref="A101:A102"/>
    <mergeCell ref="B101:D101"/>
    <mergeCell ref="E101:K101"/>
    <mergeCell ref="L101:P102"/>
    <mergeCell ref="R101:V102"/>
    <mergeCell ref="W101:Y102"/>
    <mergeCell ref="B103:AI103"/>
    <mergeCell ref="B104:D104"/>
    <mergeCell ref="E104:G104"/>
    <mergeCell ref="H104:J104"/>
    <mergeCell ref="K104:M104"/>
    <mergeCell ref="N104:P104"/>
    <mergeCell ref="Q104:S104"/>
    <mergeCell ref="T104:V104"/>
    <mergeCell ref="W104:Y104"/>
    <mergeCell ref="Z104:AB104"/>
    <mergeCell ref="AC104:AE104"/>
    <mergeCell ref="AF104:AQ107"/>
    <mergeCell ref="B105:D105"/>
    <mergeCell ref="E105:G105"/>
    <mergeCell ref="H105:J105"/>
    <mergeCell ref="K105:M105"/>
    <mergeCell ref="N105:P105"/>
    <mergeCell ref="Q105:S105"/>
    <mergeCell ref="T105:V105"/>
    <mergeCell ref="W105:Y105"/>
    <mergeCell ref="Z105:AB105"/>
    <mergeCell ref="AC105:AE105"/>
    <mergeCell ref="B106:D106"/>
    <mergeCell ref="E106:G106"/>
    <mergeCell ref="H106:J106"/>
    <mergeCell ref="K106:M106"/>
    <mergeCell ref="N106:P106"/>
    <mergeCell ref="Q106:S106"/>
    <mergeCell ref="T106:V106"/>
    <mergeCell ref="W106:Y106"/>
    <mergeCell ref="Z106:AB106"/>
    <mergeCell ref="AC106:AE106"/>
    <mergeCell ref="B107:D107"/>
    <mergeCell ref="E107:G107"/>
    <mergeCell ref="H107:J107"/>
    <mergeCell ref="K107:M107"/>
    <mergeCell ref="N107:P107"/>
    <mergeCell ref="Q107:S107"/>
    <mergeCell ref="T107:V107"/>
    <mergeCell ref="W107:Y107"/>
    <mergeCell ref="Z108:AB108"/>
    <mergeCell ref="AC108:AE108"/>
    <mergeCell ref="AG142:AK142"/>
    <mergeCell ref="A174:AL174"/>
    <mergeCell ref="AM174:AP174"/>
    <mergeCell ref="A175:AQ175"/>
    <mergeCell ref="Z107:AB107"/>
    <mergeCell ref="AC107:AE107"/>
    <mergeCell ref="B108:D108"/>
    <mergeCell ref="E108:G108"/>
    <mergeCell ref="H108:J108"/>
    <mergeCell ref="K108:M108"/>
    <mergeCell ref="N108:P108"/>
    <mergeCell ref="Q108:S108"/>
    <mergeCell ref="T108:V108"/>
    <mergeCell ref="W108:Y108"/>
    <mergeCell ref="A176:AQ176"/>
    <mergeCell ref="A177:A178"/>
    <mergeCell ref="B177:K177"/>
    <mergeCell ref="L177:U177"/>
    <mergeCell ref="V177:AE177"/>
    <mergeCell ref="AF177:AO177"/>
    <mergeCell ref="B178:G178"/>
    <mergeCell ref="H178:K178"/>
    <mergeCell ref="L178:Q178"/>
    <mergeCell ref="R178:U178"/>
    <mergeCell ref="V178:AA178"/>
    <mergeCell ref="AB178:AE178"/>
    <mergeCell ref="AF178:AK178"/>
    <mergeCell ref="AL178:AO178"/>
    <mergeCell ref="B179:G179"/>
    <mergeCell ref="H179:K179"/>
    <mergeCell ref="L179:Q179"/>
    <mergeCell ref="R179:U179"/>
    <mergeCell ref="V179:AA179"/>
    <mergeCell ref="AB179:AE179"/>
    <mergeCell ref="AF179:AK179"/>
    <mergeCell ref="AL179:AO179"/>
    <mergeCell ref="B180:G180"/>
    <mergeCell ref="H180:K180"/>
    <mergeCell ref="L180:Q180"/>
    <mergeCell ref="R180:U180"/>
    <mergeCell ref="V180:AA180"/>
    <mergeCell ref="AB180:AE180"/>
    <mergeCell ref="AF180:AK180"/>
    <mergeCell ref="AL180:AO180"/>
    <mergeCell ref="A190:E190"/>
    <mergeCell ref="U190:AA190"/>
    <mergeCell ref="A191:E191"/>
    <mergeCell ref="U191:AA191"/>
    <mergeCell ref="A193:E193"/>
    <mergeCell ref="F193:M193"/>
    <mergeCell ref="T193:AA193"/>
    <mergeCell ref="A182:AQ182"/>
    <mergeCell ref="A183:AQ183"/>
    <mergeCell ref="A184:AQ184"/>
    <mergeCell ref="A185:AQ185"/>
    <mergeCell ref="A186:K186"/>
    <mergeCell ref="A188:O188"/>
    <mergeCell ref="R188:AF188"/>
    <mergeCell ref="A195:E195"/>
    <mergeCell ref="U195:AA195"/>
    <mergeCell ref="A196:E196"/>
    <mergeCell ref="U196:AA196"/>
    <mergeCell ref="F197:I197"/>
    <mergeCell ref="AB197:AE197"/>
    <mergeCell ref="AB193:AH193"/>
    <mergeCell ref="A194:E194"/>
    <mergeCell ref="F194:I194"/>
    <mergeCell ref="J194:M194"/>
    <mergeCell ref="T194:Z194"/>
    <mergeCell ref="AB194:AE194"/>
    <mergeCell ref="AF194:AH194"/>
    <mergeCell ref="A200:E200"/>
    <mergeCell ref="J200:P200"/>
    <mergeCell ref="U200:AA200"/>
    <mergeCell ref="A202:D202"/>
    <mergeCell ref="F202:I202"/>
    <mergeCell ref="J202:M202"/>
    <mergeCell ref="T202:Z202"/>
    <mergeCell ref="J198:P198"/>
    <mergeCell ref="AF198:AJ198"/>
    <mergeCell ref="A199:E199"/>
    <mergeCell ref="F199:I199"/>
    <mergeCell ref="J199:P199"/>
    <mergeCell ref="U199:AA199"/>
    <mergeCell ref="AB199:AE199"/>
    <mergeCell ref="AF199:AJ199"/>
    <mergeCell ref="A204:E204"/>
    <mergeCell ref="U204:AA204"/>
    <mergeCell ref="A205:E205"/>
    <mergeCell ref="U205:AA205"/>
    <mergeCell ref="A208:J208"/>
    <mergeCell ref="U208:AF208"/>
    <mergeCell ref="AB202:AE202"/>
    <mergeCell ref="AF202:AH202"/>
    <mergeCell ref="A203:E203"/>
    <mergeCell ref="F203:M203"/>
    <mergeCell ref="T203:Z203"/>
    <mergeCell ref="AB203:AH203"/>
    <mergeCell ref="B209:J209"/>
    <mergeCell ref="K209:Q209"/>
    <mergeCell ref="U209:W209"/>
    <mergeCell ref="X209:AF209"/>
    <mergeCell ref="AG209:AM209"/>
    <mergeCell ref="B210:J210"/>
    <mergeCell ref="K210:Q210"/>
    <mergeCell ref="U210:W210"/>
    <mergeCell ref="X210:AF210"/>
    <mergeCell ref="AG210:AM210"/>
    <mergeCell ref="B211:J211"/>
    <mergeCell ref="K211:Q211"/>
    <mergeCell ref="U211:W211"/>
    <mergeCell ref="X211:AF211"/>
    <mergeCell ref="AG211:AM211"/>
    <mergeCell ref="B212:J212"/>
    <mergeCell ref="K212:Q212"/>
    <mergeCell ref="U212:W212"/>
    <mergeCell ref="X212:AF212"/>
    <mergeCell ref="AG212:AM212"/>
    <mergeCell ref="B213:J213"/>
    <mergeCell ref="K213:Q213"/>
    <mergeCell ref="U213:W213"/>
    <mergeCell ref="X213:AF213"/>
    <mergeCell ref="AG213:AM213"/>
    <mergeCell ref="B215:D215"/>
    <mergeCell ref="E215:G215"/>
    <mergeCell ref="H215:J215"/>
    <mergeCell ref="K215:Q217"/>
    <mergeCell ref="W215:Y215"/>
    <mergeCell ref="Z215:AB215"/>
    <mergeCell ref="AC215:AE215"/>
    <mergeCell ref="AF215:AJ217"/>
    <mergeCell ref="B216:D216"/>
    <mergeCell ref="E216:G216"/>
    <mergeCell ref="H216:J216"/>
    <mergeCell ref="T216:V216"/>
    <mergeCell ref="W216:Y216"/>
    <mergeCell ref="Z216:AB216"/>
    <mergeCell ref="AC216:AE216"/>
    <mergeCell ref="AC217:AE217"/>
    <mergeCell ref="K218:N218"/>
    <mergeCell ref="T218:V218"/>
    <mergeCell ref="AF218:AG218"/>
    <mergeCell ref="T219:V219"/>
    <mergeCell ref="T220:V220"/>
    <mergeCell ref="B217:D217"/>
    <mergeCell ref="E217:G217"/>
    <mergeCell ref="H217:J217"/>
    <mergeCell ref="T217:V217"/>
    <mergeCell ref="W217:Y217"/>
    <mergeCell ref="Z217:AB217"/>
    <mergeCell ref="T233:V233"/>
    <mergeCell ref="A234:M234"/>
    <mergeCell ref="V234:AG234"/>
    <mergeCell ref="T221:V221"/>
    <mergeCell ref="T222:V222"/>
    <mergeCell ref="K223:N225"/>
    <mergeCell ref="AF223:AG225"/>
    <mergeCell ref="T231:V231"/>
    <mergeCell ref="T232:V232"/>
  </mergeCells>
  <conditionalFormatting sqref="A8 A93">
    <cfRule type="expression" dxfId="4995" priority="4" stopIfTrue="1">
      <formula>IF(AK9&gt;0,0,1)</formula>
    </cfRule>
  </conditionalFormatting>
  <conditionalFormatting sqref="A10:A11 A95:A96">
    <cfRule type="expression" dxfId="4994" priority="5" stopIfTrue="1">
      <formula>IF(AK9&gt;1,0,1)</formula>
    </cfRule>
  </conditionalFormatting>
  <conditionalFormatting sqref="A12:A13 A97:A98">
    <cfRule type="expression" dxfId="4993" priority="6" stopIfTrue="1">
      <formula>IF(AK9&gt;2,0,1)</formula>
    </cfRule>
  </conditionalFormatting>
  <conditionalFormatting sqref="A14:A15 A99:A100">
    <cfRule type="expression" dxfId="4992" priority="7" stopIfTrue="1">
      <formula>IF(AK9&gt;3,0,1)</formula>
    </cfRule>
  </conditionalFormatting>
  <conditionalFormatting sqref="A16:A17 A101:A102">
    <cfRule type="expression" dxfId="4991" priority="8" stopIfTrue="1">
      <formula>IF(AK9&gt;4,0,1)</formula>
    </cfRule>
  </conditionalFormatting>
  <conditionalFormatting sqref="B8 B93">
    <cfRule type="expression" dxfId="4990" priority="9" stopIfTrue="1">
      <formula>IF(AK9&gt;0,0,1)</formula>
    </cfRule>
  </conditionalFormatting>
  <conditionalFormatting sqref="B9 B94">
    <cfRule type="expression" dxfId="4989" priority="10" stopIfTrue="1">
      <formula>IF(AK9&gt;0,0,1)</formula>
    </cfRule>
  </conditionalFormatting>
  <conditionalFormatting sqref="B10 B95">
    <cfRule type="expression" dxfId="4988" priority="11" stopIfTrue="1">
      <formula>IF(AK9&gt;1,0,1)</formula>
    </cfRule>
  </conditionalFormatting>
  <conditionalFormatting sqref="B11:D11 B96:D96">
    <cfRule type="expression" dxfId="4987" priority="12" stopIfTrue="1">
      <formula>IF(AK9&gt;1,0,1)</formula>
    </cfRule>
  </conditionalFormatting>
  <conditionalFormatting sqref="B12:D12 B97:D97">
    <cfRule type="expression" dxfId="4986" priority="13" stopIfTrue="1">
      <formula>IF(AK9&gt;2,0,1)</formula>
    </cfRule>
  </conditionalFormatting>
  <conditionalFormatting sqref="B13:D13 B98:D98">
    <cfRule type="expression" dxfId="4985" priority="14" stopIfTrue="1">
      <formula>IF(AK9&gt;2,0,1)</formula>
    </cfRule>
  </conditionalFormatting>
  <conditionalFormatting sqref="B14:D14 B99:D99">
    <cfRule type="expression" dxfId="4984" priority="15" stopIfTrue="1">
      <formula>IF(AK9&gt;3,0,1)</formula>
    </cfRule>
  </conditionalFormatting>
  <conditionalFormatting sqref="B15:D15 B100:D100">
    <cfRule type="expression" dxfId="4983" priority="16" stopIfTrue="1">
      <formula>IF(AK9&gt;3,0,1)</formula>
    </cfRule>
  </conditionalFormatting>
  <conditionalFormatting sqref="B16:D16 B101:D101">
    <cfRule type="expression" dxfId="4982" priority="17" stopIfTrue="1">
      <formula>IF(AK9&gt;4,0,1)</formula>
    </cfRule>
  </conditionalFormatting>
  <conditionalFormatting sqref="B17:D17 B102:D102">
    <cfRule type="expression" dxfId="4981" priority="18" stopIfTrue="1">
      <formula>IF(AK9&gt;4,0,1)</formula>
    </cfRule>
  </conditionalFormatting>
  <conditionalFormatting sqref="E8 E93">
    <cfRule type="expression" dxfId="4980" priority="19" stopIfTrue="1">
      <formula>IF(AK9&gt;0,0,1)</formula>
    </cfRule>
  </conditionalFormatting>
  <conditionalFormatting sqref="E9 E94">
    <cfRule type="expression" dxfId="4979" priority="20" stopIfTrue="1">
      <formula>IF(AK9&gt;0,0,1)</formula>
    </cfRule>
  </conditionalFormatting>
  <conditionalFormatting sqref="E10 E95">
    <cfRule type="expression" dxfId="4978" priority="21" stopIfTrue="1">
      <formula>IF(AK9&gt;1,0,1)</formula>
    </cfRule>
  </conditionalFormatting>
  <conditionalFormatting sqref="E11 E96">
    <cfRule type="expression" dxfId="4977" priority="22" stopIfTrue="1">
      <formula>IF(AK9&gt;1,0,1)</formula>
    </cfRule>
  </conditionalFormatting>
  <conditionalFormatting sqref="E12 E97">
    <cfRule type="expression" dxfId="4976" priority="23" stopIfTrue="1">
      <formula>IF(AK9&gt;2,0,1)</formula>
    </cfRule>
  </conditionalFormatting>
  <conditionalFormatting sqref="E13 E98">
    <cfRule type="expression" dxfId="4975" priority="24" stopIfTrue="1">
      <formula>IF(AK9&gt;2,0,1)</formula>
    </cfRule>
  </conditionalFormatting>
  <conditionalFormatting sqref="E14 E99">
    <cfRule type="expression" dxfId="4974" priority="25" stopIfTrue="1">
      <formula>IF(AK9&gt;3,0,1)</formula>
    </cfRule>
  </conditionalFormatting>
  <conditionalFormatting sqref="E15 E100">
    <cfRule type="expression" dxfId="4973" priority="26" stopIfTrue="1">
      <formula>IF(AK9&gt;3,0,1)</formula>
    </cfRule>
  </conditionalFormatting>
  <conditionalFormatting sqref="E16 E101">
    <cfRule type="expression" dxfId="4972" priority="27" stopIfTrue="1">
      <formula>IF(AK9&gt;4,0,1)</formula>
    </cfRule>
  </conditionalFormatting>
  <conditionalFormatting sqref="E17 E102">
    <cfRule type="expression" dxfId="4971" priority="28" stopIfTrue="1">
      <formula>IF(AK9&gt;4,0,1)</formula>
    </cfRule>
  </conditionalFormatting>
  <conditionalFormatting sqref="AC8 AC93">
    <cfRule type="expression" dxfId="4970" priority="29" stopIfTrue="1">
      <formula>IF(AK11=1,IF(AK9&gt;0,0,1),1)</formula>
    </cfRule>
  </conditionalFormatting>
  <conditionalFormatting sqref="AC10:AE11 AC95:AE96">
    <cfRule type="expression" dxfId="4969" priority="30" stopIfTrue="1">
      <formula>IF(AK11=1,IF(AK9&gt;1,0,1),1)</formula>
    </cfRule>
  </conditionalFormatting>
  <conditionalFormatting sqref="AC12:AE13 AC97:AE98">
    <cfRule type="expression" dxfId="4968" priority="31" stopIfTrue="1">
      <formula>IF(AK11=1,IF(AK9&gt;2,0,1),1)</formula>
    </cfRule>
  </conditionalFormatting>
  <conditionalFormatting sqref="AC14:AE15 AC99:AE100">
    <cfRule type="expression" dxfId="4967" priority="32" stopIfTrue="1">
      <formula>IF(AK11=1,IF(AK9&gt;3,0,1),1)</formula>
    </cfRule>
  </conditionalFormatting>
  <conditionalFormatting sqref="AC16:AE17 AC101:AE102">
    <cfRule type="expression" dxfId="4966" priority="33" stopIfTrue="1">
      <formula>IF(AK11=1,IF(AK9&gt;4,0,1),1)</formula>
    </cfRule>
  </conditionalFormatting>
  <conditionalFormatting sqref="AH8 AH93">
    <cfRule type="expression" dxfId="4965" priority="34" stopIfTrue="1">
      <formula>IF(AK9&gt;0,0,1)</formula>
    </cfRule>
  </conditionalFormatting>
  <conditionalFormatting sqref="AH10:AI11 AH95:AI96">
    <cfRule type="expression" dxfId="4964" priority="35" stopIfTrue="1">
      <formula>IF(AK9&gt;1,0,1)</formula>
    </cfRule>
  </conditionalFormatting>
  <conditionalFormatting sqref="AH12:AI13 AH97:AI98">
    <cfRule type="expression" dxfId="4963" priority="36" stopIfTrue="1">
      <formula>IF(AK9&gt;2,0,1)</formula>
    </cfRule>
  </conditionalFormatting>
  <conditionalFormatting sqref="AH14:AI15 AH99:AI100">
    <cfRule type="expression" dxfId="4962" priority="37" stopIfTrue="1">
      <formula>IF(AK9&gt;3,0,1)</formula>
    </cfRule>
  </conditionalFormatting>
  <conditionalFormatting sqref="AH16:AI17 AH101:AI102">
    <cfRule type="expression" dxfId="4961" priority="38" stopIfTrue="1">
      <formula>IF(AK9&gt;4,0,1)</formula>
    </cfRule>
  </conditionalFormatting>
  <conditionalFormatting sqref="B19:D19 B104:D104">
    <cfRule type="expression" dxfId="4960" priority="39" stopIfTrue="1">
      <formula>IF(AK8&gt;0,0,1)</formula>
    </cfRule>
  </conditionalFormatting>
  <conditionalFormatting sqref="E19:G19 E104:G104">
    <cfRule type="expression" dxfId="4959" priority="40" stopIfTrue="1">
      <formula>IF(AK8&gt;1,0,1)</formula>
    </cfRule>
  </conditionalFormatting>
  <conditionalFormatting sqref="H19:J19 H104:J104">
    <cfRule type="expression" dxfId="4958" priority="41" stopIfTrue="1">
      <formula>IF(AK8&gt;2,0,1)</formula>
    </cfRule>
  </conditionalFormatting>
  <conditionalFormatting sqref="K19:M19 K104:M104">
    <cfRule type="expression" dxfId="4957" priority="42" stopIfTrue="1">
      <formula>IF(AK8&gt;3,0,1)</formula>
    </cfRule>
  </conditionalFormatting>
  <conditionalFormatting sqref="N19:P19 N104:P104">
    <cfRule type="expression" dxfId="4956" priority="43" stopIfTrue="1">
      <formula>IF(AK8&gt;4,0,1)</formula>
    </cfRule>
  </conditionalFormatting>
  <conditionalFormatting sqref="Q19:S19 Q104:S104">
    <cfRule type="expression" dxfId="4955" priority="44" stopIfTrue="1">
      <formula>IF(AK8&gt;5,0,1)</formula>
    </cfRule>
  </conditionalFormatting>
  <conditionalFormatting sqref="T19:V19 T104:V104">
    <cfRule type="expression" dxfId="4954" priority="45" stopIfTrue="1">
      <formula>IF(AK8&gt;6,0,1)</formula>
    </cfRule>
  </conditionalFormatting>
  <conditionalFormatting sqref="W19:Y19 W104:Y104">
    <cfRule type="expression" dxfId="4953" priority="46" stopIfTrue="1">
      <formula>IF(AK8&gt;7,0,1)</formula>
    </cfRule>
  </conditionalFormatting>
  <conditionalFormatting sqref="Z19:AB19 Z104:AB104">
    <cfRule type="expression" dxfId="4952" priority="47" stopIfTrue="1">
      <formula>IF(AK8&gt;8,0,1)</formula>
    </cfRule>
  </conditionalFormatting>
  <conditionalFormatting sqref="AC19:AE19 AC104:AE104">
    <cfRule type="expression" dxfId="4951" priority="48" stopIfTrue="1">
      <formula>IF(AK8&gt;9,0,1)</formula>
    </cfRule>
  </conditionalFormatting>
  <conditionalFormatting sqref="B20:D20 B105:D105">
    <cfRule type="expression" dxfId="4950" priority="49" stopIfTrue="1">
      <formula>IF(AK8&gt;0,0,1)</formula>
    </cfRule>
  </conditionalFormatting>
  <conditionalFormatting sqref="E20:G20 E105:G105">
    <cfRule type="expression" dxfId="4949" priority="50" stopIfTrue="1">
      <formula>IF(AK8&gt;1,0,1)</formula>
    </cfRule>
  </conditionalFormatting>
  <conditionalFormatting sqref="H20:J20 H105:J105">
    <cfRule type="expression" dxfId="4948" priority="51" stopIfTrue="1">
      <formula>IF(AK8&gt;2,0,1)</formula>
    </cfRule>
  </conditionalFormatting>
  <conditionalFormatting sqref="K20:M20 K105:M105">
    <cfRule type="expression" dxfId="4947" priority="52" stopIfTrue="1">
      <formula>IF(AK8&gt;3,0,1)</formula>
    </cfRule>
  </conditionalFormatting>
  <conditionalFormatting sqref="N20:P20 N105:P105">
    <cfRule type="expression" dxfId="4946" priority="53" stopIfTrue="1">
      <formula>IF(AK8&gt;4,0,1)</formula>
    </cfRule>
  </conditionalFormatting>
  <conditionalFormatting sqref="Q20:S20 Q105:S105">
    <cfRule type="expression" dxfId="4945" priority="54" stopIfTrue="1">
      <formula>IF(AK8&gt;5,0,1)</formula>
    </cfRule>
  </conditionalFormatting>
  <conditionalFormatting sqref="T20:V20 T105:V105">
    <cfRule type="expression" dxfId="4944" priority="55" stopIfTrue="1">
      <formula>IF(AK8&gt;6,0,1)</formula>
    </cfRule>
  </conditionalFormatting>
  <conditionalFormatting sqref="W20:Y20 W105:Y105">
    <cfRule type="expression" dxfId="4943" priority="56" stopIfTrue="1">
      <formula>IF(AK8&gt;7,0,1)</formula>
    </cfRule>
  </conditionalFormatting>
  <conditionalFormatting sqref="Z20:AB20 Z105:AB105">
    <cfRule type="expression" dxfId="4942" priority="57" stopIfTrue="1">
      <formula>IF(AK8&gt;8,0,1)</formula>
    </cfRule>
  </conditionalFormatting>
  <conditionalFormatting sqref="AC20:AE20 AC105:AE105">
    <cfRule type="expression" dxfId="4941" priority="58" stopIfTrue="1">
      <formula>IF(AK8&gt;9,0,1)</formula>
    </cfRule>
  </conditionalFormatting>
  <conditionalFormatting sqref="E22:G22 E107:G107">
    <cfRule type="expression" dxfId="4940" priority="59" stopIfTrue="1">
      <formula>IF(AK8&gt;1,0,1)</formula>
    </cfRule>
  </conditionalFormatting>
  <conditionalFormatting sqref="H22:J22 H107:J107">
    <cfRule type="expression" dxfId="4939" priority="60" stopIfTrue="1">
      <formula>IF(AK8&gt;2,0,1)</formula>
    </cfRule>
  </conditionalFormatting>
  <conditionalFormatting sqref="K22:M22 K107:M107">
    <cfRule type="expression" dxfId="4938" priority="61" stopIfTrue="1">
      <formula>IF(AK8&gt;3,0,1)</formula>
    </cfRule>
  </conditionalFormatting>
  <conditionalFormatting sqref="N22:P22 N107:P107">
    <cfRule type="expression" dxfId="4937" priority="62" stopIfTrue="1">
      <formula>IF(AK8&gt;4,0,1)</formula>
    </cfRule>
  </conditionalFormatting>
  <conditionalFormatting sqref="Q22:S22 Q107:S107">
    <cfRule type="expression" dxfId="4936" priority="63" stopIfTrue="1">
      <formula>IF(AK8&gt;5,0,1)</formula>
    </cfRule>
  </conditionalFormatting>
  <conditionalFormatting sqref="T22:V22 T107:V107">
    <cfRule type="expression" dxfId="4935" priority="64" stopIfTrue="1">
      <formula>IF(AK8&gt;6,0,1)</formula>
    </cfRule>
  </conditionalFormatting>
  <conditionalFormatting sqref="W22:Y22 W107:Y107">
    <cfRule type="expression" dxfId="4934" priority="65" stopIfTrue="1">
      <formula>IF(AK8&gt;7,0,1)</formula>
    </cfRule>
  </conditionalFormatting>
  <conditionalFormatting sqref="Z22:AB22 Z107:AB107">
    <cfRule type="expression" dxfId="4933" priority="66" stopIfTrue="1">
      <formula>IF(AK8&gt;8,0,1)</formula>
    </cfRule>
  </conditionalFormatting>
  <conditionalFormatting sqref="AC22:AE22 AC107:AE107">
    <cfRule type="expression" dxfId="4932" priority="67" stopIfTrue="1">
      <formula>IF(AK8&gt;9,0,1)</formula>
    </cfRule>
  </conditionalFormatting>
  <conditionalFormatting sqref="B24 B109">
    <cfRule type="expression" dxfId="4931" priority="68" stopIfTrue="1">
      <formula>IF(AK8&gt;0,0,1)</formula>
    </cfRule>
  </conditionalFormatting>
  <conditionalFormatting sqref="C24 C109">
    <cfRule type="expression" dxfId="4930" priority="69" stopIfTrue="1">
      <formula>IF(AK8&gt;0,0,1)</formula>
    </cfRule>
  </conditionalFormatting>
  <conditionalFormatting sqref="D24 D109">
    <cfRule type="expression" dxfId="4929" priority="70" stopIfTrue="1">
      <formula>IF(AK8&gt;0,0,1)</formula>
    </cfRule>
  </conditionalFormatting>
  <conditionalFormatting sqref="E23:G23 E108:G108">
    <cfRule type="expression" dxfId="4928" priority="71" stopIfTrue="1">
      <formula>IF(AK8&gt;1,0,1)</formula>
    </cfRule>
  </conditionalFormatting>
  <conditionalFormatting sqref="F24 F109">
    <cfRule type="expression" dxfId="4927" priority="72" stopIfTrue="1">
      <formula>IF(AK8&gt;1,0,1)</formula>
    </cfRule>
  </conditionalFormatting>
  <conditionalFormatting sqref="G24 G109">
    <cfRule type="expression" dxfId="4926" priority="73" stopIfTrue="1">
      <formula>IF(AK8&gt;1,0,1)</formula>
    </cfRule>
  </conditionalFormatting>
  <conditionalFormatting sqref="H23:J23 H108:J108">
    <cfRule type="expression" dxfId="4925" priority="74" stopIfTrue="1">
      <formula>IF(AK8&gt;2,0,1)</formula>
    </cfRule>
  </conditionalFormatting>
  <conditionalFormatting sqref="I24 I109">
    <cfRule type="expression" dxfId="4924" priority="75" stopIfTrue="1">
      <formula>IF(AK8&gt;2,0,1)</formula>
    </cfRule>
  </conditionalFormatting>
  <conditionalFormatting sqref="J24 J109">
    <cfRule type="expression" dxfId="4923" priority="76" stopIfTrue="1">
      <formula>IF(AK8&gt;2,0,1)</formula>
    </cfRule>
  </conditionalFormatting>
  <conditionalFormatting sqref="K23:M23 K108:M108">
    <cfRule type="expression" dxfId="4922" priority="77" stopIfTrue="1">
      <formula>IF(AK8&gt;3,0,1)</formula>
    </cfRule>
  </conditionalFormatting>
  <conditionalFormatting sqref="L24 L109">
    <cfRule type="expression" dxfId="4921" priority="78" stopIfTrue="1">
      <formula>IF(AK8&gt;3,0,1)</formula>
    </cfRule>
  </conditionalFormatting>
  <conditionalFormatting sqref="M24 M109">
    <cfRule type="expression" dxfId="4920" priority="79" stopIfTrue="1">
      <formula>IF(AK8&gt;3,0,1)</formula>
    </cfRule>
  </conditionalFormatting>
  <conditionalFormatting sqref="N23:P23 N108:P108">
    <cfRule type="expression" dxfId="4919" priority="80" stopIfTrue="1">
      <formula>IF(AK8&gt;4,0,1)</formula>
    </cfRule>
  </conditionalFormatting>
  <conditionalFormatting sqref="O24 O109">
    <cfRule type="expression" dxfId="4918" priority="81" stopIfTrue="1">
      <formula>IF(AK8&gt;4,0,1)</formula>
    </cfRule>
  </conditionalFormatting>
  <conditionalFormatting sqref="P24 P109">
    <cfRule type="expression" dxfId="4917" priority="82" stopIfTrue="1">
      <formula>IF(AK8&gt;4,0,1)</formula>
    </cfRule>
  </conditionalFormatting>
  <conditionalFormatting sqref="Q23:S23 Q108:S108">
    <cfRule type="expression" dxfId="4916" priority="83" stopIfTrue="1">
      <formula>IF(AK8&gt;5,0,1)</formula>
    </cfRule>
  </conditionalFormatting>
  <conditionalFormatting sqref="R24 R109">
    <cfRule type="expression" dxfId="4915" priority="84" stopIfTrue="1">
      <formula>IF(AK8&gt;5,0,1)</formula>
    </cfRule>
  </conditionalFormatting>
  <conditionalFormatting sqref="S24 S109">
    <cfRule type="expression" dxfId="4914" priority="85" stopIfTrue="1">
      <formula>IF(AK8&gt;5,0,1)</formula>
    </cfRule>
  </conditionalFormatting>
  <conditionalFormatting sqref="T23:V23 T108:V108">
    <cfRule type="expression" dxfId="4913" priority="86" stopIfTrue="1">
      <formula>IF(AK8&gt;6,0,1)</formula>
    </cfRule>
  </conditionalFormatting>
  <conditionalFormatting sqref="U24 U109">
    <cfRule type="expression" dxfId="4912" priority="87" stopIfTrue="1">
      <formula>IF(AK8&gt;6,0,1)</formula>
    </cfRule>
  </conditionalFormatting>
  <conditionalFormatting sqref="V24 V109">
    <cfRule type="expression" dxfId="4911" priority="88" stopIfTrue="1">
      <formula>IF(AK8&gt;6,0,1)</formula>
    </cfRule>
  </conditionalFormatting>
  <conditionalFormatting sqref="W23:Y23 W108:Y108">
    <cfRule type="expression" dxfId="4910" priority="89" stopIfTrue="1">
      <formula>IF(AK8&gt;7,0,1)</formula>
    </cfRule>
  </conditionalFormatting>
  <conditionalFormatting sqref="X24 X109">
    <cfRule type="expression" dxfId="4909" priority="90" stopIfTrue="1">
      <formula>IF(AK8&gt;7,0,1)</formula>
    </cfRule>
  </conditionalFormatting>
  <conditionalFormatting sqref="Y24 Y109">
    <cfRule type="expression" dxfId="4908" priority="91" stopIfTrue="1">
      <formula>IF(AK8&gt;7,0,1)</formula>
    </cfRule>
  </conditionalFormatting>
  <conditionalFormatting sqref="Z23:AB23 Z108:AB108">
    <cfRule type="expression" dxfId="4907" priority="92" stopIfTrue="1">
      <formula>IF(AK8&gt;8,0,1)</formula>
    </cfRule>
  </conditionalFormatting>
  <conditionalFormatting sqref="AA24 AA109">
    <cfRule type="expression" dxfId="4906" priority="93" stopIfTrue="1">
      <formula>IF(AK8&gt;8,0,1)</formula>
    </cfRule>
  </conditionalFormatting>
  <conditionalFormatting sqref="AB24 AB109">
    <cfRule type="expression" dxfId="4905" priority="94" stopIfTrue="1">
      <formula>IF(AK8&gt;8,0,1)</formula>
    </cfRule>
  </conditionalFormatting>
  <conditionalFormatting sqref="AC23:AE23 AC108:AE108">
    <cfRule type="expression" dxfId="4904" priority="95" stopIfTrue="1">
      <formula>IF(AK8&gt;9,0,1)</formula>
    </cfRule>
  </conditionalFormatting>
  <conditionalFormatting sqref="AD24 AD109">
    <cfRule type="expression" dxfId="4903" priority="96" stopIfTrue="1">
      <formula>IF(AK8&gt;9,0,1)</formula>
    </cfRule>
  </conditionalFormatting>
  <conditionalFormatting sqref="AE24 AE109">
    <cfRule type="expression" dxfId="4902" priority="97" stopIfTrue="1">
      <formula>IF(AK8&gt;9,0,1)</formula>
    </cfRule>
  </conditionalFormatting>
  <conditionalFormatting sqref="A26 A111">
    <cfRule type="expression" dxfId="4901" priority="98" stopIfTrue="1">
      <formula>IF(AK7&gt;1,0,1)</formula>
    </cfRule>
  </conditionalFormatting>
  <conditionalFormatting sqref="A27 A112">
    <cfRule type="expression" dxfId="4900" priority="99" stopIfTrue="1">
      <formula>IF(AK7&gt;2,0,1)</formula>
    </cfRule>
  </conditionalFormatting>
  <conditionalFormatting sqref="A28 A113">
    <cfRule type="expression" dxfId="4899" priority="100" stopIfTrue="1">
      <formula>IF(AK7&gt;3,0,1)</formula>
    </cfRule>
  </conditionalFormatting>
  <conditionalFormatting sqref="A29 A114">
    <cfRule type="expression" dxfId="4898" priority="101" stopIfTrue="1">
      <formula>IF(AK7&gt;4,0,1)</formula>
    </cfRule>
  </conditionalFormatting>
  <conditionalFormatting sqref="B25:D25 B110:D110">
    <cfRule type="expression" dxfId="4897" priority="102" stopIfTrue="1">
      <formula>IF($AK8&gt;0,0,1)</formula>
    </cfRule>
  </conditionalFormatting>
  <conditionalFormatting sqref="B26:D26 B111:D111">
    <cfRule type="expression" dxfId="4896" priority="103" stopIfTrue="1">
      <formula>IF($AK8&lt;1,1,IF($AK7&lt;2,1,0))</formula>
    </cfRule>
  </conditionalFormatting>
  <conditionalFormatting sqref="B27:D27 B112:D112">
    <cfRule type="expression" dxfId="4895" priority="104" stopIfTrue="1">
      <formula>IF($AK8&lt;1,1,IF($AK7&lt;3,1,0))</formula>
    </cfRule>
  </conditionalFormatting>
  <conditionalFormatting sqref="B28:D28 B113:D113">
    <cfRule type="expression" dxfId="4894" priority="105" stopIfTrue="1">
      <formula>IF($AK8&lt;1,1,IF($AK7&lt;4,1,0))</formula>
    </cfRule>
  </conditionalFormatting>
  <conditionalFormatting sqref="B29:D29 B114:D114">
    <cfRule type="expression" dxfId="4893" priority="106" stopIfTrue="1">
      <formula>IF($AK8&lt;1,1,IF($AK7&lt;5,1,0))</formula>
    </cfRule>
  </conditionalFormatting>
  <conditionalFormatting sqref="AG23 AG108">
    <cfRule type="expression" dxfId="4892" priority="107" stopIfTrue="1">
      <formula>IF($AK8&lt;1,1,0)</formula>
    </cfRule>
  </conditionalFormatting>
  <conditionalFormatting sqref="AH23 AH108">
    <cfRule type="expression" dxfId="4891" priority="108" stopIfTrue="1">
      <formula>IF($AK8&lt;2,1,0)</formula>
    </cfRule>
  </conditionalFormatting>
  <conditionalFormatting sqref="AI23 AI108">
    <cfRule type="expression" dxfId="4890" priority="109" stopIfTrue="1">
      <formula>IF($AK8&lt;3,1,0)</formula>
    </cfRule>
  </conditionalFormatting>
  <conditionalFormatting sqref="AJ23 AJ108">
    <cfRule type="expression" dxfId="4889" priority="110" stopIfTrue="1">
      <formula>IF($AK8&lt;4,1,0)</formula>
    </cfRule>
  </conditionalFormatting>
  <conditionalFormatting sqref="AK23 AK108">
    <cfRule type="expression" dxfId="4888" priority="111" stopIfTrue="1">
      <formula>IF($AK8&lt;5,1,0)</formula>
    </cfRule>
  </conditionalFormatting>
  <conditionalFormatting sqref="AL23 AL108">
    <cfRule type="expression" dxfId="4887" priority="112" stopIfTrue="1">
      <formula>IF($AK8&lt;6,1,0)</formula>
    </cfRule>
  </conditionalFormatting>
  <conditionalFormatting sqref="AM23 AM108">
    <cfRule type="expression" dxfId="4886" priority="113" stopIfTrue="1">
      <formula>IF($AK8&lt;7,1,0)</formula>
    </cfRule>
  </conditionalFormatting>
  <conditionalFormatting sqref="AN23 AN108">
    <cfRule type="expression" dxfId="4885" priority="114" stopIfTrue="1">
      <formula>IF($AK8&lt;8,1,0)</formula>
    </cfRule>
  </conditionalFormatting>
  <conditionalFormatting sqref="AO23 AO108">
    <cfRule type="expression" dxfId="4884" priority="115" stopIfTrue="1">
      <formula>IF($AK8&lt;9,1,0)</formula>
    </cfRule>
  </conditionalFormatting>
  <conditionalFormatting sqref="AP23 AP108">
    <cfRule type="expression" dxfId="4883" priority="116" stopIfTrue="1">
      <formula>IF($AK8&lt;10,1,0)</formula>
    </cfRule>
  </conditionalFormatting>
  <conditionalFormatting sqref="AQ24 AQ109">
    <cfRule type="expression" dxfId="4882" priority="117" stopIfTrue="1">
      <formula>IF($AK9&gt;0,0,1)</formula>
    </cfRule>
  </conditionalFormatting>
  <conditionalFormatting sqref="AQ25 AQ110">
    <cfRule type="expression" dxfId="4881" priority="118" stopIfTrue="1">
      <formula>IF($AK9&gt;1,0,1)</formula>
    </cfRule>
  </conditionalFormatting>
  <conditionalFormatting sqref="AQ26 H25:J25 AQ111 H110:J110">
    <cfRule type="expression" dxfId="4880" priority="119" stopIfTrue="1">
      <formula>IF($AK8&gt;2,0,1)</formula>
    </cfRule>
  </conditionalFormatting>
  <conditionalFormatting sqref="K25:M25 K110:M110">
    <cfRule type="expression" dxfId="4879" priority="120" stopIfTrue="1">
      <formula>IF($AK8&gt;3,0,1)</formula>
    </cfRule>
  </conditionalFormatting>
  <conditionalFormatting sqref="AQ28 AQ113">
    <cfRule type="expression" dxfId="4878" priority="121" stopIfTrue="1">
      <formula>IF($AK9&gt;4,0,1)</formula>
    </cfRule>
  </conditionalFormatting>
  <conditionalFormatting sqref="E26:G26 E111:G111">
    <cfRule type="expression" dxfId="4877" priority="122" stopIfTrue="1">
      <formula>IF($AK8&lt;2,1,IF($AK7&lt;2,1,0))</formula>
    </cfRule>
  </conditionalFormatting>
  <conditionalFormatting sqref="E27:G27 E112:G112">
    <cfRule type="expression" dxfId="4876" priority="123" stopIfTrue="1">
      <formula>IF($AK8&lt;2,1,IF($AK7&lt;3,1,0))</formula>
    </cfRule>
  </conditionalFormatting>
  <conditionalFormatting sqref="E28:G28 E113:G113">
    <cfRule type="expression" dxfId="4875" priority="124" stopIfTrue="1">
      <formula>IF($AK8&lt;2,1,IF($AK7&lt;4,1,0))</formula>
    </cfRule>
  </conditionalFormatting>
  <conditionalFormatting sqref="E29:G29 E114:G114">
    <cfRule type="expression" dxfId="4874" priority="125" stopIfTrue="1">
      <formula>IF($AK8&lt;2,1,IF($AK7&lt;5,1,0))</formula>
    </cfRule>
  </conditionalFormatting>
  <conditionalFormatting sqref="N25:P25 N110:P110">
    <cfRule type="expression" dxfId="4873" priority="126" stopIfTrue="1">
      <formula>IF($AK8&gt;4,0,1)</formula>
    </cfRule>
  </conditionalFormatting>
  <conditionalFormatting sqref="Q25:S25 Q110:S110">
    <cfRule type="expression" dxfId="4872" priority="127" stopIfTrue="1">
      <formula>IF($AK8&gt;5,0,1)</formula>
    </cfRule>
  </conditionalFormatting>
  <conditionalFormatting sqref="T25:V25 T110:V110">
    <cfRule type="expression" dxfId="4871" priority="128" stopIfTrue="1">
      <formula>IF($AK8&gt;6,0,1)</formula>
    </cfRule>
  </conditionalFormatting>
  <conditionalFormatting sqref="W25:Y25 W110:Y110">
    <cfRule type="expression" dxfId="4870" priority="129" stopIfTrue="1">
      <formula>IF($AK8&gt;7,0,1)</formula>
    </cfRule>
  </conditionalFormatting>
  <conditionalFormatting sqref="Z25:AB25 Z110:AB110">
    <cfRule type="expression" dxfId="4869" priority="130" stopIfTrue="1">
      <formula>IF($AK8&gt;8,0,1)</formula>
    </cfRule>
  </conditionalFormatting>
  <conditionalFormatting sqref="AC25:AE25 AC110:AE110">
    <cfRule type="expression" dxfId="4868" priority="131" stopIfTrue="1">
      <formula>IF($AK8&gt;9,0,1)</formula>
    </cfRule>
  </conditionalFormatting>
  <conditionalFormatting sqref="H26:J26 H111:J111">
    <cfRule type="expression" dxfId="4867" priority="132" stopIfTrue="1">
      <formula>IF($AK8&lt;3,1,IF($AK7&lt;2,1,0))</formula>
    </cfRule>
  </conditionalFormatting>
  <conditionalFormatting sqref="K26:M26 K111:M111">
    <cfRule type="expression" dxfId="4866" priority="133" stopIfTrue="1">
      <formula>IF($AK8&lt;4,1,IF($AK7&lt;2,1,0))</formula>
    </cfRule>
  </conditionalFormatting>
  <conditionalFormatting sqref="N26:P26 N111:P111">
    <cfRule type="expression" dxfId="4865" priority="134" stopIfTrue="1">
      <formula>IF($AK8&lt;5,1,IF($AK7&lt;2,1,0))</formula>
    </cfRule>
  </conditionalFormatting>
  <conditionalFormatting sqref="Q26:S26 Q111:S111">
    <cfRule type="expression" dxfId="4864" priority="135" stopIfTrue="1">
      <formula>IF($AK8&lt;6,1,IF($AK7&lt;2,1,0))</formula>
    </cfRule>
  </conditionalFormatting>
  <conditionalFormatting sqref="T26:V26 T111:V111">
    <cfRule type="expression" dxfId="4863" priority="136" stopIfTrue="1">
      <formula>IF($AK8&lt;7,1,IF($AK7&lt;2,1,0))</formula>
    </cfRule>
  </conditionalFormatting>
  <conditionalFormatting sqref="W26:Y26 W111:Y111">
    <cfRule type="expression" dxfId="4862" priority="137" stopIfTrue="1">
      <formula>IF($AK8&lt;8,1,IF($AK7&lt;2,1,0))</formula>
    </cfRule>
  </conditionalFormatting>
  <conditionalFormatting sqref="Z26:AB26 Z111:AB111">
    <cfRule type="expression" dxfId="4861" priority="138" stopIfTrue="1">
      <formula>IF($AK8&lt;9,1,IF($AK7&lt;2,1,0))</formula>
    </cfRule>
  </conditionalFormatting>
  <conditionalFormatting sqref="AC26:AE26 AC111:AE111">
    <cfRule type="expression" dxfId="4860" priority="139" stopIfTrue="1">
      <formula>IF($AK8&lt;10,1,IF($AK7&lt;2,1,0))</formula>
    </cfRule>
  </conditionalFormatting>
  <conditionalFormatting sqref="H27:J27 H112:J112">
    <cfRule type="expression" dxfId="4859" priority="140" stopIfTrue="1">
      <formula>IF($AK8&lt;3,1,IF($AK7&lt;3,1,0))</formula>
    </cfRule>
  </conditionalFormatting>
  <conditionalFormatting sqref="K27:M27 K112:M112">
    <cfRule type="expression" dxfId="4858" priority="141" stopIfTrue="1">
      <formula>IF($AK8&lt;4,1,IF($AK7&lt;3,1,0))</formula>
    </cfRule>
  </conditionalFormatting>
  <conditionalFormatting sqref="N27:P27 N112:P112">
    <cfRule type="expression" dxfId="4857" priority="142" stopIfTrue="1">
      <formula>IF($AK8&lt;5,1,IF($AK7&lt;3,1,0))</formula>
    </cfRule>
  </conditionalFormatting>
  <conditionalFormatting sqref="Q27:S27 Q112:S112">
    <cfRule type="expression" dxfId="4856" priority="143" stopIfTrue="1">
      <formula>IF($AK8&lt;6,1,IF($AK7&lt;3,1,0))</formula>
    </cfRule>
  </conditionalFormatting>
  <conditionalFormatting sqref="T27:V27 T112:V112">
    <cfRule type="expression" dxfId="4855" priority="144" stopIfTrue="1">
      <formula>IF($AK8&lt;7,1,IF($AK7&lt;3,1,0))</formula>
    </cfRule>
  </conditionalFormatting>
  <conditionalFormatting sqref="W27:Y27 W112:Y112">
    <cfRule type="expression" dxfId="4854" priority="145" stopIfTrue="1">
      <formula>IF($AK8&lt;8,1,IF($AK7&lt;3,1,0))</formula>
    </cfRule>
  </conditionalFormatting>
  <conditionalFormatting sqref="Z27:AB27 Z112:AB112">
    <cfRule type="expression" dxfId="4853" priority="146" stopIfTrue="1">
      <formula>IF($AK8&lt;9,1,IF($AK7&lt;3,1,0))</formula>
    </cfRule>
  </conditionalFormatting>
  <conditionalFormatting sqref="AC27:AE27 AC112:AE112">
    <cfRule type="expression" dxfId="4852" priority="147" stopIfTrue="1">
      <formula>IF($AK8&lt;10,1,IF($AK7&lt;3,1,0))</formula>
    </cfRule>
  </conditionalFormatting>
  <conditionalFormatting sqref="H28:J28 H113:J113">
    <cfRule type="expression" dxfId="4851" priority="148" stopIfTrue="1">
      <formula>IF($AK8&lt;3,1,IF($AK7&lt;4,1,0))</formula>
    </cfRule>
  </conditionalFormatting>
  <conditionalFormatting sqref="K28:M28 K113:M113">
    <cfRule type="expression" dxfId="4850" priority="149" stopIfTrue="1">
      <formula>IF($AK8&lt;4,1,IF($AK7&lt;4,1,0))</formula>
    </cfRule>
  </conditionalFormatting>
  <conditionalFormatting sqref="N28:P28 N113:P113">
    <cfRule type="expression" dxfId="4849" priority="150" stopIfTrue="1">
      <formula>IF($AK8&lt;5,1,IF($AK7&lt;4,1,0))</formula>
    </cfRule>
  </conditionalFormatting>
  <conditionalFormatting sqref="Q28:S28 Q113:S113">
    <cfRule type="expression" dxfId="4848" priority="151" stopIfTrue="1">
      <formula>IF($AK8&lt;6,1,IF($AK7&lt;4,1,0))</formula>
    </cfRule>
  </conditionalFormatting>
  <conditionalFormatting sqref="T28:V28 T113:V113">
    <cfRule type="expression" dxfId="4847" priority="152" stopIfTrue="1">
      <formula>IF($AK8&lt;7,1,IF($AK7&lt;4,1,0))</formula>
    </cfRule>
  </conditionalFormatting>
  <conditionalFormatting sqref="W28:Y28 W113:Y113">
    <cfRule type="expression" dxfId="4846" priority="153" stopIfTrue="1">
      <formula>IF($AK8&lt;8,1,IF($AK7&lt;4,1,0))</formula>
    </cfRule>
  </conditionalFormatting>
  <conditionalFormatting sqref="Z28:AB28 Z113:AB113">
    <cfRule type="expression" dxfId="4845" priority="154" stopIfTrue="1">
      <formula>IF($AK8&lt;9,1,IF($AK7&lt;4,1,0))</formula>
    </cfRule>
  </conditionalFormatting>
  <conditionalFormatting sqref="AC28:AE28 AC113:AE113">
    <cfRule type="expression" dxfId="4844" priority="155" stopIfTrue="1">
      <formula>IF($AK8&lt;10,1,IF($AK7&lt;4,1,0))</formula>
    </cfRule>
  </conditionalFormatting>
  <conditionalFormatting sqref="H29:J29 H114:J114">
    <cfRule type="expression" dxfId="4843" priority="156" stopIfTrue="1">
      <formula>IF($AK8&lt;3,1,IF($AK7&lt;5,1,0))</formula>
    </cfRule>
  </conditionalFormatting>
  <conditionalFormatting sqref="K29:M29 K114:M114">
    <cfRule type="expression" dxfId="4842" priority="157" stopIfTrue="1">
      <formula>IF($AK8&lt;4,1,IF($AK7&lt;5,1,0))</formula>
    </cfRule>
  </conditionalFormatting>
  <conditionalFormatting sqref="N29:P29 N114:P114">
    <cfRule type="expression" dxfId="4841" priority="158" stopIfTrue="1">
      <formula>IF($AK8&lt;5,1,IF($AK7&lt;5,1,0))</formula>
    </cfRule>
  </conditionalFormatting>
  <conditionalFormatting sqref="Q29:S29 Q114:S114">
    <cfRule type="expression" dxfId="4840" priority="159" stopIfTrue="1">
      <formula>IF($AK8&lt;6,1,IF($AK7&lt;5,1,0))</formula>
    </cfRule>
  </conditionalFormatting>
  <conditionalFormatting sqref="T29:V29 T114:V114">
    <cfRule type="expression" dxfId="4839" priority="160" stopIfTrue="1">
      <formula>IF($AK8&lt;7,1,IF($AK7&lt;5,1,0))</formula>
    </cfRule>
  </conditionalFormatting>
  <conditionalFormatting sqref="W29:Y29 W114:Y114">
    <cfRule type="expression" dxfId="4838" priority="161" stopIfTrue="1">
      <formula>IF($AK8&lt;8,1,IF($AK7&lt;5,1,0))</formula>
    </cfRule>
  </conditionalFormatting>
  <conditionalFormatting sqref="Z29:AB29 Z114:AB114">
    <cfRule type="expression" dxfId="4837" priority="162" stopIfTrue="1">
      <formula>IF($AK8&lt;9,1,IF($AK7&lt;5,1,0))</formula>
    </cfRule>
  </conditionalFormatting>
  <conditionalFormatting sqref="AC29:AE29 AC114:AE114">
    <cfRule type="expression" dxfId="4836" priority="163" stopIfTrue="1">
      <formula>IF($AK8&lt;10,1,IF($AK7&lt;5,1,0))</formula>
    </cfRule>
  </conditionalFormatting>
  <conditionalFormatting sqref="R14:AB15 AF14:AF15 L14:P15 R99:AB100 AF99:AF100 L99:P100 AG14 AG99">
    <cfRule type="expression" dxfId="4835" priority="164" stopIfTrue="1">
      <formula>IF($AK9&gt;3,0,1)</formula>
    </cfRule>
  </conditionalFormatting>
  <conditionalFormatting sqref="R16:AB17 AF16:AF17 L16:P17 R101:AB102 AF101:AF102 L101:P102 AG16 AG101">
    <cfRule type="expression" dxfId="4834" priority="165" stopIfTrue="1">
      <formula>IF($AK9&gt;4,0,1)</formula>
    </cfRule>
  </conditionalFormatting>
  <conditionalFormatting sqref="R8:AB9 AF8:AF9 L8:P9 R93:AB94 AF93:AF94 L93:P94 AG8 AG93">
    <cfRule type="expression" dxfId="4833" priority="166" stopIfTrue="1">
      <formula>IF($AK9&gt;0,0,1)</formula>
    </cfRule>
  </conditionalFormatting>
  <conditionalFormatting sqref="R10:AB11 AF10:AF11 L10:P11 R95:AB96 AF95:AF96 L95:P96 AG10 AG95">
    <cfRule type="expression" dxfId="4832" priority="167" stopIfTrue="1">
      <formula>IF($AK9&gt;1,0,1)</formula>
    </cfRule>
  </conditionalFormatting>
  <conditionalFormatting sqref="R12:AB13 AF12:AF13 L12:P13 R97:AB98 AF97:AF98 L97:P98 AG12 AG97">
    <cfRule type="expression" dxfId="4831" priority="168" stopIfTrue="1">
      <formula>IF($AK9&gt;2,0,1)</formula>
    </cfRule>
  </conditionalFormatting>
  <conditionalFormatting sqref="E24 E109">
    <cfRule type="expression" dxfId="4830" priority="169" stopIfTrue="1">
      <formula>IF(AK8&gt;1,0,1)</formula>
    </cfRule>
  </conditionalFormatting>
  <conditionalFormatting sqref="H24 H109">
    <cfRule type="expression" dxfId="4829" priority="170" stopIfTrue="1">
      <formula>IF(AK8&gt;2,0,1)</formula>
    </cfRule>
  </conditionalFormatting>
  <conditionalFormatting sqref="K24 K109">
    <cfRule type="expression" dxfId="4828" priority="171" stopIfTrue="1">
      <formula>IF(AK8&gt;3,0,1)</formula>
    </cfRule>
  </conditionalFormatting>
  <conditionalFormatting sqref="N24 N109">
    <cfRule type="expression" dxfId="4827" priority="172" stopIfTrue="1">
      <formula>IF(AK8&gt;4,0,1)</formula>
    </cfRule>
  </conditionalFormatting>
  <conditionalFormatting sqref="Q24 Q109">
    <cfRule type="expression" dxfId="4826" priority="173" stopIfTrue="1">
      <formula>IF(AK8&gt;5,0,1)</formula>
    </cfRule>
  </conditionalFormatting>
  <conditionalFormatting sqref="T24 T109">
    <cfRule type="expression" dxfId="4825" priority="174" stopIfTrue="1">
      <formula>IF(AK8&gt;6,0,1)</formula>
    </cfRule>
  </conditionalFormatting>
  <conditionalFormatting sqref="W24 W109">
    <cfRule type="expression" dxfId="4824" priority="175" stopIfTrue="1">
      <formula>IF(AK8&gt;7,0,1)</formula>
    </cfRule>
  </conditionalFormatting>
  <conditionalFormatting sqref="Z24 Z109">
    <cfRule type="expression" dxfId="4823" priority="176" stopIfTrue="1">
      <formula>IF(AK8&gt;8,0,1)</formula>
    </cfRule>
  </conditionalFormatting>
  <conditionalFormatting sqref="AC24 AC109">
    <cfRule type="expression" dxfId="4822" priority="177" stopIfTrue="1">
      <formula>IF(AK8&gt;9,0,1)</formula>
    </cfRule>
  </conditionalFormatting>
  <conditionalFormatting sqref="AQ27 AQ112">
    <cfRule type="expression" dxfId="4821" priority="178" stopIfTrue="1">
      <formula>IF($AK9&gt;3,0,1)</formula>
    </cfRule>
  </conditionalFormatting>
  <conditionalFormatting sqref="E25:G25 E110:G110">
    <cfRule type="expression" dxfId="4820" priority="179" stopIfTrue="1">
      <formula>IF($AK8&gt;1,0,1)</formula>
    </cfRule>
  </conditionalFormatting>
  <conditionalFormatting sqref="B21:D21 B106:D106">
    <cfRule type="expression" dxfId="4819" priority="180" stopIfTrue="1">
      <formula>IF(AK8&gt;0,0,1)</formula>
    </cfRule>
  </conditionalFormatting>
  <conditionalFormatting sqref="E21:G21 E106:G106">
    <cfRule type="expression" dxfId="4818" priority="181" stopIfTrue="1">
      <formula>IF(AK8&gt;1,0,1)</formula>
    </cfRule>
  </conditionalFormatting>
  <conditionalFormatting sqref="H21:J21 H106:J106">
    <cfRule type="expression" dxfId="4817" priority="182" stopIfTrue="1">
      <formula>IF(AK8&gt;2,0,1)</formula>
    </cfRule>
  </conditionalFormatting>
  <conditionalFormatting sqref="K21:M21 K106:M106">
    <cfRule type="expression" dxfId="4816" priority="183" stopIfTrue="1">
      <formula>IF(AK8&gt;3,0,1)</formula>
    </cfRule>
  </conditionalFormatting>
  <conditionalFormatting sqref="N21:P21 N106:P106">
    <cfRule type="expression" dxfId="4815" priority="184" stopIfTrue="1">
      <formula>IF(AK8&gt;4,0,1)</formula>
    </cfRule>
  </conditionalFormatting>
  <conditionalFormatting sqref="Q21:S21 Q106:S106">
    <cfRule type="expression" dxfId="4814" priority="185" stopIfTrue="1">
      <formula>IF(AK8&gt;5,0,1)</formula>
    </cfRule>
  </conditionalFormatting>
  <conditionalFormatting sqref="T21:V21 T106:V106">
    <cfRule type="expression" dxfId="4813" priority="186" stopIfTrue="1">
      <formula>IF(AK8&gt;6,0,1)</formula>
    </cfRule>
  </conditionalFormatting>
  <conditionalFormatting sqref="W21:Y21 W106:Y106">
    <cfRule type="expression" dxfId="4812" priority="187" stopIfTrue="1">
      <formula>IF(AK8&gt;7,0,1)</formula>
    </cfRule>
  </conditionalFormatting>
  <conditionalFormatting sqref="Z21:AB21 Z106:AB106">
    <cfRule type="expression" dxfId="4811" priority="188" stopIfTrue="1">
      <formula>IF(AK8&gt;8,0,1)</formula>
    </cfRule>
  </conditionalFormatting>
  <conditionalFormatting sqref="AC21:AE21 AC106:AE106">
    <cfRule type="expression" dxfId="4810" priority="189" stopIfTrue="1">
      <formula>IF(AK8&gt;9,0,1)</formula>
    </cfRule>
  </conditionalFormatting>
  <conditionalFormatting sqref="X224:X225 W215:W216 X215:Y215 W218:Y223 Z219:AE222 AA223:AA225 F223:F225 B215:B216 C215:D215 B218:D223 C224:C225 I223:I225 E219:J222 AD223:AD225">
    <cfRule type="expression" dxfId="4809" priority="190" stopIfTrue="1">
      <formula>IF(#REF!&gt;0,0,1)</formula>
    </cfRule>
  </conditionalFormatting>
  <conditionalFormatting sqref="AA215:AB215 AB223 AA218:AB218 Z223 Z215:Z218 G223 F218:G218 E223 E215:E218 F215:G215">
    <cfRule type="expression" dxfId="4808" priority="191" stopIfTrue="1">
      <formula>IF(#REF!&gt;1,0,1)</formula>
    </cfRule>
  </conditionalFormatting>
  <conditionalFormatting sqref="AC215:AC218 AD215:AE215 AE223 AD218:AE218 AC223 H223 H215:H218 I215:J215 I218:J218 J223">
    <cfRule type="expression" dxfId="4807" priority="192" stopIfTrue="1">
      <formula>IF(#REF!&gt;2,0,1)</formula>
    </cfRule>
  </conditionalFormatting>
  <conditionalFormatting sqref="W224 Y224 B224 D224">
    <cfRule type="expression" dxfId="4806" priority="193" stopIfTrue="1">
      <formula>IF(#REF!&lt;1,1,IF(#REF!&lt;2,1,0))</formula>
    </cfRule>
  </conditionalFormatting>
  <conditionalFormatting sqref="Z224 AB224 E224 G224">
    <cfRule type="expression" dxfId="4805" priority="194" stopIfTrue="1">
      <formula>IF(#REF!&lt;2,1,IF(#REF!&lt;2,1,0))</formula>
    </cfRule>
  </conditionalFormatting>
  <conditionalFormatting sqref="AC224 AE224 H224 J224">
    <cfRule type="expression" dxfId="4804" priority="195" stopIfTrue="1">
      <formula>IF(#REF!&lt;3,1,IF(#REF!&lt;2,1,0))</formula>
    </cfRule>
  </conditionalFormatting>
  <conditionalFormatting sqref="Y225 B225 D225 W225">
    <cfRule type="expression" dxfId="4803" priority="196" stopIfTrue="1">
      <formula>IF(#REF!&lt;1,1,IF(#REF!&lt;3,1,0))</formula>
    </cfRule>
  </conditionalFormatting>
  <conditionalFormatting sqref="AB225 E225 G225 Z225">
    <cfRule type="expression" dxfId="4802" priority="197" stopIfTrue="1">
      <formula>IF(#REF!&lt;2,1,IF(#REF!&lt;3,1,0))</formula>
    </cfRule>
  </conditionalFormatting>
  <conditionalFormatting sqref="AE225 H225 J225 AC225">
    <cfRule type="expression" dxfId="4801" priority="198" stopIfTrue="1">
      <formula>IF(#REF!&lt;3,1,IF(#REF!&lt;3,1,0))</formula>
    </cfRule>
  </conditionalFormatting>
  <conditionalFormatting sqref="AG24:AP28 AG109:AP113">
    <cfRule type="cellIs" dxfId="4800" priority="199" stopIfTrue="1" operator="notBetween">
      <formula>-9999</formula>
      <formula>9999</formula>
    </cfRule>
  </conditionalFormatting>
  <conditionalFormatting sqref="AC7 AC92">
    <cfRule type="expression" dxfId="4799" priority="200" stopIfTrue="1">
      <formula>IF($AK$11=0,1,0)</formula>
    </cfRule>
  </conditionalFormatting>
  <conditionalFormatting sqref="B18 B103">
    <cfRule type="expression" dxfId="4798" priority="201" stopIfTrue="1">
      <formula>IF($AK$9&gt;0,0,1)</formula>
    </cfRule>
  </conditionalFormatting>
  <conditionalFormatting sqref="B22:D23 B107:D108">
    <cfRule type="cellIs" dxfId="4797" priority="202" stopIfTrue="1" operator="equal">
      <formula>99</formula>
    </cfRule>
  </conditionalFormatting>
  <conditionalFormatting sqref="X226 AA226 C226 F226">
    <cfRule type="expression" dxfId="4796" priority="203" stopIfTrue="1">
      <formula>IF(#REF!&gt;0,0,1)</formula>
    </cfRule>
  </conditionalFormatting>
  <conditionalFormatting sqref="K215">
    <cfRule type="expression" dxfId="4795" priority="3" stopIfTrue="1">
      <formula>IF(#REF!&gt;2,0,1)</formula>
    </cfRule>
  </conditionalFormatting>
  <conditionalFormatting sqref="K215">
    <cfRule type="expression" dxfId="4794" priority="2" stopIfTrue="1">
      <formula>IF(ISNUMBER(K223),0,1)</formula>
    </cfRule>
  </conditionalFormatting>
  <conditionalFormatting sqref="AF215">
    <cfRule type="expression" dxfId="4793" priority="1" stopIfTrue="1">
      <formula>IF(ISNUMBER(AF223),0,1)</formula>
    </cfRule>
  </conditionalFormatting>
  <pageMargins left="0.25" right="0.25" top="0.25" bottom="0.25" header="0" footer="0"/>
  <pageSetup scale="78" fitToHeight="4" orientation="landscape" r:id="rId1"/>
  <headerFooter alignWithMargins="0"/>
  <rowBreaks count="2" manualBreakCount="2">
    <brk id="90" max="43" man="1"/>
    <brk id="181" max="42" man="1"/>
  </rowBreaks>
  <drawing r:id="rId2"/>
  <legacyDrawing r:id="rId3"/>
  <controls>
    <mc:AlternateContent xmlns:mc="http://schemas.openxmlformats.org/markup-compatibility/2006">
      <mc:Choice Requires="x14">
        <control shapeId="1025" r:id="rId4" name="Pool1RecalcFinish">
          <controlPr defaultSize="0" autoLine="0" r:id="rId5">
            <anchor moveWithCells="1" sizeWithCells="1">
              <from>
                <xdr:col>36</xdr:col>
                <xdr:colOff>104775</xdr:colOff>
                <xdr:row>13</xdr:row>
                <xdr:rowOff>9525</xdr:rowOff>
              </from>
              <to>
                <xdr:col>41</xdr:col>
                <xdr:colOff>228600</xdr:colOff>
                <xdr:row>16</xdr:row>
                <xdr:rowOff>104775</xdr:rowOff>
              </to>
            </anchor>
          </controlPr>
        </control>
      </mc:Choice>
      <mc:Fallback>
        <control shapeId="1025" r:id="rId4" name="Pool1RecalcFinish"/>
      </mc:Fallback>
    </mc:AlternateContent>
    <mc:AlternateContent xmlns:mc="http://schemas.openxmlformats.org/markup-compatibility/2006">
      <mc:Choice Requires="x14">
        <control shapeId="1026" r:id="rId6" name="Pool2RecalcFinish">
          <controlPr defaultSize="0" autoLine="0" r:id="rId7">
            <anchor moveWithCells="1" sizeWithCells="1">
              <from>
                <xdr:col>36</xdr:col>
                <xdr:colOff>104775</xdr:colOff>
                <xdr:row>98</xdr:row>
                <xdr:rowOff>9525</xdr:rowOff>
              </from>
              <to>
                <xdr:col>41</xdr:col>
                <xdr:colOff>228600</xdr:colOff>
                <xdr:row>101</xdr:row>
                <xdr:rowOff>104775</xdr:rowOff>
              </to>
            </anchor>
          </controlPr>
        </control>
      </mc:Choice>
      <mc:Fallback>
        <control shapeId="1026" r:id="rId6" name="Pool2RecalcFinish"/>
      </mc:Fallback>
    </mc:AlternateContent>
  </control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6">
    <tabColor indexed="11"/>
  </sheetPr>
  <dimension ref="A1:BD658"/>
  <sheetViews>
    <sheetView topLeftCell="A19" zoomScale="70" zoomScaleNormal="70" workbookViewId="0">
      <selection activeCell="AU26" sqref="AU26:AV26"/>
    </sheetView>
  </sheetViews>
  <sheetFormatPr defaultColWidth="8.85546875" defaultRowHeight="12.75" x14ac:dyDescent="0.2"/>
  <cols>
    <col min="1" max="1" width="8.85546875" style="4"/>
    <col min="2" max="2" width="3.7109375" style="4" customWidth="1"/>
    <col min="3" max="3" width="2.28515625" style="4" customWidth="1"/>
    <col min="4" max="5" width="3.7109375" style="4" customWidth="1"/>
    <col min="6" max="6" width="2.28515625" style="4" customWidth="1"/>
    <col min="7" max="8" width="3.7109375" style="4" customWidth="1"/>
    <col min="9" max="9" width="2.28515625" style="4" customWidth="1"/>
    <col min="10" max="11" width="3.7109375" style="4" customWidth="1"/>
    <col min="12" max="12" width="2.28515625" style="4" customWidth="1"/>
    <col min="13" max="14" width="3.7109375" style="4" customWidth="1"/>
    <col min="15" max="15" width="2.28515625" style="4" customWidth="1"/>
    <col min="16" max="17" width="3.7109375" style="4" customWidth="1"/>
    <col min="18" max="18" width="2.28515625" style="4" customWidth="1"/>
    <col min="19" max="20" width="3.7109375" style="4" customWidth="1"/>
    <col min="21" max="21" width="2.28515625" style="4" customWidth="1"/>
    <col min="22" max="23" width="3.7109375" style="4" customWidth="1"/>
    <col min="24" max="24" width="2.28515625" style="4" customWidth="1"/>
    <col min="25" max="26" width="3.7109375" style="4" customWidth="1"/>
    <col min="27" max="27" width="2.28515625" style="4" customWidth="1"/>
    <col min="28" max="29" width="3.7109375" style="4" customWidth="1"/>
    <col min="30" max="30" width="2.28515625" style="4" customWidth="1"/>
    <col min="31" max="31" width="3.7109375" style="4" customWidth="1"/>
    <col min="32" max="32" width="9.7109375" style="4" customWidth="1"/>
    <col min="33" max="42" width="3.7109375" style="4" customWidth="1"/>
    <col min="43" max="43" width="11" style="4" customWidth="1"/>
    <col min="44" max="46" width="8.85546875" style="4"/>
    <col min="47" max="47" width="21" style="4" customWidth="1"/>
    <col min="48" max="48" width="24.42578125" style="4" customWidth="1"/>
    <col min="49" max="49" width="15.28515625" style="156" customWidth="1"/>
    <col min="50" max="50" width="10.5703125" style="4" customWidth="1"/>
    <col min="51" max="51" width="11.28515625" style="4" customWidth="1"/>
    <col min="52" max="52" width="25" style="4" customWidth="1"/>
    <col min="53" max="53" width="6" style="4" customWidth="1"/>
    <col min="54" max="257" width="8.85546875" style="4"/>
    <col min="258" max="258" width="3.7109375" style="4" customWidth="1"/>
    <col min="259" max="259" width="2.28515625" style="4" customWidth="1"/>
    <col min="260" max="261" width="3.7109375" style="4" customWidth="1"/>
    <col min="262" max="262" width="2.28515625" style="4" customWidth="1"/>
    <col min="263" max="264" width="3.7109375" style="4" customWidth="1"/>
    <col min="265" max="265" width="2.28515625" style="4" customWidth="1"/>
    <col min="266" max="267" width="3.7109375" style="4" customWidth="1"/>
    <col min="268" max="268" width="2.28515625" style="4" customWidth="1"/>
    <col min="269" max="270" width="3.7109375" style="4" customWidth="1"/>
    <col min="271" max="271" width="2.28515625" style="4" customWidth="1"/>
    <col min="272" max="273" width="3.7109375" style="4" customWidth="1"/>
    <col min="274" max="274" width="2.28515625" style="4" customWidth="1"/>
    <col min="275" max="276" width="3.7109375" style="4" customWidth="1"/>
    <col min="277" max="277" width="2.28515625" style="4" customWidth="1"/>
    <col min="278" max="279" width="3.7109375" style="4" customWidth="1"/>
    <col min="280" max="280" width="2.28515625" style="4" customWidth="1"/>
    <col min="281" max="282" width="3.7109375" style="4" customWidth="1"/>
    <col min="283" max="283" width="2.28515625" style="4" customWidth="1"/>
    <col min="284" max="285" width="3.7109375" style="4" customWidth="1"/>
    <col min="286" max="286" width="2.28515625" style="4" customWidth="1"/>
    <col min="287" max="287" width="3.7109375" style="4" customWidth="1"/>
    <col min="288" max="288" width="9.7109375" style="4" customWidth="1"/>
    <col min="289" max="298" width="3.7109375" style="4" customWidth="1"/>
    <col min="299" max="299" width="11" style="4" customWidth="1"/>
    <col min="300" max="302" width="8.85546875" style="4"/>
    <col min="303" max="303" width="21" style="4" customWidth="1"/>
    <col min="304" max="304" width="24.42578125" style="4" customWidth="1"/>
    <col min="305" max="305" width="15.28515625" style="4" customWidth="1"/>
    <col min="306" max="306" width="10.5703125" style="4" customWidth="1"/>
    <col min="307" max="307" width="11.28515625" style="4" customWidth="1"/>
    <col min="308" max="308" width="25" style="4" customWidth="1"/>
    <col min="309" max="309" width="6" style="4" customWidth="1"/>
    <col min="310" max="513" width="8.85546875" style="4"/>
    <col min="514" max="514" width="3.7109375" style="4" customWidth="1"/>
    <col min="515" max="515" width="2.28515625" style="4" customWidth="1"/>
    <col min="516" max="517" width="3.7109375" style="4" customWidth="1"/>
    <col min="518" max="518" width="2.28515625" style="4" customWidth="1"/>
    <col min="519" max="520" width="3.7109375" style="4" customWidth="1"/>
    <col min="521" max="521" width="2.28515625" style="4" customWidth="1"/>
    <col min="522" max="523" width="3.7109375" style="4" customWidth="1"/>
    <col min="524" max="524" width="2.28515625" style="4" customWidth="1"/>
    <col min="525" max="526" width="3.7109375" style="4" customWidth="1"/>
    <col min="527" max="527" width="2.28515625" style="4" customWidth="1"/>
    <col min="528" max="529" width="3.7109375" style="4" customWidth="1"/>
    <col min="530" max="530" width="2.28515625" style="4" customWidth="1"/>
    <col min="531" max="532" width="3.7109375" style="4" customWidth="1"/>
    <col min="533" max="533" width="2.28515625" style="4" customWidth="1"/>
    <col min="534" max="535" width="3.7109375" style="4" customWidth="1"/>
    <col min="536" max="536" width="2.28515625" style="4" customWidth="1"/>
    <col min="537" max="538" width="3.7109375" style="4" customWidth="1"/>
    <col min="539" max="539" width="2.28515625" style="4" customWidth="1"/>
    <col min="540" max="541" width="3.7109375" style="4" customWidth="1"/>
    <col min="542" max="542" width="2.28515625" style="4" customWidth="1"/>
    <col min="543" max="543" width="3.7109375" style="4" customWidth="1"/>
    <col min="544" max="544" width="9.7109375" style="4" customWidth="1"/>
    <col min="545" max="554" width="3.7109375" style="4" customWidth="1"/>
    <col min="555" max="555" width="11" style="4" customWidth="1"/>
    <col min="556" max="558" width="8.85546875" style="4"/>
    <col min="559" max="559" width="21" style="4" customWidth="1"/>
    <col min="560" max="560" width="24.42578125" style="4" customWidth="1"/>
    <col min="561" max="561" width="15.28515625" style="4" customWidth="1"/>
    <col min="562" max="562" width="10.5703125" style="4" customWidth="1"/>
    <col min="563" max="563" width="11.28515625" style="4" customWidth="1"/>
    <col min="564" max="564" width="25" style="4" customWidth="1"/>
    <col min="565" max="565" width="6" style="4" customWidth="1"/>
    <col min="566" max="769" width="8.85546875" style="4"/>
    <col min="770" max="770" width="3.7109375" style="4" customWidth="1"/>
    <col min="771" max="771" width="2.28515625" style="4" customWidth="1"/>
    <col min="772" max="773" width="3.7109375" style="4" customWidth="1"/>
    <col min="774" max="774" width="2.28515625" style="4" customWidth="1"/>
    <col min="775" max="776" width="3.7109375" style="4" customWidth="1"/>
    <col min="777" max="777" width="2.28515625" style="4" customWidth="1"/>
    <col min="778" max="779" width="3.7109375" style="4" customWidth="1"/>
    <col min="780" max="780" width="2.28515625" style="4" customWidth="1"/>
    <col min="781" max="782" width="3.7109375" style="4" customWidth="1"/>
    <col min="783" max="783" width="2.28515625" style="4" customWidth="1"/>
    <col min="784" max="785" width="3.7109375" style="4" customWidth="1"/>
    <col min="786" max="786" width="2.28515625" style="4" customWidth="1"/>
    <col min="787" max="788" width="3.7109375" style="4" customWidth="1"/>
    <col min="789" max="789" width="2.28515625" style="4" customWidth="1"/>
    <col min="790" max="791" width="3.7109375" style="4" customWidth="1"/>
    <col min="792" max="792" width="2.28515625" style="4" customWidth="1"/>
    <col min="793" max="794" width="3.7109375" style="4" customWidth="1"/>
    <col min="795" max="795" width="2.28515625" style="4" customWidth="1"/>
    <col min="796" max="797" width="3.7109375" style="4" customWidth="1"/>
    <col min="798" max="798" width="2.28515625" style="4" customWidth="1"/>
    <col min="799" max="799" width="3.7109375" style="4" customWidth="1"/>
    <col min="800" max="800" width="9.7109375" style="4" customWidth="1"/>
    <col min="801" max="810" width="3.7109375" style="4" customWidth="1"/>
    <col min="811" max="811" width="11" style="4" customWidth="1"/>
    <col min="812" max="814" width="8.85546875" style="4"/>
    <col min="815" max="815" width="21" style="4" customWidth="1"/>
    <col min="816" max="816" width="24.42578125" style="4" customWidth="1"/>
    <col min="817" max="817" width="15.28515625" style="4" customWidth="1"/>
    <col min="818" max="818" width="10.5703125" style="4" customWidth="1"/>
    <col min="819" max="819" width="11.28515625" style="4" customWidth="1"/>
    <col min="820" max="820" width="25" style="4" customWidth="1"/>
    <col min="821" max="821" width="6" style="4" customWidth="1"/>
    <col min="822" max="1025" width="8.85546875" style="4"/>
    <col min="1026" max="1026" width="3.7109375" style="4" customWidth="1"/>
    <col min="1027" max="1027" width="2.28515625" style="4" customWidth="1"/>
    <col min="1028" max="1029" width="3.7109375" style="4" customWidth="1"/>
    <col min="1030" max="1030" width="2.28515625" style="4" customWidth="1"/>
    <col min="1031" max="1032" width="3.7109375" style="4" customWidth="1"/>
    <col min="1033" max="1033" width="2.28515625" style="4" customWidth="1"/>
    <col min="1034" max="1035" width="3.7109375" style="4" customWidth="1"/>
    <col min="1036" max="1036" width="2.28515625" style="4" customWidth="1"/>
    <col min="1037" max="1038" width="3.7109375" style="4" customWidth="1"/>
    <col min="1039" max="1039" width="2.28515625" style="4" customWidth="1"/>
    <col min="1040" max="1041" width="3.7109375" style="4" customWidth="1"/>
    <col min="1042" max="1042" width="2.28515625" style="4" customWidth="1"/>
    <col min="1043" max="1044" width="3.7109375" style="4" customWidth="1"/>
    <col min="1045" max="1045" width="2.28515625" style="4" customWidth="1"/>
    <col min="1046" max="1047" width="3.7109375" style="4" customWidth="1"/>
    <col min="1048" max="1048" width="2.28515625" style="4" customWidth="1"/>
    <col min="1049" max="1050" width="3.7109375" style="4" customWidth="1"/>
    <col min="1051" max="1051" width="2.28515625" style="4" customWidth="1"/>
    <col min="1052" max="1053" width="3.7109375" style="4" customWidth="1"/>
    <col min="1054" max="1054" width="2.28515625" style="4" customWidth="1"/>
    <col min="1055" max="1055" width="3.7109375" style="4" customWidth="1"/>
    <col min="1056" max="1056" width="9.7109375" style="4" customWidth="1"/>
    <col min="1057" max="1066" width="3.7109375" style="4" customWidth="1"/>
    <col min="1067" max="1067" width="11" style="4" customWidth="1"/>
    <col min="1068" max="1070" width="8.85546875" style="4"/>
    <col min="1071" max="1071" width="21" style="4" customWidth="1"/>
    <col min="1072" max="1072" width="24.42578125" style="4" customWidth="1"/>
    <col min="1073" max="1073" width="15.28515625" style="4" customWidth="1"/>
    <col min="1074" max="1074" width="10.5703125" style="4" customWidth="1"/>
    <col min="1075" max="1075" width="11.28515625" style="4" customWidth="1"/>
    <col min="1076" max="1076" width="25" style="4" customWidth="1"/>
    <col min="1077" max="1077" width="6" style="4" customWidth="1"/>
    <col min="1078" max="1281" width="8.85546875" style="4"/>
    <col min="1282" max="1282" width="3.7109375" style="4" customWidth="1"/>
    <col min="1283" max="1283" width="2.28515625" style="4" customWidth="1"/>
    <col min="1284" max="1285" width="3.7109375" style="4" customWidth="1"/>
    <col min="1286" max="1286" width="2.28515625" style="4" customWidth="1"/>
    <col min="1287" max="1288" width="3.7109375" style="4" customWidth="1"/>
    <col min="1289" max="1289" width="2.28515625" style="4" customWidth="1"/>
    <col min="1290" max="1291" width="3.7109375" style="4" customWidth="1"/>
    <col min="1292" max="1292" width="2.28515625" style="4" customWidth="1"/>
    <col min="1293" max="1294" width="3.7109375" style="4" customWidth="1"/>
    <col min="1295" max="1295" width="2.28515625" style="4" customWidth="1"/>
    <col min="1296" max="1297" width="3.7109375" style="4" customWidth="1"/>
    <col min="1298" max="1298" width="2.28515625" style="4" customWidth="1"/>
    <col min="1299" max="1300" width="3.7109375" style="4" customWidth="1"/>
    <col min="1301" max="1301" width="2.28515625" style="4" customWidth="1"/>
    <col min="1302" max="1303" width="3.7109375" style="4" customWidth="1"/>
    <col min="1304" max="1304" width="2.28515625" style="4" customWidth="1"/>
    <col min="1305" max="1306" width="3.7109375" style="4" customWidth="1"/>
    <col min="1307" max="1307" width="2.28515625" style="4" customWidth="1"/>
    <col min="1308" max="1309" width="3.7109375" style="4" customWidth="1"/>
    <col min="1310" max="1310" width="2.28515625" style="4" customWidth="1"/>
    <col min="1311" max="1311" width="3.7109375" style="4" customWidth="1"/>
    <col min="1312" max="1312" width="9.7109375" style="4" customWidth="1"/>
    <col min="1313" max="1322" width="3.7109375" style="4" customWidth="1"/>
    <col min="1323" max="1323" width="11" style="4" customWidth="1"/>
    <col min="1324" max="1326" width="8.85546875" style="4"/>
    <col min="1327" max="1327" width="21" style="4" customWidth="1"/>
    <col min="1328" max="1328" width="24.42578125" style="4" customWidth="1"/>
    <col min="1329" max="1329" width="15.28515625" style="4" customWidth="1"/>
    <col min="1330" max="1330" width="10.5703125" style="4" customWidth="1"/>
    <col min="1331" max="1331" width="11.28515625" style="4" customWidth="1"/>
    <col min="1332" max="1332" width="25" style="4" customWidth="1"/>
    <col min="1333" max="1333" width="6" style="4" customWidth="1"/>
    <col min="1334" max="1537" width="8.85546875" style="4"/>
    <col min="1538" max="1538" width="3.7109375" style="4" customWidth="1"/>
    <col min="1539" max="1539" width="2.28515625" style="4" customWidth="1"/>
    <col min="1540" max="1541" width="3.7109375" style="4" customWidth="1"/>
    <col min="1542" max="1542" width="2.28515625" style="4" customWidth="1"/>
    <col min="1543" max="1544" width="3.7109375" style="4" customWidth="1"/>
    <col min="1545" max="1545" width="2.28515625" style="4" customWidth="1"/>
    <col min="1546" max="1547" width="3.7109375" style="4" customWidth="1"/>
    <col min="1548" max="1548" width="2.28515625" style="4" customWidth="1"/>
    <col min="1549" max="1550" width="3.7109375" style="4" customWidth="1"/>
    <col min="1551" max="1551" width="2.28515625" style="4" customWidth="1"/>
    <col min="1552" max="1553" width="3.7109375" style="4" customWidth="1"/>
    <col min="1554" max="1554" width="2.28515625" style="4" customWidth="1"/>
    <col min="1555" max="1556" width="3.7109375" style="4" customWidth="1"/>
    <col min="1557" max="1557" width="2.28515625" style="4" customWidth="1"/>
    <col min="1558" max="1559" width="3.7109375" style="4" customWidth="1"/>
    <col min="1560" max="1560" width="2.28515625" style="4" customWidth="1"/>
    <col min="1561" max="1562" width="3.7109375" style="4" customWidth="1"/>
    <col min="1563" max="1563" width="2.28515625" style="4" customWidth="1"/>
    <col min="1564" max="1565" width="3.7109375" style="4" customWidth="1"/>
    <col min="1566" max="1566" width="2.28515625" style="4" customWidth="1"/>
    <col min="1567" max="1567" width="3.7109375" style="4" customWidth="1"/>
    <col min="1568" max="1568" width="9.7109375" style="4" customWidth="1"/>
    <col min="1569" max="1578" width="3.7109375" style="4" customWidth="1"/>
    <col min="1579" max="1579" width="11" style="4" customWidth="1"/>
    <col min="1580" max="1582" width="8.85546875" style="4"/>
    <col min="1583" max="1583" width="21" style="4" customWidth="1"/>
    <col min="1584" max="1584" width="24.42578125" style="4" customWidth="1"/>
    <col min="1585" max="1585" width="15.28515625" style="4" customWidth="1"/>
    <col min="1586" max="1586" width="10.5703125" style="4" customWidth="1"/>
    <col min="1587" max="1587" width="11.28515625" style="4" customWidth="1"/>
    <col min="1588" max="1588" width="25" style="4" customWidth="1"/>
    <col min="1589" max="1589" width="6" style="4" customWidth="1"/>
    <col min="1590" max="1793" width="8.85546875" style="4"/>
    <col min="1794" max="1794" width="3.7109375" style="4" customWidth="1"/>
    <col min="1795" max="1795" width="2.28515625" style="4" customWidth="1"/>
    <col min="1796" max="1797" width="3.7109375" style="4" customWidth="1"/>
    <col min="1798" max="1798" width="2.28515625" style="4" customWidth="1"/>
    <col min="1799" max="1800" width="3.7109375" style="4" customWidth="1"/>
    <col min="1801" max="1801" width="2.28515625" style="4" customWidth="1"/>
    <col min="1802" max="1803" width="3.7109375" style="4" customWidth="1"/>
    <col min="1804" max="1804" width="2.28515625" style="4" customWidth="1"/>
    <col min="1805" max="1806" width="3.7109375" style="4" customWidth="1"/>
    <col min="1807" max="1807" width="2.28515625" style="4" customWidth="1"/>
    <col min="1808" max="1809" width="3.7109375" style="4" customWidth="1"/>
    <col min="1810" max="1810" width="2.28515625" style="4" customWidth="1"/>
    <col min="1811" max="1812" width="3.7109375" style="4" customWidth="1"/>
    <col min="1813" max="1813" width="2.28515625" style="4" customWidth="1"/>
    <col min="1814" max="1815" width="3.7109375" style="4" customWidth="1"/>
    <col min="1816" max="1816" width="2.28515625" style="4" customWidth="1"/>
    <col min="1817" max="1818" width="3.7109375" style="4" customWidth="1"/>
    <col min="1819" max="1819" width="2.28515625" style="4" customWidth="1"/>
    <col min="1820" max="1821" width="3.7109375" style="4" customWidth="1"/>
    <col min="1822" max="1822" width="2.28515625" style="4" customWidth="1"/>
    <col min="1823" max="1823" width="3.7109375" style="4" customWidth="1"/>
    <col min="1824" max="1824" width="9.7109375" style="4" customWidth="1"/>
    <col min="1825" max="1834" width="3.7109375" style="4" customWidth="1"/>
    <col min="1835" max="1835" width="11" style="4" customWidth="1"/>
    <col min="1836" max="1838" width="8.85546875" style="4"/>
    <col min="1839" max="1839" width="21" style="4" customWidth="1"/>
    <col min="1840" max="1840" width="24.42578125" style="4" customWidth="1"/>
    <col min="1841" max="1841" width="15.28515625" style="4" customWidth="1"/>
    <col min="1842" max="1842" width="10.5703125" style="4" customWidth="1"/>
    <col min="1843" max="1843" width="11.28515625" style="4" customWidth="1"/>
    <col min="1844" max="1844" width="25" style="4" customWidth="1"/>
    <col min="1845" max="1845" width="6" style="4" customWidth="1"/>
    <col min="1846" max="2049" width="8.85546875" style="4"/>
    <col min="2050" max="2050" width="3.7109375" style="4" customWidth="1"/>
    <col min="2051" max="2051" width="2.28515625" style="4" customWidth="1"/>
    <col min="2052" max="2053" width="3.7109375" style="4" customWidth="1"/>
    <col min="2054" max="2054" width="2.28515625" style="4" customWidth="1"/>
    <col min="2055" max="2056" width="3.7109375" style="4" customWidth="1"/>
    <col min="2057" max="2057" width="2.28515625" style="4" customWidth="1"/>
    <col min="2058" max="2059" width="3.7109375" style="4" customWidth="1"/>
    <col min="2060" max="2060" width="2.28515625" style="4" customWidth="1"/>
    <col min="2061" max="2062" width="3.7109375" style="4" customWidth="1"/>
    <col min="2063" max="2063" width="2.28515625" style="4" customWidth="1"/>
    <col min="2064" max="2065" width="3.7109375" style="4" customWidth="1"/>
    <col min="2066" max="2066" width="2.28515625" style="4" customWidth="1"/>
    <col min="2067" max="2068" width="3.7109375" style="4" customWidth="1"/>
    <col min="2069" max="2069" width="2.28515625" style="4" customWidth="1"/>
    <col min="2070" max="2071" width="3.7109375" style="4" customWidth="1"/>
    <col min="2072" max="2072" width="2.28515625" style="4" customWidth="1"/>
    <col min="2073" max="2074" width="3.7109375" style="4" customWidth="1"/>
    <col min="2075" max="2075" width="2.28515625" style="4" customWidth="1"/>
    <col min="2076" max="2077" width="3.7109375" style="4" customWidth="1"/>
    <col min="2078" max="2078" width="2.28515625" style="4" customWidth="1"/>
    <col min="2079" max="2079" width="3.7109375" style="4" customWidth="1"/>
    <col min="2080" max="2080" width="9.7109375" style="4" customWidth="1"/>
    <col min="2081" max="2090" width="3.7109375" style="4" customWidth="1"/>
    <col min="2091" max="2091" width="11" style="4" customWidth="1"/>
    <col min="2092" max="2094" width="8.85546875" style="4"/>
    <col min="2095" max="2095" width="21" style="4" customWidth="1"/>
    <col min="2096" max="2096" width="24.42578125" style="4" customWidth="1"/>
    <col min="2097" max="2097" width="15.28515625" style="4" customWidth="1"/>
    <col min="2098" max="2098" width="10.5703125" style="4" customWidth="1"/>
    <col min="2099" max="2099" width="11.28515625" style="4" customWidth="1"/>
    <col min="2100" max="2100" width="25" style="4" customWidth="1"/>
    <col min="2101" max="2101" width="6" style="4" customWidth="1"/>
    <col min="2102" max="2305" width="8.85546875" style="4"/>
    <col min="2306" max="2306" width="3.7109375" style="4" customWidth="1"/>
    <col min="2307" max="2307" width="2.28515625" style="4" customWidth="1"/>
    <col min="2308" max="2309" width="3.7109375" style="4" customWidth="1"/>
    <col min="2310" max="2310" width="2.28515625" style="4" customWidth="1"/>
    <col min="2311" max="2312" width="3.7109375" style="4" customWidth="1"/>
    <col min="2313" max="2313" width="2.28515625" style="4" customWidth="1"/>
    <col min="2314" max="2315" width="3.7109375" style="4" customWidth="1"/>
    <col min="2316" max="2316" width="2.28515625" style="4" customWidth="1"/>
    <col min="2317" max="2318" width="3.7109375" style="4" customWidth="1"/>
    <col min="2319" max="2319" width="2.28515625" style="4" customWidth="1"/>
    <col min="2320" max="2321" width="3.7109375" style="4" customWidth="1"/>
    <col min="2322" max="2322" width="2.28515625" style="4" customWidth="1"/>
    <col min="2323" max="2324" width="3.7109375" style="4" customWidth="1"/>
    <col min="2325" max="2325" width="2.28515625" style="4" customWidth="1"/>
    <col min="2326" max="2327" width="3.7109375" style="4" customWidth="1"/>
    <col min="2328" max="2328" width="2.28515625" style="4" customWidth="1"/>
    <col min="2329" max="2330" width="3.7109375" style="4" customWidth="1"/>
    <col min="2331" max="2331" width="2.28515625" style="4" customWidth="1"/>
    <col min="2332" max="2333" width="3.7109375" style="4" customWidth="1"/>
    <col min="2334" max="2334" width="2.28515625" style="4" customWidth="1"/>
    <col min="2335" max="2335" width="3.7109375" style="4" customWidth="1"/>
    <col min="2336" max="2336" width="9.7109375" style="4" customWidth="1"/>
    <col min="2337" max="2346" width="3.7109375" style="4" customWidth="1"/>
    <col min="2347" max="2347" width="11" style="4" customWidth="1"/>
    <col min="2348" max="2350" width="8.85546875" style="4"/>
    <col min="2351" max="2351" width="21" style="4" customWidth="1"/>
    <col min="2352" max="2352" width="24.42578125" style="4" customWidth="1"/>
    <col min="2353" max="2353" width="15.28515625" style="4" customWidth="1"/>
    <col min="2354" max="2354" width="10.5703125" style="4" customWidth="1"/>
    <col min="2355" max="2355" width="11.28515625" style="4" customWidth="1"/>
    <col min="2356" max="2356" width="25" style="4" customWidth="1"/>
    <col min="2357" max="2357" width="6" style="4" customWidth="1"/>
    <col min="2358" max="2561" width="8.85546875" style="4"/>
    <col min="2562" max="2562" width="3.7109375" style="4" customWidth="1"/>
    <col min="2563" max="2563" width="2.28515625" style="4" customWidth="1"/>
    <col min="2564" max="2565" width="3.7109375" style="4" customWidth="1"/>
    <col min="2566" max="2566" width="2.28515625" style="4" customWidth="1"/>
    <col min="2567" max="2568" width="3.7109375" style="4" customWidth="1"/>
    <col min="2569" max="2569" width="2.28515625" style="4" customWidth="1"/>
    <col min="2570" max="2571" width="3.7109375" style="4" customWidth="1"/>
    <col min="2572" max="2572" width="2.28515625" style="4" customWidth="1"/>
    <col min="2573" max="2574" width="3.7109375" style="4" customWidth="1"/>
    <col min="2575" max="2575" width="2.28515625" style="4" customWidth="1"/>
    <col min="2576" max="2577" width="3.7109375" style="4" customWidth="1"/>
    <col min="2578" max="2578" width="2.28515625" style="4" customWidth="1"/>
    <col min="2579" max="2580" width="3.7109375" style="4" customWidth="1"/>
    <col min="2581" max="2581" width="2.28515625" style="4" customWidth="1"/>
    <col min="2582" max="2583" width="3.7109375" style="4" customWidth="1"/>
    <col min="2584" max="2584" width="2.28515625" style="4" customWidth="1"/>
    <col min="2585" max="2586" width="3.7109375" style="4" customWidth="1"/>
    <col min="2587" max="2587" width="2.28515625" style="4" customWidth="1"/>
    <col min="2588" max="2589" width="3.7109375" style="4" customWidth="1"/>
    <col min="2590" max="2590" width="2.28515625" style="4" customWidth="1"/>
    <col min="2591" max="2591" width="3.7109375" style="4" customWidth="1"/>
    <col min="2592" max="2592" width="9.7109375" style="4" customWidth="1"/>
    <col min="2593" max="2602" width="3.7109375" style="4" customWidth="1"/>
    <col min="2603" max="2603" width="11" style="4" customWidth="1"/>
    <col min="2604" max="2606" width="8.85546875" style="4"/>
    <col min="2607" max="2607" width="21" style="4" customWidth="1"/>
    <col min="2608" max="2608" width="24.42578125" style="4" customWidth="1"/>
    <col min="2609" max="2609" width="15.28515625" style="4" customWidth="1"/>
    <col min="2610" max="2610" width="10.5703125" style="4" customWidth="1"/>
    <col min="2611" max="2611" width="11.28515625" style="4" customWidth="1"/>
    <col min="2612" max="2612" width="25" style="4" customWidth="1"/>
    <col min="2613" max="2613" width="6" style="4" customWidth="1"/>
    <col min="2614" max="2817" width="8.85546875" style="4"/>
    <col min="2818" max="2818" width="3.7109375" style="4" customWidth="1"/>
    <col min="2819" max="2819" width="2.28515625" style="4" customWidth="1"/>
    <col min="2820" max="2821" width="3.7109375" style="4" customWidth="1"/>
    <col min="2822" max="2822" width="2.28515625" style="4" customWidth="1"/>
    <col min="2823" max="2824" width="3.7109375" style="4" customWidth="1"/>
    <col min="2825" max="2825" width="2.28515625" style="4" customWidth="1"/>
    <col min="2826" max="2827" width="3.7109375" style="4" customWidth="1"/>
    <col min="2828" max="2828" width="2.28515625" style="4" customWidth="1"/>
    <col min="2829" max="2830" width="3.7109375" style="4" customWidth="1"/>
    <col min="2831" max="2831" width="2.28515625" style="4" customWidth="1"/>
    <col min="2832" max="2833" width="3.7109375" style="4" customWidth="1"/>
    <col min="2834" max="2834" width="2.28515625" style="4" customWidth="1"/>
    <col min="2835" max="2836" width="3.7109375" style="4" customWidth="1"/>
    <col min="2837" max="2837" width="2.28515625" style="4" customWidth="1"/>
    <col min="2838" max="2839" width="3.7109375" style="4" customWidth="1"/>
    <col min="2840" max="2840" width="2.28515625" style="4" customWidth="1"/>
    <col min="2841" max="2842" width="3.7109375" style="4" customWidth="1"/>
    <col min="2843" max="2843" width="2.28515625" style="4" customWidth="1"/>
    <col min="2844" max="2845" width="3.7109375" style="4" customWidth="1"/>
    <col min="2846" max="2846" width="2.28515625" style="4" customWidth="1"/>
    <col min="2847" max="2847" width="3.7109375" style="4" customWidth="1"/>
    <col min="2848" max="2848" width="9.7109375" style="4" customWidth="1"/>
    <col min="2849" max="2858" width="3.7109375" style="4" customWidth="1"/>
    <col min="2859" max="2859" width="11" style="4" customWidth="1"/>
    <col min="2860" max="2862" width="8.85546875" style="4"/>
    <col min="2863" max="2863" width="21" style="4" customWidth="1"/>
    <col min="2864" max="2864" width="24.42578125" style="4" customWidth="1"/>
    <col min="2865" max="2865" width="15.28515625" style="4" customWidth="1"/>
    <col min="2866" max="2866" width="10.5703125" style="4" customWidth="1"/>
    <col min="2867" max="2867" width="11.28515625" style="4" customWidth="1"/>
    <col min="2868" max="2868" width="25" style="4" customWidth="1"/>
    <col min="2869" max="2869" width="6" style="4" customWidth="1"/>
    <col min="2870" max="3073" width="8.85546875" style="4"/>
    <col min="3074" max="3074" width="3.7109375" style="4" customWidth="1"/>
    <col min="3075" max="3075" width="2.28515625" style="4" customWidth="1"/>
    <col min="3076" max="3077" width="3.7109375" style="4" customWidth="1"/>
    <col min="3078" max="3078" width="2.28515625" style="4" customWidth="1"/>
    <col min="3079" max="3080" width="3.7109375" style="4" customWidth="1"/>
    <col min="3081" max="3081" width="2.28515625" style="4" customWidth="1"/>
    <col min="3082" max="3083" width="3.7109375" style="4" customWidth="1"/>
    <col min="3084" max="3084" width="2.28515625" style="4" customWidth="1"/>
    <col min="3085" max="3086" width="3.7109375" style="4" customWidth="1"/>
    <col min="3087" max="3087" width="2.28515625" style="4" customWidth="1"/>
    <col min="3088" max="3089" width="3.7109375" style="4" customWidth="1"/>
    <col min="3090" max="3090" width="2.28515625" style="4" customWidth="1"/>
    <col min="3091" max="3092" width="3.7109375" style="4" customWidth="1"/>
    <col min="3093" max="3093" width="2.28515625" style="4" customWidth="1"/>
    <col min="3094" max="3095" width="3.7109375" style="4" customWidth="1"/>
    <col min="3096" max="3096" width="2.28515625" style="4" customWidth="1"/>
    <col min="3097" max="3098" width="3.7109375" style="4" customWidth="1"/>
    <col min="3099" max="3099" width="2.28515625" style="4" customWidth="1"/>
    <col min="3100" max="3101" width="3.7109375" style="4" customWidth="1"/>
    <col min="3102" max="3102" width="2.28515625" style="4" customWidth="1"/>
    <col min="3103" max="3103" width="3.7109375" style="4" customWidth="1"/>
    <col min="3104" max="3104" width="9.7109375" style="4" customWidth="1"/>
    <col min="3105" max="3114" width="3.7109375" style="4" customWidth="1"/>
    <col min="3115" max="3115" width="11" style="4" customWidth="1"/>
    <col min="3116" max="3118" width="8.85546875" style="4"/>
    <col min="3119" max="3119" width="21" style="4" customWidth="1"/>
    <col min="3120" max="3120" width="24.42578125" style="4" customWidth="1"/>
    <col min="3121" max="3121" width="15.28515625" style="4" customWidth="1"/>
    <col min="3122" max="3122" width="10.5703125" style="4" customWidth="1"/>
    <col min="3123" max="3123" width="11.28515625" style="4" customWidth="1"/>
    <col min="3124" max="3124" width="25" style="4" customWidth="1"/>
    <col min="3125" max="3125" width="6" style="4" customWidth="1"/>
    <col min="3126" max="3329" width="8.85546875" style="4"/>
    <col min="3330" max="3330" width="3.7109375" style="4" customWidth="1"/>
    <col min="3331" max="3331" width="2.28515625" style="4" customWidth="1"/>
    <col min="3332" max="3333" width="3.7109375" style="4" customWidth="1"/>
    <col min="3334" max="3334" width="2.28515625" style="4" customWidth="1"/>
    <col min="3335" max="3336" width="3.7109375" style="4" customWidth="1"/>
    <col min="3337" max="3337" width="2.28515625" style="4" customWidth="1"/>
    <col min="3338" max="3339" width="3.7109375" style="4" customWidth="1"/>
    <col min="3340" max="3340" width="2.28515625" style="4" customWidth="1"/>
    <col min="3341" max="3342" width="3.7109375" style="4" customWidth="1"/>
    <col min="3343" max="3343" width="2.28515625" style="4" customWidth="1"/>
    <col min="3344" max="3345" width="3.7109375" style="4" customWidth="1"/>
    <col min="3346" max="3346" width="2.28515625" style="4" customWidth="1"/>
    <col min="3347" max="3348" width="3.7109375" style="4" customWidth="1"/>
    <col min="3349" max="3349" width="2.28515625" style="4" customWidth="1"/>
    <col min="3350" max="3351" width="3.7109375" style="4" customWidth="1"/>
    <col min="3352" max="3352" width="2.28515625" style="4" customWidth="1"/>
    <col min="3353" max="3354" width="3.7109375" style="4" customWidth="1"/>
    <col min="3355" max="3355" width="2.28515625" style="4" customWidth="1"/>
    <col min="3356" max="3357" width="3.7109375" style="4" customWidth="1"/>
    <col min="3358" max="3358" width="2.28515625" style="4" customWidth="1"/>
    <col min="3359" max="3359" width="3.7109375" style="4" customWidth="1"/>
    <col min="3360" max="3360" width="9.7109375" style="4" customWidth="1"/>
    <col min="3361" max="3370" width="3.7109375" style="4" customWidth="1"/>
    <col min="3371" max="3371" width="11" style="4" customWidth="1"/>
    <col min="3372" max="3374" width="8.85546875" style="4"/>
    <col min="3375" max="3375" width="21" style="4" customWidth="1"/>
    <col min="3376" max="3376" width="24.42578125" style="4" customWidth="1"/>
    <col min="3377" max="3377" width="15.28515625" style="4" customWidth="1"/>
    <col min="3378" max="3378" width="10.5703125" style="4" customWidth="1"/>
    <col min="3379" max="3379" width="11.28515625" style="4" customWidth="1"/>
    <col min="3380" max="3380" width="25" style="4" customWidth="1"/>
    <col min="3381" max="3381" width="6" style="4" customWidth="1"/>
    <col min="3382" max="3585" width="8.85546875" style="4"/>
    <col min="3586" max="3586" width="3.7109375" style="4" customWidth="1"/>
    <col min="3587" max="3587" width="2.28515625" style="4" customWidth="1"/>
    <col min="3588" max="3589" width="3.7109375" style="4" customWidth="1"/>
    <col min="3590" max="3590" width="2.28515625" style="4" customWidth="1"/>
    <col min="3591" max="3592" width="3.7109375" style="4" customWidth="1"/>
    <col min="3593" max="3593" width="2.28515625" style="4" customWidth="1"/>
    <col min="3594" max="3595" width="3.7109375" style="4" customWidth="1"/>
    <col min="3596" max="3596" width="2.28515625" style="4" customWidth="1"/>
    <col min="3597" max="3598" width="3.7109375" style="4" customWidth="1"/>
    <col min="3599" max="3599" width="2.28515625" style="4" customWidth="1"/>
    <col min="3600" max="3601" width="3.7109375" style="4" customWidth="1"/>
    <col min="3602" max="3602" width="2.28515625" style="4" customWidth="1"/>
    <col min="3603" max="3604" width="3.7109375" style="4" customWidth="1"/>
    <col min="3605" max="3605" width="2.28515625" style="4" customWidth="1"/>
    <col min="3606" max="3607" width="3.7109375" style="4" customWidth="1"/>
    <col min="3608" max="3608" width="2.28515625" style="4" customWidth="1"/>
    <col min="3609" max="3610" width="3.7109375" style="4" customWidth="1"/>
    <col min="3611" max="3611" width="2.28515625" style="4" customWidth="1"/>
    <col min="3612" max="3613" width="3.7109375" style="4" customWidth="1"/>
    <col min="3614" max="3614" width="2.28515625" style="4" customWidth="1"/>
    <col min="3615" max="3615" width="3.7109375" style="4" customWidth="1"/>
    <col min="3616" max="3616" width="9.7109375" style="4" customWidth="1"/>
    <col min="3617" max="3626" width="3.7109375" style="4" customWidth="1"/>
    <col min="3627" max="3627" width="11" style="4" customWidth="1"/>
    <col min="3628" max="3630" width="8.85546875" style="4"/>
    <col min="3631" max="3631" width="21" style="4" customWidth="1"/>
    <col min="3632" max="3632" width="24.42578125" style="4" customWidth="1"/>
    <col min="3633" max="3633" width="15.28515625" style="4" customWidth="1"/>
    <col min="3634" max="3634" width="10.5703125" style="4" customWidth="1"/>
    <col min="3635" max="3635" width="11.28515625" style="4" customWidth="1"/>
    <col min="3636" max="3636" width="25" style="4" customWidth="1"/>
    <col min="3637" max="3637" width="6" style="4" customWidth="1"/>
    <col min="3638" max="3841" width="8.85546875" style="4"/>
    <col min="3842" max="3842" width="3.7109375" style="4" customWidth="1"/>
    <col min="3843" max="3843" width="2.28515625" style="4" customWidth="1"/>
    <col min="3844" max="3845" width="3.7109375" style="4" customWidth="1"/>
    <col min="3846" max="3846" width="2.28515625" style="4" customWidth="1"/>
    <col min="3847" max="3848" width="3.7109375" style="4" customWidth="1"/>
    <col min="3849" max="3849" width="2.28515625" style="4" customWidth="1"/>
    <col min="3850" max="3851" width="3.7109375" style="4" customWidth="1"/>
    <col min="3852" max="3852" width="2.28515625" style="4" customWidth="1"/>
    <col min="3853" max="3854" width="3.7109375" style="4" customWidth="1"/>
    <col min="3855" max="3855" width="2.28515625" style="4" customWidth="1"/>
    <col min="3856" max="3857" width="3.7109375" style="4" customWidth="1"/>
    <col min="3858" max="3858" width="2.28515625" style="4" customWidth="1"/>
    <col min="3859" max="3860" width="3.7109375" style="4" customWidth="1"/>
    <col min="3861" max="3861" width="2.28515625" style="4" customWidth="1"/>
    <col min="3862" max="3863" width="3.7109375" style="4" customWidth="1"/>
    <col min="3864" max="3864" width="2.28515625" style="4" customWidth="1"/>
    <col min="3865" max="3866" width="3.7109375" style="4" customWidth="1"/>
    <col min="3867" max="3867" width="2.28515625" style="4" customWidth="1"/>
    <col min="3868" max="3869" width="3.7109375" style="4" customWidth="1"/>
    <col min="3870" max="3870" width="2.28515625" style="4" customWidth="1"/>
    <col min="3871" max="3871" width="3.7109375" style="4" customWidth="1"/>
    <col min="3872" max="3872" width="9.7109375" style="4" customWidth="1"/>
    <col min="3873" max="3882" width="3.7109375" style="4" customWidth="1"/>
    <col min="3883" max="3883" width="11" style="4" customWidth="1"/>
    <col min="3884" max="3886" width="8.85546875" style="4"/>
    <col min="3887" max="3887" width="21" style="4" customWidth="1"/>
    <col min="3888" max="3888" width="24.42578125" style="4" customWidth="1"/>
    <col min="3889" max="3889" width="15.28515625" style="4" customWidth="1"/>
    <col min="3890" max="3890" width="10.5703125" style="4" customWidth="1"/>
    <col min="3891" max="3891" width="11.28515625" style="4" customWidth="1"/>
    <col min="3892" max="3892" width="25" style="4" customWidth="1"/>
    <col min="3893" max="3893" width="6" style="4" customWidth="1"/>
    <col min="3894" max="4097" width="8.85546875" style="4"/>
    <col min="4098" max="4098" width="3.7109375" style="4" customWidth="1"/>
    <col min="4099" max="4099" width="2.28515625" style="4" customWidth="1"/>
    <col min="4100" max="4101" width="3.7109375" style="4" customWidth="1"/>
    <col min="4102" max="4102" width="2.28515625" style="4" customWidth="1"/>
    <col min="4103" max="4104" width="3.7109375" style="4" customWidth="1"/>
    <col min="4105" max="4105" width="2.28515625" style="4" customWidth="1"/>
    <col min="4106" max="4107" width="3.7109375" style="4" customWidth="1"/>
    <col min="4108" max="4108" width="2.28515625" style="4" customWidth="1"/>
    <col min="4109" max="4110" width="3.7109375" style="4" customWidth="1"/>
    <col min="4111" max="4111" width="2.28515625" style="4" customWidth="1"/>
    <col min="4112" max="4113" width="3.7109375" style="4" customWidth="1"/>
    <col min="4114" max="4114" width="2.28515625" style="4" customWidth="1"/>
    <col min="4115" max="4116" width="3.7109375" style="4" customWidth="1"/>
    <col min="4117" max="4117" width="2.28515625" style="4" customWidth="1"/>
    <col min="4118" max="4119" width="3.7109375" style="4" customWidth="1"/>
    <col min="4120" max="4120" width="2.28515625" style="4" customWidth="1"/>
    <col min="4121" max="4122" width="3.7109375" style="4" customWidth="1"/>
    <col min="4123" max="4123" width="2.28515625" style="4" customWidth="1"/>
    <col min="4124" max="4125" width="3.7109375" style="4" customWidth="1"/>
    <col min="4126" max="4126" width="2.28515625" style="4" customWidth="1"/>
    <col min="4127" max="4127" width="3.7109375" style="4" customWidth="1"/>
    <col min="4128" max="4128" width="9.7109375" style="4" customWidth="1"/>
    <col min="4129" max="4138" width="3.7109375" style="4" customWidth="1"/>
    <col min="4139" max="4139" width="11" style="4" customWidth="1"/>
    <col min="4140" max="4142" width="8.85546875" style="4"/>
    <col min="4143" max="4143" width="21" style="4" customWidth="1"/>
    <col min="4144" max="4144" width="24.42578125" style="4" customWidth="1"/>
    <col min="4145" max="4145" width="15.28515625" style="4" customWidth="1"/>
    <col min="4146" max="4146" width="10.5703125" style="4" customWidth="1"/>
    <col min="4147" max="4147" width="11.28515625" style="4" customWidth="1"/>
    <col min="4148" max="4148" width="25" style="4" customWidth="1"/>
    <col min="4149" max="4149" width="6" style="4" customWidth="1"/>
    <col min="4150" max="4353" width="8.85546875" style="4"/>
    <col min="4354" max="4354" width="3.7109375" style="4" customWidth="1"/>
    <col min="4355" max="4355" width="2.28515625" style="4" customWidth="1"/>
    <col min="4356" max="4357" width="3.7109375" style="4" customWidth="1"/>
    <col min="4358" max="4358" width="2.28515625" style="4" customWidth="1"/>
    <col min="4359" max="4360" width="3.7109375" style="4" customWidth="1"/>
    <col min="4361" max="4361" width="2.28515625" style="4" customWidth="1"/>
    <col min="4362" max="4363" width="3.7109375" style="4" customWidth="1"/>
    <col min="4364" max="4364" width="2.28515625" style="4" customWidth="1"/>
    <col min="4365" max="4366" width="3.7109375" style="4" customWidth="1"/>
    <col min="4367" max="4367" width="2.28515625" style="4" customWidth="1"/>
    <col min="4368" max="4369" width="3.7109375" style="4" customWidth="1"/>
    <col min="4370" max="4370" width="2.28515625" style="4" customWidth="1"/>
    <col min="4371" max="4372" width="3.7109375" style="4" customWidth="1"/>
    <col min="4373" max="4373" width="2.28515625" style="4" customWidth="1"/>
    <col min="4374" max="4375" width="3.7109375" style="4" customWidth="1"/>
    <col min="4376" max="4376" width="2.28515625" style="4" customWidth="1"/>
    <col min="4377" max="4378" width="3.7109375" style="4" customWidth="1"/>
    <col min="4379" max="4379" width="2.28515625" style="4" customWidth="1"/>
    <col min="4380" max="4381" width="3.7109375" style="4" customWidth="1"/>
    <col min="4382" max="4382" width="2.28515625" style="4" customWidth="1"/>
    <col min="4383" max="4383" width="3.7109375" style="4" customWidth="1"/>
    <col min="4384" max="4384" width="9.7109375" style="4" customWidth="1"/>
    <col min="4385" max="4394" width="3.7109375" style="4" customWidth="1"/>
    <col min="4395" max="4395" width="11" style="4" customWidth="1"/>
    <col min="4396" max="4398" width="8.85546875" style="4"/>
    <col min="4399" max="4399" width="21" style="4" customWidth="1"/>
    <col min="4400" max="4400" width="24.42578125" style="4" customWidth="1"/>
    <col min="4401" max="4401" width="15.28515625" style="4" customWidth="1"/>
    <col min="4402" max="4402" width="10.5703125" style="4" customWidth="1"/>
    <col min="4403" max="4403" width="11.28515625" style="4" customWidth="1"/>
    <col min="4404" max="4404" width="25" style="4" customWidth="1"/>
    <col min="4405" max="4405" width="6" style="4" customWidth="1"/>
    <col min="4406" max="4609" width="8.85546875" style="4"/>
    <col min="4610" max="4610" width="3.7109375" style="4" customWidth="1"/>
    <col min="4611" max="4611" width="2.28515625" style="4" customWidth="1"/>
    <col min="4612" max="4613" width="3.7109375" style="4" customWidth="1"/>
    <col min="4614" max="4614" width="2.28515625" style="4" customWidth="1"/>
    <col min="4615" max="4616" width="3.7109375" style="4" customWidth="1"/>
    <col min="4617" max="4617" width="2.28515625" style="4" customWidth="1"/>
    <col min="4618" max="4619" width="3.7109375" style="4" customWidth="1"/>
    <col min="4620" max="4620" width="2.28515625" style="4" customWidth="1"/>
    <col min="4621" max="4622" width="3.7109375" style="4" customWidth="1"/>
    <col min="4623" max="4623" width="2.28515625" style="4" customWidth="1"/>
    <col min="4624" max="4625" width="3.7109375" style="4" customWidth="1"/>
    <col min="4626" max="4626" width="2.28515625" style="4" customWidth="1"/>
    <col min="4627" max="4628" width="3.7109375" style="4" customWidth="1"/>
    <col min="4629" max="4629" width="2.28515625" style="4" customWidth="1"/>
    <col min="4630" max="4631" width="3.7109375" style="4" customWidth="1"/>
    <col min="4632" max="4632" width="2.28515625" style="4" customWidth="1"/>
    <col min="4633" max="4634" width="3.7109375" style="4" customWidth="1"/>
    <col min="4635" max="4635" width="2.28515625" style="4" customWidth="1"/>
    <col min="4636" max="4637" width="3.7109375" style="4" customWidth="1"/>
    <col min="4638" max="4638" width="2.28515625" style="4" customWidth="1"/>
    <col min="4639" max="4639" width="3.7109375" style="4" customWidth="1"/>
    <col min="4640" max="4640" width="9.7109375" style="4" customWidth="1"/>
    <col min="4641" max="4650" width="3.7109375" style="4" customWidth="1"/>
    <col min="4651" max="4651" width="11" style="4" customWidth="1"/>
    <col min="4652" max="4654" width="8.85546875" style="4"/>
    <col min="4655" max="4655" width="21" style="4" customWidth="1"/>
    <col min="4656" max="4656" width="24.42578125" style="4" customWidth="1"/>
    <col min="4657" max="4657" width="15.28515625" style="4" customWidth="1"/>
    <col min="4658" max="4658" width="10.5703125" style="4" customWidth="1"/>
    <col min="4659" max="4659" width="11.28515625" style="4" customWidth="1"/>
    <col min="4660" max="4660" width="25" style="4" customWidth="1"/>
    <col min="4661" max="4661" width="6" style="4" customWidth="1"/>
    <col min="4662" max="4865" width="8.85546875" style="4"/>
    <col min="4866" max="4866" width="3.7109375" style="4" customWidth="1"/>
    <col min="4867" max="4867" width="2.28515625" style="4" customWidth="1"/>
    <col min="4868" max="4869" width="3.7109375" style="4" customWidth="1"/>
    <col min="4870" max="4870" width="2.28515625" style="4" customWidth="1"/>
    <col min="4871" max="4872" width="3.7109375" style="4" customWidth="1"/>
    <col min="4873" max="4873" width="2.28515625" style="4" customWidth="1"/>
    <col min="4874" max="4875" width="3.7109375" style="4" customWidth="1"/>
    <col min="4876" max="4876" width="2.28515625" style="4" customWidth="1"/>
    <col min="4877" max="4878" width="3.7109375" style="4" customWidth="1"/>
    <col min="4879" max="4879" width="2.28515625" style="4" customWidth="1"/>
    <col min="4880" max="4881" width="3.7109375" style="4" customWidth="1"/>
    <col min="4882" max="4882" width="2.28515625" style="4" customWidth="1"/>
    <col min="4883" max="4884" width="3.7109375" style="4" customWidth="1"/>
    <col min="4885" max="4885" width="2.28515625" style="4" customWidth="1"/>
    <col min="4886" max="4887" width="3.7109375" style="4" customWidth="1"/>
    <col min="4888" max="4888" width="2.28515625" style="4" customWidth="1"/>
    <col min="4889" max="4890" width="3.7109375" style="4" customWidth="1"/>
    <col min="4891" max="4891" width="2.28515625" style="4" customWidth="1"/>
    <col min="4892" max="4893" width="3.7109375" style="4" customWidth="1"/>
    <col min="4894" max="4894" width="2.28515625" style="4" customWidth="1"/>
    <col min="4895" max="4895" width="3.7109375" style="4" customWidth="1"/>
    <col min="4896" max="4896" width="9.7109375" style="4" customWidth="1"/>
    <col min="4897" max="4906" width="3.7109375" style="4" customWidth="1"/>
    <col min="4907" max="4907" width="11" style="4" customWidth="1"/>
    <col min="4908" max="4910" width="8.85546875" style="4"/>
    <col min="4911" max="4911" width="21" style="4" customWidth="1"/>
    <col min="4912" max="4912" width="24.42578125" style="4" customWidth="1"/>
    <col min="4913" max="4913" width="15.28515625" style="4" customWidth="1"/>
    <col min="4914" max="4914" width="10.5703125" style="4" customWidth="1"/>
    <col min="4915" max="4915" width="11.28515625" style="4" customWidth="1"/>
    <col min="4916" max="4916" width="25" style="4" customWidth="1"/>
    <col min="4917" max="4917" width="6" style="4" customWidth="1"/>
    <col min="4918" max="5121" width="8.85546875" style="4"/>
    <col min="5122" max="5122" width="3.7109375" style="4" customWidth="1"/>
    <col min="5123" max="5123" width="2.28515625" style="4" customWidth="1"/>
    <col min="5124" max="5125" width="3.7109375" style="4" customWidth="1"/>
    <col min="5126" max="5126" width="2.28515625" style="4" customWidth="1"/>
    <col min="5127" max="5128" width="3.7109375" style="4" customWidth="1"/>
    <col min="5129" max="5129" width="2.28515625" style="4" customWidth="1"/>
    <col min="5130" max="5131" width="3.7109375" style="4" customWidth="1"/>
    <col min="5132" max="5132" width="2.28515625" style="4" customWidth="1"/>
    <col min="5133" max="5134" width="3.7109375" style="4" customWidth="1"/>
    <col min="5135" max="5135" width="2.28515625" style="4" customWidth="1"/>
    <col min="5136" max="5137" width="3.7109375" style="4" customWidth="1"/>
    <col min="5138" max="5138" width="2.28515625" style="4" customWidth="1"/>
    <col min="5139" max="5140" width="3.7109375" style="4" customWidth="1"/>
    <col min="5141" max="5141" width="2.28515625" style="4" customWidth="1"/>
    <col min="5142" max="5143" width="3.7109375" style="4" customWidth="1"/>
    <col min="5144" max="5144" width="2.28515625" style="4" customWidth="1"/>
    <col min="5145" max="5146" width="3.7109375" style="4" customWidth="1"/>
    <col min="5147" max="5147" width="2.28515625" style="4" customWidth="1"/>
    <col min="5148" max="5149" width="3.7109375" style="4" customWidth="1"/>
    <col min="5150" max="5150" width="2.28515625" style="4" customWidth="1"/>
    <col min="5151" max="5151" width="3.7109375" style="4" customWidth="1"/>
    <col min="5152" max="5152" width="9.7109375" style="4" customWidth="1"/>
    <col min="5153" max="5162" width="3.7109375" style="4" customWidth="1"/>
    <col min="5163" max="5163" width="11" style="4" customWidth="1"/>
    <col min="5164" max="5166" width="8.85546875" style="4"/>
    <col min="5167" max="5167" width="21" style="4" customWidth="1"/>
    <col min="5168" max="5168" width="24.42578125" style="4" customWidth="1"/>
    <col min="5169" max="5169" width="15.28515625" style="4" customWidth="1"/>
    <col min="5170" max="5170" width="10.5703125" style="4" customWidth="1"/>
    <col min="5171" max="5171" width="11.28515625" style="4" customWidth="1"/>
    <col min="5172" max="5172" width="25" style="4" customWidth="1"/>
    <col min="5173" max="5173" width="6" style="4" customWidth="1"/>
    <col min="5174" max="5377" width="8.85546875" style="4"/>
    <col min="5378" max="5378" width="3.7109375" style="4" customWidth="1"/>
    <col min="5379" max="5379" width="2.28515625" style="4" customWidth="1"/>
    <col min="5380" max="5381" width="3.7109375" style="4" customWidth="1"/>
    <col min="5382" max="5382" width="2.28515625" style="4" customWidth="1"/>
    <col min="5383" max="5384" width="3.7109375" style="4" customWidth="1"/>
    <col min="5385" max="5385" width="2.28515625" style="4" customWidth="1"/>
    <col min="5386" max="5387" width="3.7109375" style="4" customWidth="1"/>
    <col min="5388" max="5388" width="2.28515625" style="4" customWidth="1"/>
    <col min="5389" max="5390" width="3.7109375" style="4" customWidth="1"/>
    <col min="5391" max="5391" width="2.28515625" style="4" customWidth="1"/>
    <col min="5392" max="5393" width="3.7109375" style="4" customWidth="1"/>
    <col min="5394" max="5394" width="2.28515625" style="4" customWidth="1"/>
    <col min="5395" max="5396" width="3.7109375" style="4" customWidth="1"/>
    <col min="5397" max="5397" width="2.28515625" style="4" customWidth="1"/>
    <col min="5398" max="5399" width="3.7109375" style="4" customWidth="1"/>
    <col min="5400" max="5400" width="2.28515625" style="4" customWidth="1"/>
    <col min="5401" max="5402" width="3.7109375" style="4" customWidth="1"/>
    <col min="5403" max="5403" width="2.28515625" style="4" customWidth="1"/>
    <col min="5404" max="5405" width="3.7109375" style="4" customWidth="1"/>
    <col min="5406" max="5406" width="2.28515625" style="4" customWidth="1"/>
    <col min="5407" max="5407" width="3.7109375" style="4" customWidth="1"/>
    <col min="5408" max="5408" width="9.7109375" style="4" customWidth="1"/>
    <col min="5409" max="5418" width="3.7109375" style="4" customWidth="1"/>
    <col min="5419" max="5419" width="11" style="4" customWidth="1"/>
    <col min="5420" max="5422" width="8.85546875" style="4"/>
    <col min="5423" max="5423" width="21" style="4" customWidth="1"/>
    <col min="5424" max="5424" width="24.42578125" style="4" customWidth="1"/>
    <col min="5425" max="5425" width="15.28515625" style="4" customWidth="1"/>
    <col min="5426" max="5426" width="10.5703125" style="4" customWidth="1"/>
    <col min="5427" max="5427" width="11.28515625" style="4" customWidth="1"/>
    <col min="5428" max="5428" width="25" style="4" customWidth="1"/>
    <col min="5429" max="5429" width="6" style="4" customWidth="1"/>
    <col min="5430" max="5633" width="8.85546875" style="4"/>
    <col min="5634" max="5634" width="3.7109375" style="4" customWidth="1"/>
    <col min="5635" max="5635" width="2.28515625" style="4" customWidth="1"/>
    <col min="5636" max="5637" width="3.7109375" style="4" customWidth="1"/>
    <col min="5638" max="5638" width="2.28515625" style="4" customWidth="1"/>
    <col min="5639" max="5640" width="3.7109375" style="4" customWidth="1"/>
    <col min="5641" max="5641" width="2.28515625" style="4" customWidth="1"/>
    <col min="5642" max="5643" width="3.7109375" style="4" customWidth="1"/>
    <col min="5644" max="5644" width="2.28515625" style="4" customWidth="1"/>
    <col min="5645" max="5646" width="3.7109375" style="4" customWidth="1"/>
    <col min="5647" max="5647" width="2.28515625" style="4" customWidth="1"/>
    <col min="5648" max="5649" width="3.7109375" style="4" customWidth="1"/>
    <col min="5650" max="5650" width="2.28515625" style="4" customWidth="1"/>
    <col min="5651" max="5652" width="3.7109375" style="4" customWidth="1"/>
    <col min="5653" max="5653" width="2.28515625" style="4" customWidth="1"/>
    <col min="5654" max="5655" width="3.7109375" style="4" customWidth="1"/>
    <col min="5656" max="5656" width="2.28515625" style="4" customWidth="1"/>
    <col min="5657" max="5658" width="3.7109375" style="4" customWidth="1"/>
    <col min="5659" max="5659" width="2.28515625" style="4" customWidth="1"/>
    <col min="5660" max="5661" width="3.7109375" style="4" customWidth="1"/>
    <col min="5662" max="5662" width="2.28515625" style="4" customWidth="1"/>
    <col min="5663" max="5663" width="3.7109375" style="4" customWidth="1"/>
    <col min="5664" max="5664" width="9.7109375" style="4" customWidth="1"/>
    <col min="5665" max="5674" width="3.7109375" style="4" customWidth="1"/>
    <col min="5675" max="5675" width="11" style="4" customWidth="1"/>
    <col min="5676" max="5678" width="8.85546875" style="4"/>
    <col min="5679" max="5679" width="21" style="4" customWidth="1"/>
    <col min="5680" max="5680" width="24.42578125" style="4" customWidth="1"/>
    <col min="5681" max="5681" width="15.28515625" style="4" customWidth="1"/>
    <col min="5682" max="5682" width="10.5703125" style="4" customWidth="1"/>
    <col min="5683" max="5683" width="11.28515625" style="4" customWidth="1"/>
    <col min="5684" max="5684" width="25" style="4" customWidth="1"/>
    <col min="5685" max="5685" width="6" style="4" customWidth="1"/>
    <col min="5686" max="5889" width="8.85546875" style="4"/>
    <col min="5890" max="5890" width="3.7109375" style="4" customWidth="1"/>
    <col min="5891" max="5891" width="2.28515625" style="4" customWidth="1"/>
    <col min="5892" max="5893" width="3.7109375" style="4" customWidth="1"/>
    <col min="5894" max="5894" width="2.28515625" style="4" customWidth="1"/>
    <col min="5895" max="5896" width="3.7109375" style="4" customWidth="1"/>
    <col min="5897" max="5897" width="2.28515625" style="4" customWidth="1"/>
    <col min="5898" max="5899" width="3.7109375" style="4" customWidth="1"/>
    <col min="5900" max="5900" width="2.28515625" style="4" customWidth="1"/>
    <col min="5901" max="5902" width="3.7109375" style="4" customWidth="1"/>
    <col min="5903" max="5903" width="2.28515625" style="4" customWidth="1"/>
    <col min="5904" max="5905" width="3.7109375" style="4" customWidth="1"/>
    <col min="5906" max="5906" width="2.28515625" style="4" customWidth="1"/>
    <col min="5907" max="5908" width="3.7109375" style="4" customWidth="1"/>
    <col min="5909" max="5909" width="2.28515625" style="4" customWidth="1"/>
    <col min="5910" max="5911" width="3.7109375" style="4" customWidth="1"/>
    <col min="5912" max="5912" width="2.28515625" style="4" customWidth="1"/>
    <col min="5913" max="5914" width="3.7109375" style="4" customWidth="1"/>
    <col min="5915" max="5915" width="2.28515625" style="4" customWidth="1"/>
    <col min="5916" max="5917" width="3.7109375" style="4" customWidth="1"/>
    <col min="5918" max="5918" width="2.28515625" style="4" customWidth="1"/>
    <col min="5919" max="5919" width="3.7109375" style="4" customWidth="1"/>
    <col min="5920" max="5920" width="9.7109375" style="4" customWidth="1"/>
    <col min="5921" max="5930" width="3.7109375" style="4" customWidth="1"/>
    <col min="5931" max="5931" width="11" style="4" customWidth="1"/>
    <col min="5932" max="5934" width="8.85546875" style="4"/>
    <col min="5935" max="5935" width="21" style="4" customWidth="1"/>
    <col min="5936" max="5936" width="24.42578125" style="4" customWidth="1"/>
    <col min="5937" max="5937" width="15.28515625" style="4" customWidth="1"/>
    <col min="5938" max="5938" width="10.5703125" style="4" customWidth="1"/>
    <col min="5939" max="5939" width="11.28515625" style="4" customWidth="1"/>
    <col min="5940" max="5940" width="25" style="4" customWidth="1"/>
    <col min="5941" max="5941" width="6" style="4" customWidth="1"/>
    <col min="5942" max="6145" width="8.85546875" style="4"/>
    <col min="6146" max="6146" width="3.7109375" style="4" customWidth="1"/>
    <col min="6147" max="6147" width="2.28515625" style="4" customWidth="1"/>
    <col min="6148" max="6149" width="3.7109375" style="4" customWidth="1"/>
    <col min="6150" max="6150" width="2.28515625" style="4" customWidth="1"/>
    <col min="6151" max="6152" width="3.7109375" style="4" customWidth="1"/>
    <col min="6153" max="6153" width="2.28515625" style="4" customWidth="1"/>
    <col min="6154" max="6155" width="3.7109375" style="4" customWidth="1"/>
    <col min="6156" max="6156" width="2.28515625" style="4" customWidth="1"/>
    <col min="6157" max="6158" width="3.7109375" style="4" customWidth="1"/>
    <col min="6159" max="6159" width="2.28515625" style="4" customWidth="1"/>
    <col min="6160" max="6161" width="3.7109375" style="4" customWidth="1"/>
    <col min="6162" max="6162" width="2.28515625" style="4" customWidth="1"/>
    <col min="6163" max="6164" width="3.7109375" style="4" customWidth="1"/>
    <col min="6165" max="6165" width="2.28515625" style="4" customWidth="1"/>
    <col min="6166" max="6167" width="3.7109375" style="4" customWidth="1"/>
    <col min="6168" max="6168" width="2.28515625" style="4" customWidth="1"/>
    <col min="6169" max="6170" width="3.7109375" style="4" customWidth="1"/>
    <col min="6171" max="6171" width="2.28515625" style="4" customWidth="1"/>
    <col min="6172" max="6173" width="3.7109375" style="4" customWidth="1"/>
    <col min="6174" max="6174" width="2.28515625" style="4" customWidth="1"/>
    <col min="6175" max="6175" width="3.7109375" style="4" customWidth="1"/>
    <col min="6176" max="6176" width="9.7109375" style="4" customWidth="1"/>
    <col min="6177" max="6186" width="3.7109375" style="4" customWidth="1"/>
    <col min="6187" max="6187" width="11" style="4" customWidth="1"/>
    <col min="6188" max="6190" width="8.85546875" style="4"/>
    <col min="6191" max="6191" width="21" style="4" customWidth="1"/>
    <col min="6192" max="6192" width="24.42578125" style="4" customWidth="1"/>
    <col min="6193" max="6193" width="15.28515625" style="4" customWidth="1"/>
    <col min="6194" max="6194" width="10.5703125" style="4" customWidth="1"/>
    <col min="6195" max="6195" width="11.28515625" style="4" customWidth="1"/>
    <col min="6196" max="6196" width="25" style="4" customWidth="1"/>
    <col min="6197" max="6197" width="6" style="4" customWidth="1"/>
    <col min="6198" max="6401" width="8.85546875" style="4"/>
    <col min="6402" max="6402" width="3.7109375" style="4" customWidth="1"/>
    <col min="6403" max="6403" width="2.28515625" style="4" customWidth="1"/>
    <col min="6404" max="6405" width="3.7109375" style="4" customWidth="1"/>
    <col min="6406" max="6406" width="2.28515625" style="4" customWidth="1"/>
    <col min="6407" max="6408" width="3.7109375" style="4" customWidth="1"/>
    <col min="6409" max="6409" width="2.28515625" style="4" customWidth="1"/>
    <col min="6410" max="6411" width="3.7109375" style="4" customWidth="1"/>
    <col min="6412" max="6412" width="2.28515625" style="4" customWidth="1"/>
    <col min="6413" max="6414" width="3.7109375" style="4" customWidth="1"/>
    <col min="6415" max="6415" width="2.28515625" style="4" customWidth="1"/>
    <col min="6416" max="6417" width="3.7109375" style="4" customWidth="1"/>
    <col min="6418" max="6418" width="2.28515625" style="4" customWidth="1"/>
    <col min="6419" max="6420" width="3.7109375" style="4" customWidth="1"/>
    <col min="6421" max="6421" width="2.28515625" style="4" customWidth="1"/>
    <col min="6422" max="6423" width="3.7109375" style="4" customWidth="1"/>
    <col min="6424" max="6424" width="2.28515625" style="4" customWidth="1"/>
    <col min="6425" max="6426" width="3.7109375" style="4" customWidth="1"/>
    <col min="6427" max="6427" width="2.28515625" style="4" customWidth="1"/>
    <col min="6428" max="6429" width="3.7109375" style="4" customWidth="1"/>
    <col min="6430" max="6430" width="2.28515625" style="4" customWidth="1"/>
    <col min="6431" max="6431" width="3.7109375" style="4" customWidth="1"/>
    <col min="6432" max="6432" width="9.7109375" style="4" customWidth="1"/>
    <col min="6433" max="6442" width="3.7109375" style="4" customWidth="1"/>
    <col min="6443" max="6443" width="11" style="4" customWidth="1"/>
    <col min="6444" max="6446" width="8.85546875" style="4"/>
    <col min="6447" max="6447" width="21" style="4" customWidth="1"/>
    <col min="6448" max="6448" width="24.42578125" style="4" customWidth="1"/>
    <col min="6449" max="6449" width="15.28515625" style="4" customWidth="1"/>
    <col min="6450" max="6450" width="10.5703125" style="4" customWidth="1"/>
    <col min="6451" max="6451" width="11.28515625" style="4" customWidth="1"/>
    <col min="6452" max="6452" width="25" style="4" customWidth="1"/>
    <col min="6453" max="6453" width="6" style="4" customWidth="1"/>
    <col min="6454" max="6657" width="8.85546875" style="4"/>
    <col min="6658" max="6658" width="3.7109375" style="4" customWidth="1"/>
    <col min="6659" max="6659" width="2.28515625" style="4" customWidth="1"/>
    <col min="6660" max="6661" width="3.7109375" style="4" customWidth="1"/>
    <col min="6662" max="6662" width="2.28515625" style="4" customWidth="1"/>
    <col min="6663" max="6664" width="3.7109375" style="4" customWidth="1"/>
    <col min="6665" max="6665" width="2.28515625" style="4" customWidth="1"/>
    <col min="6666" max="6667" width="3.7109375" style="4" customWidth="1"/>
    <col min="6668" max="6668" width="2.28515625" style="4" customWidth="1"/>
    <col min="6669" max="6670" width="3.7109375" style="4" customWidth="1"/>
    <col min="6671" max="6671" width="2.28515625" style="4" customWidth="1"/>
    <col min="6672" max="6673" width="3.7109375" style="4" customWidth="1"/>
    <col min="6674" max="6674" width="2.28515625" style="4" customWidth="1"/>
    <col min="6675" max="6676" width="3.7109375" style="4" customWidth="1"/>
    <col min="6677" max="6677" width="2.28515625" style="4" customWidth="1"/>
    <col min="6678" max="6679" width="3.7109375" style="4" customWidth="1"/>
    <col min="6680" max="6680" width="2.28515625" style="4" customWidth="1"/>
    <col min="6681" max="6682" width="3.7109375" style="4" customWidth="1"/>
    <col min="6683" max="6683" width="2.28515625" style="4" customWidth="1"/>
    <col min="6684" max="6685" width="3.7109375" style="4" customWidth="1"/>
    <col min="6686" max="6686" width="2.28515625" style="4" customWidth="1"/>
    <col min="6687" max="6687" width="3.7109375" style="4" customWidth="1"/>
    <col min="6688" max="6688" width="9.7109375" style="4" customWidth="1"/>
    <col min="6689" max="6698" width="3.7109375" style="4" customWidth="1"/>
    <col min="6699" max="6699" width="11" style="4" customWidth="1"/>
    <col min="6700" max="6702" width="8.85546875" style="4"/>
    <col min="6703" max="6703" width="21" style="4" customWidth="1"/>
    <col min="6704" max="6704" width="24.42578125" style="4" customWidth="1"/>
    <col min="6705" max="6705" width="15.28515625" style="4" customWidth="1"/>
    <col min="6706" max="6706" width="10.5703125" style="4" customWidth="1"/>
    <col min="6707" max="6707" width="11.28515625" style="4" customWidth="1"/>
    <col min="6708" max="6708" width="25" style="4" customWidth="1"/>
    <col min="6709" max="6709" width="6" style="4" customWidth="1"/>
    <col min="6710" max="6913" width="8.85546875" style="4"/>
    <col min="6914" max="6914" width="3.7109375" style="4" customWidth="1"/>
    <col min="6915" max="6915" width="2.28515625" style="4" customWidth="1"/>
    <col min="6916" max="6917" width="3.7109375" style="4" customWidth="1"/>
    <col min="6918" max="6918" width="2.28515625" style="4" customWidth="1"/>
    <col min="6919" max="6920" width="3.7109375" style="4" customWidth="1"/>
    <col min="6921" max="6921" width="2.28515625" style="4" customWidth="1"/>
    <col min="6922" max="6923" width="3.7109375" style="4" customWidth="1"/>
    <col min="6924" max="6924" width="2.28515625" style="4" customWidth="1"/>
    <col min="6925" max="6926" width="3.7109375" style="4" customWidth="1"/>
    <col min="6927" max="6927" width="2.28515625" style="4" customWidth="1"/>
    <col min="6928" max="6929" width="3.7109375" style="4" customWidth="1"/>
    <col min="6930" max="6930" width="2.28515625" style="4" customWidth="1"/>
    <col min="6931" max="6932" width="3.7109375" style="4" customWidth="1"/>
    <col min="6933" max="6933" width="2.28515625" style="4" customWidth="1"/>
    <col min="6934" max="6935" width="3.7109375" style="4" customWidth="1"/>
    <col min="6936" max="6936" width="2.28515625" style="4" customWidth="1"/>
    <col min="6937" max="6938" width="3.7109375" style="4" customWidth="1"/>
    <col min="6939" max="6939" width="2.28515625" style="4" customWidth="1"/>
    <col min="6940" max="6941" width="3.7109375" style="4" customWidth="1"/>
    <col min="6942" max="6942" width="2.28515625" style="4" customWidth="1"/>
    <col min="6943" max="6943" width="3.7109375" style="4" customWidth="1"/>
    <col min="6944" max="6944" width="9.7109375" style="4" customWidth="1"/>
    <col min="6945" max="6954" width="3.7109375" style="4" customWidth="1"/>
    <col min="6955" max="6955" width="11" style="4" customWidth="1"/>
    <col min="6956" max="6958" width="8.85546875" style="4"/>
    <col min="6959" max="6959" width="21" style="4" customWidth="1"/>
    <col min="6960" max="6960" width="24.42578125" style="4" customWidth="1"/>
    <col min="6961" max="6961" width="15.28515625" style="4" customWidth="1"/>
    <col min="6962" max="6962" width="10.5703125" style="4" customWidth="1"/>
    <col min="6963" max="6963" width="11.28515625" style="4" customWidth="1"/>
    <col min="6964" max="6964" width="25" style="4" customWidth="1"/>
    <col min="6965" max="6965" width="6" style="4" customWidth="1"/>
    <col min="6966" max="7169" width="8.85546875" style="4"/>
    <col min="7170" max="7170" width="3.7109375" style="4" customWidth="1"/>
    <col min="7171" max="7171" width="2.28515625" style="4" customWidth="1"/>
    <col min="7172" max="7173" width="3.7109375" style="4" customWidth="1"/>
    <col min="7174" max="7174" width="2.28515625" style="4" customWidth="1"/>
    <col min="7175" max="7176" width="3.7109375" style="4" customWidth="1"/>
    <col min="7177" max="7177" width="2.28515625" style="4" customWidth="1"/>
    <col min="7178" max="7179" width="3.7109375" style="4" customWidth="1"/>
    <col min="7180" max="7180" width="2.28515625" style="4" customWidth="1"/>
    <col min="7181" max="7182" width="3.7109375" style="4" customWidth="1"/>
    <col min="7183" max="7183" width="2.28515625" style="4" customWidth="1"/>
    <col min="7184" max="7185" width="3.7109375" style="4" customWidth="1"/>
    <col min="7186" max="7186" width="2.28515625" style="4" customWidth="1"/>
    <col min="7187" max="7188" width="3.7109375" style="4" customWidth="1"/>
    <col min="7189" max="7189" width="2.28515625" style="4" customWidth="1"/>
    <col min="7190" max="7191" width="3.7109375" style="4" customWidth="1"/>
    <col min="7192" max="7192" width="2.28515625" style="4" customWidth="1"/>
    <col min="7193" max="7194" width="3.7109375" style="4" customWidth="1"/>
    <col min="7195" max="7195" width="2.28515625" style="4" customWidth="1"/>
    <col min="7196" max="7197" width="3.7109375" style="4" customWidth="1"/>
    <col min="7198" max="7198" width="2.28515625" style="4" customWidth="1"/>
    <col min="7199" max="7199" width="3.7109375" style="4" customWidth="1"/>
    <col min="7200" max="7200" width="9.7109375" style="4" customWidth="1"/>
    <col min="7201" max="7210" width="3.7109375" style="4" customWidth="1"/>
    <col min="7211" max="7211" width="11" style="4" customWidth="1"/>
    <col min="7212" max="7214" width="8.85546875" style="4"/>
    <col min="7215" max="7215" width="21" style="4" customWidth="1"/>
    <col min="7216" max="7216" width="24.42578125" style="4" customWidth="1"/>
    <col min="7217" max="7217" width="15.28515625" style="4" customWidth="1"/>
    <col min="7218" max="7218" width="10.5703125" style="4" customWidth="1"/>
    <col min="7219" max="7219" width="11.28515625" style="4" customWidth="1"/>
    <col min="7220" max="7220" width="25" style="4" customWidth="1"/>
    <col min="7221" max="7221" width="6" style="4" customWidth="1"/>
    <col min="7222" max="7425" width="8.85546875" style="4"/>
    <col min="7426" max="7426" width="3.7109375" style="4" customWidth="1"/>
    <col min="7427" max="7427" width="2.28515625" style="4" customWidth="1"/>
    <col min="7428" max="7429" width="3.7109375" style="4" customWidth="1"/>
    <col min="7430" max="7430" width="2.28515625" style="4" customWidth="1"/>
    <col min="7431" max="7432" width="3.7109375" style="4" customWidth="1"/>
    <col min="7433" max="7433" width="2.28515625" style="4" customWidth="1"/>
    <col min="7434" max="7435" width="3.7109375" style="4" customWidth="1"/>
    <col min="7436" max="7436" width="2.28515625" style="4" customWidth="1"/>
    <col min="7437" max="7438" width="3.7109375" style="4" customWidth="1"/>
    <col min="7439" max="7439" width="2.28515625" style="4" customWidth="1"/>
    <col min="7440" max="7441" width="3.7109375" style="4" customWidth="1"/>
    <col min="7442" max="7442" width="2.28515625" style="4" customWidth="1"/>
    <col min="7443" max="7444" width="3.7109375" style="4" customWidth="1"/>
    <col min="7445" max="7445" width="2.28515625" style="4" customWidth="1"/>
    <col min="7446" max="7447" width="3.7109375" style="4" customWidth="1"/>
    <col min="7448" max="7448" width="2.28515625" style="4" customWidth="1"/>
    <col min="7449" max="7450" width="3.7109375" style="4" customWidth="1"/>
    <col min="7451" max="7451" width="2.28515625" style="4" customWidth="1"/>
    <col min="7452" max="7453" width="3.7109375" style="4" customWidth="1"/>
    <col min="7454" max="7454" width="2.28515625" style="4" customWidth="1"/>
    <col min="7455" max="7455" width="3.7109375" style="4" customWidth="1"/>
    <col min="7456" max="7456" width="9.7109375" style="4" customWidth="1"/>
    <col min="7457" max="7466" width="3.7109375" style="4" customWidth="1"/>
    <col min="7467" max="7467" width="11" style="4" customWidth="1"/>
    <col min="7468" max="7470" width="8.85546875" style="4"/>
    <col min="7471" max="7471" width="21" style="4" customWidth="1"/>
    <col min="7472" max="7472" width="24.42578125" style="4" customWidth="1"/>
    <col min="7473" max="7473" width="15.28515625" style="4" customWidth="1"/>
    <col min="7474" max="7474" width="10.5703125" style="4" customWidth="1"/>
    <col min="7475" max="7475" width="11.28515625" style="4" customWidth="1"/>
    <col min="7476" max="7476" width="25" style="4" customWidth="1"/>
    <col min="7477" max="7477" width="6" style="4" customWidth="1"/>
    <col min="7478" max="7681" width="8.85546875" style="4"/>
    <col min="7682" max="7682" width="3.7109375" style="4" customWidth="1"/>
    <col min="7683" max="7683" width="2.28515625" style="4" customWidth="1"/>
    <col min="7684" max="7685" width="3.7109375" style="4" customWidth="1"/>
    <col min="7686" max="7686" width="2.28515625" style="4" customWidth="1"/>
    <col min="7687" max="7688" width="3.7109375" style="4" customWidth="1"/>
    <col min="7689" max="7689" width="2.28515625" style="4" customWidth="1"/>
    <col min="7690" max="7691" width="3.7109375" style="4" customWidth="1"/>
    <col min="7692" max="7692" width="2.28515625" style="4" customWidth="1"/>
    <col min="7693" max="7694" width="3.7109375" style="4" customWidth="1"/>
    <col min="7695" max="7695" width="2.28515625" style="4" customWidth="1"/>
    <col min="7696" max="7697" width="3.7109375" style="4" customWidth="1"/>
    <col min="7698" max="7698" width="2.28515625" style="4" customWidth="1"/>
    <col min="7699" max="7700" width="3.7109375" style="4" customWidth="1"/>
    <col min="7701" max="7701" width="2.28515625" style="4" customWidth="1"/>
    <col min="7702" max="7703" width="3.7109375" style="4" customWidth="1"/>
    <col min="7704" max="7704" width="2.28515625" style="4" customWidth="1"/>
    <col min="7705" max="7706" width="3.7109375" style="4" customWidth="1"/>
    <col min="7707" max="7707" width="2.28515625" style="4" customWidth="1"/>
    <col min="7708" max="7709" width="3.7109375" style="4" customWidth="1"/>
    <col min="7710" max="7710" width="2.28515625" style="4" customWidth="1"/>
    <col min="7711" max="7711" width="3.7109375" style="4" customWidth="1"/>
    <col min="7712" max="7712" width="9.7109375" style="4" customWidth="1"/>
    <col min="7713" max="7722" width="3.7109375" style="4" customWidth="1"/>
    <col min="7723" max="7723" width="11" style="4" customWidth="1"/>
    <col min="7724" max="7726" width="8.85546875" style="4"/>
    <col min="7727" max="7727" width="21" style="4" customWidth="1"/>
    <col min="7728" max="7728" width="24.42578125" style="4" customWidth="1"/>
    <col min="7729" max="7729" width="15.28515625" style="4" customWidth="1"/>
    <col min="7730" max="7730" width="10.5703125" style="4" customWidth="1"/>
    <col min="7731" max="7731" width="11.28515625" style="4" customWidth="1"/>
    <col min="7732" max="7732" width="25" style="4" customWidth="1"/>
    <col min="7733" max="7733" width="6" style="4" customWidth="1"/>
    <col min="7734" max="7937" width="8.85546875" style="4"/>
    <col min="7938" max="7938" width="3.7109375" style="4" customWidth="1"/>
    <col min="7939" max="7939" width="2.28515625" style="4" customWidth="1"/>
    <col min="7940" max="7941" width="3.7109375" style="4" customWidth="1"/>
    <col min="7942" max="7942" width="2.28515625" style="4" customWidth="1"/>
    <col min="7943" max="7944" width="3.7109375" style="4" customWidth="1"/>
    <col min="7945" max="7945" width="2.28515625" style="4" customWidth="1"/>
    <col min="7946" max="7947" width="3.7109375" style="4" customWidth="1"/>
    <col min="7948" max="7948" width="2.28515625" style="4" customWidth="1"/>
    <col min="7949" max="7950" width="3.7109375" style="4" customWidth="1"/>
    <col min="7951" max="7951" width="2.28515625" style="4" customWidth="1"/>
    <col min="7952" max="7953" width="3.7109375" style="4" customWidth="1"/>
    <col min="7954" max="7954" width="2.28515625" style="4" customWidth="1"/>
    <col min="7955" max="7956" width="3.7109375" style="4" customWidth="1"/>
    <col min="7957" max="7957" width="2.28515625" style="4" customWidth="1"/>
    <col min="7958" max="7959" width="3.7109375" style="4" customWidth="1"/>
    <col min="7960" max="7960" width="2.28515625" style="4" customWidth="1"/>
    <col min="7961" max="7962" width="3.7109375" style="4" customWidth="1"/>
    <col min="7963" max="7963" width="2.28515625" style="4" customWidth="1"/>
    <col min="7964" max="7965" width="3.7109375" style="4" customWidth="1"/>
    <col min="7966" max="7966" width="2.28515625" style="4" customWidth="1"/>
    <col min="7967" max="7967" width="3.7109375" style="4" customWidth="1"/>
    <col min="7968" max="7968" width="9.7109375" style="4" customWidth="1"/>
    <col min="7969" max="7978" width="3.7109375" style="4" customWidth="1"/>
    <col min="7979" max="7979" width="11" style="4" customWidth="1"/>
    <col min="7980" max="7982" width="8.85546875" style="4"/>
    <col min="7983" max="7983" width="21" style="4" customWidth="1"/>
    <col min="7984" max="7984" width="24.42578125" style="4" customWidth="1"/>
    <col min="7985" max="7985" width="15.28515625" style="4" customWidth="1"/>
    <col min="7986" max="7986" width="10.5703125" style="4" customWidth="1"/>
    <col min="7987" max="7987" width="11.28515625" style="4" customWidth="1"/>
    <col min="7988" max="7988" width="25" style="4" customWidth="1"/>
    <col min="7989" max="7989" width="6" style="4" customWidth="1"/>
    <col min="7990" max="8193" width="8.85546875" style="4"/>
    <col min="8194" max="8194" width="3.7109375" style="4" customWidth="1"/>
    <col min="8195" max="8195" width="2.28515625" style="4" customWidth="1"/>
    <col min="8196" max="8197" width="3.7109375" style="4" customWidth="1"/>
    <col min="8198" max="8198" width="2.28515625" style="4" customWidth="1"/>
    <col min="8199" max="8200" width="3.7109375" style="4" customWidth="1"/>
    <col min="8201" max="8201" width="2.28515625" style="4" customWidth="1"/>
    <col min="8202" max="8203" width="3.7109375" style="4" customWidth="1"/>
    <col min="8204" max="8204" width="2.28515625" style="4" customWidth="1"/>
    <col min="8205" max="8206" width="3.7109375" style="4" customWidth="1"/>
    <col min="8207" max="8207" width="2.28515625" style="4" customWidth="1"/>
    <col min="8208" max="8209" width="3.7109375" style="4" customWidth="1"/>
    <col min="8210" max="8210" width="2.28515625" style="4" customWidth="1"/>
    <col min="8211" max="8212" width="3.7109375" style="4" customWidth="1"/>
    <col min="8213" max="8213" width="2.28515625" style="4" customWidth="1"/>
    <col min="8214" max="8215" width="3.7109375" style="4" customWidth="1"/>
    <col min="8216" max="8216" width="2.28515625" style="4" customWidth="1"/>
    <col min="8217" max="8218" width="3.7109375" style="4" customWidth="1"/>
    <col min="8219" max="8219" width="2.28515625" style="4" customWidth="1"/>
    <col min="8220" max="8221" width="3.7109375" style="4" customWidth="1"/>
    <col min="8222" max="8222" width="2.28515625" style="4" customWidth="1"/>
    <col min="8223" max="8223" width="3.7109375" style="4" customWidth="1"/>
    <col min="8224" max="8224" width="9.7109375" style="4" customWidth="1"/>
    <col min="8225" max="8234" width="3.7109375" style="4" customWidth="1"/>
    <col min="8235" max="8235" width="11" style="4" customWidth="1"/>
    <col min="8236" max="8238" width="8.85546875" style="4"/>
    <col min="8239" max="8239" width="21" style="4" customWidth="1"/>
    <col min="8240" max="8240" width="24.42578125" style="4" customWidth="1"/>
    <col min="8241" max="8241" width="15.28515625" style="4" customWidth="1"/>
    <col min="8242" max="8242" width="10.5703125" style="4" customWidth="1"/>
    <col min="8243" max="8243" width="11.28515625" style="4" customWidth="1"/>
    <col min="8244" max="8244" width="25" style="4" customWidth="1"/>
    <col min="8245" max="8245" width="6" style="4" customWidth="1"/>
    <col min="8246" max="8449" width="8.85546875" style="4"/>
    <col min="8450" max="8450" width="3.7109375" style="4" customWidth="1"/>
    <col min="8451" max="8451" width="2.28515625" style="4" customWidth="1"/>
    <col min="8452" max="8453" width="3.7109375" style="4" customWidth="1"/>
    <col min="8454" max="8454" width="2.28515625" style="4" customWidth="1"/>
    <col min="8455" max="8456" width="3.7109375" style="4" customWidth="1"/>
    <col min="8457" max="8457" width="2.28515625" style="4" customWidth="1"/>
    <col min="8458" max="8459" width="3.7109375" style="4" customWidth="1"/>
    <col min="8460" max="8460" width="2.28515625" style="4" customWidth="1"/>
    <col min="8461" max="8462" width="3.7109375" style="4" customWidth="1"/>
    <col min="8463" max="8463" width="2.28515625" style="4" customWidth="1"/>
    <col min="8464" max="8465" width="3.7109375" style="4" customWidth="1"/>
    <col min="8466" max="8466" width="2.28515625" style="4" customWidth="1"/>
    <col min="8467" max="8468" width="3.7109375" style="4" customWidth="1"/>
    <col min="8469" max="8469" width="2.28515625" style="4" customWidth="1"/>
    <col min="8470" max="8471" width="3.7109375" style="4" customWidth="1"/>
    <col min="8472" max="8472" width="2.28515625" style="4" customWidth="1"/>
    <col min="8473" max="8474" width="3.7109375" style="4" customWidth="1"/>
    <col min="8475" max="8475" width="2.28515625" style="4" customWidth="1"/>
    <col min="8476" max="8477" width="3.7109375" style="4" customWidth="1"/>
    <col min="8478" max="8478" width="2.28515625" style="4" customWidth="1"/>
    <col min="8479" max="8479" width="3.7109375" style="4" customWidth="1"/>
    <col min="8480" max="8480" width="9.7109375" style="4" customWidth="1"/>
    <col min="8481" max="8490" width="3.7109375" style="4" customWidth="1"/>
    <col min="8491" max="8491" width="11" style="4" customWidth="1"/>
    <col min="8492" max="8494" width="8.85546875" style="4"/>
    <col min="8495" max="8495" width="21" style="4" customWidth="1"/>
    <col min="8496" max="8496" width="24.42578125" style="4" customWidth="1"/>
    <col min="8497" max="8497" width="15.28515625" style="4" customWidth="1"/>
    <col min="8498" max="8498" width="10.5703125" style="4" customWidth="1"/>
    <col min="8499" max="8499" width="11.28515625" style="4" customWidth="1"/>
    <col min="8500" max="8500" width="25" style="4" customWidth="1"/>
    <col min="8501" max="8501" width="6" style="4" customWidth="1"/>
    <col min="8502" max="8705" width="8.85546875" style="4"/>
    <col min="8706" max="8706" width="3.7109375" style="4" customWidth="1"/>
    <col min="8707" max="8707" width="2.28515625" style="4" customWidth="1"/>
    <col min="8708" max="8709" width="3.7109375" style="4" customWidth="1"/>
    <col min="8710" max="8710" width="2.28515625" style="4" customWidth="1"/>
    <col min="8711" max="8712" width="3.7109375" style="4" customWidth="1"/>
    <col min="8713" max="8713" width="2.28515625" style="4" customWidth="1"/>
    <col min="8714" max="8715" width="3.7109375" style="4" customWidth="1"/>
    <col min="8716" max="8716" width="2.28515625" style="4" customWidth="1"/>
    <col min="8717" max="8718" width="3.7109375" style="4" customWidth="1"/>
    <col min="8719" max="8719" width="2.28515625" style="4" customWidth="1"/>
    <col min="8720" max="8721" width="3.7109375" style="4" customWidth="1"/>
    <col min="8722" max="8722" width="2.28515625" style="4" customWidth="1"/>
    <col min="8723" max="8724" width="3.7109375" style="4" customWidth="1"/>
    <col min="8725" max="8725" width="2.28515625" style="4" customWidth="1"/>
    <col min="8726" max="8727" width="3.7109375" style="4" customWidth="1"/>
    <col min="8728" max="8728" width="2.28515625" style="4" customWidth="1"/>
    <col min="8729" max="8730" width="3.7109375" style="4" customWidth="1"/>
    <col min="8731" max="8731" width="2.28515625" style="4" customWidth="1"/>
    <col min="8732" max="8733" width="3.7109375" style="4" customWidth="1"/>
    <col min="8734" max="8734" width="2.28515625" style="4" customWidth="1"/>
    <col min="8735" max="8735" width="3.7109375" style="4" customWidth="1"/>
    <col min="8736" max="8736" width="9.7109375" style="4" customWidth="1"/>
    <col min="8737" max="8746" width="3.7109375" style="4" customWidth="1"/>
    <col min="8747" max="8747" width="11" style="4" customWidth="1"/>
    <col min="8748" max="8750" width="8.85546875" style="4"/>
    <col min="8751" max="8751" width="21" style="4" customWidth="1"/>
    <col min="8752" max="8752" width="24.42578125" style="4" customWidth="1"/>
    <col min="8753" max="8753" width="15.28515625" style="4" customWidth="1"/>
    <col min="8754" max="8754" width="10.5703125" style="4" customWidth="1"/>
    <col min="8755" max="8755" width="11.28515625" style="4" customWidth="1"/>
    <col min="8756" max="8756" width="25" style="4" customWidth="1"/>
    <col min="8757" max="8757" width="6" style="4" customWidth="1"/>
    <col min="8758" max="8961" width="8.85546875" style="4"/>
    <col min="8962" max="8962" width="3.7109375" style="4" customWidth="1"/>
    <col min="8963" max="8963" width="2.28515625" style="4" customWidth="1"/>
    <col min="8964" max="8965" width="3.7109375" style="4" customWidth="1"/>
    <col min="8966" max="8966" width="2.28515625" style="4" customWidth="1"/>
    <col min="8967" max="8968" width="3.7109375" style="4" customWidth="1"/>
    <col min="8969" max="8969" width="2.28515625" style="4" customWidth="1"/>
    <col min="8970" max="8971" width="3.7109375" style="4" customWidth="1"/>
    <col min="8972" max="8972" width="2.28515625" style="4" customWidth="1"/>
    <col min="8973" max="8974" width="3.7109375" style="4" customWidth="1"/>
    <col min="8975" max="8975" width="2.28515625" style="4" customWidth="1"/>
    <col min="8976" max="8977" width="3.7109375" style="4" customWidth="1"/>
    <col min="8978" max="8978" width="2.28515625" style="4" customWidth="1"/>
    <col min="8979" max="8980" width="3.7109375" style="4" customWidth="1"/>
    <col min="8981" max="8981" width="2.28515625" style="4" customWidth="1"/>
    <col min="8982" max="8983" width="3.7109375" style="4" customWidth="1"/>
    <col min="8984" max="8984" width="2.28515625" style="4" customWidth="1"/>
    <col min="8985" max="8986" width="3.7109375" style="4" customWidth="1"/>
    <col min="8987" max="8987" width="2.28515625" style="4" customWidth="1"/>
    <col min="8988" max="8989" width="3.7109375" style="4" customWidth="1"/>
    <col min="8990" max="8990" width="2.28515625" style="4" customWidth="1"/>
    <col min="8991" max="8991" width="3.7109375" style="4" customWidth="1"/>
    <col min="8992" max="8992" width="9.7109375" style="4" customWidth="1"/>
    <col min="8993" max="9002" width="3.7109375" style="4" customWidth="1"/>
    <col min="9003" max="9003" width="11" style="4" customWidth="1"/>
    <col min="9004" max="9006" width="8.85546875" style="4"/>
    <col min="9007" max="9007" width="21" style="4" customWidth="1"/>
    <col min="9008" max="9008" width="24.42578125" style="4" customWidth="1"/>
    <col min="9009" max="9009" width="15.28515625" style="4" customWidth="1"/>
    <col min="9010" max="9010" width="10.5703125" style="4" customWidth="1"/>
    <col min="9011" max="9011" width="11.28515625" style="4" customWidth="1"/>
    <col min="9012" max="9012" width="25" style="4" customWidth="1"/>
    <col min="9013" max="9013" width="6" style="4" customWidth="1"/>
    <col min="9014" max="9217" width="8.85546875" style="4"/>
    <col min="9218" max="9218" width="3.7109375" style="4" customWidth="1"/>
    <col min="9219" max="9219" width="2.28515625" style="4" customWidth="1"/>
    <col min="9220" max="9221" width="3.7109375" style="4" customWidth="1"/>
    <col min="9222" max="9222" width="2.28515625" style="4" customWidth="1"/>
    <col min="9223" max="9224" width="3.7109375" style="4" customWidth="1"/>
    <col min="9225" max="9225" width="2.28515625" style="4" customWidth="1"/>
    <col min="9226" max="9227" width="3.7109375" style="4" customWidth="1"/>
    <col min="9228" max="9228" width="2.28515625" style="4" customWidth="1"/>
    <col min="9229" max="9230" width="3.7109375" style="4" customWidth="1"/>
    <col min="9231" max="9231" width="2.28515625" style="4" customWidth="1"/>
    <col min="9232" max="9233" width="3.7109375" style="4" customWidth="1"/>
    <col min="9234" max="9234" width="2.28515625" style="4" customWidth="1"/>
    <col min="9235" max="9236" width="3.7109375" style="4" customWidth="1"/>
    <col min="9237" max="9237" width="2.28515625" style="4" customWidth="1"/>
    <col min="9238" max="9239" width="3.7109375" style="4" customWidth="1"/>
    <col min="9240" max="9240" width="2.28515625" style="4" customWidth="1"/>
    <col min="9241" max="9242" width="3.7109375" style="4" customWidth="1"/>
    <col min="9243" max="9243" width="2.28515625" style="4" customWidth="1"/>
    <col min="9244" max="9245" width="3.7109375" style="4" customWidth="1"/>
    <col min="9246" max="9246" width="2.28515625" style="4" customWidth="1"/>
    <col min="9247" max="9247" width="3.7109375" style="4" customWidth="1"/>
    <col min="9248" max="9248" width="9.7109375" style="4" customWidth="1"/>
    <col min="9249" max="9258" width="3.7109375" style="4" customWidth="1"/>
    <col min="9259" max="9259" width="11" style="4" customWidth="1"/>
    <col min="9260" max="9262" width="8.85546875" style="4"/>
    <col min="9263" max="9263" width="21" style="4" customWidth="1"/>
    <col min="9264" max="9264" width="24.42578125" style="4" customWidth="1"/>
    <col min="9265" max="9265" width="15.28515625" style="4" customWidth="1"/>
    <col min="9266" max="9266" width="10.5703125" style="4" customWidth="1"/>
    <col min="9267" max="9267" width="11.28515625" style="4" customWidth="1"/>
    <col min="9268" max="9268" width="25" style="4" customWidth="1"/>
    <col min="9269" max="9269" width="6" style="4" customWidth="1"/>
    <col min="9270" max="9473" width="8.85546875" style="4"/>
    <col min="9474" max="9474" width="3.7109375" style="4" customWidth="1"/>
    <col min="9475" max="9475" width="2.28515625" style="4" customWidth="1"/>
    <col min="9476" max="9477" width="3.7109375" style="4" customWidth="1"/>
    <col min="9478" max="9478" width="2.28515625" style="4" customWidth="1"/>
    <col min="9479" max="9480" width="3.7109375" style="4" customWidth="1"/>
    <col min="9481" max="9481" width="2.28515625" style="4" customWidth="1"/>
    <col min="9482" max="9483" width="3.7109375" style="4" customWidth="1"/>
    <col min="9484" max="9484" width="2.28515625" style="4" customWidth="1"/>
    <col min="9485" max="9486" width="3.7109375" style="4" customWidth="1"/>
    <col min="9487" max="9487" width="2.28515625" style="4" customWidth="1"/>
    <col min="9488" max="9489" width="3.7109375" style="4" customWidth="1"/>
    <col min="9490" max="9490" width="2.28515625" style="4" customWidth="1"/>
    <col min="9491" max="9492" width="3.7109375" style="4" customWidth="1"/>
    <col min="9493" max="9493" width="2.28515625" style="4" customWidth="1"/>
    <col min="9494" max="9495" width="3.7109375" style="4" customWidth="1"/>
    <col min="9496" max="9496" width="2.28515625" style="4" customWidth="1"/>
    <col min="9497" max="9498" width="3.7109375" style="4" customWidth="1"/>
    <col min="9499" max="9499" width="2.28515625" style="4" customWidth="1"/>
    <col min="9500" max="9501" width="3.7109375" style="4" customWidth="1"/>
    <col min="9502" max="9502" width="2.28515625" style="4" customWidth="1"/>
    <col min="9503" max="9503" width="3.7109375" style="4" customWidth="1"/>
    <col min="9504" max="9504" width="9.7109375" style="4" customWidth="1"/>
    <col min="9505" max="9514" width="3.7109375" style="4" customWidth="1"/>
    <col min="9515" max="9515" width="11" style="4" customWidth="1"/>
    <col min="9516" max="9518" width="8.85546875" style="4"/>
    <col min="9519" max="9519" width="21" style="4" customWidth="1"/>
    <col min="9520" max="9520" width="24.42578125" style="4" customWidth="1"/>
    <col min="9521" max="9521" width="15.28515625" style="4" customWidth="1"/>
    <col min="9522" max="9522" width="10.5703125" style="4" customWidth="1"/>
    <col min="9523" max="9523" width="11.28515625" style="4" customWidth="1"/>
    <col min="9524" max="9524" width="25" style="4" customWidth="1"/>
    <col min="9525" max="9525" width="6" style="4" customWidth="1"/>
    <col min="9526" max="9729" width="8.85546875" style="4"/>
    <col min="9730" max="9730" width="3.7109375" style="4" customWidth="1"/>
    <col min="9731" max="9731" width="2.28515625" style="4" customWidth="1"/>
    <col min="9732" max="9733" width="3.7109375" style="4" customWidth="1"/>
    <col min="9734" max="9734" width="2.28515625" style="4" customWidth="1"/>
    <col min="9735" max="9736" width="3.7109375" style="4" customWidth="1"/>
    <col min="9737" max="9737" width="2.28515625" style="4" customWidth="1"/>
    <col min="9738" max="9739" width="3.7109375" style="4" customWidth="1"/>
    <col min="9740" max="9740" width="2.28515625" style="4" customWidth="1"/>
    <col min="9741" max="9742" width="3.7109375" style="4" customWidth="1"/>
    <col min="9743" max="9743" width="2.28515625" style="4" customWidth="1"/>
    <col min="9744" max="9745" width="3.7109375" style="4" customWidth="1"/>
    <col min="9746" max="9746" width="2.28515625" style="4" customWidth="1"/>
    <col min="9747" max="9748" width="3.7109375" style="4" customWidth="1"/>
    <col min="9749" max="9749" width="2.28515625" style="4" customWidth="1"/>
    <col min="9750" max="9751" width="3.7109375" style="4" customWidth="1"/>
    <col min="9752" max="9752" width="2.28515625" style="4" customWidth="1"/>
    <col min="9753" max="9754" width="3.7109375" style="4" customWidth="1"/>
    <col min="9755" max="9755" width="2.28515625" style="4" customWidth="1"/>
    <col min="9756" max="9757" width="3.7109375" style="4" customWidth="1"/>
    <col min="9758" max="9758" width="2.28515625" style="4" customWidth="1"/>
    <col min="9759" max="9759" width="3.7109375" style="4" customWidth="1"/>
    <col min="9760" max="9760" width="9.7109375" style="4" customWidth="1"/>
    <col min="9761" max="9770" width="3.7109375" style="4" customWidth="1"/>
    <col min="9771" max="9771" width="11" style="4" customWidth="1"/>
    <col min="9772" max="9774" width="8.85546875" style="4"/>
    <col min="9775" max="9775" width="21" style="4" customWidth="1"/>
    <col min="9776" max="9776" width="24.42578125" style="4" customWidth="1"/>
    <col min="9777" max="9777" width="15.28515625" style="4" customWidth="1"/>
    <col min="9778" max="9778" width="10.5703125" style="4" customWidth="1"/>
    <col min="9779" max="9779" width="11.28515625" style="4" customWidth="1"/>
    <col min="9780" max="9780" width="25" style="4" customWidth="1"/>
    <col min="9781" max="9781" width="6" style="4" customWidth="1"/>
    <col min="9782" max="9985" width="8.85546875" style="4"/>
    <col min="9986" max="9986" width="3.7109375" style="4" customWidth="1"/>
    <col min="9987" max="9987" width="2.28515625" style="4" customWidth="1"/>
    <col min="9988" max="9989" width="3.7109375" style="4" customWidth="1"/>
    <col min="9990" max="9990" width="2.28515625" style="4" customWidth="1"/>
    <col min="9991" max="9992" width="3.7109375" style="4" customWidth="1"/>
    <col min="9993" max="9993" width="2.28515625" style="4" customWidth="1"/>
    <col min="9994" max="9995" width="3.7109375" style="4" customWidth="1"/>
    <col min="9996" max="9996" width="2.28515625" style="4" customWidth="1"/>
    <col min="9997" max="9998" width="3.7109375" style="4" customWidth="1"/>
    <col min="9999" max="9999" width="2.28515625" style="4" customWidth="1"/>
    <col min="10000" max="10001" width="3.7109375" style="4" customWidth="1"/>
    <col min="10002" max="10002" width="2.28515625" style="4" customWidth="1"/>
    <col min="10003" max="10004" width="3.7109375" style="4" customWidth="1"/>
    <col min="10005" max="10005" width="2.28515625" style="4" customWidth="1"/>
    <col min="10006" max="10007" width="3.7109375" style="4" customWidth="1"/>
    <col min="10008" max="10008" width="2.28515625" style="4" customWidth="1"/>
    <col min="10009" max="10010" width="3.7109375" style="4" customWidth="1"/>
    <col min="10011" max="10011" width="2.28515625" style="4" customWidth="1"/>
    <col min="10012" max="10013" width="3.7109375" style="4" customWidth="1"/>
    <col min="10014" max="10014" width="2.28515625" style="4" customWidth="1"/>
    <col min="10015" max="10015" width="3.7109375" style="4" customWidth="1"/>
    <col min="10016" max="10016" width="9.7109375" style="4" customWidth="1"/>
    <col min="10017" max="10026" width="3.7109375" style="4" customWidth="1"/>
    <col min="10027" max="10027" width="11" style="4" customWidth="1"/>
    <col min="10028" max="10030" width="8.85546875" style="4"/>
    <col min="10031" max="10031" width="21" style="4" customWidth="1"/>
    <col min="10032" max="10032" width="24.42578125" style="4" customWidth="1"/>
    <col min="10033" max="10033" width="15.28515625" style="4" customWidth="1"/>
    <col min="10034" max="10034" width="10.5703125" style="4" customWidth="1"/>
    <col min="10035" max="10035" width="11.28515625" style="4" customWidth="1"/>
    <col min="10036" max="10036" width="25" style="4" customWidth="1"/>
    <col min="10037" max="10037" width="6" style="4" customWidth="1"/>
    <col min="10038" max="10241" width="8.85546875" style="4"/>
    <col min="10242" max="10242" width="3.7109375" style="4" customWidth="1"/>
    <col min="10243" max="10243" width="2.28515625" style="4" customWidth="1"/>
    <col min="10244" max="10245" width="3.7109375" style="4" customWidth="1"/>
    <col min="10246" max="10246" width="2.28515625" style="4" customWidth="1"/>
    <col min="10247" max="10248" width="3.7109375" style="4" customWidth="1"/>
    <col min="10249" max="10249" width="2.28515625" style="4" customWidth="1"/>
    <col min="10250" max="10251" width="3.7109375" style="4" customWidth="1"/>
    <col min="10252" max="10252" width="2.28515625" style="4" customWidth="1"/>
    <col min="10253" max="10254" width="3.7109375" style="4" customWidth="1"/>
    <col min="10255" max="10255" width="2.28515625" style="4" customWidth="1"/>
    <col min="10256" max="10257" width="3.7109375" style="4" customWidth="1"/>
    <col min="10258" max="10258" width="2.28515625" style="4" customWidth="1"/>
    <col min="10259" max="10260" width="3.7109375" style="4" customWidth="1"/>
    <col min="10261" max="10261" width="2.28515625" style="4" customWidth="1"/>
    <col min="10262" max="10263" width="3.7109375" style="4" customWidth="1"/>
    <col min="10264" max="10264" width="2.28515625" style="4" customWidth="1"/>
    <col min="10265" max="10266" width="3.7109375" style="4" customWidth="1"/>
    <col min="10267" max="10267" width="2.28515625" style="4" customWidth="1"/>
    <col min="10268" max="10269" width="3.7109375" style="4" customWidth="1"/>
    <col min="10270" max="10270" width="2.28515625" style="4" customWidth="1"/>
    <col min="10271" max="10271" width="3.7109375" style="4" customWidth="1"/>
    <col min="10272" max="10272" width="9.7109375" style="4" customWidth="1"/>
    <col min="10273" max="10282" width="3.7109375" style="4" customWidth="1"/>
    <col min="10283" max="10283" width="11" style="4" customWidth="1"/>
    <col min="10284" max="10286" width="8.85546875" style="4"/>
    <col min="10287" max="10287" width="21" style="4" customWidth="1"/>
    <col min="10288" max="10288" width="24.42578125" style="4" customWidth="1"/>
    <col min="10289" max="10289" width="15.28515625" style="4" customWidth="1"/>
    <col min="10290" max="10290" width="10.5703125" style="4" customWidth="1"/>
    <col min="10291" max="10291" width="11.28515625" style="4" customWidth="1"/>
    <col min="10292" max="10292" width="25" style="4" customWidth="1"/>
    <col min="10293" max="10293" width="6" style="4" customWidth="1"/>
    <col min="10294" max="10497" width="8.85546875" style="4"/>
    <col min="10498" max="10498" width="3.7109375" style="4" customWidth="1"/>
    <col min="10499" max="10499" width="2.28515625" style="4" customWidth="1"/>
    <col min="10500" max="10501" width="3.7109375" style="4" customWidth="1"/>
    <col min="10502" max="10502" width="2.28515625" style="4" customWidth="1"/>
    <col min="10503" max="10504" width="3.7109375" style="4" customWidth="1"/>
    <col min="10505" max="10505" width="2.28515625" style="4" customWidth="1"/>
    <col min="10506" max="10507" width="3.7109375" style="4" customWidth="1"/>
    <col min="10508" max="10508" width="2.28515625" style="4" customWidth="1"/>
    <col min="10509" max="10510" width="3.7109375" style="4" customWidth="1"/>
    <col min="10511" max="10511" width="2.28515625" style="4" customWidth="1"/>
    <col min="10512" max="10513" width="3.7109375" style="4" customWidth="1"/>
    <col min="10514" max="10514" width="2.28515625" style="4" customWidth="1"/>
    <col min="10515" max="10516" width="3.7109375" style="4" customWidth="1"/>
    <col min="10517" max="10517" width="2.28515625" style="4" customWidth="1"/>
    <col min="10518" max="10519" width="3.7109375" style="4" customWidth="1"/>
    <col min="10520" max="10520" width="2.28515625" style="4" customWidth="1"/>
    <col min="10521" max="10522" width="3.7109375" style="4" customWidth="1"/>
    <col min="10523" max="10523" width="2.28515625" style="4" customWidth="1"/>
    <col min="10524" max="10525" width="3.7109375" style="4" customWidth="1"/>
    <col min="10526" max="10526" width="2.28515625" style="4" customWidth="1"/>
    <col min="10527" max="10527" width="3.7109375" style="4" customWidth="1"/>
    <col min="10528" max="10528" width="9.7109375" style="4" customWidth="1"/>
    <col min="10529" max="10538" width="3.7109375" style="4" customWidth="1"/>
    <col min="10539" max="10539" width="11" style="4" customWidth="1"/>
    <col min="10540" max="10542" width="8.85546875" style="4"/>
    <col min="10543" max="10543" width="21" style="4" customWidth="1"/>
    <col min="10544" max="10544" width="24.42578125" style="4" customWidth="1"/>
    <col min="10545" max="10545" width="15.28515625" style="4" customWidth="1"/>
    <col min="10546" max="10546" width="10.5703125" style="4" customWidth="1"/>
    <col min="10547" max="10547" width="11.28515625" style="4" customWidth="1"/>
    <col min="10548" max="10548" width="25" style="4" customWidth="1"/>
    <col min="10549" max="10549" width="6" style="4" customWidth="1"/>
    <col min="10550" max="10753" width="8.85546875" style="4"/>
    <col min="10754" max="10754" width="3.7109375" style="4" customWidth="1"/>
    <col min="10755" max="10755" width="2.28515625" style="4" customWidth="1"/>
    <col min="10756" max="10757" width="3.7109375" style="4" customWidth="1"/>
    <col min="10758" max="10758" width="2.28515625" style="4" customWidth="1"/>
    <col min="10759" max="10760" width="3.7109375" style="4" customWidth="1"/>
    <col min="10761" max="10761" width="2.28515625" style="4" customWidth="1"/>
    <col min="10762" max="10763" width="3.7109375" style="4" customWidth="1"/>
    <col min="10764" max="10764" width="2.28515625" style="4" customWidth="1"/>
    <col min="10765" max="10766" width="3.7109375" style="4" customWidth="1"/>
    <col min="10767" max="10767" width="2.28515625" style="4" customWidth="1"/>
    <col min="10768" max="10769" width="3.7109375" style="4" customWidth="1"/>
    <col min="10770" max="10770" width="2.28515625" style="4" customWidth="1"/>
    <col min="10771" max="10772" width="3.7109375" style="4" customWidth="1"/>
    <col min="10773" max="10773" width="2.28515625" style="4" customWidth="1"/>
    <col min="10774" max="10775" width="3.7109375" style="4" customWidth="1"/>
    <col min="10776" max="10776" width="2.28515625" style="4" customWidth="1"/>
    <col min="10777" max="10778" width="3.7109375" style="4" customWidth="1"/>
    <col min="10779" max="10779" width="2.28515625" style="4" customWidth="1"/>
    <col min="10780" max="10781" width="3.7109375" style="4" customWidth="1"/>
    <col min="10782" max="10782" width="2.28515625" style="4" customWidth="1"/>
    <col min="10783" max="10783" width="3.7109375" style="4" customWidth="1"/>
    <col min="10784" max="10784" width="9.7109375" style="4" customWidth="1"/>
    <col min="10785" max="10794" width="3.7109375" style="4" customWidth="1"/>
    <col min="10795" max="10795" width="11" style="4" customWidth="1"/>
    <col min="10796" max="10798" width="8.85546875" style="4"/>
    <col min="10799" max="10799" width="21" style="4" customWidth="1"/>
    <col min="10800" max="10800" width="24.42578125" style="4" customWidth="1"/>
    <col min="10801" max="10801" width="15.28515625" style="4" customWidth="1"/>
    <col min="10802" max="10802" width="10.5703125" style="4" customWidth="1"/>
    <col min="10803" max="10803" width="11.28515625" style="4" customWidth="1"/>
    <col min="10804" max="10804" width="25" style="4" customWidth="1"/>
    <col min="10805" max="10805" width="6" style="4" customWidth="1"/>
    <col min="10806" max="11009" width="8.85546875" style="4"/>
    <col min="11010" max="11010" width="3.7109375" style="4" customWidth="1"/>
    <col min="11011" max="11011" width="2.28515625" style="4" customWidth="1"/>
    <col min="11012" max="11013" width="3.7109375" style="4" customWidth="1"/>
    <col min="11014" max="11014" width="2.28515625" style="4" customWidth="1"/>
    <col min="11015" max="11016" width="3.7109375" style="4" customWidth="1"/>
    <col min="11017" max="11017" width="2.28515625" style="4" customWidth="1"/>
    <col min="11018" max="11019" width="3.7109375" style="4" customWidth="1"/>
    <col min="11020" max="11020" width="2.28515625" style="4" customWidth="1"/>
    <col min="11021" max="11022" width="3.7109375" style="4" customWidth="1"/>
    <col min="11023" max="11023" width="2.28515625" style="4" customWidth="1"/>
    <col min="11024" max="11025" width="3.7109375" style="4" customWidth="1"/>
    <col min="11026" max="11026" width="2.28515625" style="4" customWidth="1"/>
    <col min="11027" max="11028" width="3.7109375" style="4" customWidth="1"/>
    <col min="11029" max="11029" width="2.28515625" style="4" customWidth="1"/>
    <col min="11030" max="11031" width="3.7109375" style="4" customWidth="1"/>
    <col min="11032" max="11032" width="2.28515625" style="4" customWidth="1"/>
    <col min="11033" max="11034" width="3.7109375" style="4" customWidth="1"/>
    <col min="11035" max="11035" width="2.28515625" style="4" customWidth="1"/>
    <col min="11036" max="11037" width="3.7109375" style="4" customWidth="1"/>
    <col min="11038" max="11038" width="2.28515625" style="4" customWidth="1"/>
    <col min="11039" max="11039" width="3.7109375" style="4" customWidth="1"/>
    <col min="11040" max="11040" width="9.7109375" style="4" customWidth="1"/>
    <col min="11041" max="11050" width="3.7109375" style="4" customWidth="1"/>
    <col min="11051" max="11051" width="11" style="4" customWidth="1"/>
    <col min="11052" max="11054" width="8.85546875" style="4"/>
    <col min="11055" max="11055" width="21" style="4" customWidth="1"/>
    <col min="11056" max="11056" width="24.42578125" style="4" customWidth="1"/>
    <col min="11057" max="11057" width="15.28515625" style="4" customWidth="1"/>
    <col min="11058" max="11058" width="10.5703125" style="4" customWidth="1"/>
    <col min="11059" max="11059" width="11.28515625" style="4" customWidth="1"/>
    <col min="11060" max="11060" width="25" style="4" customWidth="1"/>
    <col min="11061" max="11061" width="6" style="4" customWidth="1"/>
    <col min="11062" max="11265" width="8.85546875" style="4"/>
    <col min="11266" max="11266" width="3.7109375" style="4" customWidth="1"/>
    <col min="11267" max="11267" width="2.28515625" style="4" customWidth="1"/>
    <col min="11268" max="11269" width="3.7109375" style="4" customWidth="1"/>
    <col min="11270" max="11270" width="2.28515625" style="4" customWidth="1"/>
    <col min="11271" max="11272" width="3.7109375" style="4" customWidth="1"/>
    <col min="11273" max="11273" width="2.28515625" style="4" customWidth="1"/>
    <col min="11274" max="11275" width="3.7109375" style="4" customWidth="1"/>
    <col min="11276" max="11276" width="2.28515625" style="4" customWidth="1"/>
    <col min="11277" max="11278" width="3.7109375" style="4" customWidth="1"/>
    <col min="11279" max="11279" width="2.28515625" style="4" customWidth="1"/>
    <col min="11280" max="11281" width="3.7109375" style="4" customWidth="1"/>
    <col min="11282" max="11282" width="2.28515625" style="4" customWidth="1"/>
    <col min="11283" max="11284" width="3.7109375" style="4" customWidth="1"/>
    <col min="11285" max="11285" width="2.28515625" style="4" customWidth="1"/>
    <col min="11286" max="11287" width="3.7109375" style="4" customWidth="1"/>
    <col min="11288" max="11288" width="2.28515625" style="4" customWidth="1"/>
    <col min="11289" max="11290" width="3.7109375" style="4" customWidth="1"/>
    <col min="11291" max="11291" width="2.28515625" style="4" customWidth="1"/>
    <col min="11292" max="11293" width="3.7109375" style="4" customWidth="1"/>
    <col min="11294" max="11294" width="2.28515625" style="4" customWidth="1"/>
    <col min="11295" max="11295" width="3.7109375" style="4" customWidth="1"/>
    <col min="11296" max="11296" width="9.7109375" style="4" customWidth="1"/>
    <col min="11297" max="11306" width="3.7109375" style="4" customWidth="1"/>
    <col min="11307" max="11307" width="11" style="4" customWidth="1"/>
    <col min="11308" max="11310" width="8.85546875" style="4"/>
    <col min="11311" max="11311" width="21" style="4" customWidth="1"/>
    <col min="11312" max="11312" width="24.42578125" style="4" customWidth="1"/>
    <col min="11313" max="11313" width="15.28515625" style="4" customWidth="1"/>
    <col min="11314" max="11314" width="10.5703125" style="4" customWidth="1"/>
    <col min="11315" max="11315" width="11.28515625" style="4" customWidth="1"/>
    <col min="11316" max="11316" width="25" style="4" customWidth="1"/>
    <col min="11317" max="11317" width="6" style="4" customWidth="1"/>
    <col min="11318" max="11521" width="8.85546875" style="4"/>
    <col min="11522" max="11522" width="3.7109375" style="4" customWidth="1"/>
    <col min="11523" max="11523" width="2.28515625" style="4" customWidth="1"/>
    <col min="11524" max="11525" width="3.7109375" style="4" customWidth="1"/>
    <col min="11526" max="11526" width="2.28515625" style="4" customWidth="1"/>
    <col min="11527" max="11528" width="3.7109375" style="4" customWidth="1"/>
    <col min="11529" max="11529" width="2.28515625" style="4" customWidth="1"/>
    <col min="11530" max="11531" width="3.7109375" style="4" customWidth="1"/>
    <col min="11532" max="11532" width="2.28515625" style="4" customWidth="1"/>
    <col min="11533" max="11534" width="3.7109375" style="4" customWidth="1"/>
    <col min="11535" max="11535" width="2.28515625" style="4" customWidth="1"/>
    <col min="11536" max="11537" width="3.7109375" style="4" customWidth="1"/>
    <col min="11538" max="11538" width="2.28515625" style="4" customWidth="1"/>
    <col min="11539" max="11540" width="3.7109375" style="4" customWidth="1"/>
    <col min="11541" max="11541" width="2.28515625" style="4" customWidth="1"/>
    <col min="11542" max="11543" width="3.7109375" style="4" customWidth="1"/>
    <col min="11544" max="11544" width="2.28515625" style="4" customWidth="1"/>
    <col min="11545" max="11546" width="3.7109375" style="4" customWidth="1"/>
    <col min="11547" max="11547" width="2.28515625" style="4" customWidth="1"/>
    <col min="11548" max="11549" width="3.7109375" style="4" customWidth="1"/>
    <col min="11550" max="11550" width="2.28515625" style="4" customWidth="1"/>
    <col min="11551" max="11551" width="3.7109375" style="4" customWidth="1"/>
    <col min="11552" max="11552" width="9.7109375" style="4" customWidth="1"/>
    <col min="11553" max="11562" width="3.7109375" style="4" customWidth="1"/>
    <col min="11563" max="11563" width="11" style="4" customWidth="1"/>
    <col min="11564" max="11566" width="8.85546875" style="4"/>
    <col min="11567" max="11567" width="21" style="4" customWidth="1"/>
    <col min="11568" max="11568" width="24.42578125" style="4" customWidth="1"/>
    <col min="11569" max="11569" width="15.28515625" style="4" customWidth="1"/>
    <col min="11570" max="11570" width="10.5703125" style="4" customWidth="1"/>
    <col min="11571" max="11571" width="11.28515625" style="4" customWidth="1"/>
    <col min="11572" max="11572" width="25" style="4" customWidth="1"/>
    <col min="11573" max="11573" width="6" style="4" customWidth="1"/>
    <col min="11574" max="11777" width="8.85546875" style="4"/>
    <col min="11778" max="11778" width="3.7109375" style="4" customWidth="1"/>
    <col min="11779" max="11779" width="2.28515625" style="4" customWidth="1"/>
    <col min="11780" max="11781" width="3.7109375" style="4" customWidth="1"/>
    <col min="11782" max="11782" width="2.28515625" style="4" customWidth="1"/>
    <col min="11783" max="11784" width="3.7109375" style="4" customWidth="1"/>
    <col min="11785" max="11785" width="2.28515625" style="4" customWidth="1"/>
    <col min="11786" max="11787" width="3.7109375" style="4" customWidth="1"/>
    <col min="11788" max="11788" width="2.28515625" style="4" customWidth="1"/>
    <col min="11789" max="11790" width="3.7109375" style="4" customWidth="1"/>
    <col min="11791" max="11791" width="2.28515625" style="4" customWidth="1"/>
    <col min="11792" max="11793" width="3.7109375" style="4" customWidth="1"/>
    <col min="11794" max="11794" width="2.28515625" style="4" customWidth="1"/>
    <col min="11795" max="11796" width="3.7109375" style="4" customWidth="1"/>
    <col min="11797" max="11797" width="2.28515625" style="4" customWidth="1"/>
    <col min="11798" max="11799" width="3.7109375" style="4" customWidth="1"/>
    <col min="11800" max="11800" width="2.28515625" style="4" customWidth="1"/>
    <col min="11801" max="11802" width="3.7109375" style="4" customWidth="1"/>
    <col min="11803" max="11803" width="2.28515625" style="4" customWidth="1"/>
    <col min="11804" max="11805" width="3.7109375" style="4" customWidth="1"/>
    <col min="11806" max="11806" width="2.28515625" style="4" customWidth="1"/>
    <col min="11807" max="11807" width="3.7109375" style="4" customWidth="1"/>
    <col min="11808" max="11808" width="9.7109375" style="4" customWidth="1"/>
    <col min="11809" max="11818" width="3.7109375" style="4" customWidth="1"/>
    <col min="11819" max="11819" width="11" style="4" customWidth="1"/>
    <col min="11820" max="11822" width="8.85546875" style="4"/>
    <col min="11823" max="11823" width="21" style="4" customWidth="1"/>
    <col min="11824" max="11824" width="24.42578125" style="4" customWidth="1"/>
    <col min="11825" max="11825" width="15.28515625" style="4" customWidth="1"/>
    <col min="11826" max="11826" width="10.5703125" style="4" customWidth="1"/>
    <col min="11827" max="11827" width="11.28515625" style="4" customWidth="1"/>
    <col min="11828" max="11828" width="25" style="4" customWidth="1"/>
    <col min="11829" max="11829" width="6" style="4" customWidth="1"/>
    <col min="11830" max="12033" width="8.85546875" style="4"/>
    <col min="12034" max="12034" width="3.7109375" style="4" customWidth="1"/>
    <col min="12035" max="12035" width="2.28515625" style="4" customWidth="1"/>
    <col min="12036" max="12037" width="3.7109375" style="4" customWidth="1"/>
    <col min="12038" max="12038" width="2.28515625" style="4" customWidth="1"/>
    <col min="12039" max="12040" width="3.7109375" style="4" customWidth="1"/>
    <col min="12041" max="12041" width="2.28515625" style="4" customWidth="1"/>
    <col min="12042" max="12043" width="3.7109375" style="4" customWidth="1"/>
    <col min="12044" max="12044" width="2.28515625" style="4" customWidth="1"/>
    <col min="12045" max="12046" width="3.7109375" style="4" customWidth="1"/>
    <col min="12047" max="12047" width="2.28515625" style="4" customWidth="1"/>
    <col min="12048" max="12049" width="3.7109375" style="4" customWidth="1"/>
    <col min="12050" max="12050" width="2.28515625" style="4" customWidth="1"/>
    <col min="12051" max="12052" width="3.7109375" style="4" customWidth="1"/>
    <col min="12053" max="12053" width="2.28515625" style="4" customWidth="1"/>
    <col min="12054" max="12055" width="3.7109375" style="4" customWidth="1"/>
    <col min="12056" max="12056" width="2.28515625" style="4" customWidth="1"/>
    <col min="12057" max="12058" width="3.7109375" style="4" customWidth="1"/>
    <col min="12059" max="12059" width="2.28515625" style="4" customWidth="1"/>
    <col min="12060" max="12061" width="3.7109375" style="4" customWidth="1"/>
    <col min="12062" max="12062" width="2.28515625" style="4" customWidth="1"/>
    <col min="12063" max="12063" width="3.7109375" style="4" customWidth="1"/>
    <col min="12064" max="12064" width="9.7109375" style="4" customWidth="1"/>
    <col min="12065" max="12074" width="3.7109375" style="4" customWidth="1"/>
    <col min="12075" max="12075" width="11" style="4" customWidth="1"/>
    <col min="12076" max="12078" width="8.85546875" style="4"/>
    <col min="12079" max="12079" width="21" style="4" customWidth="1"/>
    <col min="12080" max="12080" width="24.42578125" style="4" customWidth="1"/>
    <col min="12081" max="12081" width="15.28515625" style="4" customWidth="1"/>
    <col min="12082" max="12082" width="10.5703125" style="4" customWidth="1"/>
    <col min="12083" max="12083" width="11.28515625" style="4" customWidth="1"/>
    <col min="12084" max="12084" width="25" style="4" customWidth="1"/>
    <col min="12085" max="12085" width="6" style="4" customWidth="1"/>
    <col min="12086" max="12289" width="8.85546875" style="4"/>
    <col min="12290" max="12290" width="3.7109375" style="4" customWidth="1"/>
    <col min="12291" max="12291" width="2.28515625" style="4" customWidth="1"/>
    <col min="12292" max="12293" width="3.7109375" style="4" customWidth="1"/>
    <col min="12294" max="12294" width="2.28515625" style="4" customWidth="1"/>
    <col min="12295" max="12296" width="3.7109375" style="4" customWidth="1"/>
    <col min="12297" max="12297" width="2.28515625" style="4" customWidth="1"/>
    <col min="12298" max="12299" width="3.7109375" style="4" customWidth="1"/>
    <col min="12300" max="12300" width="2.28515625" style="4" customWidth="1"/>
    <col min="12301" max="12302" width="3.7109375" style="4" customWidth="1"/>
    <col min="12303" max="12303" width="2.28515625" style="4" customWidth="1"/>
    <col min="12304" max="12305" width="3.7109375" style="4" customWidth="1"/>
    <col min="12306" max="12306" width="2.28515625" style="4" customWidth="1"/>
    <col min="12307" max="12308" width="3.7109375" style="4" customWidth="1"/>
    <col min="12309" max="12309" width="2.28515625" style="4" customWidth="1"/>
    <col min="12310" max="12311" width="3.7109375" style="4" customWidth="1"/>
    <col min="12312" max="12312" width="2.28515625" style="4" customWidth="1"/>
    <col min="12313" max="12314" width="3.7109375" style="4" customWidth="1"/>
    <col min="12315" max="12315" width="2.28515625" style="4" customWidth="1"/>
    <col min="12316" max="12317" width="3.7109375" style="4" customWidth="1"/>
    <col min="12318" max="12318" width="2.28515625" style="4" customWidth="1"/>
    <col min="12319" max="12319" width="3.7109375" style="4" customWidth="1"/>
    <col min="12320" max="12320" width="9.7109375" style="4" customWidth="1"/>
    <col min="12321" max="12330" width="3.7109375" style="4" customWidth="1"/>
    <col min="12331" max="12331" width="11" style="4" customWidth="1"/>
    <col min="12332" max="12334" width="8.85546875" style="4"/>
    <col min="12335" max="12335" width="21" style="4" customWidth="1"/>
    <col min="12336" max="12336" width="24.42578125" style="4" customWidth="1"/>
    <col min="12337" max="12337" width="15.28515625" style="4" customWidth="1"/>
    <col min="12338" max="12338" width="10.5703125" style="4" customWidth="1"/>
    <col min="12339" max="12339" width="11.28515625" style="4" customWidth="1"/>
    <col min="12340" max="12340" width="25" style="4" customWidth="1"/>
    <col min="12341" max="12341" width="6" style="4" customWidth="1"/>
    <col min="12342" max="12545" width="8.85546875" style="4"/>
    <col min="12546" max="12546" width="3.7109375" style="4" customWidth="1"/>
    <col min="12547" max="12547" width="2.28515625" style="4" customWidth="1"/>
    <col min="12548" max="12549" width="3.7109375" style="4" customWidth="1"/>
    <col min="12550" max="12550" width="2.28515625" style="4" customWidth="1"/>
    <col min="12551" max="12552" width="3.7109375" style="4" customWidth="1"/>
    <col min="12553" max="12553" width="2.28515625" style="4" customWidth="1"/>
    <col min="12554" max="12555" width="3.7109375" style="4" customWidth="1"/>
    <col min="12556" max="12556" width="2.28515625" style="4" customWidth="1"/>
    <col min="12557" max="12558" width="3.7109375" style="4" customWidth="1"/>
    <col min="12559" max="12559" width="2.28515625" style="4" customWidth="1"/>
    <col min="12560" max="12561" width="3.7109375" style="4" customWidth="1"/>
    <col min="12562" max="12562" width="2.28515625" style="4" customWidth="1"/>
    <col min="12563" max="12564" width="3.7109375" style="4" customWidth="1"/>
    <col min="12565" max="12565" width="2.28515625" style="4" customWidth="1"/>
    <col min="12566" max="12567" width="3.7109375" style="4" customWidth="1"/>
    <col min="12568" max="12568" width="2.28515625" style="4" customWidth="1"/>
    <col min="12569" max="12570" width="3.7109375" style="4" customWidth="1"/>
    <col min="12571" max="12571" width="2.28515625" style="4" customWidth="1"/>
    <col min="12572" max="12573" width="3.7109375" style="4" customWidth="1"/>
    <col min="12574" max="12574" width="2.28515625" style="4" customWidth="1"/>
    <col min="12575" max="12575" width="3.7109375" style="4" customWidth="1"/>
    <col min="12576" max="12576" width="9.7109375" style="4" customWidth="1"/>
    <col min="12577" max="12586" width="3.7109375" style="4" customWidth="1"/>
    <col min="12587" max="12587" width="11" style="4" customWidth="1"/>
    <col min="12588" max="12590" width="8.85546875" style="4"/>
    <col min="12591" max="12591" width="21" style="4" customWidth="1"/>
    <col min="12592" max="12592" width="24.42578125" style="4" customWidth="1"/>
    <col min="12593" max="12593" width="15.28515625" style="4" customWidth="1"/>
    <col min="12594" max="12594" width="10.5703125" style="4" customWidth="1"/>
    <col min="12595" max="12595" width="11.28515625" style="4" customWidth="1"/>
    <col min="12596" max="12596" width="25" style="4" customWidth="1"/>
    <col min="12597" max="12597" width="6" style="4" customWidth="1"/>
    <col min="12598" max="12801" width="8.85546875" style="4"/>
    <col min="12802" max="12802" width="3.7109375" style="4" customWidth="1"/>
    <col min="12803" max="12803" width="2.28515625" style="4" customWidth="1"/>
    <col min="12804" max="12805" width="3.7109375" style="4" customWidth="1"/>
    <col min="12806" max="12806" width="2.28515625" style="4" customWidth="1"/>
    <col min="12807" max="12808" width="3.7109375" style="4" customWidth="1"/>
    <col min="12809" max="12809" width="2.28515625" style="4" customWidth="1"/>
    <col min="12810" max="12811" width="3.7109375" style="4" customWidth="1"/>
    <col min="12812" max="12812" width="2.28515625" style="4" customWidth="1"/>
    <col min="12813" max="12814" width="3.7109375" style="4" customWidth="1"/>
    <col min="12815" max="12815" width="2.28515625" style="4" customWidth="1"/>
    <col min="12816" max="12817" width="3.7109375" style="4" customWidth="1"/>
    <col min="12818" max="12818" width="2.28515625" style="4" customWidth="1"/>
    <col min="12819" max="12820" width="3.7109375" style="4" customWidth="1"/>
    <col min="12821" max="12821" width="2.28515625" style="4" customWidth="1"/>
    <col min="12822" max="12823" width="3.7109375" style="4" customWidth="1"/>
    <col min="12824" max="12824" width="2.28515625" style="4" customWidth="1"/>
    <col min="12825" max="12826" width="3.7109375" style="4" customWidth="1"/>
    <col min="12827" max="12827" width="2.28515625" style="4" customWidth="1"/>
    <col min="12828" max="12829" width="3.7109375" style="4" customWidth="1"/>
    <col min="12830" max="12830" width="2.28515625" style="4" customWidth="1"/>
    <col min="12831" max="12831" width="3.7109375" style="4" customWidth="1"/>
    <col min="12832" max="12832" width="9.7109375" style="4" customWidth="1"/>
    <col min="12833" max="12842" width="3.7109375" style="4" customWidth="1"/>
    <col min="12843" max="12843" width="11" style="4" customWidth="1"/>
    <col min="12844" max="12846" width="8.85546875" style="4"/>
    <col min="12847" max="12847" width="21" style="4" customWidth="1"/>
    <col min="12848" max="12848" width="24.42578125" style="4" customWidth="1"/>
    <col min="12849" max="12849" width="15.28515625" style="4" customWidth="1"/>
    <col min="12850" max="12850" width="10.5703125" style="4" customWidth="1"/>
    <col min="12851" max="12851" width="11.28515625" style="4" customWidth="1"/>
    <col min="12852" max="12852" width="25" style="4" customWidth="1"/>
    <col min="12853" max="12853" width="6" style="4" customWidth="1"/>
    <col min="12854" max="13057" width="8.85546875" style="4"/>
    <col min="13058" max="13058" width="3.7109375" style="4" customWidth="1"/>
    <col min="13059" max="13059" width="2.28515625" style="4" customWidth="1"/>
    <col min="13060" max="13061" width="3.7109375" style="4" customWidth="1"/>
    <col min="13062" max="13062" width="2.28515625" style="4" customWidth="1"/>
    <col min="13063" max="13064" width="3.7109375" style="4" customWidth="1"/>
    <col min="13065" max="13065" width="2.28515625" style="4" customWidth="1"/>
    <col min="13066" max="13067" width="3.7109375" style="4" customWidth="1"/>
    <col min="13068" max="13068" width="2.28515625" style="4" customWidth="1"/>
    <col min="13069" max="13070" width="3.7109375" style="4" customWidth="1"/>
    <col min="13071" max="13071" width="2.28515625" style="4" customWidth="1"/>
    <col min="13072" max="13073" width="3.7109375" style="4" customWidth="1"/>
    <col min="13074" max="13074" width="2.28515625" style="4" customWidth="1"/>
    <col min="13075" max="13076" width="3.7109375" style="4" customWidth="1"/>
    <col min="13077" max="13077" width="2.28515625" style="4" customWidth="1"/>
    <col min="13078" max="13079" width="3.7109375" style="4" customWidth="1"/>
    <col min="13080" max="13080" width="2.28515625" style="4" customWidth="1"/>
    <col min="13081" max="13082" width="3.7109375" style="4" customWidth="1"/>
    <col min="13083" max="13083" width="2.28515625" style="4" customWidth="1"/>
    <col min="13084" max="13085" width="3.7109375" style="4" customWidth="1"/>
    <col min="13086" max="13086" width="2.28515625" style="4" customWidth="1"/>
    <col min="13087" max="13087" width="3.7109375" style="4" customWidth="1"/>
    <col min="13088" max="13088" width="9.7109375" style="4" customWidth="1"/>
    <col min="13089" max="13098" width="3.7109375" style="4" customWidth="1"/>
    <col min="13099" max="13099" width="11" style="4" customWidth="1"/>
    <col min="13100" max="13102" width="8.85546875" style="4"/>
    <col min="13103" max="13103" width="21" style="4" customWidth="1"/>
    <col min="13104" max="13104" width="24.42578125" style="4" customWidth="1"/>
    <col min="13105" max="13105" width="15.28515625" style="4" customWidth="1"/>
    <col min="13106" max="13106" width="10.5703125" style="4" customWidth="1"/>
    <col min="13107" max="13107" width="11.28515625" style="4" customWidth="1"/>
    <col min="13108" max="13108" width="25" style="4" customWidth="1"/>
    <col min="13109" max="13109" width="6" style="4" customWidth="1"/>
    <col min="13110" max="13313" width="8.85546875" style="4"/>
    <col min="13314" max="13314" width="3.7109375" style="4" customWidth="1"/>
    <col min="13315" max="13315" width="2.28515625" style="4" customWidth="1"/>
    <col min="13316" max="13317" width="3.7109375" style="4" customWidth="1"/>
    <col min="13318" max="13318" width="2.28515625" style="4" customWidth="1"/>
    <col min="13319" max="13320" width="3.7109375" style="4" customWidth="1"/>
    <col min="13321" max="13321" width="2.28515625" style="4" customWidth="1"/>
    <col min="13322" max="13323" width="3.7109375" style="4" customWidth="1"/>
    <col min="13324" max="13324" width="2.28515625" style="4" customWidth="1"/>
    <col min="13325" max="13326" width="3.7109375" style="4" customWidth="1"/>
    <col min="13327" max="13327" width="2.28515625" style="4" customWidth="1"/>
    <col min="13328" max="13329" width="3.7109375" style="4" customWidth="1"/>
    <col min="13330" max="13330" width="2.28515625" style="4" customWidth="1"/>
    <col min="13331" max="13332" width="3.7109375" style="4" customWidth="1"/>
    <col min="13333" max="13333" width="2.28515625" style="4" customWidth="1"/>
    <col min="13334" max="13335" width="3.7109375" style="4" customWidth="1"/>
    <col min="13336" max="13336" width="2.28515625" style="4" customWidth="1"/>
    <col min="13337" max="13338" width="3.7109375" style="4" customWidth="1"/>
    <col min="13339" max="13339" width="2.28515625" style="4" customWidth="1"/>
    <col min="13340" max="13341" width="3.7109375" style="4" customWidth="1"/>
    <col min="13342" max="13342" width="2.28515625" style="4" customWidth="1"/>
    <col min="13343" max="13343" width="3.7109375" style="4" customWidth="1"/>
    <col min="13344" max="13344" width="9.7109375" style="4" customWidth="1"/>
    <col min="13345" max="13354" width="3.7109375" style="4" customWidth="1"/>
    <col min="13355" max="13355" width="11" style="4" customWidth="1"/>
    <col min="13356" max="13358" width="8.85546875" style="4"/>
    <col min="13359" max="13359" width="21" style="4" customWidth="1"/>
    <col min="13360" max="13360" width="24.42578125" style="4" customWidth="1"/>
    <col min="13361" max="13361" width="15.28515625" style="4" customWidth="1"/>
    <col min="13362" max="13362" width="10.5703125" style="4" customWidth="1"/>
    <col min="13363" max="13363" width="11.28515625" style="4" customWidth="1"/>
    <col min="13364" max="13364" width="25" style="4" customWidth="1"/>
    <col min="13365" max="13365" width="6" style="4" customWidth="1"/>
    <col min="13366" max="13569" width="8.85546875" style="4"/>
    <col min="13570" max="13570" width="3.7109375" style="4" customWidth="1"/>
    <col min="13571" max="13571" width="2.28515625" style="4" customWidth="1"/>
    <col min="13572" max="13573" width="3.7109375" style="4" customWidth="1"/>
    <col min="13574" max="13574" width="2.28515625" style="4" customWidth="1"/>
    <col min="13575" max="13576" width="3.7109375" style="4" customWidth="1"/>
    <col min="13577" max="13577" width="2.28515625" style="4" customWidth="1"/>
    <col min="13578" max="13579" width="3.7109375" style="4" customWidth="1"/>
    <col min="13580" max="13580" width="2.28515625" style="4" customWidth="1"/>
    <col min="13581" max="13582" width="3.7109375" style="4" customWidth="1"/>
    <col min="13583" max="13583" width="2.28515625" style="4" customWidth="1"/>
    <col min="13584" max="13585" width="3.7109375" style="4" customWidth="1"/>
    <col min="13586" max="13586" width="2.28515625" style="4" customWidth="1"/>
    <col min="13587" max="13588" width="3.7109375" style="4" customWidth="1"/>
    <col min="13589" max="13589" width="2.28515625" style="4" customWidth="1"/>
    <col min="13590" max="13591" width="3.7109375" style="4" customWidth="1"/>
    <col min="13592" max="13592" width="2.28515625" style="4" customWidth="1"/>
    <col min="13593" max="13594" width="3.7109375" style="4" customWidth="1"/>
    <col min="13595" max="13595" width="2.28515625" style="4" customWidth="1"/>
    <col min="13596" max="13597" width="3.7109375" style="4" customWidth="1"/>
    <col min="13598" max="13598" width="2.28515625" style="4" customWidth="1"/>
    <col min="13599" max="13599" width="3.7109375" style="4" customWidth="1"/>
    <col min="13600" max="13600" width="9.7109375" style="4" customWidth="1"/>
    <col min="13601" max="13610" width="3.7109375" style="4" customWidth="1"/>
    <col min="13611" max="13611" width="11" style="4" customWidth="1"/>
    <col min="13612" max="13614" width="8.85546875" style="4"/>
    <col min="13615" max="13615" width="21" style="4" customWidth="1"/>
    <col min="13616" max="13616" width="24.42578125" style="4" customWidth="1"/>
    <col min="13617" max="13617" width="15.28515625" style="4" customWidth="1"/>
    <col min="13618" max="13618" width="10.5703125" style="4" customWidth="1"/>
    <col min="13619" max="13619" width="11.28515625" style="4" customWidth="1"/>
    <col min="13620" max="13620" width="25" style="4" customWidth="1"/>
    <col min="13621" max="13621" width="6" style="4" customWidth="1"/>
    <col min="13622" max="13825" width="8.85546875" style="4"/>
    <col min="13826" max="13826" width="3.7109375" style="4" customWidth="1"/>
    <col min="13827" max="13827" width="2.28515625" style="4" customWidth="1"/>
    <col min="13828" max="13829" width="3.7109375" style="4" customWidth="1"/>
    <col min="13830" max="13830" width="2.28515625" style="4" customWidth="1"/>
    <col min="13831" max="13832" width="3.7109375" style="4" customWidth="1"/>
    <col min="13833" max="13833" width="2.28515625" style="4" customWidth="1"/>
    <col min="13834" max="13835" width="3.7109375" style="4" customWidth="1"/>
    <col min="13836" max="13836" width="2.28515625" style="4" customWidth="1"/>
    <col min="13837" max="13838" width="3.7109375" style="4" customWidth="1"/>
    <col min="13839" max="13839" width="2.28515625" style="4" customWidth="1"/>
    <col min="13840" max="13841" width="3.7109375" style="4" customWidth="1"/>
    <col min="13842" max="13842" width="2.28515625" style="4" customWidth="1"/>
    <col min="13843" max="13844" width="3.7109375" style="4" customWidth="1"/>
    <col min="13845" max="13845" width="2.28515625" style="4" customWidth="1"/>
    <col min="13846" max="13847" width="3.7109375" style="4" customWidth="1"/>
    <col min="13848" max="13848" width="2.28515625" style="4" customWidth="1"/>
    <col min="13849" max="13850" width="3.7109375" style="4" customWidth="1"/>
    <col min="13851" max="13851" width="2.28515625" style="4" customWidth="1"/>
    <col min="13852" max="13853" width="3.7109375" style="4" customWidth="1"/>
    <col min="13854" max="13854" width="2.28515625" style="4" customWidth="1"/>
    <col min="13855" max="13855" width="3.7109375" style="4" customWidth="1"/>
    <col min="13856" max="13856" width="9.7109375" style="4" customWidth="1"/>
    <col min="13857" max="13866" width="3.7109375" style="4" customWidth="1"/>
    <col min="13867" max="13867" width="11" style="4" customWidth="1"/>
    <col min="13868" max="13870" width="8.85546875" style="4"/>
    <col min="13871" max="13871" width="21" style="4" customWidth="1"/>
    <col min="13872" max="13872" width="24.42578125" style="4" customWidth="1"/>
    <col min="13873" max="13873" width="15.28515625" style="4" customWidth="1"/>
    <col min="13874" max="13874" width="10.5703125" style="4" customWidth="1"/>
    <col min="13875" max="13875" width="11.28515625" style="4" customWidth="1"/>
    <col min="13876" max="13876" width="25" style="4" customWidth="1"/>
    <col min="13877" max="13877" width="6" style="4" customWidth="1"/>
    <col min="13878" max="14081" width="8.85546875" style="4"/>
    <col min="14082" max="14082" width="3.7109375" style="4" customWidth="1"/>
    <col min="14083" max="14083" width="2.28515625" style="4" customWidth="1"/>
    <col min="14084" max="14085" width="3.7109375" style="4" customWidth="1"/>
    <col min="14086" max="14086" width="2.28515625" style="4" customWidth="1"/>
    <col min="14087" max="14088" width="3.7109375" style="4" customWidth="1"/>
    <col min="14089" max="14089" width="2.28515625" style="4" customWidth="1"/>
    <col min="14090" max="14091" width="3.7109375" style="4" customWidth="1"/>
    <col min="14092" max="14092" width="2.28515625" style="4" customWidth="1"/>
    <col min="14093" max="14094" width="3.7109375" style="4" customWidth="1"/>
    <col min="14095" max="14095" width="2.28515625" style="4" customWidth="1"/>
    <col min="14096" max="14097" width="3.7109375" style="4" customWidth="1"/>
    <col min="14098" max="14098" width="2.28515625" style="4" customWidth="1"/>
    <col min="14099" max="14100" width="3.7109375" style="4" customWidth="1"/>
    <col min="14101" max="14101" width="2.28515625" style="4" customWidth="1"/>
    <col min="14102" max="14103" width="3.7109375" style="4" customWidth="1"/>
    <col min="14104" max="14104" width="2.28515625" style="4" customWidth="1"/>
    <col min="14105" max="14106" width="3.7109375" style="4" customWidth="1"/>
    <col min="14107" max="14107" width="2.28515625" style="4" customWidth="1"/>
    <col min="14108" max="14109" width="3.7109375" style="4" customWidth="1"/>
    <col min="14110" max="14110" width="2.28515625" style="4" customWidth="1"/>
    <col min="14111" max="14111" width="3.7109375" style="4" customWidth="1"/>
    <col min="14112" max="14112" width="9.7109375" style="4" customWidth="1"/>
    <col min="14113" max="14122" width="3.7109375" style="4" customWidth="1"/>
    <col min="14123" max="14123" width="11" style="4" customWidth="1"/>
    <col min="14124" max="14126" width="8.85546875" style="4"/>
    <col min="14127" max="14127" width="21" style="4" customWidth="1"/>
    <col min="14128" max="14128" width="24.42578125" style="4" customWidth="1"/>
    <col min="14129" max="14129" width="15.28515625" style="4" customWidth="1"/>
    <col min="14130" max="14130" width="10.5703125" style="4" customWidth="1"/>
    <col min="14131" max="14131" width="11.28515625" style="4" customWidth="1"/>
    <col min="14132" max="14132" width="25" style="4" customWidth="1"/>
    <col min="14133" max="14133" width="6" style="4" customWidth="1"/>
    <col min="14134" max="14337" width="8.85546875" style="4"/>
    <col min="14338" max="14338" width="3.7109375" style="4" customWidth="1"/>
    <col min="14339" max="14339" width="2.28515625" style="4" customWidth="1"/>
    <col min="14340" max="14341" width="3.7109375" style="4" customWidth="1"/>
    <col min="14342" max="14342" width="2.28515625" style="4" customWidth="1"/>
    <col min="14343" max="14344" width="3.7109375" style="4" customWidth="1"/>
    <col min="14345" max="14345" width="2.28515625" style="4" customWidth="1"/>
    <col min="14346" max="14347" width="3.7109375" style="4" customWidth="1"/>
    <col min="14348" max="14348" width="2.28515625" style="4" customWidth="1"/>
    <col min="14349" max="14350" width="3.7109375" style="4" customWidth="1"/>
    <col min="14351" max="14351" width="2.28515625" style="4" customWidth="1"/>
    <col min="14352" max="14353" width="3.7109375" style="4" customWidth="1"/>
    <col min="14354" max="14354" width="2.28515625" style="4" customWidth="1"/>
    <col min="14355" max="14356" width="3.7109375" style="4" customWidth="1"/>
    <col min="14357" max="14357" width="2.28515625" style="4" customWidth="1"/>
    <col min="14358" max="14359" width="3.7109375" style="4" customWidth="1"/>
    <col min="14360" max="14360" width="2.28515625" style="4" customWidth="1"/>
    <col min="14361" max="14362" width="3.7109375" style="4" customWidth="1"/>
    <col min="14363" max="14363" width="2.28515625" style="4" customWidth="1"/>
    <col min="14364" max="14365" width="3.7109375" style="4" customWidth="1"/>
    <col min="14366" max="14366" width="2.28515625" style="4" customWidth="1"/>
    <col min="14367" max="14367" width="3.7109375" style="4" customWidth="1"/>
    <col min="14368" max="14368" width="9.7109375" style="4" customWidth="1"/>
    <col min="14369" max="14378" width="3.7109375" style="4" customWidth="1"/>
    <col min="14379" max="14379" width="11" style="4" customWidth="1"/>
    <col min="14380" max="14382" width="8.85546875" style="4"/>
    <col min="14383" max="14383" width="21" style="4" customWidth="1"/>
    <col min="14384" max="14384" width="24.42578125" style="4" customWidth="1"/>
    <col min="14385" max="14385" width="15.28515625" style="4" customWidth="1"/>
    <col min="14386" max="14386" width="10.5703125" style="4" customWidth="1"/>
    <col min="14387" max="14387" width="11.28515625" style="4" customWidth="1"/>
    <col min="14388" max="14388" width="25" style="4" customWidth="1"/>
    <col min="14389" max="14389" width="6" style="4" customWidth="1"/>
    <col min="14390" max="14593" width="8.85546875" style="4"/>
    <col min="14594" max="14594" width="3.7109375" style="4" customWidth="1"/>
    <col min="14595" max="14595" width="2.28515625" style="4" customWidth="1"/>
    <col min="14596" max="14597" width="3.7109375" style="4" customWidth="1"/>
    <col min="14598" max="14598" width="2.28515625" style="4" customWidth="1"/>
    <col min="14599" max="14600" width="3.7109375" style="4" customWidth="1"/>
    <col min="14601" max="14601" width="2.28515625" style="4" customWidth="1"/>
    <col min="14602" max="14603" width="3.7109375" style="4" customWidth="1"/>
    <col min="14604" max="14604" width="2.28515625" style="4" customWidth="1"/>
    <col min="14605" max="14606" width="3.7109375" style="4" customWidth="1"/>
    <col min="14607" max="14607" width="2.28515625" style="4" customWidth="1"/>
    <col min="14608" max="14609" width="3.7109375" style="4" customWidth="1"/>
    <col min="14610" max="14610" width="2.28515625" style="4" customWidth="1"/>
    <col min="14611" max="14612" width="3.7109375" style="4" customWidth="1"/>
    <col min="14613" max="14613" width="2.28515625" style="4" customWidth="1"/>
    <col min="14614" max="14615" width="3.7109375" style="4" customWidth="1"/>
    <col min="14616" max="14616" width="2.28515625" style="4" customWidth="1"/>
    <col min="14617" max="14618" width="3.7109375" style="4" customWidth="1"/>
    <col min="14619" max="14619" width="2.28515625" style="4" customWidth="1"/>
    <col min="14620" max="14621" width="3.7109375" style="4" customWidth="1"/>
    <col min="14622" max="14622" width="2.28515625" style="4" customWidth="1"/>
    <col min="14623" max="14623" width="3.7109375" style="4" customWidth="1"/>
    <col min="14624" max="14624" width="9.7109375" style="4" customWidth="1"/>
    <col min="14625" max="14634" width="3.7109375" style="4" customWidth="1"/>
    <col min="14635" max="14635" width="11" style="4" customWidth="1"/>
    <col min="14636" max="14638" width="8.85546875" style="4"/>
    <col min="14639" max="14639" width="21" style="4" customWidth="1"/>
    <col min="14640" max="14640" width="24.42578125" style="4" customWidth="1"/>
    <col min="14641" max="14641" width="15.28515625" style="4" customWidth="1"/>
    <col min="14642" max="14642" width="10.5703125" style="4" customWidth="1"/>
    <col min="14643" max="14643" width="11.28515625" style="4" customWidth="1"/>
    <col min="14644" max="14644" width="25" style="4" customWidth="1"/>
    <col min="14645" max="14645" width="6" style="4" customWidth="1"/>
    <col min="14646" max="14849" width="8.85546875" style="4"/>
    <col min="14850" max="14850" width="3.7109375" style="4" customWidth="1"/>
    <col min="14851" max="14851" width="2.28515625" style="4" customWidth="1"/>
    <col min="14852" max="14853" width="3.7109375" style="4" customWidth="1"/>
    <col min="14854" max="14854" width="2.28515625" style="4" customWidth="1"/>
    <col min="14855" max="14856" width="3.7109375" style="4" customWidth="1"/>
    <col min="14857" max="14857" width="2.28515625" style="4" customWidth="1"/>
    <col min="14858" max="14859" width="3.7109375" style="4" customWidth="1"/>
    <col min="14860" max="14860" width="2.28515625" style="4" customWidth="1"/>
    <col min="14861" max="14862" width="3.7109375" style="4" customWidth="1"/>
    <col min="14863" max="14863" width="2.28515625" style="4" customWidth="1"/>
    <col min="14864" max="14865" width="3.7109375" style="4" customWidth="1"/>
    <col min="14866" max="14866" width="2.28515625" style="4" customWidth="1"/>
    <col min="14867" max="14868" width="3.7109375" style="4" customWidth="1"/>
    <col min="14869" max="14869" width="2.28515625" style="4" customWidth="1"/>
    <col min="14870" max="14871" width="3.7109375" style="4" customWidth="1"/>
    <col min="14872" max="14872" width="2.28515625" style="4" customWidth="1"/>
    <col min="14873" max="14874" width="3.7109375" style="4" customWidth="1"/>
    <col min="14875" max="14875" width="2.28515625" style="4" customWidth="1"/>
    <col min="14876" max="14877" width="3.7109375" style="4" customWidth="1"/>
    <col min="14878" max="14878" width="2.28515625" style="4" customWidth="1"/>
    <col min="14879" max="14879" width="3.7109375" style="4" customWidth="1"/>
    <col min="14880" max="14880" width="9.7109375" style="4" customWidth="1"/>
    <col min="14881" max="14890" width="3.7109375" style="4" customWidth="1"/>
    <col min="14891" max="14891" width="11" style="4" customWidth="1"/>
    <col min="14892" max="14894" width="8.85546875" style="4"/>
    <col min="14895" max="14895" width="21" style="4" customWidth="1"/>
    <col min="14896" max="14896" width="24.42578125" style="4" customWidth="1"/>
    <col min="14897" max="14897" width="15.28515625" style="4" customWidth="1"/>
    <col min="14898" max="14898" width="10.5703125" style="4" customWidth="1"/>
    <col min="14899" max="14899" width="11.28515625" style="4" customWidth="1"/>
    <col min="14900" max="14900" width="25" style="4" customWidth="1"/>
    <col min="14901" max="14901" width="6" style="4" customWidth="1"/>
    <col min="14902" max="15105" width="8.85546875" style="4"/>
    <col min="15106" max="15106" width="3.7109375" style="4" customWidth="1"/>
    <col min="15107" max="15107" width="2.28515625" style="4" customWidth="1"/>
    <col min="15108" max="15109" width="3.7109375" style="4" customWidth="1"/>
    <col min="15110" max="15110" width="2.28515625" style="4" customWidth="1"/>
    <col min="15111" max="15112" width="3.7109375" style="4" customWidth="1"/>
    <col min="15113" max="15113" width="2.28515625" style="4" customWidth="1"/>
    <col min="15114" max="15115" width="3.7109375" style="4" customWidth="1"/>
    <col min="15116" max="15116" width="2.28515625" style="4" customWidth="1"/>
    <col min="15117" max="15118" width="3.7109375" style="4" customWidth="1"/>
    <col min="15119" max="15119" width="2.28515625" style="4" customWidth="1"/>
    <col min="15120" max="15121" width="3.7109375" style="4" customWidth="1"/>
    <col min="15122" max="15122" width="2.28515625" style="4" customWidth="1"/>
    <col min="15123" max="15124" width="3.7109375" style="4" customWidth="1"/>
    <col min="15125" max="15125" width="2.28515625" style="4" customWidth="1"/>
    <col min="15126" max="15127" width="3.7109375" style="4" customWidth="1"/>
    <col min="15128" max="15128" width="2.28515625" style="4" customWidth="1"/>
    <col min="15129" max="15130" width="3.7109375" style="4" customWidth="1"/>
    <col min="15131" max="15131" width="2.28515625" style="4" customWidth="1"/>
    <col min="15132" max="15133" width="3.7109375" style="4" customWidth="1"/>
    <col min="15134" max="15134" width="2.28515625" style="4" customWidth="1"/>
    <col min="15135" max="15135" width="3.7109375" style="4" customWidth="1"/>
    <col min="15136" max="15136" width="9.7109375" style="4" customWidth="1"/>
    <col min="15137" max="15146" width="3.7109375" style="4" customWidth="1"/>
    <col min="15147" max="15147" width="11" style="4" customWidth="1"/>
    <col min="15148" max="15150" width="8.85546875" style="4"/>
    <col min="15151" max="15151" width="21" style="4" customWidth="1"/>
    <col min="15152" max="15152" width="24.42578125" style="4" customWidth="1"/>
    <col min="15153" max="15153" width="15.28515625" style="4" customWidth="1"/>
    <col min="15154" max="15154" width="10.5703125" style="4" customWidth="1"/>
    <col min="15155" max="15155" width="11.28515625" style="4" customWidth="1"/>
    <col min="15156" max="15156" width="25" style="4" customWidth="1"/>
    <col min="15157" max="15157" width="6" style="4" customWidth="1"/>
    <col min="15158" max="15361" width="8.85546875" style="4"/>
    <col min="15362" max="15362" width="3.7109375" style="4" customWidth="1"/>
    <col min="15363" max="15363" width="2.28515625" style="4" customWidth="1"/>
    <col min="15364" max="15365" width="3.7109375" style="4" customWidth="1"/>
    <col min="15366" max="15366" width="2.28515625" style="4" customWidth="1"/>
    <col min="15367" max="15368" width="3.7109375" style="4" customWidth="1"/>
    <col min="15369" max="15369" width="2.28515625" style="4" customWidth="1"/>
    <col min="15370" max="15371" width="3.7109375" style="4" customWidth="1"/>
    <col min="15372" max="15372" width="2.28515625" style="4" customWidth="1"/>
    <col min="15373" max="15374" width="3.7109375" style="4" customWidth="1"/>
    <col min="15375" max="15375" width="2.28515625" style="4" customWidth="1"/>
    <col min="15376" max="15377" width="3.7109375" style="4" customWidth="1"/>
    <col min="15378" max="15378" width="2.28515625" style="4" customWidth="1"/>
    <col min="15379" max="15380" width="3.7109375" style="4" customWidth="1"/>
    <col min="15381" max="15381" width="2.28515625" style="4" customWidth="1"/>
    <col min="15382" max="15383" width="3.7109375" style="4" customWidth="1"/>
    <col min="15384" max="15384" width="2.28515625" style="4" customWidth="1"/>
    <col min="15385" max="15386" width="3.7109375" style="4" customWidth="1"/>
    <col min="15387" max="15387" width="2.28515625" style="4" customWidth="1"/>
    <col min="15388" max="15389" width="3.7109375" style="4" customWidth="1"/>
    <col min="15390" max="15390" width="2.28515625" style="4" customWidth="1"/>
    <col min="15391" max="15391" width="3.7109375" style="4" customWidth="1"/>
    <col min="15392" max="15392" width="9.7109375" style="4" customWidth="1"/>
    <col min="15393" max="15402" width="3.7109375" style="4" customWidth="1"/>
    <col min="15403" max="15403" width="11" style="4" customWidth="1"/>
    <col min="15404" max="15406" width="8.85546875" style="4"/>
    <col min="15407" max="15407" width="21" style="4" customWidth="1"/>
    <col min="15408" max="15408" width="24.42578125" style="4" customWidth="1"/>
    <col min="15409" max="15409" width="15.28515625" style="4" customWidth="1"/>
    <col min="15410" max="15410" width="10.5703125" style="4" customWidth="1"/>
    <col min="15411" max="15411" width="11.28515625" style="4" customWidth="1"/>
    <col min="15412" max="15412" width="25" style="4" customWidth="1"/>
    <col min="15413" max="15413" width="6" style="4" customWidth="1"/>
    <col min="15414" max="15617" width="8.85546875" style="4"/>
    <col min="15618" max="15618" width="3.7109375" style="4" customWidth="1"/>
    <col min="15619" max="15619" width="2.28515625" style="4" customWidth="1"/>
    <col min="15620" max="15621" width="3.7109375" style="4" customWidth="1"/>
    <col min="15622" max="15622" width="2.28515625" style="4" customWidth="1"/>
    <col min="15623" max="15624" width="3.7109375" style="4" customWidth="1"/>
    <col min="15625" max="15625" width="2.28515625" style="4" customWidth="1"/>
    <col min="15626" max="15627" width="3.7109375" style="4" customWidth="1"/>
    <col min="15628" max="15628" width="2.28515625" style="4" customWidth="1"/>
    <col min="15629" max="15630" width="3.7109375" style="4" customWidth="1"/>
    <col min="15631" max="15631" width="2.28515625" style="4" customWidth="1"/>
    <col min="15632" max="15633" width="3.7109375" style="4" customWidth="1"/>
    <col min="15634" max="15634" width="2.28515625" style="4" customWidth="1"/>
    <col min="15635" max="15636" width="3.7109375" style="4" customWidth="1"/>
    <col min="15637" max="15637" width="2.28515625" style="4" customWidth="1"/>
    <col min="15638" max="15639" width="3.7109375" style="4" customWidth="1"/>
    <col min="15640" max="15640" width="2.28515625" style="4" customWidth="1"/>
    <col min="15641" max="15642" width="3.7109375" style="4" customWidth="1"/>
    <col min="15643" max="15643" width="2.28515625" style="4" customWidth="1"/>
    <col min="15644" max="15645" width="3.7109375" style="4" customWidth="1"/>
    <col min="15646" max="15646" width="2.28515625" style="4" customWidth="1"/>
    <col min="15647" max="15647" width="3.7109375" style="4" customWidth="1"/>
    <col min="15648" max="15648" width="9.7109375" style="4" customWidth="1"/>
    <col min="15649" max="15658" width="3.7109375" style="4" customWidth="1"/>
    <col min="15659" max="15659" width="11" style="4" customWidth="1"/>
    <col min="15660" max="15662" width="8.85546875" style="4"/>
    <col min="15663" max="15663" width="21" style="4" customWidth="1"/>
    <col min="15664" max="15664" width="24.42578125" style="4" customWidth="1"/>
    <col min="15665" max="15665" width="15.28515625" style="4" customWidth="1"/>
    <col min="15666" max="15666" width="10.5703125" style="4" customWidth="1"/>
    <col min="15667" max="15667" width="11.28515625" style="4" customWidth="1"/>
    <col min="15668" max="15668" width="25" style="4" customWidth="1"/>
    <col min="15669" max="15669" width="6" style="4" customWidth="1"/>
    <col min="15670" max="15873" width="8.85546875" style="4"/>
    <col min="15874" max="15874" width="3.7109375" style="4" customWidth="1"/>
    <col min="15875" max="15875" width="2.28515625" style="4" customWidth="1"/>
    <col min="15876" max="15877" width="3.7109375" style="4" customWidth="1"/>
    <col min="15878" max="15878" width="2.28515625" style="4" customWidth="1"/>
    <col min="15879" max="15880" width="3.7109375" style="4" customWidth="1"/>
    <col min="15881" max="15881" width="2.28515625" style="4" customWidth="1"/>
    <col min="15882" max="15883" width="3.7109375" style="4" customWidth="1"/>
    <col min="15884" max="15884" width="2.28515625" style="4" customWidth="1"/>
    <col min="15885" max="15886" width="3.7109375" style="4" customWidth="1"/>
    <col min="15887" max="15887" width="2.28515625" style="4" customWidth="1"/>
    <col min="15888" max="15889" width="3.7109375" style="4" customWidth="1"/>
    <col min="15890" max="15890" width="2.28515625" style="4" customWidth="1"/>
    <col min="15891" max="15892" width="3.7109375" style="4" customWidth="1"/>
    <col min="15893" max="15893" width="2.28515625" style="4" customWidth="1"/>
    <col min="15894" max="15895" width="3.7109375" style="4" customWidth="1"/>
    <col min="15896" max="15896" width="2.28515625" style="4" customWidth="1"/>
    <col min="15897" max="15898" width="3.7109375" style="4" customWidth="1"/>
    <col min="15899" max="15899" width="2.28515625" style="4" customWidth="1"/>
    <col min="15900" max="15901" width="3.7109375" style="4" customWidth="1"/>
    <col min="15902" max="15902" width="2.28515625" style="4" customWidth="1"/>
    <col min="15903" max="15903" width="3.7109375" style="4" customWidth="1"/>
    <col min="15904" max="15904" width="9.7109375" style="4" customWidth="1"/>
    <col min="15905" max="15914" width="3.7109375" style="4" customWidth="1"/>
    <col min="15915" max="15915" width="11" style="4" customWidth="1"/>
    <col min="15916" max="15918" width="8.85546875" style="4"/>
    <col min="15919" max="15919" width="21" style="4" customWidth="1"/>
    <col min="15920" max="15920" width="24.42578125" style="4" customWidth="1"/>
    <col min="15921" max="15921" width="15.28515625" style="4" customWidth="1"/>
    <col min="15922" max="15922" width="10.5703125" style="4" customWidth="1"/>
    <col min="15923" max="15923" width="11.28515625" style="4" customWidth="1"/>
    <col min="15924" max="15924" width="25" style="4" customWidth="1"/>
    <col min="15925" max="15925" width="6" style="4" customWidth="1"/>
    <col min="15926" max="16129" width="8.85546875" style="4"/>
    <col min="16130" max="16130" width="3.7109375" style="4" customWidth="1"/>
    <col min="16131" max="16131" width="2.28515625" style="4" customWidth="1"/>
    <col min="16132" max="16133" width="3.7109375" style="4" customWidth="1"/>
    <col min="16134" max="16134" width="2.28515625" style="4" customWidth="1"/>
    <col min="16135" max="16136" width="3.7109375" style="4" customWidth="1"/>
    <col min="16137" max="16137" width="2.28515625" style="4" customWidth="1"/>
    <col min="16138" max="16139" width="3.7109375" style="4" customWidth="1"/>
    <col min="16140" max="16140" width="2.28515625" style="4" customWidth="1"/>
    <col min="16141" max="16142" width="3.7109375" style="4" customWidth="1"/>
    <col min="16143" max="16143" width="2.28515625" style="4" customWidth="1"/>
    <col min="16144" max="16145" width="3.7109375" style="4" customWidth="1"/>
    <col min="16146" max="16146" width="2.28515625" style="4" customWidth="1"/>
    <col min="16147" max="16148" width="3.7109375" style="4" customWidth="1"/>
    <col min="16149" max="16149" width="2.28515625" style="4" customWidth="1"/>
    <col min="16150" max="16151" width="3.7109375" style="4" customWidth="1"/>
    <col min="16152" max="16152" width="2.28515625" style="4" customWidth="1"/>
    <col min="16153" max="16154" width="3.7109375" style="4" customWidth="1"/>
    <col min="16155" max="16155" width="2.28515625" style="4" customWidth="1"/>
    <col min="16156" max="16157" width="3.7109375" style="4" customWidth="1"/>
    <col min="16158" max="16158" width="2.28515625" style="4" customWidth="1"/>
    <col min="16159" max="16159" width="3.7109375" style="4" customWidth="1"/>
    <col min="16160" max="16160" width="9.7109375" style="4" customWidth="1"/>
    <col min="16161" max="16170" width="3.7109375" style="4" customWidth="1"/>
    <col min="16171" max="16171" width="11" style="4" customWidth="1"/>
    <col min="16172" max="16174" width="8.85546875" style="4"/>
    <col min="16175" max="16175" width="21" style="4" customWidth="1"/>
    <col min="16176" max="16176" width="24.42578125" style="4" customWidth="1"/>
    <col min="16177" max="16177" width="15.28515625" style="4" customWidth="1"/>
    <col min="16178" max="16178" width="10.5703125" style="4" customWidth="1"/>
    <col min="16179" max="16179" width="11.28515625" style="4" customWidth="1"/>
    <col min="16180" max="16180" width="25" style="4" customWidth="1"/>
    <col min="16181" max="16181" width="6" style="4" customWidth="1"/>
    <col min="16182" max="16384" width="8.85546875" style="4"/>
  </cols>
  <sheetData>
    <row r="1" spans="1:53" ht="13.5" thickBot="1" x14ac:dyDescent="0.25">
      <c r="A1" s="404" t="s">
        <v>0</v>
      </c>
      <c r="B1" s="404"/>
      <c r="C1" s="404"/>
      <c r="D1" s="404"/>
      <c r="E1" s="404"/>
      <c r="F1" s="404"/>
      <c r="G1" s="404"/>
      <c r="H1" s="404"/>
      <c r="I1" s="404"/>
      <c r="J1" s="404"/>
      <c r="K1" s="404"/>
      <c r="L1" s="404"/>
      <c r="M1" s="404"/>
      <c r="N1" s="404"/>
      <c r="O1" s="404"/>
      <c r="P1" s="404"/>
      <c r="Q1" s="404"/>
      <c r="R1" s="404"/>
      <c r="S1" s="404"/>
      <c r="T1" s="404"/>
      <c r="U1" s="404"/>
      <c r="V1" s="404"/>
      <c r="W1" s="404"/>
      <c r="X1" s="404"/>
      <c r="Y1" s="404"/>
      <c r="Z1" s="404"/>
      <c r="AA1" s="404"/>
      <c r="AB1" s="404"/>
      <c r="AC1" s="404"/>
      <c r="AD1" s="404"/>
      <c r="AE1" s="404"/>
      <c r="AF1" s="404"/>
      <c r="AG1" s="404"/>
      <c r="AH1" s="404"/>
      <c r="AI1" s="404"/>
      <c r="AJ1" s="1"/>
      <c r="AK1" s="1"/>
      <c r="AL1" s="1"/>
      <c r="AM1" s="1"/>
      <c r="AN1" s="1"/>
      <c r="AO1" s="1"/>
      <c r="AP1" s="1"/>
      <c r="AQ1" s="2" t="s">
        <v>1</v>
      </c>
      <c r="AR1" s="3"/>
      <c r="AT1" s="405" t="s">
        <v>2</v>
      </c>
      <c r="AU1" s="406"/>
      <c r="AV1" s="406"/>
      <c r="AW1" s="407"/>
      <c r="AX1" s="408" t="s">
        <v>3</v>
      </c>
      <c r="AY1" s="409"/>
      <c r="AZ1" s="6" t="s">
        <v>4</v>
      </c>
      <c r="BA1" s="7">
        <v>32</v>
      </c>
    </row>
    <row r="2" spans="1:53" ht="18.75" customHeight="1" thickBot="1" x14ac:dyDescent="0.3">
      <c r="A2" s="410" t="s">
        <v>5</v>
      </c>
      <c r="B2" s="411"/>
      <c r="C2" s="411"/>
      <c r="D2" s="411"/>
      <c r="E2" s="411"/>
      <c r="F2" s="411"/>
      <c r="G2" s="411"/>
      <c r="H2" s="411"/>
      <c r="I2" s="412"/>
      <c r="J2" s="413" t="s">
        <v>6</v>
      </c>
      <c r="K2" s="414"/>
      <c r="L2" s="414"/>
      <c r="M2" s="414"/>
      <c r="N2" s="414"/>
      <c r="O2" s="414"/>
      <c r="P2" s="414"/>
      <c r="Q2" s="414"/>
      <c r="R2" s="414"/>
      <c r="S2" s="414"/>
      <c r="T2" s="414"/>
      <c r="U2" s="414"/>
      <c r="V2" s="414"/>
      <c r="W2" s="414"/>
      <c r="X2" s="415"/>
      <c r="Y2" s="416" t="s">
        <v>7</v>
      </c>
      <c r="Z2" s="417"/>
      <c r="AA2" s="417"/>
      <c r="AB2" s="417"/>
      <c r="AC2" s="418"/>
      <c r="AD2" s="379" t="s">
        <v>8</v>
      </c>
      <c r="AE2" s="379"/>
      <c r="AF2" s="379"/>
      <c r="AG2" s="379"/>
      <c r="AH2" s="379"/>
      <c r="AI2" s="380"/>
      <c r="AJ2" s="8"/>
      <c r="AK2" s="8"/>
      <c r="AL2" s="8"/>
      <c r="AM2" s="8"/>
      <c r="AN2" s="8"/>
      <c r="AO2" s="8"/>
      <c r="AP2" s="8"/>
      <c r="AQ2" s="8"/>
      <c r="AR2" s="3"/>
      <c r="AT2" s="9" t="s">
        <v>9</v>
      </c>
      <c r="AU2" s="10" t="s">
        <v>10</v>
      </c>
      <c r="AV2" s="11" t="s">
        <v>11</v>
      </c>
      <c r="AW2" s="12" t="s">
        <v>12</v>
      </c>
      <c r="AX2" s="5" t="s">
        <v>13</v>
      </c>
      <c r="AY2" s="12" t="s">
        <v>14</v>
      </c>
      <c r="AZ2" s="6" t="s">
        <v>15</v>
      </c>
      <c r="BA2" s="7">
        <v>16</v>
      </c>
    </row>
    <row r="3" spans="1:53" ht="18.75" customHeight="1" thickBot="1" x14ac:dyDescent="0.3">
      <c r="A3" s="14" t="s">
        <v>16</v>
      </c>
      <c r="B3" s="384" t="s">
        <v>164</v>
      </c>
      <c r="C3" s="385"/>
      <c r="D3" s="385"/>
      <c r="E3" s="385"/>
      <c r="F3" s="385"/>
      <c r="G3" s="385"/>
      <c r="H3" s="385"/>
      <c r="I3" s="385"/>
      <c r="J3" s="385"/>
      <c r="K3" s="385"/>
      <c r="L3" s="385"/>
      <c r="M3" s="385"/>
      <c r="N3" s="385"/>
      <c r="O3" s="386"/>
      <c r="P3" s="387" t="s">
        <v>18</v>
      </c>
      <c r="Q3" s="388"/>
      <c r="R3" s="388"/>
      <c r="S3" s="389">
        <v>14</v>
      </c>
      <c r="T3" s="390"/>
      <c r="U3" s="390"/>
      <c r="V3" s="390"/>
      <c r="W3" s="390"/>
      <c r="X3" s="391"/>
      <c r="Y3" s="392" t="s">
        <v>19</v>
      </c>
      <c r="Z3" s="393"/>
      <c r="AA3" s="393"/>
      <c r="AB3" s="393"/>
      <c r="AC3" s="393"/>
      <c r="AD3" s="394"/>
      <c r="AE3" s="419" t="s">
        <v>20</v>
      </c>
      <c r="AF3" s="420"/>
      <c r="AG3" s="395" t="s">
        <v>21</v>
      </c>
      <c r="AH3" s="395"/>
      <c r="AI3" s="396"/>
      <c r="AJ3" s="8"/>
      <c r="AK3" s="8"/>
      <c r="AL3" s="8"/>
      <c r="AM3" s="8"/>
      <c r="AN3" s="8"/>
      <c r="AO3" s="8"/>
      <c r="AP3" s="8"/>
      <c r="AQ3" s="8"/>
      <c r="AR3" s="3"/>
      <c r="AT3" s="19">
        <v>1</v>
      </c>
      <c r="AU3" s="20" t="s">
        <v>165</v>
      </c>
      <c r="AV3" s="20" t="s">
        <v>166</v>
      </c>
      <c r="AW3" s="21">
        <f>VLOOKUP(AV3,Initial!G:K,5,FALSE)</f>
        <v>2278.9585369408887</v>
      </c>
      <c r="AX3" s="22">
        <f>VLOOKUP(AU3,AT$79:AU$343,2,FALSE)</f>
        <v>2333.3158352174805</v>
      </c>
      <c r="AY3" s="23">
        <f>IF(ISNA(VLOOKUP(AU3,AT$354:AU$454,2,FALSE)),AX3,VLOOKUP(AU3,AT$354:AU$454,2,FALSE))</f>
        <v>2355.8674998817319</v>
      </c>
    </row>
    <row r="4" spans="1:53" ht="24" customHeight="1" thickBot="1" x14ac:dyDescent="0.25">
      <c r="A4" s="397" t="s">
        <v>24</v>
      </c>
      <c r="B4" s="398"/>
      <c r="C4" s="398"/>
      <c r="D4" s="399"/>
      <c r="E4" s="400" t="s">
        <v>25</v>
      </c>
      <c r="F4" s="401"/>
      <c r="G4" s="401"/>
      <c r="H4" s="401"/>
      <c r="I4" s="401"/>
      <c r="J4" s="401"/>
      <c r="K4" s="401"/>
      <c r="L4" s="401"/>
      <c r="M4" s="402"/>
      <c r="N4" s="397" t="s">
        <v>26</v>
      </c>
      <c r="O4" s="398"/>
      <c r="P4" s="398"/>
      <c r="Q4" s="399"/>
      <c r="R4" s="403" t="s">
        <v>27</v>
      </c>
      <c r="S4" s="379"/>
      <c r="T4" s="379"/>
      <c r="U4" s="379"/>
      <c r="V4" s="379"/>
      <c r="W4" s="379"/>
      <c r="X4" s="379"/>
      <c r="Y4" s="379"/>
      <c r="Z4" s="379"/>
      <c r="AA4" s="380"/>
      <c r="AB4" s="397" t="s">
        <v>28</v>
      </c>
      <c r="AC4" s="398"/>
      <c r="AD4" s="398"/>
      <c r="AE4" s="399"/>
      <c r="AF4" s="378">
        <v>42775</v>
      </c>
      <c r="AG4" s="379"/>
      <c r="AH4" s="379"/>
      <c r="AI4" s="380"/>
      <c r="AJ4" s="8"/>
      <c r="AK4" s="8"/>
      <c r="AL4" s="8"/>
      <c r="AM4" s="8"/>
      <c r="AN4" s="8"/>
      <c r="AO4" s="8"/>
      <c r="AP4" s="8"/>
      <c r="AQ4" s="8"/>
      <c r="AR4" s="3"/>
      <c r="AT4" s="24">
        <v>2</v>
      </c>
      <c r="AU4" s="20" t="s">
        <v>167</v>
      </c>
      <c r="AV4" s="20" t="s">
        <v>168</v>
      </c>
      <c r="AW4" s="21">
        <f>VLOOKUP(AV4,Initial!G:K,5,FALSE)</f>
        <v>2267.1704673081986</v>
      </c>
      <c r="AX4" s="25">
        <f>VLOOKUP(AU4,AT$79:AU$343,2,FALSE)</f>
        <v>2296.2228435311754</v>
      </c>
      <c r="AY4" s="26">
        <f t="shared" ref="AY4:AY21" si="0">IF(ISNA(VLOOKUP(AU4,AT$354:AU$454,2,FALSE)),AX4,VLOOKUP(AU4,AT$354:AU$454,2,FALSE))</f>
        <v>2289.1242881784647</v>
      </c>
    </row>
    <row r="5" spans="1:53" ht="15.75" thickBot="1" x14ac:dyDescent="0.25">
      <c r="A5" s="1" t="s">
        <v>31</v>
      </c>
      <c r="B5" s="381" t="s">
        <v>31</v>
      </c>
      <c r="C5" s="382"/>
      <c r="D5" s="382"/>
      <c r="E5" s="382"/>
      <c r="F5" s="382"/>
      <c r="G5" s="382"/>
      <c r="H5" s="382"/>
      <c r="I5" s="382"/>
      <c r="J5" s="382"/>
      <c r="K5" s="383" t="s">
        <v>31</v>
      </c>
      <c r="L5" s="383"/>
      <c r="M5" s="383"/>
      <c r="N5" s="383"/>
      <c r="O5" s="383"/>
      <c r="P5" s="383"/>
      <c r="Q5" s="383"/>
      <c r="R5" s="383"/>
      <c r="S5" s="383"/>
      <c r="T5" s="383"/>
      <c r="U5" s="383"/>
      <c r="V5" s="383"/>
      <c r="W5" s="383"/>
      <c r="X5" s="383"/>
      <c r="Y5" s="383"/>
      <c r="Z5" s="383"/>
      <c r="AA5" s="383"/>
      <c r="AB5" s="383"/>
      <c r="AC5" s="383"/>
      <c r="AD5" s="383"/>
      <c r="AE5" s="383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3"/>
      <c r="AT5" s="24">
        <v>3</v>
      </c>
      <c r="AU5" s="20" t="s">
        <v>169</v>
      </c>
      <c r="AV5" s="20" t="s">
        <v>170</v>
      </c>
      <c r="AW5" s="21">
        <f>VLOOKUP(AV5,Initial!G:K,5,FALSE)</f>
        <v>2220.2025999969192</v>
      </c>
      <c r="AX5" s="25">
        <f t="shared" ref="AX5:AX21" si="1">VLOOKUP(AU5,AT$79:AU$343,2,FALSE)</f>
        <v>2259.0339325423315</v>
      </c>
      <c r="AY5" s="26">
        <f t="shared" si="0"/>
        <v>2251.8869834915113</v>
      </c>
    </row>
    <row r="6" spans="1:53" ht="24" customHeight="1" thickBot="1" x14ac:dyDescent="0.25">
      <c r="A6" s="27" t="s">
        <v>34</v>
      </c>
      <c r="B6" s="28" t="s">
        <v>35</v>
      </c>
      <c r="C6" s="353" t="s">
        <v>36</v>
      </c>
      <c r="D6" s="354"/>
      <c r="E6" s="354"/>
      <c r="F6" s="354"/>
      <c r="G6" s="354"/>
      <c r="H6" s="355"/>
      <c r="I6" s="356">
        <v>1</v>
      </c>
      <c r="J6" s="357"/>
      <c r="K6" s="358" t="str">
        <f>"Pool "&amp;B6&amp;" - Round 1 - Court "&amp;I6</f>
        <v>Pool A - Round 1 - Court 1</v>
      </c>
      <c r="L6" s="359"/>
      <c r="M6" s="359"/>
      <c r="N6" s="359"/>
      <c r="O6" s="359"/>
      <c r="P6" s="359"/>
      <c r="Q6" s="359"/>
      <c r="R6" s="359"/>
      <c r="S6" s="359"/>
      <c r="T6" s="359"/>
      <c r="U6" s="359"/>
      <c r="V6" s="359"/>
      <c r="W6" s="359"/>
      <c r="X6" s="359"/>
      <c r="Y6" s="359"/>
      <c r="Z6" s="359"/>
      <c r="AA6" s="359"/>
      <c r="AB6" s="359"/>
      <c r="AC6" s="359"/>
      <c r="AD6" s="359"/>
      <c r="AE6" s="359"/>
      <c r="AF6" s="359"/>
      <c r="AG6" s="359"/>
      <c r="AH6" s="359"/>
      <c r="AI6" s="360"/>
      <c r="AJ6" s="8"/>
      <c r="AK6" s="8"/>
      <c r="AL6" s="8"/>
      <c r="AM6" s="8"/>
      <c r="AN6" s="8"/>
      <c r="AO6" s="8"/>
      <c r="AP6" s="8"/>
      <c r="AQ6" s="8"/>
      <c r="AT6" s="24">
        <v>4</v>
      </c>
      <c r="AU6" s="20" t="s">
        <v>171</v>
      </c>
      <c r="AV6" s="20" t="s">
        <v>172</v>
      </c>
      <c r="AW6" s="21">
        <f>VLOOKUP(AV6,Initial!G:K,5,FALSE)</f>
        <v>2197.2309027352453</v>
      </c>
      <c r="AX6" s="25">
        <f t="shared" si="1"/>
        <v>2171.4126025310011</v>
      </c>
      <c r="AY6" s="26">
        <f t="shared" si="0"/>
        <v>2184.2316563500076</v>
      </c>
    </row>
    <row r="7" spans="1:53" ht="27" customHeight="1" thickBot="1" x14ac:dyDescent="0.25">
      <c r="A7" s="29" t="s">
        <v>39</v>
      </c>
      <c r="B7" s="361" t="s">
        <v>10</v>
      </c>
      <c r="C7" s="362"/>
      <c r="D7" s="362"/>
      <c r="E7" s="362"/>
      <c r="F7" s="362"/>
      <c r="G7" s="362"/>
      <c r="H7" s="362"/>
      <c r="I7" s="362"/>
      <c r="J7" s="362"/>
      <c r="K7" s="362"/>
      <c r="L7" s="361" t="str">
        <f>IF($AK10=0,"Games Won","Matches Won")</f>
        <v>Games Won</v>
      </c>
      <c r="M7" s="362"/>
      <c r="N7" s="362"/>
      <c r="O7" s="362"/>
      <c r="P7" s="362"/>
      <c r="Q7" s="363"/>
      <c r="R7" s="361" t="str">
        <f>IF($AK10=0,"Games Lost","Matches Lost")</f>
        <v>Games Lost</v>
      </c>
      <c r="S7" s="364"/>
      <c r="T7" s="364"/>
      <c r="U7" s="364"/>
      <c r="V7" s="365"/>
      <c r="W7" s="366" t="s">
        <v>40</v>
      </c>
      <c r="X7" s="367"/>
      <c r="Y7" s="368"/>
      <c r="Z7" s="366" t="s">
        <v>41</v>
      </c>
      <c r="AA7" s="367"/>
      <c r="AB7" s="368"/>
      <c r="AC7" s="369" t="s">
        <v>42</v>
      </c>
      <c r="AD7" s="370"/>
      <c r="AE7" s="371"/>
      <c r="AF7" s="30" t="s">
        <v>43</v>
      </c>
      <c r="AG7" s="31" t="s">
        <v>9</v>
      </c>
      <c r="AH7" s="351" t="s">
        <v>44</v>
      </c>
      <c r="AI7" s="352"/>
      <c r="AJ7" s="32"/>
      <c r="AK7" s="33">
        <v>2</v>
      </c>
      <c r="AL7" s="34" t="s">
        <v>45</v>
      </c>
      <c r="AM7" s="34"/>
      <c r="AN7" s="34"/>
      <c r="AO7" s="34"/>
      <c r="AP7" s="34"/>
      <c r="AQ7" s="34"/>
      <c r="AR7" s="35"/>
      <c r="AT7" s="24">
        <v>5</v>
      </c>
      <c r="AU7" s="20" t="s">
        <v>173</v>
      </c>
      <c r="AV7" s="20" t="s">
        <v>174</v>
      </c>
      <c r="AW7" s="21">
        <f>VLOOKUP(AV7,Initial!G:K,5,FALSE)</f>
        <v>2192.5369343564885</v>
      </c>
      <c r="AX7" s="25">
        <f t="shared" si="1"/>
        <v>2163.2422577017483</v>
      </c>
      <c r="AY7" s="26">
        <f t="shared" si="0"/>
        <v>2146.3221088039863</v>
      </c>
    </row>
    <row r="8" spans="1:53" ht="18.75" customHeight="1" thickBot="1" x14ac:dyDescent="0.25">
      <c r="A8" s="320" t="str">
        <f>IF($AK9&gt;0,"1","")</f>
        <v>1</v>
      </c>
      <c r="B8" s="348" t="s">
        <v>10</v>
      </c>
      <c r="C8" s="349"/>
      <c r="D8" s="350"/>
      <c r="E8" s="324" t="str">
        <f>AU3</f>
        <v>SC Midlands 14 National</v>
      </c>
      <c r="F8" s="325"/>
      <c r="G8" s="325"/>
      <c r="H8" s="325"/>
      <c r="I8" s="325"/>
      <c r="J8" s="325"/>
      <c r="K8" s="326"/>
      <c r="L8" s="327">
        <f>IF($AK10=0,AF64,AF46)</f>
        <v>8</v>
      </c>
      <c r="M8" s="328"/>
      <c r="N8" s="328"/>
      <c r="O8" s="328"/>
      <c r="P8" s="328"/>
      <c r="Q8" s="363"/>
      <c r="R8" s="327">
        <f>IF($AK10=0,AG64,AG46)</f>
        <v>0</v>
      </c>
      <c r="S8" s="328"/>
      <c r="T8" s="328"/>
      <c r="U8" s="328"/>
      <c r="V8" s="328"/>
      <c r="W8" s="327">
        <f>AQ24</f>
        <v>72</v>
      </c>
      <c r="X8" s="328"/>
      <c r="Y8" s="328"/>
      <c r="Z8" s="300">
        <f>IF(AF58&gt;0,(AQ24/AF58),0)</f>
        <v>0.36</v>
      </c>
      <c r="AA8" s="301"/>
      <c r="AB8" s="301"/>
      <c r="AC8" s="304">
        <f>IF(AF72=0,0,(AF64/AF72))</f>
        <v>1</v>
      </c>
      <c r="AD8" s="305"/>
      <c r="AE8" s="306"/>
      <c r="AF8" s="310">
        <v>1</v>
      </c>
      <c r="AG8" s="310">
        <v>1</v>
      </c>
      <c r="AH8" s="312">
        <v>1</v>
      </c>
      <c r="AI8" s="313"/>
      <c r="AJ8" s="32"/>
      <c r="AK8" s="33">
        <v>10</v>
      </c>
      <c r="AL8" s="34" t="s">
        <v>48</v>
      </c>
      <c r="AM8" s="34"/>
      <c r="AN8" s="34"/>
      <c r="AO8" s="34"/>
      <c r="AP8" s="34"/>
      <c r="AQ8" s="34"/>
      <c r="AR8" s="35"/>
      <c r="AT8" s="24">
        <v>6</v>
      </c>
      <c r="AU8" s="20" t="s">
        <v>175</v>
      </c>
      <c r="AV8" s="20" t="s">
        <v>176</v>
      </c>
      <c r="AW8" s="21">
        <f>VLOOKUP(AV8,Initial!G:K,5,FALSE)</f>
        <v>2186.8300605333634</v>
      </c>
      <c r="AX8" s="25">
        <f t="shared" si="1"/>
        <v>2099.0943824558949</v>
      </c>
      <c r="AY8" s="26">
        <f t="shared" si="0"/>
        <v>2107.8946708286217</v>
      </c>
    </row>
    <row r="9" spans="1:53" ht="18.75" customHeight="1" thickBot="1" x14ac:dyDescent="0.25">
      <c r="A9" s="321"/>
      <c r="B9" s="345" t="s">
        <v>11</v>
      </c>
      <c r="C9" s="346"/>
      <c r="D9" s="347"/>
      <c r="E9" s="341" t="str">
        <f>AV3</f>
        <v>fj4scmid1pm</v>
      </c>
      <c r="F9" s="342"/>
      <c r="G9" s="342"/>
      <c r="H9" s="342"/>
      <c r="I9" s="342"/>
      <c r="J9" s="342"/>
      <c r="K9" s="342"/>
      <c r="L9" s="343"/>
      <c r="M9" s="344"/>
      <c r="N9" s="344"/>
      <c r="O9" s="344"/>
      <c r="P9" s="344"/>
      <c r="Q9" s="363"/>
      <c r="R9" s="343"/>
      <c r="S9" s="344"/>
      <c r="T9" s="344"/>
      <c r="U9" s="344"/>
      <c r="V9" s="344"/>
      <c r="W9" s="343"/>
      <c r="X9" s="344"/>
      <c r="Y9" s="344"/>
      <c r="Z9" s="331"/>
      <c r="AA9" s="332"/>
      <c r="AB9" s="332"/>
      <c r="AC9" s="333"/>
      <c r="AD9" s="334"/>
      <c r="AE9" s="335"/>
      <c r="AF9" s="336"/>
      <c r="AG9" s="336"/>
      <c r="AH9" s="337"/>
      <c r="AI9" s="338"/>
      <c r="AJ9" s="32"/>
      <c r="AK9" s="33">
        <v>5</v>
      </c>
      <c r="AL9" s="34" t="s">
        <v>51</v>
      </c>
      <c r="AM9" s="32"/>
      <c r="AN9" s="32"/>
      <c r="AO9" s="32"/>
      <c r="AP9" s="32"/>
      <c r="AQ9" s="32"/>
      <c r="AR9" s="3"/>
      <c r="AT9" s="24">
        <v>7</v>
      </c>
      <c r="AU9" s="20" t="s">
        <v>177</v>
      </c>
      <c r="AV9" s="20" t="s">
        <v>178</v>
      </c>
      <c r="AW9" s="21">
        <f>VLOOKUP(AV9,Initial!G:K,5,FALSE)</f>
        <v>2183.6636711289457</v>
      </c>
      <c r="AX9" s="25">
        <f t="shared" si="1"/>
        <v>2212.7891027862961</v>
      </c>
      <c r="AY9" s="26">
        <f t="shared" si="0"/>
        <v>2225.1716306926123</v>
      </c>
    </row>
    <row r="10" spans="1:53" ht="18.75" customHeight="1" thickBot="1" x14ac:dyDescent="0.25">
      <c r="A10" s="320" t="str">
        <f>IF($AK9&gt;1,"2","")</f>
        <v>2</v>
      </c>
      <c r="B10" s="348" t="s">
        <v>10</v>
      </c>
      <c r="C10" s="349"/>
      <c r="D10" s="350"/>
      <c r="E10" s="324" t="str">
        <f>AU10</f>
        <v>C1VB 14 Power Grvl</v>
      </c>
      <c r="F10" s="325"/>
      <c r="G10" s="325"/>
      <c r="H10" s="325"/>
      <c r="I10" s="325"/>
      <c r="J10" s="325"/>
      <c r="K10" s="326"/>
      <c r="L10" s="327">
        <f>IF($AK10=0,AF65,AF47)</f>
        <v>4</v>
      </c>
      <c r="M10" s="328"/>
      <c r="N10" s="328"/>
      <c r="O10" s="328"/>
      <c r="P10" s="328"/>
      <c r="Q10" s="363"/>
      <c r="R10" s="327">
        <f>IF($AK10=0,AG65,AG47)</f>
        <v>4</v>
      </c>
      <c r="S10" s="328"/>
      <c r="T10" s="328"/>
      <c r="U10" s="328"/>
      <c r="V10" s="328"/>
      <c r="W10" s="327">
        <f>AQ25</f>
        <v>13</v>
      </c>
      <c r="X10" s="328"/>
      <c r="Y10" s="328"/>
      <c r="Z10" s="300">
        <f>IF(AF59&gt;0,(AQ25/AF59),0)</f>
        <v>6.5000000000000002E-2</v>
      </c>
      <c r="AA10" s="301"/>
      <c r="AB10" s="301"/>
      <c r="AC10" s="304">
        <f>IF(AF73=0,0,(AF65/AF73))</f>
        <v>0.5</v>
      </c>
      <c r="AD10" s="305"/>
      <c r="AE10" s="306"/>
      <c r="AF10" s="310">
        <v>3</v>
      </c>
      <c r="AG10" s="310">
        <v>1</v>
      </c>
      <c r="AH10" s="312">
        <v>9</v>
      </c>
      <c r="AI10" s="313"/>
      <c r="AJ10" s="32"/>
      <c r="AK10" s="33">
        <v>0</v>
      </c>
      <c r="AL10" s="34" t="s">
        <v>54</v>
      </c>
      <c r="AM10" s="34"/>
      <c r="AN10" s="34"/>
      <c r="AO10" s="34"/>
      <c r="AP10" s="34"/>
      <c r="AQ10" s="34"/>
      <c r="AR10" s="35"/>
      <c r="AT10" s="24">
        <v>8</v>
      </c>
      <c r="AU10" s="20" t="s">
        <v>179</v>
      </c>
      <c r="AV10" s="20" t="s">
        <v>180</v>
      </c>
      <c r="AW10" s="21">
        <f>VLOOKUP(AV10,Initial!G:K,5,FALSE)</f>
        <v>2169.631559284067</v>
      </c>
      <c r="AX10" s="25">
        <f t="shared" si="1"/>
        <v>2143.2394068330118</v>
      </c>
      <c r="AY10" s="26">
        <f t="shared" si="0"/>
        <v>2173.2017572431046</v>
      </c>
    </row>
    <row r="11" spans="1:53" ht="18.75" customHeight="1" thickBot="1" x14ac:dyDescent="0.25">
      <c r="A11" s="321"/>
      <c r="B11" s="339" t="s">
        <v>11</v>
      </c>
      <c r="C11" s="340"/>
      <c r="D11" s="340"/>
      <c r="E11" s="341" t="str">
        <f>AV10</f>
        <v>fj4crone2pm</v>
      </c>
      <c r="F11" s="342"/>
      <c r="G11" s="342"/>
      <c r="H11" s="342"/>
      <c r="I11" s="342"/>
      <c r="J11" s="342"/>
      <c r="K11" s="342"/>
      <c r="L11" s="343"/>
      <c r="M11" s="344"/>
      <c r="N11" s="344"/>
      <c r="O11" s="344"/>
      <c r="P11" s="344"/>
      <c r="Q11" s="363"/>
      <c r="R11" s="343"/>
      <c r="S11" s="344"/>
      <c r="T11" s="344"/>
      <c r="U11" s="344"/>
      <c r="V11" s="344"/>
      <c r="W11" s="343"/>
      <c r="X11" s="344"/>
      <c r="Y11" s="344"/>
      <c r="Z11" s="331"/>
      <c r="AA11" s="332"/>
      <c r="AB11" s="332"/>
      <c r="AC11" s="333"/>
      <c r="AD11" s="334"/>
      <c r="AE11" s="335"/>
      <c r="AF11" s="336"/>
      <c r="AG11" s="336"/>
      <c r="AH11" s="337"/>
      <c r="AI11" s="338"/>
      <c r="AJ11" s="32"/>
      <c r="AK11" s="33">
        <v>1</v>
      </c>
      <c r="AL11" s="34" t="s">
        <v>56</v>
      </c>
      <c r="AM11" s="32"/>
      <c r="AN11" s="32"/>
      <c r="AO11" s="32"/>
      <c r="AP11" s="32"/>
      <c r="AQ11" s="32"/>
      <c r="AR11" s="3"/>
      <c r="AT11" s="24">
        <v>9</v>
      </c>
      <c r="AU11" s="20" t="s">
        <v>181</v>
      </c>
      <c r="AV11" s="20" t="s">
        <v>182</v>
      </c>
      <c r="AW11" s="21">
        <f>VLOOKUP(AV11,Initial!G:K,5,FALSE)</f>
        <v>2134.1731065083045</v>
      </c>
      <c r="AX11" s="25">
        <f t="shared" si="1"/>
        <v>2154.3925152218153</v>
      </c>
      <c r="AY11" s="26">
        <f t="shared" si="0"/>
        <v>2171.9219347845096</v>
      </c>
    </row>
    <row r="12" spans="1:53" ht="18.75" customHeight="1" thickBot="1" x14ac:dyDescent="0.25">
      <c r="A12" s="320" t="str">
        <f>IF($AK9&gt;2,"3","")</f>
        <v>3</v>
      </c>
      <c r="B12" s="322" t="s">
        <v>10</v>
      </c>
      <c r="C12" s="323"/>
      <c r="D12" s="323"/>
      <c r="E12" s="324" t="str">
        <f>AU11</f>
        <v>Kershaw 14 Black</v>
      </c>
      <c r="F12" s="325"/>
      <c r="G12" s="325"/>
      <c r="H12" s="325"/>
      <c r="I12" s="325"/>
      <c r="J12" s="325"/>
      <c r="K12" s="326"/>
      <c r="L12" s="327">
        <f>IF($AK10=0,AF66,AF48)</f>
        <v>5</v>
      </c>
      <c r="M12" s="328"/>
      <c r="N12" s="328"/>
      <c r="O12" s="328"/>
      <c r="P12" s="328"/>
      <c r="Q12" s="363"/>
      <c r="R12" s="327">
        <f>IF($AK10=0,AG66,AG48)</f>
        <v>3</v>
      </c>
      <c r="S12" s="328"/>
      <c r="T12" s="328"/>
      <c r="U12" s="328"/>
      <c r="V12" s="328"/>
      <c r="W12" s="327">
        <f>AQ26</f>
        <v>19</v>
      </c>
      <c r="X12" s="328"/>
      <c r="Y12" s="328"/>
      <c r="Z12" s="300">
        <f>IF(AF60&gt;0,(AQ26/AF60),0)</f>
        <v>9.5000000000000001E-2</v>
      </c>
      <c r="AA12" s="301"/>
      <c r="AB12" s="301"/>
      <c r="AC12" s="304">
        <f>IF(AF74=0,0,(AF66/AF74))</f>
        <v>0.625</v>
      </c>
      <c r="AD12" s="305"/>
      <c r="AE12" s="306"/>
      <c r="AF12" s="310">
        <v>2</v>
      </c>
      <c r="AG12" s="310">
        <v>1</v>
      </c>
      <c r="AH12" s="312">
        <v>6</v>
      </c>
      <c r="AI12" s="313"/>
      <c r="AJ12" s="43"/>
      <c r="AK12" s="33">
        <v>8</v>
      </c>
      <c r="AL12" s="44" t="s">
        <v>57</v>
      </c>
      <c r="AM12" s="34"/>
      <c r="AN12" s="34"/>
      <c r="AO12" s="34"/>
      <c r="AP12" s="34"/>
      <c r="AQ12" s="34"/>
      <c r="AR12" s="35"/>
      <c r="AT12" s="24">
        <v>10</v>
      </c>
      <c r="AU12" s="20" t="s">
        <v>183</v>
      </c>
      <c r="AV12" s="20" t="s">
        <v>184</v>
      </c>
      <c r="AW12" s="21">
        <f>VLOOKUP(AV12,Initial!G:K,5,FALSE)</f>
        <v>2125.9014593645511</v>
      </c>
      <c r="AX12" s="25">
        <f t="shared" si="1"/>
        <v>2151.1244349589101</v>
      </c>
      <c r="AY12" s="26">
        <f t="shared" si="0"/>
        <v>2138.4450849967739</v>
      </c>
    </row>
    <row r="13" spans="1:53" ht="18.75" customHeight="1" thickBot="1" x14ac:dyDescent="0.25">
      <c r="A13" s="321"/>
      <c r="B13" s="339" t="s">
        <v>11</v>
      </c>
      <c r="C13" s="340"/>
      <c r="D13" s="340"/>
      <c r="E13" s="341" t="str">
        <f>AV11</f>
        <v>fj4kersh1pm</v>
      </c>
      <c r="F13" s="342"/>
      <c r="G13" s="342"/>
      <c r="H13" s="342"/>
      <c r="I13" s="342"/>
      <c r="J13" s="342"/>
      <c r="K13" s="342"/>
      <c r="L13" s="343"/>
      <c r="M13" s="344"/>
      <c r="N13" s="344"/>
      <c r="O13" s="344"/>
      <c r="P13" s="344"/>
      <c r="Q13" s="363"/>
      <c r="R13" s="343"/>
      <c r="S13" s="344"/>
      <c r="T13" s="344"/>
      <c r="U13" s="344"/>
      <c r="V13" s="344"/>
      <c r="W13" s="343"/>
      <c r="X13" s="344"/>
      <c r="Y13" s="344"/>
      <c r="Z13" s="331"/>
      <c r="AA13" s="332"/>
      <c r="AB13" s="332"/>
      <c r="AC13" s="333"/>
      <c r="AD13" s="334"/>
      <c r="AE13" s="335"/>
      <c r="AF13" s="336"/>
      <c r="AG13" s="336"/>
      <c r="AH13" s="337"/>
      <c r="AI13" s="338"/>
      <c r="AJ13" s="43"/>
      <c r="AK13" s="51"/>
      <c r="AL13" s="52"/>
      <c r="AM13" s="52"/>
      <c r="AN13" s="52"/>
      <c r="AO13" s="52"/>
      <c r="AP13" s="52"/>
      <c r="AQ13" s="32"/>
      <c r="AR13" s="3"/>
      <c r="AT13" s="24">
        <v>11</v>
      </c>
      <c r="AU13" s="20" t="s">
        <v>185</v>
      </c>
      <c r="AV13" s="20" t="s">
        <v>186</v>
      </c>
      <c r="AW13" s="21">
        <f>VLOOKUP(AV13,Initial!G:K,5,FALSE)</f>
        <v>2120.4974639095253</v>
      </c>
      <c r="AX13" s="25">
        <f t="shared" si="1"/>
        <v>2203.3829436435667</v>
      </c>
      <c r="AY13" s="26">
        <f t="shared" si="0"/>
        <v>2196.0325393983621</v>
      </c>
    </row>
    <row r="14" spans="1:53" ht="18.75" customHeight="1" thickBot="1" x14ac:dyDescent="0.25">
      <c r="A14" s="320" t="str">
        <f>IF($AK9&gt;3,"4","")</f>
        <v>4</v>
      </c>
      <c r="B14" s="322" t="s">
        <v>10</v>
      </c>
      <c r="C14" s="323"/>
      <c r="D14" s="323"/>
      <c r="E14" s="324" t="str">
        <f>AU18</f>
        <v>SC Midlands 14 Perf</v>
      </c>
      <c r="F14" s="325"/>
      <c r="G14" s="325"/>
      <c r="H14" s="325"/>
      <c r="I14" s="325"/>
      <c r="J14" s="325"/>
      <c r="K14" s="326"/>
      <c r="L14" s="327">
        <f>IF($AK10=0,AF67,AF49)</f>
        <v>3</v>
      </c>
      <c r="M14" s="328"/>
      <c r="N14" s="328"/>
      <c r="O14" s="328"/>
      <c r="P14" s="328"/>
      <c r="Q14" s="363"/>
      <c r="R14" s="327">
        <f>IF($AK10=0,AG67,AG49)</f>
        <v>5</v>
      </c>
      <c r="S14" s="328"/>
      <c r="T14" s="328"/>
      <c r="U14" s="328"/>
      <c r="V14" s="328"/>
      <c r="W14" s="327">
        <f>AQ27</f>
        <v>-27</v>
      </c>
      <c r="X14" s="328"/>
      <c r="Y14" s="328"/>
      <c r="Z14" s="300">
        <f>IF(AF61&gt;0,(AQ27/AF61),0)</f>
        <v>-0.13500000000000001</v>
      </c>
      <c r="AA14" s="301"/>
      <c r="AB14" s="301"/>
      <c r="AC14" s="304">
        <f>IF(AF75=0,0,(AF67/AF75))</f>
        <v>0.375</v>
      </c>
      <c r="AD14" s="305"/>
      <c r="AE14" s="306"/>
      <c r="AF14" s="310">
        <v>4</v>
      </c>
      <c r="AG14" s="310">
        <v>1</v>
      </c>
      <c r="AH14" s="312">
        <v>15</v>
      </c>
      <c r="AI14" s="313"/>
      <c r="AJ14" s="8"/>
      <c r="AK14" s="52"/>
      <c r="AL14" s="52"/>
      <c r="AM14" s="52"/>
      <c r="AN14" s="52"/>
      <c r="AO14" s="52"/>
      <c r="AP14" s="52"/>
      <c r="AQ14" s="34"/>
      <c r="AR14" s="35"/>
      <c r="AT14" s="24">
        <v>12</v>
      </c>
      <c r="AU14" s="20" t="s">
        <v>187</v>
      </c>
      <c r="AV14" s="20" t="s">
        <v>188</v>
      </c>
      <c r="AW14" s="21">
        <f>VLOOKUP(AV14,Initial!G:K,5,FALSE)</f>
        <v>2118.0809304980062</v>
      </c>
      <c r="AX14" s="25">
        <f t="shared" si="1"/>
        <v>2133.5437316379871</v>
      </c>
      <c r="AY14" s="26">
        <f t="shared" si="0"/>
        <v>2110.9821884141811</v>
      </c>
    </row>
    <row r="15" spans="1:53" ht="18.75" customHeight="1" thickBot="1" x14ac:dyDescent="0.25">
      <c r="A15" s="321"/>
      <c r="B15" s="339" t="s">
        <v>11</v>
      </c>
      <c r="C15" s="340"/>
      <c r="D15" s="340"/>
      <c r="E15" s="341" t="str">
        <f>AV18</f>
        <v>fj4scmid2pm</v>
      </c>
      <c r="F15" s="342"/>
      <c r="G15" s="342"/>
      <c r="H15" s="342"/>
      <c r="I15" s="342"/>
      <c r="J15" s="342"/>
      <c r="K15" s="342"/>
      <c r="L15" s="343"/>
      <c r="M15" s="344"/>
      <c r="N15" s="344"/>
      <c r="O15" s="344"/>
      <c r="P15" s="344"/>
      <c r="Q15" s="363"/>
      <c r="R15" s="343"/>
      <c r="S15" s="344"/>
      <c r="T15" s="344"/>
      <c r="U15" s="344"/>
      <c r="V15" s="344"/>
      <c r="W15" s="343"/>
      <c r="X15" s="344"/>
      <c r="Y15" s="344"/>
      <c r="Z15" s="331"/>
      <c r="AA15" s="332"/>
      <c r="AB15" s="332"/>
      <c r="AC15" s="333"/>
      <c r="AD15" s="334"/>
      <c r="AE15" s="335"/>
      <c r="AF15" s="336"/>
      <c r="AG15" s="336"/>
      <c r="AH15" s="337"/>
      <c r="AI15" s="338"/>
      <c r="AJ15" s="8"/>
      <c r="AK15" s="52"/>
      <c r="AL15" s="52"/>
      <c r="AM15" s="52"/>
      <c r="AN15" s="52"/>
      <c r="AO15" s="52"/>
      <c r="AP15" s="52"/>
      <c r="AQ15" s="8"/>
      <c r="AR15" s="3"/>
      <c r="AT15" s="24">
        <v>13</v>
      </c>
      <c r="AU15" s="20" t="s">
        <v>189</v>
      </c>
      <c r="AV15" s="20" t="s">
        <v>190</v>
      </c>
      <c r="AW15" s="21">
        <f>VLOOKUP(AV15,Initial!G:K,5,FALSE)</f>
        <v>2111.5716033290137</v>
      </c>
      <c r="AX15" s="25">
        <f t="shared" si="1"/>
        <v>2151.2217790480172</v>
      </c>
      <c r="AY15" s="26">
        <f t="shared" si="0"/>
        <v>2142.9156187872968</v>
      </c>
    </row>
    <row r="16" spans="1:53" ht="18.75" customHeight="1" thickBot="1" x14ac:dyDescent="0.25">
      <c r="A16" s="320" t="str">
        <f>IF($AK9&gt;4,"5","")</f>
        <v>5</v>
      </c>
      <c r="B16" s="322" t="s">
        <v>10</v>
      </c>
      <c r="C16" s="323"/>
      <c r="D16" s="323"/>
      <c r="E16" s="324" t="str">
        <f>AU19</f>
        <v>Intense 14 Performance Ro</v>
      </c>
      <c r="F16" s="325"/>
      <c r="G16" s="325"/>
      <c r="H16" s="325"/>
      <c r="I16" s="325"/>
      <c r="J16" s="325"/>
      <c r="K16" s="326"/>
      <c r="L16" s="327">
        <f>IF($AK10=0,AF68,AF50)</f>
        <v>0</v>
      </c>
      <c r="M16" s="328"/>
      <c r="N16" s="328"/>
      <c r="O16" s="328"/>
      <c r="P16" s="328"/>
      <c r="Q16" s="363"/>
      <c r="R16" s="327">
        <f>IF($AK10=0,AG68,AG50)</f>
        <v>8</v>
      </c>
      <c r="S16" s="328"/>
      <c r="T16" s="328"/>
      <c r="U16" s="328"/>
      <c r="V16" s="328"/>
      <c r="W16" s="327">
        <f>AQ28</f>
        <v>-77</v>
      </c>
      <c r="X16" s="328"/>
      <c r="Y16" s="328"/>
      <c r="Z16" s="300">
        <f>IF(AF62&gt;0,(AQ28/AF62),0)</f>
        <v>-0.38500000000000001</v>
      </c>
      <c r="AA16" s="301"/>
      <c r="AB16" s="301"/>
      <c r="AC16" s="304">
        <f>IF(AF76=0,0,(AF68/AF76))</f>
        <v>0</v>
      </c>
      <c r="AD16" s="305"/>
      <c r="AE16" s="306"/>
      <c r="AF16" s="310">
        <v>5</v>
      </c>
      <c r="AG16" s="310">
        <v>1</v>
      </c>
      <c r="AH16" s="312">
        <v>16</v>
      </c>
      <c r="AI16" s="313"/>
      <c r="AJ16" s="8"/>
      <c r="AK16" s="52"/>
      <c r="AL16" s="52"/>
      <c r="AM16" s="52"/>
      <c r="AN16" s="52"/>
      <c r="AO16" s="52"/>
      <c r="AP16" s="52"/>
      <c r="AQ16" s="8"/>
      <c r="AR16" s="3"/>
      <c r="AT16" s="24">
        <v>14</v>
      </c>
      <c r="AU16" s="20" t="s">
        <v>191</v>
      </c>
      <c r="AV16" s="20" t="s">
        <v>192</v>
      </c>
      <c r="AW16" s="21">
        <f>VLOOKUP(AV16,Initial!G:K,5,FALSE)</f>
        <v>2065.5934655640858</v>
      </c>
      <c r="AX16" s="25">
        <f t="shared" si="1"/>
        <v>2082.5054071699387</v>
      </c>
      <c r="AY16" s="26">
        <f t="shared" si="0"/>
        <v>2082.1425556197441</v>
      </c>
    </row>
    <row r="17" spans="1:51" ht="18.75" customHeight="1" thickBot="1" x14ac:dyDescent="0.25">
      <c r="A17" s="321"/>
      <c r="B17" s="316" t="s">
        <v>11</v>
      </c>
      <c r="C17" s="317"/>
      <c r="D17" s="317"/>
      <c r="E17" s="318" t="str">
        <f>AV19</f>
        <v>fj4inten5pm</v>
      </c>
      <c r="F17" s="319"/>
      <c r="G17" s="319"/>
      <c r="H17" s="319"/>
      <c r="I17" s="319"/>
      <c r="J17" s="319"/>
      <c r="K17" s="319"/>
      <c r="L17" s="329"/>
      <c r="M17" s="330"/>
      <c r="N17" s="330"/>
      <c r="O17" s="330"/>
      <c r="P17" s="330"/>
      <c r="Q17" s="363"/>
      <c r="R17" s="329"/>
      <c r="S17" s="330"/>
      <c r="T17" s="330"/>
      <c r="U17" s="330"/>
      <c r="V17" s="330"/>
      <c r="W17" s="329"/>
      <c r="X17" s="330"/>
      <c r="Y17" s="330"/>
      <c r="Z17" s="302"/>
      <c r="AA17" s="303"/>
      <c r="AB17" s="303"/>
      <c r="AC17" s="307"/>
      <c r="AD17" s="308"/>
      <c r="AE17" s="309"/>
      <c r="AF17" s="311"/>
      <c r="AG17" s="311"/>
      <c r="AH17" s="314"/>
      <c r="AI17" s="315"/>
      <c r="AJ17" s="8"/>
      <c r="AK17" s="52"/>
      <c r="AL17" s="52"/>
      <c r="AM17" s="52"/>
      <c r="AN17" s="52"/>
      <c r="AO17" s="52"/>
      <c r="AP17" s="52"/>
      <c r="AQ17" s="8"/>
      <c r="AR17" s="3"/>
      <c r="AT17" s="24">
        <v>15</v>
      </c>
      <c r="AU17" s="20" t="s">
        <v>193</v>
      </c>
      <c r="AV17" s="20" t="s">
        <v>194</v>
      </c>
      <c r="AW17" s="21">
        <f>VLOOKUP(AV17,Initial!G:K,5,FALSE)</f>
        <v>2047.8105361849766</v>
      </c>
      <c r="AX17" s="25">
        <f t="shared" si="1"/>
        <v>2011.2459103995855</v>
      </c>
      <c r="AY17" s="26">
        <f t="shared" si="0"/>
        <v>1999.2074170421029</v>
      </c>
    </row>
    <row r="18" spans="1:51" ht="21" customHeight="1" thickTop="1" thickBot="1" x14ac:dyDescent="0.25">
      <c r="A18" s="55"/>
      <c r="B18" s="297" t="s">
        <v>195</v>
      </c>
      <c r="C18" s="298"/>
      <c r="D18" s="298"/>
      <c r="E18" s="298"/>
      <c r="F18" s="298"/>
      <c r="G18" s="298"/>
      <c r="H18" s="298"/>
      <c r="I18" s="298"/>
      <c r="J18" s="298"/>
      <c r="K18" s="298"/>
      <c r="L18" s="298"/>
      <c r="M18" s="298"/>
      <c r="N18" s="298"/>
      <c r="O18" s="298"/>
      <c r="P18" s="298"/>
      <c r="Q18" s="298"/>
      <c r="R18" s="298"/>
      <c r="S18" s="298"/>
      <c r="T18" s="298"/>
      <c r="U18" s="298"/>
      <c r="V18" s="298"/>
      <c r="W18" s="298"/>
      <c r="X18" s="298"/>
      <c r="Y18" s="298"/>
      <c r="Z18" s="298"/>
      <c r="AA18" s="298"/>
      <c r="AB18" s="298"/>
      <c r="AC18" s="298"/>
      <c r="AD18" s="298"/>
      <c r="AE18" s="298"/>
      <c r="AF18" s="298"/>
      <c r="AG18" s="298"/>
      <c r="AH18" s="298"/>
      <c r="AI18" s="299"/>
      <c r="AJ18" s="8"/>
      <c r="AK18" s="52"/>
      <c r="AL18" s="52"/>
      <c r="AM18" s="52"/>
      <c r="AN18" s="52"/>
      <c r="AO18" s="52"/>
      <c r="AP18" s="52"/>
      <c r="AQ18" s="8"/>
      <c r="AR18" s="3"/>
      <c r="AT18" s="24">
        <v>16</v>
      </c>
      <c r="AU18" s="20" t="s">
        <v>196</v>
      </c>
      <c r="AV18" s="20" t="s">
        <v>197</v>
      </c>
      <c r="AW18" s="21">
        <f>VLOOKUP(AV18,Initial!G:K,5,FALSE)</f>
        <v>2029.7385368406767</v>
      </c>
      <c r="AX18" s="25">
        <f t="shared" si="1"/>
        <v>2023.7265315933423</v>
      </c>
      <c r="AY18" s="26">
        <f t="shared" si="0"/>
        <v>2014.1456827590919</v>
      </c>
    </row>
    <row r="19" spans="1:51" ht="14.25" thickTop="1" thickBot="1" x14ac:dyDescent="0.25">
      <c r="A19" s="4" t="s">
        <v>60</v>
      </c>
      <c r="B19" s="286">
        <v>0.35416666666666669</v>
      </c>
      <c r="C19" s="287"/>
      <c r="D19" s="288"/>
      <c r="E19" s="286">
        <v>0.38194444444444442</v>
      </c>
      <c r="F19" s="287"/>
      <c r="G19" s="288"/>
      <c r="H19" s="286">
        <v>0.40972222222222227</v>
      </c>
      <c r="I19" s="287"/>
      <c r="J19" s="288"/>
      <c r="K19" s="286">
        <v>0.4375</v>
      </c>
      <c r="L19" s="287"/>
      <c r="M19" s="288"/>
      <c r="N19" s="286">
        <v>0.46527777777777773</v>
      </c>
      <c r="O19" s="287"/>
      <c r="P19" s="288"/>
      <c r="Q19" s="286">
        <v>0.49305555555555558</v>
      </c>
      <c r="R19" s="287"/>
      <c r="S19" s="288"/>
      <c r="T19" s="286">
        <v>0.52083333333333337</v>
      </c>
      <c r="U19" s="287"/>
      <c r="V19" s="288"/>
      <c r="W19" s="286">
        <v>4.8611111111111112E-2</v>
      </c>
      <c r="X19" s="287"/>
      <c r="Y19" s="288"/>
      <c r="Z19" s="286">
        <v>7.6388888888888895E-2</v>
      </c>
      <c r="AA19" s="287"/>
      <c r="AB19" s="288"/>
      <c r="AC19" s="286">
        <v>0.10416666666666667</v>
      </c>
      <c r="AD19" s="287"/>
      <c r="AE19" s="288"/>
      <c r="AF19" s="289" t="s">
        <v>61</v>
      </c>
      <c r="AG19" s="290"/>
      <c r="AH19" s="290"/>
      <c r="AI19" s="290"/>
      <c r="AJ19" s="291"/>
      <c r="AK19" s="291"/>
      <c r="AL19" s="291"/>
      <c r="AM19" s="291"/>
      <c r="AN19" s="291"/>
      <c r="AO19" s="291"/>
      <c r="AP19" s="291"/>
      <c r="AQ19" s="292"/>
      <c r="AT19" s="24">
        <v>17</v>
      </c>
      <c r="AU19" s="20" t="s">
        <v>198</v>
      </c>
      <c r="AV19" s="20" t="s">
        <v>199</v>
      </c>
      <c r="AW19" s="21">
        <f>VLOOKUP(AV19,Initial!G:K,5,FALSE)</f>
        <v>1875.9252781891223</v>
      </c>
      <c r="AX19" s="25">
        <f t="shared" si="1"/>
        <v>1833.752728897409</v>
      </c>
      <c r="AY19" s="26">
        <f t="shared" si="0"/>
        <v>1833.752728897409</v>
      </c>
    </row>
    <row r="20" spans="1:51" ht="13.5" thickBot="1" x14ac:dyDescent="0.25">
      <c r="A20" s="56" t="s">
        <v>62</v>
      </c>
      <c r="B20" s="283">
        <v>0.35416666666666669</v>
      </c>
      <c r="C20" s="284"/>
      <c r="D20" s="285"/>
      <c r="E20" s="283">
        <v>0.3833333333333333</v>
      </c>
      <c r="F20" s="284"/>
      <c r="G20" s="285"/>
      <c r="H20" s="283">
        <v>0.41736111111111113</v>
      </c>
      <c r="I20" s="284"/>
      <c r="J20" s="285"/>
      <c r="K20" s="283">
        <v>0.4465277777777778</v>
      </c>
      <c r="L20" s="284"/>
      <c r="M20" s="285"/>
      <c r="N20" s="283">
        <v>0.47847222222222219</v>
      </c>
      <c r="O20" s="284"/>
      <c r="P20" s="285"/>
      <c r="Q20" s="283">
        <v>0.51041666666666663</v>
      </c>
      <c r="R20" s="284"/>
      <c r="S20" s="285"/>
      <c r="T20" s="283">
        <v>4.7916666666666663E-2</v>
      </c>
      <c r="U20" s="284"/>
      <c r="V20" s="285"/>
      <c r="W20" s="283">
        <v>8.2638888888888887E-2</v>
      </c>
      <c r="X20" s="284"/>
      <c r="Y20" s="285"/>
      <c r="Z20" s="283">
        <v>0.10902777777777778</v>
      </c>
      <c r="AA20" s="284"/>
      <c r="AB20" s="285"/>
      <c r="AC20" s="283">
        <v>0.13958333333333334</v>
      </c>
      <c r="AD20" s="284"/>
      <c r="AE20" s="285"/>
      <c r="AF20" s="289"/>
      <c r="AG20" s="290"/>
      <c r="AH20" s="290"/>
      <c r="AI20" s="290"/>
      <c r="AJ20" s="290"/>
      <c r="AK20" s="290"/>
      <c r="AL20" s="290"/>
      <c r="AM20" s="290"/>
      <c r="AN20" s="290"/>
      <c r="AO20" s="290"/>
      <c r="AP20" s="290"/>
      <c r="AQ20" s="293"/>
      <c r="AT20" s="24">
        <v>18</v>
      </c>
      <c r="AU20" s="20" t="s">
        <v>200</v>
      </c>
      <c r="AV20" s="20" t="s">
        <v>201</v>
      </c>
      <c r="AW20" s="21">
        <f>VLOOKUP(AV20,Initial!G:K,5,FALSE)</f>
        <v>1894.2272816119016</v>
      </c>
      <c r="AX20" s="25">
        <f t="shared" si="1"/>
        <v>1847.3911239226065</v>
      </c>
      <c r="AY20" s="26">
        <f t="shared" si="0"/>
        <v>1847.3911239226065</v>
      </c>
    </row>
    <row r="21" spans="1:51" ht="13.5" thickBot="1" x14ac:dyDescent="0.25">
      <c r="A21" s="56" t="s">
        <v>63</v>
      </c>
      <c r="B21" s="283">
        <v>0.37083333333333335</v>
      </c>
      <c r="C21" s="284"/>
      <c r="D21" s="285"/>
      <c r="E21" s="283">
        <v>0.4055555555555555</v>
      </c>
      <c r="F21" s="284"/>
      <c r="G21" s="285"/>
      <c r="H21" s="283">
        <v>0.43888888888888888</v>
      </c>
      <c r="I21" s="284"/>
      <c r="J21" s="285"/>
      <c r="K21" s="283">
        <v>0.46875</v>
      </c>
      <c r="L21" s="284"/>
      <c r="M21" s="285"/>
      <c r="N21" s="283">
        <v>0.50069444444444444</v>
      </c>
      <c r="O21" s="284"/>
      <c r="P21" s="285"/>
      <c r="Q21" s="283">
        <v>0.5395833333333333</v>
      </c>
      <c r="R21" s="284"/>
      <c r="S21" s="285"/>
      <c r="T21" s="283">
        <v>7.4999999999999997E-2</v>
      </c>
      <c r="U21" s="284"/>
      <c r="V21" s="285"/>
      <c r="W21" s="283">
        <v>0.10069444444444443</v>
      </c>
      <c r="X21" s="284"/>
      <c r="Y21" s="285"/>
      <c r="Z21" s="283">
        <v>0.13055555555555556</v>
      </c>
      <c r="AA21" s="284"/>
      <c r="AB21" s="285"/>
      <c r="AC21" s="283">
        <v>0.16319444444444445</v>
      </c>
      <c r="AD21" s="284"/>
      <c r="AE21" s="285"/>
      <c r="AF21" s="289"/>
      <c r="AG21" s="290"/>
      <c r="AH21" s="290"/>
      <c r="AI21" s="290"/>
      <c r="AJ21" s="290"/>
      <c r="AK21" s="290"/>
      <c r="AL21" s="290"/>
      <c r="AM21" s="290"/>
      <c r="AN21" s="290"/>
      <c r="AO21" s="290"/>
      <c r="AP21" s="290"/>
      <c r="AQ21" s="293"/>
      <c r="AT21" s="24">
        <v>19</v>
      </c>
      <c r="AU21" s="20" t="s">
        <v>202</v>
      </c>
      <c r="AV21" s="20" t="s">
        <v>203</v>
      </c>
      <c r="AW21" s="21">
        <f>VLOOKUP(AV21,Initial!G:K,5,FALSE)</f>
        <v>1929.3910828969913</v>
      </c>
      <c r="AX21" s="25">
        <f t="shared" si="1"/>
        <v>1878.4980070891529</v>
      </c>
      <c r="AY21" s="26">
        <f t="shared" si="0"/>
        <v>1878.4980070891529</v>
      </c>
    </row>
    <row r="22" spans="1:51" ht="13.5" thickBot="1" x14ac:dyDescent="0.25">
      <c r="A22" s="8"/>
      <c r="B22" s="173" t="s">
        <v>64</v>
      </c>
      <c r="C22" s="174"/>
      <c r="D22" s="180"/>
      <c r="E22" s="173" t="str">
        <f>IF(AK8&gt;1,"Match 2","")</f>
        <v>Match 2</v>
      </c>
      <c r="F22" s="174"/>
      <c r="G22" s="180"/>
      <c r="H22" s="173" t="str">
        <f>IF(AK8&gt;2,"Match 3","")</f>
        <v>Match 3</v>
      </c>
      <c r="I22" s="174"/>
      <c r="J22" s="180"/>
      <c r="K22" s="173" t="str">
        <f>IF(AK8&gt;3,"Match 4","")</f>
        <v>Match 4</v>
      </c>
      <c r="L22" s="174"/>
      <c r="M22" s="180"/>
      <c r="N22" s="173" t="str">
        <f>IF(AK8&gt;4,"Match 5","")</f>
        <v>Match 5</v>
      </c>
      <c r="O22" s="174"/>
      <c r="P22" s="180"/>
      <c r="Q22" s="173" t="str">
        <f>IF(AK8&gt;5,"Match 6","")</f>
        <v>Match 6</v>
      </c>
      <c r="R22" s="174"/>
      <c r="S22" s="180"/>
      <c r="T22" s="173" t="str">
        <f>IF(AK8&gt;6,"Match 7","")</f>
        <v>Match 7</v>
      </c>
      <c r="U22" s="174"/>
      <c r="V22" s="180"/>
      <c r="W22" s="173" t="str">
        <f>IF(AK8&gt;7,"Match 8","")</f>
        <v>Match 8</v>
      </c>
      <c r="X22" s="174"/>
      <c r="Y22" s="180"/>
      <c r="Z22" s="173" t="str">
        <f>IF(AK8&gt;8,"Match 9","")</f>
        <v>Match 9</v>
      </c>
      <c r="AA22" s="174"/>
      <c r="AB22" s="180"/>
      <c r="AC22" s="173" t="str">
        <f>IF(AK8&gt;9,"Match 10","")</f>
        <v>Match 10</v>
      </c>
      <c r="AD22" s="174"/>
      <c r="AE22" s="180"/>
      <c r="AF22" s="294"/>
      <c r="AG22" s="295"/>
      <c r="AH22" s="295"/>
      <c r="AI22" s="295"/>
      <c r="AJ22" s="295"/>
      <c r="AK22" s="295"/>
      <c r="AL22" s="295"/>
      <c r="AM22" s="295"/>
      <c r="AN22" s="295"/>
      <c r="AO22" s="295"/>
      <c r="AP22" s="295"/>
      <c r="AQ22" s="296"/>
      <c r="AT22" s="421"/>
      <c r="AU22" s="422"/>
      <c r="AV22" s="423"/>
      <c r="AW22" s="424"/>
      <c r="AX22" s="425"/>
      <c r="AY22" s="426"/>
    </row>
    <row r="23" spans="1:51" ht="15.75" customHeight="1" x14ac:dyDescent="0.25">
      <c r="A23" s="8"/>
      <c r="B23" s="277" t="s">
        <v>68</v>
      </c>
      <c r="C23" s="278"/>
      <c r="D23" s="279"/>
      <c r="E23" s="277" t="s">
        <v>67</v>
      </c>
      <c r="F23" s="278"/>
      <c r="G23" s="279"/>
      <c r="H23" s="277" t="s">
        <v>65</v>
      </c>
      <c r="I23" s="278"/>
      <c r="J23" s="279"/>
      <c r="K23" s="277" t="s">
        <v>204</v>
      </c>
      <c r="L23" s="278"/>
      <c r="M23" s="279"/>
      <c r="N23" s="277" t="s">
        <v>66</v>
      </c>
      <c r="O23" s="278"/>
      <c r="P23" s="279"/>
      <c r="Q23" s="277" t="s">
        <v>65</v>
      </c>
      <c r="R23" s="278"/>
      <c r="S23" s="279"/>
      <c r="T23" s="277" t="s">
        <v>68</v>
      </c>
      <c r="U23" s="278"/>
      <c r="V23" s="279"/>
      <c r="W23" s="277" t="s">
        <v>66</v>
      </c>
      <c r="X23" s="278"/>
      <c r="Y23" s="279"/>
      <c r="Z23" s="277" t="s">
        <v>204</v>
      </c>
      <c r="AA23" s="278"/>
      <c r="AB23" s="279"/>
      <c r="AC23" s="277" t="s">
        <v>67</v>
      </c>
      <c r="AD23" s="278"/>
      <c r="AE23" s="279"/>
      <c r="AF23" s="57" t="s">
        <v>70</v>
      </c>
      <c r="AG23" s="58">
        <v>1</v>
      </c>
      <c r="AH23" s="58">
        <v>2</v>
      </c>
      <c r="AI23" s="58">
        <v>3</v>
      </c>
      <c r="AJ23" s="58">
        <v>4</v>
      </c>
      <c r="AK23" s="58">
        <v>5</v>
      </c>
      <c r="AL23" s="58">
        <v>6</v>
      </c>
      <c r="AM23" s="58">
        <v>7</v>
      </c>
      <c r="AN23" s="58">
        <v>8</v>
      </c>
      <c r="AO23" s="58">
        <v>9</v>
      </c>
      <c r="AP23" s="58">
        <v>10</v>
      </c>
      <c r="AQ23" s="59" t="s">
        <v>71</v>
      </c>
      <c r="AT23" s="372" t="s">
        <v>58</v>
      </c>
      <c r="AU23" s="373"/>
      <c r="AV23" s="373"/>
      <c r="AW23" s="373"/>
      <c r="AX23" s="373"/>
      <c r="AY23" s="374"/>
    </row>
    <row r="24" spans="1:51" ht="16.5" thickBot="1" x14ac:dyDescent="0.3">
      <c r="A24" s="8"/>
      <c r="B24" s="61">
        <v>2</v>
      </c>
      <c r="C24" s="62" t="s">
        <v>72</v>
      </c>
      <c r="D24" s="63">
        <v>5</v>
      </c>
      <c r="E24" s="61">
        <v>1</v>
      </c>
      <c r="F24" s="62" t="str">
        <f>IF(AK8&gt;1,"v","")</f>
        <v>v</v>
      </c>
      <c r="G24" s="63">
        <v>4</v>
      </c>
      <c r="H24" s="61">
        <v>3</v>
      </c>
      <c r="I24" s="62" t="str">
        <f>IF(AK8&gt;2,"v","")</f>
        <v>v</v>
      </c>
      <c r="J24" s="63">
        <v>5</v>
      </c>
      <c r="K24" s="61">
        <v>2</v>
      </c>
      <c r="L24" s="62" t="str">
        <f>IF(AK8&gt;3,"v","")</f>
        <v>v</v>
      </c>
      <c r="M24" s="63">
        <v>4</v>
      </c>
      <c r="N24" s="61">
        <v>1</v>
      </c>
      <c r="O24" s="62" t="str">
        <f>IF(AK8&gt;4,"v","")</f>
        <v>v</v>
      </c>
      <c r="P24" s="63">
        <v>3</v>
      </c>
      <c r="Q24" s="61">
        <v>4</v>
      </c>
      <c r="R24" s="62" t="str">
        <f>IF(AK8&gt;5,"v","")</f>
        <v>v</v>
      </c>
      <c r="S24" s="63">
        <v>5</v>
      </c>
      <c r="T24" s="61">
        <v>2</v>
      </c>
      <c r="U24" s="62" t="str">
        <f>IF(AK8&gt;6,"v","")</f>
        <v>v</v>
      </c>
      <c r="V24" s="63">
        <v>3</v>
      </c>
      <c r="W24" s="61">
        <v>1</v>
      </c>
      <c r="X24" s="62" t="str">
        <f>IF(AK8&gt;7,"v","")</f>
        <v>v</v>
      </c>
      <c r="Y24" s="63">
        <v>5</v>
      </c>
      <c r="Z24" s="61">
        <v>3</v>
      </c>
      <c r="AA24" s="62" t="str">
        <f>IF(AK8&gt;8,"v","")</f>
        <v>v</v>
      </c>
      <c r="AB24" s="63">
        <v>4</v>
      </c>
      <c r="AC24" s="61">
        <v>1</v>
      </c>
      <c r="AD24" s="62" t="str">
        <f>IF(AK8&gt;9,"v","")</f>
        <v>v</v>
      </c>
      <c r="AE24" s="63">
        <v>2</v>
      </c>
      <c r="AF24" s="57" t="str">
        <f>IF(AK9&gt;0,"Team 1","")</f>
        <v>Team 1</v>
      </c>
      <c r="AG24" s="64" t="str">
        <f>IF(AK9&lt;1,"",IF(AK8&lt;1,"",IF(B24=1,B30-D30,IF(D24=1,D30-B30,""))))</f>
        <v/>
      </c>
      <c r="AH24" s="64">
        <f>IF(AK9&lt;1,"",IF(AK8&lt;2,"",IF(E24=1,E30-G30,IF(G24=1,G30-E30,""))))</f>
        <v>17</v>
      </c>
      <c r="AI24" s="64" t="str">
        <f>IF(AK9&lt;1,"",IF(AK8&lt;3,"",IF(H24=1,H30-J30,IF(J24=1,J30-H30,""))))</f>
        <v/>
      </c>
      <c r="AJ24" s="64" t="str">
        <f>IF(AK9&lt;1,"",IF(AK8&lt;4,"",IF(K24=1,K30-M30,IF(M24=1,M30-K30,""))))</f>
        <v/>
      </c>
      <c r="AK24" s="64">
        <f>IF(AK9&lt;1,"",IF(AK8&lt;5,"",IF(N24=1,N30-P30,IF(P24=1,P30-N30,""))))</f>
        <v>17</v>
      </c>
      <c r="AL24" s="64" t="str">
        <f>IF(AK9&lt;1,"",IF(AK8&lt;6,"",IF(Q24=1,Q30-S30,IF(S24=1,S30-Q30,""))))</f>
        <v/>
      </c>
      <c r="AM24" s="64" t="str">
        <f>IF(AK9&lt;1,"",IF(AK8&lt;7,"",IF(T24=1,T30-V30,IF(V24=1,V30-T30,""))))</f>
        <v/>
      </c>
      <c r="AN24" s="64">
        <f>IF(AK9&lt;1,"",IF(AK8&lt;8,"",IF(W24=1,W30-Y30,IF(Y24=1,Y30-W30,""))))</f>
        <v>22</v>
      </c>
      <c r="AO24" s="64" t="str">
        <f>IF(AK9&lt;1,"",IF(AK8&lt;9,"",IF(Z24=1,Z30-AB30,IF(AB24=1,AB30-Z30,""))))</f>
        <v/>
      </c>
      <c r="AP24" s="64">
        <f>IF(AK9&lt;1,"",IF(AK8&lt;10,"",IF(AC24=1,AC30-AE30,IF(AE24=1,AE30-AC30,""))))</f>
        <v>16</v>
      </c>
      <c r="AQ24" s="59">
        <f>SUM(AG24:AP24)</f>
        <v>72</v>
      </c>
      <c r="AT24" s="375"/>
      <c r="AU24" s="376"/>
      <c r="AV24" s="376"/>
      <c r="AW24" s="376"/>
      <c r="AX24" s="376"/>
      <c r="AY24" s="377"/>
    </row>
    <row r="25" spans="1:51" ht="15.75" thickBot="1" x14ac:dyDescent="0.25">
      <c r="A25" s="4" t="s">
        <v>73</v>
      </c>
      <c r="B25" s="65">
        <v>25</v>
      </c>
      <c r="C25" s="66" t="s">
        <v>74</v>
      </c>
      <c r="D25" s="67">
        <v>15</v>
      </c>
      <c r="E25" s="65">
        <v>25</v>
      </c>
      <c r="F25" s="66" t="str">
        <f>IF(AK8&gt;1,"/","")</f>
        <v>/</v>
      </c>
      <c r="G25" s="67">
        <v>15</v>
      </c>
      <c r="H25" s="65">
        <v>25</v>
      </c>
      <c r="I25" s="66" t="str">
        <f>IF(AK8&gt;2,"/","")</f>
        <v>/</v>
      </c>
      <c r="J25" s="67">
        <v>17</v>
      </c>
      <c r="K25" s="65">
        <v>25</v>
      </c>
      <c r="L25" s="66" t="str">
        <f>IF(AK8&gt;3,"/","")</f>
        <v>/</v>
      </c>
      <c r="M25" s="67">
        <v>18</v>
      </c>
      <c r="N25" s="65">
        <v>25</v>
      </c>
      <c r="O25" s="66" t="str">
        <f>IF(AK8&gt;4,"/","")</f>
        <v>/</v>
      </c>
      <c r="P25" s="67">
        <v>19</v>
      </c>
      <c r="Q25" s="65">
        <v>25</v>
      </c>
      <c r="R25" s="66" t="str">
        <f>IF(AK8&gt;5,"/","")</f>
        <v>/</v>
      </c>
      <c r="S25" s="67">
        <v>21</v>
      </c>
      <c r="T25" s="65">
        <v>25</v>
      </c>
      <c r="U25" s="66" t="str">
        <f>IF(AK8&gt;6,"/","")</f>
        <v>/</v>
      </c>
      <c r="V25" s="67">
        <v>17</v>
      </c>
      <c r="W25" s="65">
        <v>25</v>
      </c>
      <c r="X25" s="66" t="str">
        <f>IF(AK8&gt;7,"/","")</f>
        <v>/</v>
      </c>
      <c r="Y25" s="67">
        <v>17</v>
      </c>
      <c r="Z25" s="65">
        <v>25</v>
      </c>
      <c r="AA25" s="66" t="str">
        <f>IF(AK8&gt;8,"/","")</f>
        <v>/</v>
      </c>
      <c r="AB25" s="67">
        <v>18</v>
      </c>
      <c r="AC25" s="65">
        <v>25</v>
      </c>
      <c r="AD25" s="66" t="str">
        <f>IF(AK8&gt;9,"/","")</f>
        <v>/</v>
      </c>
      <c r="AE25" s="67">
        <v>18</v>
      </c>
      <c r="AF25" s="57" t="str">
        <f>IF(AK9&gt;1,"Team 2","")</f>
        <v>Team 2</v>
      </c>
      <c r="AG25" s="64">
        <f>IF(AK9&lt;2,"",IF(AK8&lt;1,"",IF(B24=2,B30-D30,IF(D24=2,D30-B30,""))))</f>
        <v>23</v>
      </c>
      <c r="AH25" s="64" t="str">
        <f>IF(AK9&lt;2,"",IF(AK8&lt;2,"",IF(E24=2,E30-G30,IF(G24=2,G30-E30,""))))</f>
        <v/>
      </c>
      <c r="AI25" s="64" t="str">
        <f>IF(AK9&lt;2,"",IF(AK8&lt;3,"",IF(H24=2,H30-J30,IF(J24=2,J30-H30,""))))</f>
        <v/>
      </c>
      <c r="AJ25" s="64">
        <f>IF(AK9&lt;2,"",IF(AK8&lt;4,"",IF(K24=2,K30-M30,IF(M24=2,M30-K30,""))))</f>
        <v>0</v>
      </c>
      <c r="AK25" s="64" t="str">
        <f>IF(AK9&lt;2,"",IF(AK8&lt;5,"",IF(N24=2,N30-P30,IF(P24=2,P30-N30,""))))</f>
        <v/>
      </c>
      <c r="AL25" s="64" t="str">
        <f>IF(AK9&lt;2,"",IF(AK8&lt;6,"",IF(Q24=2,Q30-S30,IF(S24=2,S30-Q30,""))))</f>
        <v/>
      </c>
      <c r="AM25" s="64">
        <f>IF(AK9&lt;2,"",IF(AK8&lt;7,"",IF(T24=2,T30-V30,IF(V24=2,V30-T30,""))))</f>
        <v>6</v>
      </c>
      <c r="AN25" s="64" t="str">
        <f>IF(AK9&lt;2,"",IF(AK8&lt;8,"",IF(W24=2,W30-Y30,IF(Y24=2,Y30-W30,""))))</f>
        <v/>
      </c>
      <c r="AO25" s="64" t="str">
        <f>IF(AK9&lt;2,"",IF(AK8&lt;9,"",IF(Z24=2,Z30-AB30,IF(AB24=2,AB30-Z30,""))))</f>
        <v/>
      </c>
      <c r="AP25" s="64">
        <f>IF(AK9&lt;2,"",IF(AK8&lt;10,"",IF(AC24=2,AC30-AE30,IF(AE24=2,AE30-AC30,""))))</f>
        <v>-16</v>
      </c>
      <c r="AQ25" s="59">
        <f>SUM(AG25:AP25)</f>
        <v>13</v>
      </c>
      <c r="AW25" s="4"/>
    </row>
    <row r="26" spans="1:51" ht="15.75" thickBot="1" x14ac:dyDescent="0.25">
      <c r="A26" s="3" t="str">
        <f>IF(AK7&gt;1,"Game 2","")</f>
        <v>Game 2</v>
      </c>
      <c r="B26" s="65">
        <v>25</v>
      </c>
      <c r="C26" s="66" t="s">
        <v>74</v>
      </c>
      <c r="D26" s="67">
        <v>12</v>
      </c>
      <c r="E26" s="65">
        <v>25</v>
      </c>
      <c r="F26" s="66" t="str">
        <f>IF(AK8&gt;1,IF(AK7&gt;1,"/",""),"")</f>
        <v>/</v>
      </c>
      <c r="G26" s="67">
        <v>18</v>
      </c>
      <c r="H26" s="65">
        <v>25</v>
      </c>
      <c r="I26" s="66" t="str">
        <f>IF(AK8&gt;2,IF(AK7&gt;1,"/",""),"")</f>
        <v>/</v>
      </c>
      <c r="J26" s="67">
        <v>11</v>
      </c>
      <c r="K26" s="65">
        <v>18</v>
      </c>
      <c r="L26" s="66" t="str">
        <f>IF(AK8&gt;3,IF(AK7&gt;1,"/",""),"")</f>
        <v>/</v>
      </c>
      <c r="M26" s="67">
        <v>25</v>
      </c>
      <c r="N26" s="65">
        <v>25</v>
      </c>
      <c r="O26" s="66" t="str">
        <f>IF(AK8&gt;4,IF(AK7&gt;1,"/",""),"")</f>
        <v>/</v>
      </c>
      <c r="P26" s="67">
        <v>14</v>
      </c>
      <c r="Q26" s="65">
        <v>25</v>
      </c>
      <c r="R26" s="66" t="str">
        <f>IF(AK8&gt;5,IF(AK7&gt;1,"/",""),"")</f>
        <v>/</v>
      </c>
      <c r="S26" s="67">
        <v>19</v>
      </c>
      <c r="T26" s="65">
        <v>23</v>
      </c>
      <c r="U26" s="66" t="str">
        <f>IF(AK8&gt;6,IF(AK7&gt;1,"/",""),"")</f>
        <v>/</v>
      </c>
      <c r="V26" s="67">
        <v>25</v>
      </c>
      <c r="W26" s="65">
        <v>25</v>
      </c>
      <c r="X26" s="66" t="str">
        <f>IF(AK8&gt;7,IF(AK7&gt;1,"/",""),"")</f>
        <v>/</v>
      </c>
      <c r="Y26" s="67">
        <v>11</v>
      </c>
      <c r="Z26" s="65">
        <v>25</v>
      </c>
      <c r="AA26" s="66" t="str">
        <f>IF(AK8&gt;8,IF(AK7&gt;1,"/",""),"")</f>
        <v>/</v>
      </c>
      <c r="AB26" s="67">
        <v>12</v>
      </c>
      <c r="AC26" s="65">
        <v>25</v>
      </c>
      <c r="AD26" s="66" t="str">
        <f>IF(AK8&gt;9,IF(AK7&gt;1,"/",""),"")</f>
        <v>/</v>
      </c>
      <c r="AE26" s="67">
        <v>16</v>
      </c>
      <c r="AF26" s="57" t="str">
        <f>IF(AK9&gt;2,"Team 3","")</f>
        <v>Team 3</v>
      </c>
      <c r="AG26" s="64" t="str">
        <f>IF(AK9&lt;3,"",IF(AK8&lt;1,"",IF(B24=3,B30-D30,IF(D24=3,D30-B30,""))))</f>
        <v/>
      </c>
      <c r="AH26" s="64" t="str">
        <f>IF(AK9&lt;3,"",IF(AK8&lt;2,"",IF(E24=3,E30-G30,IF(G24=3,G30-E30,""))))</f>
        <v/>
      </c>
      <c r="AI26" s="64">
        <f>IF(AK9&lt;3,"",IF(AK8&lt;3,"",IF(H24=3,H30-J30,IF(J24=3,J30-H30,""))))</f>
        <v>22</v>
      </c>
      <c r="AJ26" s="64" t="str">
        <f>IF(AK9&lt;3,"",IF(AK8&lt;4,"",IF(K24=3,K30-M30,IF(M24=3,M30-K30,""))))</f>
        <v/>
      </c>
      <c r="AK26" s="64">
        <f>IF(AK9&lt;3,"",IF(AK8&lt;5,"",IF(N24=3,N30-P30,IF(P24=3,P30-N30,""))))</f>
        <v>-17</v>
      </c>
      <c r="AL26" s="64" t="str">
        <f>IF(AK9&lt;3,"",IF(AK8&lt;6,"",IF(Q24=3,Q30-S30,IF(S24=3,S30-Q30,""))))</f>
        <v/>
      </c>
      <c r="AM26" s="64">
        <f>IF(AK9&lt;3,"",IF(AK8&lt;7,"",IF(T24=3,T30-V30,IF(V24=3,V30-T30,""))))</f>
        <v>-6</v>
      </c>
      <c r="AN26" s="64" t="str">
        <f>IF(AK9&lt;3,"",IF(AK8&lt;8,"",IF(W24=3,W30-Y30,IF(Y24=3,Y30-W30,""))))</f>
        <v/>
      </c>
      <c r="AO26" s="64">
        <f>IF(AK9&lt;3,"",IF(AK8&lt;9,"",IF(Z24=3,Z30-AB30,IF(AB24=3,AB30-Z30,""))))</f>
        <v>20</v>
      </c>
      <c r="AP26" s="64" t="str">
        <f>IF(AK9&lt;3,"",IF(AK8&lt;9,"",IF(AC24=3,AC30-AE30,IF(AE24=3,AE30-AC30,""))))</f>
        <v/>
      </c>
      <c r="AQ26" s="59">
        <f>SUM(AG26:AP26)</f>
        <v>19</v>
      </c>
      <c r="AT26" s="7"/>
      <c r="AU26" s="20"/>
      <c r="AV26" s="20"/>
      <c r="AW26" s="4"/>
    </row>
    <row r="27" spans="1:51" ht="15" x14ac:dyDescent="0.2">
      <c r="A27" s="3" t="str">
        <f>IF(AK7&gt;2,"Game 3","")</f>
        <v/>
      </c>
      <c r="B27" s="65"/>
      <c r="C27" s="66" t="s">
        <v>74</v>
      </c>
      <c r="D27" s="67"/>
      <c r="E27" s="65"/>
      <c r="F27" s="66" t="str">
        <f>IF(AK8&gt;1,IF(AK7&gt;2,"/",""),"")</f>
        <v/>
      </c>
      <c r="G27" s="67"/>
      <c r="H27" s="65"/>
      <c r="I27" s="66" t="str">
        <f>IF(AK8&gt;2,IF(AK7&gt;2,"/",""),"")</f>
        <v/>
      </c>
      <c r="J27" s="67"/>
      <c r="K27" s="65"/>
      <c r="L27" s="66" t="str">
        <f>IF(AK8&gt;3,IF(AK7&gt;2,"/",""),"")</f>
        <v/>
      </c>
      <c r="M27" s="67"/>
      <c r="N27" s="65"/>
      <c r="O27" s="66" t="str">
        <f>IF(AK8&gt;4,IF(AK7&gt;2,"/",""),"")</f>
        <v/>
      </c>
      <c r="P27" s="67"/>
      <c r="Q27" s="65"/>
      <c r="R27" s="66" t="str">
        <f>IF(AK8&gt;5,IF(AK7&gt;2,"/",""),"")</f>
        <v/>
      </c>
      <c r="S27" s="67"/>
      <c r="T27" s="65"/>
      <c r="U27" s="66" t="str">
        <f>IF(AK8&gt;6,IF(AK7&gt;2,"/",""),"")</f>
        <v/>
      </c>
      <c r="V27" s="67"/>
      <c r="W27" s="65"/>
      <c r="X27" s="66" t="str">
        <f>IF(AK8&gt;7,IF(AK7&gt;2,"/",""),"")</f>
        <v/>
      </c>
      <c r="Y27" s="67"/>
      <c r="Z27" s="65"/>
      <c r="AA27" s="66" t="str">
        <f>IF(AK8&gt;8,IF(AK7&gt;2,"/",""),"")</f>
        <v/>
      </c>
      <c r="AB27" s="67"/>
      <c r="AC27" s="65"/>
      <c r="AD27" s="66" t="str">
        <f>IF(AK8&gt;9,IF(AK7&gt;2,"/",""),"")</f>
        <v/>
      </c>
      <c r="AE27" s="67"/>
      <c r="AF27" s="57" t="str">
        <f>IF(AK9&gt;3,"Team 4","")</f>
        <v>Team 4</v>
      </c>
      <c r="AG27" s="64" t="str">
        <f>IF(AK9&lt;4,"",IF(AK8&lt;1,"",IF(B24=4,B30-D30,IF(D24=4,D30-B30,""))))</f>
        <v/>
      </c>
      <c r="AH27" s="64">
        <f>IF(AK9&lt;4,"",IF(AK8&lt;2,"",IF(E24=4,E30-G30,IF(G24=4,G30-E30,""))))</f>
        <v>-17</v>
      </c>
      <c r="AI27" s="64" t="str">
        <f>IF(AK9&lt;4,"",IF(AK8&lt;3,"",IF(H24=4,H30-J30,IF(J24=4,J30-H30,""))))</f>
        <v/>
      </c>
      <c r="AJ27" s="64">
        <f>IF(AK9&lt;4,"",IF(AK8&lt;4,"",IF(K24=4,K30-M30,IF(M24=4,M30-K30,""))))</f>
        <v>0</v>
      </c>
      <c r="AK27" s="64" t="str">
        <f>IF(AK9&lt;4,"",IF(AK8&lt;5,"",IF(N24=4,N30-P30,IF(P24=4,P30-N30,""))))</f>
        <v/>
      </c>
      <c r="AL27" s="64">
        <f>IF(AK9&lt;4,"",IF(AK8&lt;6,"",IF(Q24=4,Q30-S30,IF(S24=4,S30-Q30,""))))</f>
        <v>10</v>
      </c>
      <c r="AM27" s="64" t="str">
        <f>IF(AK9&lt;4,"",IF(AK8&lt;7,"",IF(T24=4,T30-V30,IF(V24=4,V30-T30,""))))</f>
        <v/>
      </c>
      <c r="AN27" s="64" t="str">
        <f>IF(AK9&lt;4,"",IF(AK8&lt;8,"",IF(W24=4,W30-Y30,IF(Y24=4,Y30-W30,""))))</f>
        <v/>
      </c>
      <c r="AO27" s="64">
        <f>IF(AK9&lt;4,"",IF(AK8&lt;9,"",IF(Z24=4,Z30-AB30,IF(AB24=4,AB30-Z30,""))))</f>
        <v>-20</v>
      </c>
      <c r="AP27" s="64" t="str">
        <f>IF(AK9&lt;4,"",IF(AK8&lt;10,"",IF(AC24=4,AC30-AE30,IF(AE24=4,AE30-AC30,""))))</f>
        <v/>
      </c>
      <c r="AQ27" s="59">
        <f>SUM(AG27:AP27)</f>
        <v>-27</v>
      </c>
      <c r="AT27" s="7"/>
      <c r="AU27" s="7"/>
      <c r="AV27" s="7"/>
      <c r="AW27" s="4"/>
    </row>
    <row r="28" spans="1:51" ht="15" x14ac:dyDescent="0.2">
      <c r="A28" s="3" t="str">
        <f>IF(AK7&gt;3,"Game 4","")</f>
        <v/>
      </c>
      <c r="B28" s="65"/>
      <c r="C28" s="66" t="s">
        <v>74</v>
      </c>
      <c r="D28" s="67"/>
      <c r="E28" s="65"/>
      <c r="F28" s="66" t="str">
        <f>IF(AK8&gt;1,IF(AK7&gt;3,"/",""),"")</f>
        <v/>
      </c>
      <c r="G28" s="67"/>
      <c r="H28" s="65"/>
      <c r="I28" s="66" t="str">
        <f>IF(AK8&gt;2,IF(AK7&gt;3,"/",""),"")</f>
        <v/>
      </c>
      <c r="J28" s="67"/>
      <c r="K28" s="65"/>
      <c r="L28" s="66" t="str">
        <f>IF(AK8&gt;3,IF(AK7&gt;3,"/",""),"")</f>
        <v/>
      </c>
      <c r="M28" s="67"/>
      <c r="N28" s="65"/>
      <c r="O28" s="66" t="str">
        <f>IF(AK8&gt;4,IF(AK7&gt;3,"/",""),"")</f>
        <v/>
      </c>
      <c r="P28" s="67"/>
      <c r="Q28" s="65"/>
      <c r="R28" s="66" t="str">
        <f>IF(AK8&gt;5,IF(AK7&gt;3,"/",""),"")</f>
        <v/>
      </c>
      <c r="S28" s="67"/>
      <c r="T28" s="65"/>
      <c r="U28" s="66" t="str">
        <f>IF(AK8&gt;6,IF(AK7&gt;3,"/",""),"")</f>
        <v/>
      </c>
      <c r="V28" s="67"/>
      <c r="W28" s="65"/>
      <c r="X28" s="66" t="str">
        <f>IF(AK8&gt;7,IF(AK7&gt;3,"/",""),"")</f>
        <v/>
      </c>
      <c r="Y28" s="67"/>
      <c r="Z28" s="65"/>
      <c r="AA28" s="66" t="str">
        <f>IF(AK8&gt;8,IF(AK7&gt;3,"/",""),"")</f>
        <v/>
      </c>
      <c r="AB28" s="67"/>
      <c r="AC28" s="65"/>
      <c r="AD28" s="66" t="str">
        <f>IF(AK8&gt;9,IF(AK7&gt;3,"/",""),"")</f>
        <v/>
      </c>
      <c r="AE28" s="67"/>
      <c r="AF28" s="57" t="str">
        <f>IF(AK9&gt;4,"Team 5","")</f>
        <v>Team 5</v>
      </c>
      <c r="AG28" s="68">
        <f>IF(AK9&lt;5,"",IF(AK8&lt;1,"",IF(B24=5,B30-D30,IF(D24=5,D30-B30,""))))</f>
        <v>-23</v>
      </c>
      <c r="AH28" s="64" t="str">
        <f>IF(AK9&lt;5,"",IF(AK8&lt;2,"",IF(E24=5,E30-G30,IF(G24=5,G30-E30,""))))</f>
        <v/>
      </c>
      <c r="AI28" s="64">
        <f>IF(AK9&lt;5,"",IF(AK8&lt;3,"",IF(H24=5,H30-J30,IF(J24=5,J30-H30,""))))</f>
        <v>-22</v>
      </c>
      <c r="AJ28" s="64" t="str">
        <f>IF(AK9&lt;5,"",IF(AK8&lt;4,"",IF(K24=5,K30-M30,IF(M24=5,M30-K30,""))))</f>
        <v/>
      </c>
      <c r="AK28" s="64" t="str">
        <f>IF(AK9&lt;5,"",IF(AK8&lt;5,"",IF(N24=5,N30-P30,IF(P24=5,P30-N30,""))))</f>
        <v/>
      </c>
      <c r="AL28" s="64">
        <f>IF(AK9&lt;5,"",IF(AK8&lt;6,"",IF(Q24=5,Q30-S30,IF(S24=5,S30-Q30,""))))</f>
        <v>-10</v>
      </c>
      <c r="AM28" s="64" t="str">
        <f>IF(AK9&lt;5,"",IF(AK8&lt;7,"",IF(T24=5,T30-V30,IF(V24=5,V30-T30,""))))</f>
        <v/>
      </c>
      <c r="AN28" s="64">
        <f>IF(AK9&lt;5,"",IF(AK8&lt;8,"",IF(W24=5,W30-Y30,IF(Y24=5,Y30-W30,""))))</f>
        <v>-22</v>
      </c>
      <c r="AO28" s="64" t="str">
        <f>IF(AK9&lt;5,"",IF(AK8&lt;9,"",IF(Z24=5,Z30-AB30,IF(AB24=5,AB30-Z30,""))))</f>
        <v/>
      </c>
      <c r="AP28" s="64" t="str">
        <f>IF(AK9&lt;5,"",IF(AK8&lt;10,"",IF(AC24=5,AC30-AE30,IF(AE24=5,AE30-AC30,""))))</f>
        <v/>
      </c>
      <c r="AQ28" s="59">
        <f>SUM(AG28:AP28)</f>
        <v>-77</v>
      </c>
      <c r="AT28" s="7"/>
      <c r="AU28" s="7"/>
      <c r="AV28" s="7"/>
      <c r="AW28" s="7"/>
      <c r="AX28" s="7"/>
      <c r="AY28" s="7"/>
    </row>
    <row r="29" spans="1:51" ht="15" x14ac:dyDescent="0.2">
      <c r="A29" s="3" t="str">
        <f>IF(AK7&gt;4,"Game 5","")</f>
        <v/>
      </c>
      <c r="B29" s="65"/>
      <c r="C29" s="66" t="s">
        <v>74</v>
      </c>
      <c r="D29" s="67"/>
      <c r="E29" s="65"/>
      <c r="F29" s="66" t="str">
        <f>IF(AK8&gt;1,IF(AK7&gt;4,"/",""),"")</f>
        <v/>
      </c>
      <c r="G29" s="67"/>
      <c r="H29" s="65"/>
      <c r="I29" s="66" t="str">
        <f>IF(AK8&gt;2,IF(AK7&gt;4,"/",""),"")</f>
        <v/>
      </c>
      <c r="J29" s="67"/>
      <c r="K29" s="65"/>
      <c r="L29" s="66" t="str">
        <f>IF(AK8&gt;3,IF(AK7&gt;4,"/",""),"")</f>
        <v/>
      </c>
      <c r="M29" s="67"/>
      <c r="N29" s="65"/>
      <c r="O29" s="66" t="str">
        <f>IF(AK8&gt;4,IF(AK7&gt;4,"/",""),"")</f>
        <v/>
      </c>
      <c r="P29" s="67"/>
      <c r="Q29" s="65"/>
      <c r="R29" s="66" t="str">
        <f>IF(AK8&gt;5,IF(AK7&gt;4,"/",""),"")</f>
        <v/>
      </c>
      <c r="S29" s="67"/>
      <c r="T29" s="65"/>
      <c r="U29" s="66" t="str">
        <f>IF(AK8&gt;6,IF(AK7&gt;4,"/",""),"")</f>
        <v/>
      </c>
      <c r="V29" s="67"/>
      <c r="W29" s="65"/>
      <c r="X29" s="66" t="str">
        <f>IF(AK8&gt;7,IF(AK7&gt;4,"/",""),"")</f>
        <v/>
      </c>
      <c r="Y29" s="67"/>
      <c r="Z29" s="65"/>
      <c r="AA29" s="66" t="str">
        <f>IF(AK8&gt;8,IF(AK7&gt;4,"/",""),"")</f>
        <v/>
      </c>
      <c r="AB29" s="67"/>
      <c r="AC29" s="65"/>
      <c r="AD29" s="66" t="str">
        <f>IF(AK8&gt;9,IF(AK7&gt;4,"/",""),"")</f>
        <v/>
      </c>
      <c r="AE29" s="67"/>
      <c r="AF29" s="8"/>
      <c r="AG29" s="8"/>
      <c r="AH29" s="8"/>
      <c r="AI29" s="8"/>
      <c r="AJ29" s="8"/>
      <c r="AK29" s="8"/>
      <c r="AL29" s="8"/>
      <c r="AM29" s="8"/>
      <c r="AN29" s="8"/>
      <c r="AO29" s="8"/>
      <c r="AP29" s="8"/>
      <c r="AQ29" s="8"/>
      <c r="AT29" s="7"/>
      <c r="AU29" s="7"/>
      <c r="AV29" s="7"/>
      <c r="AW29" s="7"/>
      <c r="AX29" s="7"/>
      <c r="AY29" s="7"/>
    </row>
    <row r="30" spans="1:51" hidden="1" x14ac:dyDescent="0.2">
      <c r="A30" s="69"/>
      <c r="B30" s="69">
        <f>IF($AK7=5,SUM(B25:B29),IF($AK7=4,SUM(B25:B28),IF($AK7=3,SUM(B25:B27),IF($AK7=2,SUM(B25:B26),B25))))</f>
        <v>50</v>
      </c>
      <c r="C30" s="69"/>
      <c r="D30" s="69">
        <f>IF($AK7=5,SUM(D25:D29),IF($AK7=4,SUM(D25:D28),IF($AK7=3,SUM(D25:D27),IF($AK7=2,SUM(D25:D26),D25))))</f>
        <v>27</v>
      </c>
      <c r="E30" s="69">
        <f>IF($AK7=5,SUM(E25:E29),IF($AK7=4,SUM(E25:E28),IF($AK7=3,SUM(E25:E27),IF($AK7=2,SUM(E25:E26),E25))))</f>
        <v>50</v>
      </c>
      <c r="F30" s="69"/>
      <c r="G30" s="69">
        <f>IF($AK7=5,SUM(G25:G29),IF($AK7=4,SUM(G25:G28),IF($AK7=3,SUM(G25:G27),IF($AK7=2,SUM(G25:G26),G25))))</f>
        <v>33</v>
      </c>
      <c r="H30" s="69">
        <f>IF($AK7=5,SUM(H25:H29),IF($AK7=4,SUM(H25:H28),IF($AK7=3,SUM(H25:H27),IF($AK7=2,SUM(H25:H26),H25))))</f>
        <v>50</v>
      </c>
      <c r="I30" s="69"/>
      <c r="J30" s="69">
        <f>IF($AK7=5,SUM(J25:J29),IF($AK7=4,SUM(J25:J28),IF($AK7=3,SUM(J25:J27),IF($AK7=2,SUM(J25:J26),J25))))</f>
        <v>28</v>
      </c>
      <c r="K30" s="69">
        <f>IF($AK7=5,SUM(K25:K29),IF($AK7=4,SUM(K25:K28),IF($AK7=3,SUM(K25:K27),IF($AK7=2,SUM(K25:K26),K25))))</f>
        <v>43</v>
      </c>
      <c r="L30" s="69"/>
      <c r="M30" s="69">
        <f>IF($AK7=5,SUM(M25:M29),IF($AK7=4,SUM(M25:M28),IF($AK7=3,SUM(M25:M27),IF($AK7=2,SUM(M25:M26),M25))))</f>
        <v>43</v>
      </c>
      <c r="N30" s="69">
        <f>IF($AK7=5,SUM(N25:N29),IF($AK7=4,SUM(N25:N28),IF($AK7=3,SUM(N25:N27),IF($AK7=2,SUM(N25:N26),N25))))</f>
        <v>50</v>
      </c>
      <c r="O30" s="69"/>
      <c r="P30" s="69">
        <f>IF($AK7=5,SUM(P25:P29),IF($AK7=4,SUM(P25:P28),IF($AK7=3,SUM(P25:P27),IF($AK7=2,SUM(P25:P26),P25))))</f>
        <v>33</v>
      </c>
      <c r="Q30" s="69">
        <f>IF($AK7=5,SUM(Q25:Q29),IF($AK7=4,SUM(Q25:Q28),IF($AK7=3,SUM(Q25:Q27),IF($AK7=2,SUM(Q25:Q26),Q25))))</f>
        <v>50</v>
      </c>
      <c r="R30" s="69"/>
      <c r="S30" s="69">
        <f>IF($AK7=5,SUM(S25:S29),IF($AK7=4,SUM(S25:S28),IF($AK7=3,SUM(S25:S27),IF($AK7=2,SUM(S25:S26),S25))))</f>
        <v>40</v>
      </c>
      <c r="T30" s="69">
        <f>IF($AK7=5,SUM(T25:T29),IF($AK7=4,SUM(T25:T28),IF($AK7=3,SUM(T25:T27),IF($AK7=2,SUM(T25:T26),T25))))</f>
        <v>48</v>
      </c>
      <c r="U30" s="69"/>
      <c r="V30" s="69">
        <f>IF($AK7=5,SUM(V25:V29),IF($AK7=4,SUM(V25:V28),IF($AK7=3,SUM(V25:V27),IF($AK7=2,SUM(V25:V26),V25))))</f>
        <v>42</v>
      </c>
      <c r="W30" s="69">
        <f>IF($AK7=5,SUM(W25:W29),IF($AK7=4,SUM(W25:W28),IF($AK7=3,SUM(W25:W27),IF($AK7=2,SUM(W25:W26),W25))))</f>
        <v>50</v>
      </c>
      <c r="X30" s="69"/>
      <c r="Y30" s="69">
        <f>IF($AK7=5,SUM(Y25:Y29),IF($AK7=4,SUM(Y25:Y28),IF($AK7=3,SUM(Y25:Y27),IF($AK7=2,SUM(Y25:Y26),Y25))))</f>
        <v>28</v>
      </c>
      <c r="Z30" s="69">
        <f>IF($AK7=5,SUM(Z25:Z29),IF($AK7=4,SUM(Z25:Z28),IF($AK7=3,SUM(Z25:Z27),IF($AK7=2,SUM(Z25:Z26),Z25))))</f>
        <v>50</v>
      </c>
      <c r="AA30" s="69"/>
      <c r="AB30" s="69">
        <f>IF($AK7=5,SUM(AB25:AB29),IF($AK7=4,SUM(AB25:AB28),IF($AK7=3,SUM(AB25:AB27),IF($AK7=2,SUM(AB25:AB26),AB25))))</f>
        <v>30</v>
      </c>
      <c r="AC30" s="69">
        <f>IF($AK7=5,SUM(AC25:AC29),IF($AK7=4,SUM(AC25:AC28),IF($AK7=3,SUM(AC25:AC27),IF($AK7=2,SUM(AC25:AC26),AC25))))</f>
        <v>50</v>
      </c>
      <c r="AD30" s="69"/>
      <c r="AE30" s="69">
        <f>IF($AK7=5,SUM(AE25:AE29),IF($AK7=4,SUM(AE25:AE28),IF($AK7=3,SUM(AE25:AE27),IF($AK7=2,SUM(AE25:AE26),AE25))))</f>
        <v>34</v>
      </c>
      <c r="AF30" s="8"/>
      <c r="AG30" s="8"/>
      <c r="AH30" s="8"/>
      <c r="AI30" s="8"/>
      <c r="AJ30" s="8"/>
      <c r="AK30" s="8"/>
      <c r="AL30" s="8"/>
      <c r="AM30" s="8"/>
      <c r="AN30" s="8"/>
      <c r="AO30" s="8"/>
      <c r="AP30" s="8"/>
      <c r="AQ30" s="8"/>
      <c r="AT30" s="99"/>
      <c r="AU30" s="99"/>
      <c r="AV30" s="99"/>
    </row>
    <row r="31" spans="1:51" s="70" customFormat="1" ht="12.75" hidden="1" customHeight="1" x14ac:dyDescent="0.2">
      <c r="A31" s="70" t="s">
        <v>75</v>
      </c>
      <c r="B31" s="71">
        <f>IF(AND(B25&gt;D25,$AK8&gt;0,ISNUMBER(B25),ISNUMBER(D25)),1,0)</f>
        <v>1</v>
      </c>
      <c r="C31" s="71"/>
      <c r="D31" s="72">
        <f>IF(AND(D25&gt;B25,$AK8&gt;0,ISNUMBER(B25),ISNUMBER(D25)),1,0)</f>
        <v>0</v>
      </c>
      <c r="E31" s="71">
        <f>IF(AND(E25&gt;G25,$AK8&gt;1,ISNUMBER(E25),ISNUMBER(G25)),1,0)</f>
        <v>1</v>
      </c>
      <c r="F31" s="71"/>
      <c r="G31" s="72">
        <f>IF(AND(G25&gt;E25,$AK8&gt;1,ISNUMBER(E25),ISNUMBER(G25)),1,0)</f>
        <v>0</v>
      </c>
      <c r="H31" s="71">
        <f>IF(AND(H25&gt;J25,$AK8&gt;2,ISNUMBER(H25),ISNUMBER(J25)),1,0)</f>
        <v>1</v>
      </c>
      <c r="I31" s="71"/>
      <c r="J31" s="72">
        <f>IF(AND(J25&gt;H25,$AK8&gt;2,ISNUMBER(H25),ISNUMBER(J25)),1,0)</f>
        <v>0</v>
      </c>
      <c r="K31" s="71">
        <f>IF(AND(K25&gt;M25,$AK8&gt;3,ISNUMBER(K25),ISNUMBER(M25)),1,0)</f>
        <v>1</v>
      </c>
      <c r="L31" s="71"/>
      <c r="M31" s="72">
        <f>IF(AND(M25&gt;K25,$AK8&gt;3,ISNUMBER(K25),ISNUMBER(M25)),1,0)</f>
        <v>0</v>
      </c>
      <c r="N31" s="71">
        <f>IF(AND(N25&gt;P25,$AK8&gt;4,ISNUMBER(N25),ISNUMBER(P25)),1,0)</f>
        <v>1</v>
      </c>
      <c r="O31" s="71"/>
      <c r="P31" s="72">
        <f>IF(AND(P25&gt;N25,$AK8&gt;4,ISNUMBER(N25),ISNUMBER(P25)),1,0)</f>
        <v>0</v>
      </c>
      <c r="Q31" s="71">
        <f>IF(AND(Q25&gt;S25,$AK8&gt;5,ISNUMBER(Q25),ISNUMBER(S25)),1,0)</f>
        <v>1</v>
      </c>
      <c r="R31" s="71"/>
      <c r="S31" s="72">
        <f>IF(AND(S25&gt;Q25,$AK8&gt;5,ISNUMBER(Q25),ISNUMBER(S25)),1,0)</f>
        <v>0</v>
      </c>
      <c r="T31" s="71">
        <f>IF(AND(T25&gt;V25,$AK8&gt;6,ISNUMBER(T25),ISNUMBER(V25)),1,0)</f>
        <v>1</v>
      </c>
      <c r="U31" s="71"/>
      <c r="V31" s="72">
        <f>IF(AND(V25&gt;T25,$AK8&gt;6,ISNUMBER(T25),ISNUMBER(V25)),1,0)</f>
        <v>0</v>
      </c>
      <c r="W31" s="71">
        <f>IF(AND(W25&gt;Y25,$AK8&gt;7,ISNUMBER(W25),ISNUMBER(Y25)),1,0)</f>
        <v>1</v>
      </c>
      <c r="X31" s="71"/>
      <c r="Y31" s="72">
        <f>IF(AND(Y25&gt;W25,$AK8&gt;7,ISNUMBER(W25),ISNUMBER(Y25)),1,0)</f>
        <v>0</v>
      </c>
      <c r="Z31" s="71">
        <f>IF(AND(Z25&gt;AB25,$AK8&gt;8,ISNUMBER(Z25),ISNUMBER(AB25)),1,0)</f>
        <v>1</v>
      </c>
      <c r="AA31" s="71"/>
      <c r="AB31" s="72">
        <f>IF(AND(AB25&gt;Z25,$AK8&gt;8,ISNUMBER(Z25),ISNUMBER(AB25)),1,0)</f>
        <v>0</v>
      </c>
      <c r="AC31" s="71">
        <f>IF(AND(AC25&gt;AE25,$AK8&gt;9,ISNUMBER(AC25),ISNUMBER(AE25)),1,0)</f>
        <v>1</v>
      </c>
      <c r="AD31" s="71"/>
      <c r="AE31" s="72">
        <f>IF(AND(AE25&gt;AC25,$AK8&gt;9,ISNUMBER(AC25),ISNUMBER(AE25)),1,0)</f>
        <v>0</v>
      </c>
      <c r="AW31" s="154"/>
    </row>
    <row r="32" spans="1:51" s="70" customFormat="1" ht="12.75" hidden="1" customHeight="1" x14ac:dyDescent="0.2">
      <c r="A32" s="70" t="s">
        <v>76</v>
      </c>
      <c r="B32" s="71">
        <f>IF(AND(B26&gt;D26,$AK8&gt;0,$AK7&gt;1,ISNUMBER(B26),ISNUMBER(D26)),1,0)</f>
        <v>1</v>
      </c>
      <c r="C32" s="71"/>
      <c r="D32" s="72">
        <f>IF(AND(D26&gt;B26,$AK8&gt;0,$AK7&gt;1,ISNUMBER(B26),ISNUMBER(D26)),1,0)</f>
        <v>0</v>
      </c>
      <c r="E32" s="71">
        <f>IF(AND(E26&gt;G26,$AK8&gt;1,$AK7&gt;1,ISNUMBER(E26),ISNUMBER(G26)),1,0)</f>
        <v>1</v>
      </c>
      <c r="F32" s="71"/>
      <c r="G32" s="72">
        <f>IF(AND(G26&gt;E26,$AK8&gt;1,$AK7&gt;1,ISNUMBER(E26),ISNUMBER(G26)),1,0)</f>
        <v>0</v>
      </c>
      <c r="H32" s="71">
        <f>IF(AND(H26&gt;J26,$AK8&gt;2,$AK7&gt;1,ISNUMBER(H26),ISNUMBER(J26)),1,0)</f>
        <v>1</v>
      </c>
      <c r="I32" s="71"/>
      <c r="J32" s="72">
        <f>IF(AND(J26&gt;H26,$AK8&gt;2,$AK7&gt;1,ISNUMBER(H26),ISNUMBER(J26)),1,0)</f>
        <v>0</v>
      </c>
      <c r="K32" s="71">
        <f>IF(AND(K26&gt;M26,$AK8&gt;3,$AK7&gt;1,ISNUMBER(K26),ISNUMBER(M26)),1,0)</f>
        <v>0</v>
      </c>
      <c r="L32" s="71"/>
      <c r="M32" s="72">
        <f>IF(AND(M26&gt;K26,$AK8&gt;3,$AK7&gt;1,ISNUMBER(K26),ISNUMBER(M26)),1,0)</f>
        <v>1</v>
      </c>
      <c r="N32" s="71">
        <f>IF(AND(N26&gt;P26,$AK8&gt;4,$AK7&gt;1,ISNUMBER(N26),ISNUMBER(P26)),1,0)</f>
        <v>1</v>
      </c>
      <c r="O32" s="71"/>
      <c r="P32" s="72">
        <f>IF(AND(P26&gt;N26,$AK8&gt;4,$AK7&gt;1,ISNUMBER(N26),ISNUMBER(P26)),1,0)</f>
        <v>0</v>
      </c>
      <c r="Q32" s="71">
        <f>IF(AND(Q26&gt;S26,$AK8&gt;5,$AK7&gt;1,ISNUMBER(Q26),ISNUMBER(S26)),1,0)</f>
        <v>1</v>
      </c>
      <c r="R32" s="71"/>
      <c r="S32" s="72">
        <f>IF(AND(S26&gt;Q26,$AK8&gt;5,$AK7&gt;1,ISNUMBER(Q26),ISNUMBER(S26)),1,0)</f>
        <v>0</v>
      </c>
      <c r="T32" s="71">
        <f>IF(AND(T26&gt;V26,$AK8&gt;6,$AK7&gt;1,ISNUMBER(T26),ISNUMBER(V26)),1,0)</f>
        <v>0</v>
      </c>
      <c r="U32" s="71"/>
      <c r="V32" s="72">
        <f>IF(AND(V26&gt;T26,$AK8&gt;6,$AK7&gt;1,ISNUMBER(T26),ISNUMBER(V26)),1,0)</f>
        <v>1</v>
      </c>
      <c r="W32" s="71">
        <f>IF(AND(W26&gt;Y26,$AK8&gt;7,$AK7&gt;1,ISNUMBER(W26),ISNUMBER(Y26)),1,0)</f>
        <v>1</v>
      </c>
      <c r="X32" s="71"/>
      <c r="Y32" s="72">
        <f>IF(AND(Y26&gt;W26,$AK8&gt;7,$AK7&gt;1,ISNUMBER(W26),ISNUMBER(Y26)),1,0)</f>
        <v>0</v>
      </c>
      <c r="Z32" s="71">
        <f>IF(AND(Z26&gt;AB26,$AK8&gt;8,$AK7&gt;1,ISNUMBER(Z26),ISNUMBER(AB26)),1,0)</f>
        <v>1</v>
      </c>
      <c r="AA32" s="71"/>
      <c r="AB32" s="72">
        <f>IF(AND(AB26&gt;Z26,$AK8&gt;8,$AK7&gt;1,ISNUMBER(Z26),ISNUMBER(AB26)),1,0)</f>
        <v>0</v>
      </c>
      <c r="AC32" s="71">
        <f>IF(AND(AC26&gt;AE26,$AK8&gt;9,$AK7&gt;1,ISNUMBER(AC26),ISNUMBER(AE26)),1,0)</f>
        <v>1</v>
      </c>
      <c r="AD32" s="71"/>
      <c r="AE32" s="72">
        <f>IF(AND(AE26&gt;AC26,$AK8&gt;9,$AK7&gt;1,ISNUMBER(AC26),ISNUMBER(AE26)),1,0)</f>
        <v>0</v>
      </c>
      <c r="AW32" s="154"/>
    </row>
    <row r="33" spans="1:49" s="70" customFormat="1" ht="12.75" hidden="1" customHeight="1" x14ac:dyDescent="0.2">
      <c r="A33" s="70" t="s">
        <v>77</v>
      </c>
      <c r="B33" s="71">
        <f>IF(AND(B27&gt;D27,$AK8&gt;0,$AK7&gt;2,ISNUMBER(B27),ISNUMBER(D27)),1,0)</f>
        <v>0</v>
      </c>
      <c r="C33" s="71"/>
      <c r="D33" s="72">
        <f>IF(AND(D27&gt;B27,$AK8&gt;0,$AK7&gt;2,ISNUMBER(B27),ISNUMBER(D27)),1,0)</f>
        <v>0</v>
      </c>
      <c r="E33" s="71">
        <f>IF(AND(E27&gt;G27,$AK8&gt;1,$AK7&gt;2,ISNUMBER(E27),ISNUMBER(G27)),1,0)</f>
        <v>0</v>
      </c>
      <c r="F33" s="71"/>
      <c r="G33" s="72">
        <f>IF(AND(G27&gt;E27,$AK8&gt;1,$AK7&gt;2,ISNUMBER(E27),ISNUMBER(G27)),1,0)</f>
        <v>0</v>
      </c>
      <c r="H33" s="71">
        <f>IF(AND(H27&gt;J27,$AK8&gt;2,$AK7&gt;2,ISNUMBER(H27),ISNUMBER(J27)),1,0)</f>
        <v>0</v>
      </c>
      <c r="I33" s="71"/>
      <c r="J33" s="72">
        <f>IF(AND(J27&gt;H27,$AK8&gt;2,$AK7&gt;2,ISNUMBER(H27),ISNUMBER(J27)),1,0)</f>
        <v>0</v>
      </c>
      <c r="K33" s="71">
        <f>IF(AND(K27&gt;M27,$AK8&gt;3,$AK7&gt;2,ISNUMBER(K27),ISNUMBER(M27)),1,0)</f>
        <v>0</v>
      </c>
      <c r="L33" s="71"/>
      <c r="M33" s="72">
        <f>IF(AND(M27&gt;K27,$AK8&gt;3,$AK7&gt;2,ISNUMBER(K27),ISNUMBER(M27)),1,0)</f>
        <v>0</v>
      </c>
      <c r="N33" s="71">
        <f>IF(AND(N27&gt;P27,$AK8&gt;4,$AK7&gt;2,ISNUMBER(N27),ISNUMBER(P27)),1,0)</f>
        <v>0</v>
      </c>
      <c r="O33" s="71"/>
      <c r="P33" s="72">
        <f>IF(AND(P27&gt;N27,$AK8&gt;4,$AK7&gt;2,ISNUMBER(N27),ISNUMBER(P27)),1,0)</f>
        <v>0</v>
      </c>
      <c r="Q33" s="71">
        <f>IF(AND(Q27&gt;S27,$AK8&gt;5,$AK7&gt;2,ISNUMBER(Q27),ISNUMBER(S27)),1,0)</f>
        <v>0</v>
      </c>
      <c r="R33" s="71"/>
      <c r="S33" s="72">
        <f>IF(AND(S27&gt;Q27,$AK8&gt;5,$AK7&gt;2,ISNUMBER(Q27),ISNUMBER(S27)),1,0)</f>
        <v>0</v>
      </c>
      <c r="T33" s="71">
        <f>IF(AND(T27&gt;V27,$AK8&gt;6,$AK7&gt;2,ISNUMBER(T27),ISNUMBER(V27)),1,0)</f>
        <v>0</v>
      </c>
      <c r="U33" s="71"/>
      <c r="V33" s="72">
        <f>IF(AND(V27&gt;T27,$AK8&gt;6,$AK7&gt;2,ISNUMBER(T27),ISNUMBER(V27)),1,0)</f>
        <v>0</v>
      </c>
      <c r="W33" s="71">
        <f>IF(AND(W27&gt;Y27,$AK8&gt;7,$AK7&gt;2,ISNUMBER(W27),ISNUMBER(Y27)),1,0)</f>
        <v>0</v>
      </c>
      <c r="X33" s="71"/>
      <c r="Y33" s="72">
        <f>IF(AND(Y27&gt;W27,$AK8&gt;7,$AK7&gt;2,ISNUMBER(W27),ISNUMBER(Y27)),1,0)</f>
        <v>0</v>
      </c>
      <c r="Z33" s="71">
        <f>IF(AND(Z27&gt;AB27,$AK8&gt;8,$AK7&gt;2,ISNUMBER(Z27),ISNUMBER(AB27)),1,0)</f>
        <v>0</v>
      </c>
      <c r="AA33" s="71"/>
      <c r="AB33" s="72">
        <f>IF(AND(AB27&gt;Z27,$AK8&gt;8,$AK7&gt;2,ISNUMBER(Z27),ISNUMBER(AB27)),1,0)</f>
        <v>0</v>
      </c>
      <c r="AC33" s="71">
        <f>IF(AND(AC27&gt;AE27,$AK8&gt;9,$AK7&gt;2,ISNUMBER(AC27),ISNUMBER(AE27)),1,0)</f>
        <v>0</v>
      </c>
      <c r="AD33" s="71"/>
      <c r="AE33" s="72">
        <f>IF(AND(AE27&gt;AC27,$AK8&gt;9,$AK7&gt;2,ISNUMBER(AC27),ISNUMBER(AE27)),1,0)</f>
        <v>0</v>
      </c>
      <c r="AW33" s="154"/>
    </row>
    <row r="34" spans="1:49" s="70" customFormat="1" ht="12.75" hidden="1" customHeight="1" x14ac:dyDescent="0.2">
      <c r="A34" s="70" t="s">
        <v>78</v>
      </c>
      <c r="B34" s="71">
        <f>IF(AND(B28&gt;D28,$AK8&gt;0,$AK7&gt;3,ISNUMBER(B28),ISNUMBER(D28)),1,0)</f>
        <v>0</v>
      </c>
      <c r="C34" s="71"/>
      <c r="D34" s="72">
        <f>IF(AND(D28&gt;B28,$AK8&gt;0,$AK7&gt;3,ISNUMBER(B28),ISNUMBER(D28)),1,0)</f>
        <v>0</v>
      </c>
      <c r="E34" s="71">
        <f>IF(AND(E28&gt;G28,$AK8&gt;1,$AK7&gt;3,ISNUMBER(E28),ISNUMBER(G28)),1,0)</f>
        <v>0</v>
      </c>
      <c r="F34" s="71"/>
      <c r="G34" s="72">
        <f>IF(AND(G28&gt;E28,$AK8&gt;1,$AK7&gt;3,ISNUMBER(E28),ISNUMBER(G28)),1,0)</f>
        <v>0</v>
      </c>
      <c r="H34" s="71">
        <f>IF(AND(H28&gt;J28,$AK8&gt;2,$AK7&gt;3,ISNUMBER(H28),ISNUMBER(J28)),1,0)</f>
        <v>0</v>
      </c>
      <c r="I34" s="71"/>
      <c r="J34" s="72">
        <f>IF(AND(J28&gt;H28,$AK8&gt;2,$AK7&gt;3,ISNUMBER(H28),ISNUMBER(J28)),1,0)</f>
        <v>0</v>
      </c>
      <c r="K34" s="71">
        <f>IF(AND(K28&gt;M28,$AK8&gt;3,$AK7&gt;3,ISNUMBER(K28),ISNUMBER(M28)),1,0)</f>
        <v>0</v>
      </c>
      <c r="L34" s="71"/>
      <c r="M34" s="72">
        <f>IF(AND(M28&gt;K28,$AK8&gt;3,$AK7&gt;3,ISNUMBER(K28),ISNUMBER(M28)),1,0)</f>
        <v>0</v>
      </c>
      <c r="N34" s="71">
        <f>IF(AND(N28&gt;P28,$AK8&gt;4,$AK7&gt;3,ISNUMBER(N28),ISNUMBER(P28)),1,0)</f>
        <v>0</v>
      </c>
      <c r="O34" s="71"/>
      <c r="P34" s="72">
        <f>IF(AND(P28&gt;N28,$AK8&gt;4,$AK7&gt;3,ISNUMBER(N28),ISNUMBER(P28)),1,0)</f>
        <v>0</v>
      </c>
      <c r="Q34" s="71">
        <f>IF(AND(Q28&gt;S28,$AK8&gt;5,$AK7&gt;3,ISNUMBER(Q28),ISNUMBER(S28)),1,0)</f>
        <v>0</v>
      </c>
      <c r="R34" s="71"/>
      <c r="S34" s="72">
        <f>IF(AND(S28&gt;Q28,$AK8&gt;5,$AK7&gt;3,ISNUMBER(Q28),ISNUMBER(S28)),1,0)</f>
        <v>0</v>
      </c>
      <c r="T34" s="71">
        <f>IF(AND(T28&gt;V28,$AK8&gt;6,$AK7&gt;3,ISNUMBER(T28),ISNUMBER(V28)),1,0)</f>
        <v>0</v>
      </c>
      <c r="U34" s="71"/>
      <c r="V34" s="72">
        <f>IF(AND(V28&gt;T28,$AK8&gt;6,$AK7&gt;3,ISNUMBER(T28),ISNUMBER(V28)),1,0)</f>
        <v>0</v>
      </c>
      <c r="W34" s="71">
        <f>IF(AND(W28&gt;Y28,$AK8&gt;7,$AK7&gt;3,ISNUMBER(W28),ISNUMBER(Y28)),1,0)</f>
        <v>0</v>
      </c>
      <c r="X34" s="71"/>
      <c r="Y34" s="72">
        <f>IF(AND(Y28&gt;W28,$AK8&gt;7,$AK7&gt;3,ISNUMBER(W28),ISNUMBER(Y28)),1,0)</f>
        <v>0</v>
      </c>
      <c r="Z34" s="71">
        <f>IF(AND(Z28&gt;AB28,$AK8&gt;8,$AK7&gt;3,ISNUMBER(Z28),ISNUMBER(AB28)),1,0)</f>
        <v>0</v>
      </c>
      <c r="AA34" s="71"/>
      <c r="AB34" s="72">
        <f>IF(AND(AB28&gt;Z28,$AK8&gt;8,$AK7&gt;3,ISNUMBER(Z28),ISNUMBER(AB28)),1,0)</f>
        <v>0</v>
      </c>
      <c r="AC34" s="71">
        <f>IF(AND(AC28&gt;AE28,$AK8&gt;9,$AK7&gt;3,ISNUMBER(AC28),ISNUMBER(AE28)),1,0)</f>
        <v>0</v>
      </c>
      <c r="AD34" s="71"/>
      <c r="AE34" s="72">
        <f>IF(AND(AE28&gt;AC28,$AK8&gt;9,$AK7&gt;3,ISNUMBER(AC28),ISNUMBER(AE28)),1,0)</f>
        <v>0</v>
      </c>
      <c r="AW34" s="154"/>
    </row>
    <row r="35" spans="1:49" s="70" customFormat="1" ht="12.75" hidden="1" customHeight="1" x14ac:dyDescent="0.2">
      <c r="A35" s="70" t="s">
        <v>79</v>
      </c>
      <c r="B35" s="71">
        <f>IF(AND(B29&gt;D29,$AK8&gt;0,$AK7&gt;4,ISNUMBER(B29),ISNUMBER(D29)),1,0)</f>
        <v>0</v>
      </c>
      <c r="C35" s="71"/>
      <c r="D35" s="72">
        <f>IF(AND(D29&gt;B29,$AK8&gt;0,$AK7&gt;4,ISNUMBER(B29),ISNUMBER(D29)),1,0)</f>
        <v>0</v>
      </c>
      <c r="E35" s="71">
        <f>IF(AND(E29&gt;G29,$AK8&gt;1,$AK7&gt;4,ISNUMBER(E29),ISNUMBER(G29)),1,0)</f>
        <v>0</v>
      </c>
      <c r="F35" s="71"/>
      <c r="G35" s="72">
        <f>IF(AND(G29&gt;E29,$AK8&gt;1,$AK7&gt;4,ISNUMBER(E29),ISNUMBER(G29)),1,0)</f>
        <v>0</v>
      </c>
      <c r="H35" s="71">
        <f>IF(AND(H29&gt;J29,$AK8&gt;2,$AK7&gt;4,ISNUMBER(H29),ISNUMBER(J29)),1,0)</f>
        <v>0</v>
      </c>
      <c r="I35" s="71"/>
      <c r="J35" s="72">
        <f>IF(AND(J29&gt;H29,$AK8&gt;2,$AK7&gt;4,ISNUMBER(H29),ISNUMBER(J29)),1,0)</f>
        <v>0</v>
      </c>
      <c r="K35" s="71">
        <f>IF(AND(K29&gt;M29,$AK8&gt;3,$AK7&gt;4,ISNUMBER(K29),ISNUMBER(M29)),1,0)</f>
        <v>0</v>
      </c>
      <c r="L35" s="71"/>
      <c r="M35" s="72">
        <f>IF(AND(M29&gt;K29,$AK8&gt;3,$AK7&gt;4,ISNUMBER(K29),ISNUMBER(M29)),1,0)</f>
        <v>0</v>
      </c>
      <c r="N35" s="71">
        <f>IF(AND(N29&gt;P29,$AK8&gt;4,$AK7&gt;4,ISNUMBER(N29),ISNUMBER(P29)),1,0)</f>
        <v>0</v>
      </c>
      <c r="O35" s="71"/>
      <c r="P35" s="72">
        <f>IF(AND(P29&gt;N29,$AK8&gt;4,$AK7&gt;4,ISNUMBER(N29),ISNUMBER(P29)),1,0)</f>
        <v>0</v>
      </c>
      <c r="Q35" s="71">
        <f>IF(AND(Q29&gt;S29,$AK8&gt;5,$AK7&gt;4,ISNUMBER(Q29),ISNUMBER(S29)),1,0)</f>
        <v>0</v>
      </c>
      <c r="R35" s="71"/>
      <c r="S35" s="72">
        <f>IF(AND(S29&gt;Q29,$AK8&gt;5,$AK7&gt;4,ISNUMBER(Q29),ISNUMBER(S29)),1,0)</f>
        <v>0</v>
      </c>
      <c r="T35" s="71">
        <f>IF(AND(T29&gt;V29,$AK8&gt;6,$AK7&gt;4,ISNUMBER(T29),ISNUMBER(V29)),1,0)</f>
        <v>0</v>
      </c>
      <c r="U35" s="71"/>
      <c r="V35" s="72">
        <f>IF(AND(V29&gt;T29,$AK8&gt;6,$AK7&gt;4,ISNUMBER(T29),ISNUMBER(V29)),1,0)</f>
        <v>0</v>
      </c>
      <c r="W35" s="71">
        <f>IF(AND(W29&gt;Y29,$AK8&gt;7,$AK7&gt;4,ISNUMBER(W29),ISNUMBER(Y29)),1,0)</f>
        <v>0</v>
      </c>
      <c r="X35" s="71"/>
      <c r="Y35" s="72">
        <f>IF(AND(Y29&gt;W29,$AK8&gt;7,$AK7&gt;4,ISNUMBER(W29),ISNUMBER(Y29)),1,0)</f>
        <v>0</v>
      </c>
      <c r="Z35" s="71">
        <f>IF(AND(Z29&gt;AB29,$AK8&gt;8,$AK7&gt;4,ISNUMBER(Z29),ISNUMBER(AB29)),1,0)</f>
        <v>0</v>
      </c>
      <c r="AA35" s="71"/>
      <c r="AB35" s="72">
        <f>IF(AND(AB29&gt;Z29,$AK8&gt;8,$AK7&gt;4,ISNUMBER(Z29),ISNUMBER(AB29)),1,0)</f>
        <v>0</v>
      </c>
      <c r="AC35" s="71">
        <f>IF(AND(AC29&gt;AE29,$AK8&gt;9,$AK7&gt;4,ISNUMBER(AC29),ISNUMBER(AE29)),1,0)</f>
        <v>0</v>
      </c>
      <c r="AD35" s="71"/>
      <c r="AE35" s="72">
        <f>IF(AND(AE29&gt;AC29,$AK8&gt;9,$AK7&gt;4,ISNUMBER(AC29),ISNUMBER(AE29)),1,0)</f>
        <v>0</v>
      </c>
      <c r="AW35" s="154"/>
    </row>
    <row r="36" spans="1:49" s="70" customFormat="1" ht="38.25" hidden="1" customHeight="1" x14ac:dyDescent="0.2">
      <c r="A36" s="73" t="s">
        <v>80</v>
      </c>
      <c r="B36" s="70">
        <f>SUM(B31:B35)</f>
        <v>2</v>
      </c>
      <c r="D36" s="74">
        <f>SUM(D31:D35)</f>
        <v>0</v>
      </c>
      <c r="E36" s="70">
        <f>SUM(E31:E35)</f>
        <v>2</v>
      </c>
      <c r="G36" s="74">
        <f>SUM(G31:G35)</f>
        <v>0</v>
      </c>
      <c r="H36" s="70">
        <f>SUM(H31:H35)</f>
        <v>2</v>
      </c>
      <c r="J36" s="74">
        <f>SUM(J31:J35)</f>
        <v>0</v>
      </c>
      <c r="K36" s="70">
        <f>SUM(K31:K35)</f>
        <v>1</v>
      </c>
      <c r="M36" s="74">
        <f>SUM(M31:M35)</f>
        <v>1</v>
      </c>
      <c r="N36" s="70">
        <f>SUM(N31:N35)</f>
        <v>2</v>
      </c>
      <c r="P36" s="74">
        <f>SUM(P31:P35)</f>
        <v>0</v>
      </c>
      <c r="Q36" s="70">
        <f>SUM(Q31:Q35)</f>
        <v>2</v>
      </c>
      <c r="S36" s="74">
        <f>SUM(S31:S35)</f>
        <v>0</v>
      </c>
      <c r="T36" s="70">
        <f>SUM(T31:T35)</f>
        <v>1</v>
      </c>
      <c r="V36" s="74">
        <f>SUM(V31:V35)</f>
        <v>1</v>
      </c>
      <c r="W36" s="70">
        <f>SUM(W31:W35)</f>
        <v>2</v>
      </c>
      <c r="Y36" s="74">
        <f>SUM(Y31:Y35)</f>
        <v>0</v>
      </c>
      <c r="Z36" s="70">
        <f>SUM(Z31:Z35)</f>
        <v>2</v>
      </c>
      <c r="AB36" s="74">
        <f>SUM(AB31:AB35)</f>
        <v>0</v>
      </c>
      <c r="AC36" s="70">
        <f>SUM(AC31:AC35)</f>
        <v>2</v>
      </c>
      <c r="AE36" s="74">
        <f>SUM(AE31:AE35)</f>
        <v>0</v>
      </c>
      <c r="AW36" s="154"/>
    </row>
    <row r="37" spans="1:49" s="70" customFormat="1" ht="25.5" hidden="1" customHeight="1" x14ac:dyDescent="0.2">
      <c r="A37" s="73" t="s">
        <v>81</v>
      </c>
      <c r="B37" s="70">
        <f>IF(B36&gt;D36,IF(C71=AK7,1,IF(C71=AK7-1,1,0)),0)</f>
        <v>1</v>
      </c>
      <c r="C37" s="70">
        <f>B37+D37</f>
        <v>1</v>
      </c>
      <c r="D37" s="74">
        <f>IF(D36&gt;B36,IF(C71=AK7,1,IF(C71=AK7-1,1,0)),0)</f>
        <v>0</v>
      </c>
      <c r="E37" s="70">
        <f>IF(E36&gt;G36,IF(F71=AK7,1,IF(F71=AK7-1,1,0)),0)</f>
        <v>1</v>
      </c>
      <c r="F37" s="70">
        <f>E37+G37</f>
        <v>1</v>
      </c>
      <c r="G37" s="74">
        <f>IF(G36&gt;E36,IF(F71=AK7,1,IF(F71=AK7-1,1,0)),0)</f>
        <v>0</v>
      </c>
      <c r="H37" s="70">
        <f>IF(H36&gt;J36,IF(I71=AK7,1,IF(I71=AK7-1,1,0)),0)</f>
        <v>1</v>
      </c>
      <c r="I37" s="70">
        <f>H37+J37</f>
        <v>1</v>
      </c>
      <c r="J37" s="74">
        <f>IF(J36&gt;H36,IF(I71=AK7,1,IF(I71=AK7-1,1,0)),0)</f>
        <v>0</v>
      </c>
      <c r="K37" s="70">
        <f>IF(K36&gt;M36,IF(L71=AK7,1,IF(L71=AK7-1,1,0)),0)</f>
        <v>0</v>
      </c>
      <c r="L37" s="70">
        <f>K37+M37</f>
        <v>0</v>
      </c>
      <c r="M37" s="74">
        <f>IF(M36&gt;K36,IF(L71=AK7,1,IF(L71=AK7-1,1,0)),0)</f>
        <v>0</v>
      </c>
      <c r="N37" s="70">
        <f>IF(N36&gt;P36,IF(O71=AK7,1,IF(O71=AK7-1,1,0)),0)</f>
        <v>1</v>
      </c>
      <c r="O37" s="70">
        <f>N37+P37</f>
        <v>1</v>
      </c>
      <c r="P37" s="74">
        <f>IF(P36&gt;N36,IF(O71=AK7,1,IF(O71=AK7-1,1,0)),0)</f>
        <v>0</v>
      </c>
      <c r="Q37" s="70">
        <f>IF(Q36&gt;S36,IF(R71=AK7,1,IF(R71=AK7-1,1,0)),0)</f>
        <v>1</v>
      </c>
      <c r="R37" s="70">
        <f>Q37+S37</f>
        <v>1</v>
      </c>
      <c r="S37" s="74">
        <f>IF(S36&gt;Q36,IF(R71=AK7,1,IF(R71=AK7-1,1,0)),0)</f>
        <v>0</v>
      </c>
      <c r="T37" s="70">
        <f>IF(T36&gt;V36,IF(U71=AK7,1,IF(U71=AK7-1,1,0)),0)</f>
        <v>0</v>
      </c>
      <c r="U37" s="70">
        <f>T37+V37</f>
        <v>0</v>
      </c>
      <c r="V37" s="74">
        <f>IF(V36&gt;T36,IF(U71=AK7,1,IF(U71=AK7-1,1,0)),0)</f>
        <v>0</v>
      </c>
      <c r="W37" s="70">
        <f>IF(W36&gt;Y36,IF(X71=AK7,1,IF(X71=AK7-1,1,0)),0)</f>
        <v>1</v>
      </c>
      <c r="X37" s="70">
        <f>W37+Y37</f>
        <v>1</v>
      </c>
      <c r="Y37" s="74">
        <f>IF(Y36&gt;W36,IF(X71=AK7,1,IF(X71=AK7-1,1,0)),0)</f>
        <v>0</v>
      </c>
      <c r="Z37" s="70">
        <f>IF(Z36&gt;AB36,IF(AA71=AK7,1,IF(AA71=AK7-1,1,0)),0)</f>
        <v>1</v>
      </c>
      <c r="AA37" s="70">
        <f>Z37+AB37</f>
        <v>1</v>
      </c>
      <c r="AB37" s="74">
        <f>IF(AB36&gt;Z36,IF(AA71=AK7,1,IF(AA71=AK7-1,1,0)),0)</f>
        <v>0</v>
      </c>
      <c r="AC37" s="70">
        <f>IF(AC36&gt;AE36,IF(AD71=AK7,1,IF(AD71=AK7-1,1,0)),0)</f>
        <v>1</v>
      </c>
      <c r="AD37" s="70">
        <f>AC37+AE37</f>
        <v>1</v>
      </c>
      <c r="AE37" s="74">
        <f>IF(AE36&gt;AC36,IF(AD71=AK7,1,IF(AD71=AK7-1,1,0)),0)</f>
        <v>0</v>
      </c>
      <c r="AW37" s="154"/>
    </row>
    <row r="38" spans="1:49" s="70" customFormat="1" ht="25.5" hidden="1" customHeight="1" x14ac:dyDescent="0.2">
      <c r="A38" s="73"/>
      <c r="D38" s="74"/>
      <c r="G38" s="74"/>
      <c r="J38" s="74"/>
      <c r="M38" s="74"/>
      <c r="P38" s="74"/>
      <c r="S38" s="74"/>
      <c r="V38" s="74"/>
      <c r="Y38" s="74"/>
      <c r="AB38" s="74"/>
      <c r="AE38" s="74"/>
      <c r="AW38" s="154"/>
    </row>
    <row r="39" spans="1:49" s="70" customFormat="1" ht="12.75" hidden="1" customHeight="1" x14ac:dyDescent="0.2">
      <c r="A39" s="70" t="s">
        <v>82</v>
      </c>
      <c r="B39" s="70">
        <f>IF(B31=1,B25,0)</f>
        <v>25</v>
      </c>
      <c r="D39" s="74">
        <f t="shared" ref="D39:E43" si="2">IF(D31=1,D25,0)</f>
        <v>0</v>
      </c>
      <c r="E39" s="70">
        <f t="shared" si="2"/>
        <v>25</v>
      </c>
      <c r="G39" s="74">
        <f t="shared" ref="G39:H43" si="3">IF(G31=1,G25,0)</f>
        <v>0</v>
      </c>
      <c r="H39" s="70">
        <f t="shared" si="3"/>
        <v>25</v>
      </c>
      <c r="J39" s="74">
        <f t="shared" ref="J39:K43" si="4">IF(J31=1,J25,0)</f>
        <v>0</v>
      </c>
      <c r="K39" s="70">
        <f t="shared" si="4"/>
        <v>25</v>
      </c>
      <c r="M39" s="74">
        <f t="shared" ref="M39:N43" si="5">IF(M31=1,M25,0)</f>
        <v>0</v>
      </c>
      <c r="N39" s="70">
        <f t="shared" si="5"/>
        <v>25</v>
      </c>
      <c r="P39" s="74">
        <f t="shared" ref="P39:Q43" si="6">IF(P31=1,P25,0)</f>
        <v>0</v>
      </c>
      <c r="Q39" s="70">
        <f t="shared" si="6"/>
        <v>25</v>
      </c>
      <c r="S39" s="74">
        <f t="shared" ref="S39:T43" si="7">IF(S31=1,S25,0)</f>
        <v>0</v>
      </c>
      <c r="T39" s="70">
        <f t="shared" si="7"/>
        <v>25</v>
      </c>
      <c r="V39" s="74">
        <f t="shared" ref="V39:W43" si="8">IF(V31=1,V25,0)</f>
        <v>0</v>
      </c>
      <c r="W39" s="70">
        <f t="shared" si="8"/>
        <v>25</v>
      </c>
      <c r="Y39" s="74">
        <f t="shared" ref="Y39:Z43" si="9">IF(Y31=1,Y25,0)</f>
        <v>0</v>
      </c>
      <c r="Z39" s="70">
        <f t="shared" si="9"/>
        <v>25</v>
      </c>
      <c r="AB39" s="74">
        <f t="shared" ref="AB39:AC43" si="10">IF(AB31=1,AB25,0)</f>
        <v>0</v>
      </c>
      <c r="AC39" s="70">
        <f t="shared" si="10"/>
        <v>25</v>
      </c>
      <c r="AE39" s="74">
        <f>IF(AE31=1,AE25,0)</f>
        <v>0</v>
      </c>
      <c r="AW39" s="154"/>
    </row>
    <row r="40" spans="1:49" s="70" customFormat="1" ht="12.75" hidden="1" customHeight="1" x14ac:dyDescent="0.2">
      <c r="A40" s="70" t="s">
        <v>83</v>
      </c>
      <c r="B40" s="70">
        <f>IF(B32=1,B26,0)</f>
        <v>25</v>
      </c>
      <c r="D40" s="74">
        <f t="shared" si="2"/>
        <v>0</v>
      </c>
      <c r="E40" s="70">
        <f t="shared" si="2"/>
        <v>25</v>
      </c>
      <c r="G40" s="74">
        <f t="shared" si="3"/>
        <v>0</v>
      </c>
      <c r="H40" s="70">
        <f t="shared" si="3"/>
        <v>25</v>
      </c>
      <c r="J40" s="74">
        <f t="shared" si="4"/>
        <v>0</v>
      </c>
      <c r="K40" s="70">
        <f t="shared" si="4"/>
        <v>0</v>
      </c>
      <c r="M40" s="74">
        <f t="shared" si="5"/>
        <v>25</v>
      </c>
      <c r="N40" s="70">
        <f t="shared" si="5"/>
        <v>25</v>
      </c>
      <c r="P40" s="74">
        <f t="shared" si="6"/>
        <v>0</v>
      </c>
      <c r="Q40" s="70">
        <f t="shared" si="6"/>
        <v>25</v>
      </c>
      <c r="S40" s="74">
        <f t="shared" si="7"/>
        <v>0</v>
      </c>
      <c r="T40" s="70">
        <f t="shared" si="7"/>
        <v>0</v>
      </c>
      <c r="V40" s="74">
        <f t="shared" si="8"/>
        <v>25</v>
      </c>
      <c r="W40" s="70">
        <f t="shared" si="8"/>
        <v>25</v>
      </c>
      <c r="Y40" s="74">
        <f t="shared" si="9"/>
        <v>0</v>
      </c>
      <c r="Z40" s="70">
        <f t="shared" si="9"/>
        <v>25</v>
      </c>
      <c r="AB40" s="74">
        <f t="shared" si="10"/>
        <v>0</v>
      </c>
      <c r="AC40" s="70">
        <f t="shared" si="10"/>
        <v>25</v>
      </c>
      <c r="AE40" s="74">
        <f>IF(AE32=1,AE26,0)</f>
        <v>0</v>
      </c>
      <c r="AW40" s="154"/>
    </row>
    <row r="41" spans="1:49" s="70" customFormat="1" ht="12.75" hidden="1" customHeight="1" x14ac:dyDescent="0.2">
      <c r="A41" s="70" t="s">
        <v>84</v>
      </c>
      <c r="B41" s="70">
        <f>IF(B33=1,B27,0)</f>
        <v>0</v>
      </c>
      <c r="D41" s="74">
        <f t="shared" si="2"/>
        <v>0</v>
      </c>
      <c r="E41" s="70">
        <f t="shared" si="2"/>
        <v>0</v>
      </c>
      <c r="G41" s="74">
        <f t="shared" si="3"/>
        <v>0</v>
      </c>
      <c r="H41" s="70">
        <f t="shared" si="3"/>
        <v>0</v>
      </c>
      <c r="J41" s="74">
        <f t="shared" si="4"/>
        <v>0</v>
      </c>
      <c r="K41" s="70">
        <f t="shared" si="4"/>
        <v>0</v>
      </c>
      <c r="M41" s="74">
        <f t="shared" si="5"/>
        <v>0</v>
      </c>
      <c r="N41" s="70">
        <f t="shared" si="5"/>
        <v>0</v>
      </c>
      <c r="P41" s="74">
        <f t="shared" si="6"/>
        <v>0</v>
      </c>
      <c r="Q41" s="70">
        <f t="shared" si="6"/>
        <v>0</v>
      </c>
      <c r="S41" s="74">
        <f t="shared" si="7"/>
        <v>0</v>
      </c>
      <c r="T41" s="70">
        <f t="shared" si="7"/>
        <v>0</v>
      </c>
      <c r="V41" s="74">
        <f t="shared" si="8"/>
        <v>0</v>
      </c>
      <c r="W41" s="70">
        <f t="shared" si="8"/>
        <v>0</v>
      </c>
      <c r="Y41" s="74">
        <f t="shared" si="9"/>
        <v>0</v>
      </c>
      <c r="Z41" s="70">
        <f t="shared" si="9"/>
        <v>0</v>
      </c>
      <c r="AB41" s="74">
        <f t="shared" si="10"/>
        <v>0</v>
      </c>
      <c r="AC41" s="70">
        <f t="shared" si="10"/>
        <v>0</v>
      </c>
      <c r="AE41" s="74">
        <f>IF(AE33=1,AE27,0)</f>
        <v>0</v>
      </c>
      <c r="AW41" s="154"/>
    </row>
    <row r="42" spans="1:49" s="70" customFormat="1" ht="12.75" hidden="1" customHeight="1" x14ac:dyDescent="0.2">
      <c r="A42" s="70" t="s">
        <v>85</v>
      </c>
      <c r="B42" s="70">
        <f>IF(B34=1,B28,0)</f>
        <v>0</v>
      </c>
      <c r="D42" s="74">
        <f t="shared" si="2"/>
        <v>0</v>
      </c>
      <c r="E42" s="70">
        <f t="shared" si="2"/>
        <v>0</v>
      </c>
      <c r="G42" s="74">
        <f t="shared" si="3"/>
        <v>0</v>
      </c>
      <c r="H42" s="70">
        <f t="shared" si="3"/>
        <v>0</v>
      </c>
      <c r="J42" s="74">
        <f t="shared" si="4"/>
        <v>0</v>
      </c>
      <c r="K42" s="70">
        <f t="shared" si="4"/>
        <v>0</v>
      </c>
      <c r="M42" s="74">
        <f t="shared" si="5"/>
        <v>0</v>
      </c>
      <c r="N42" s="70">
        <f t="shared" si="5"/>
        <v>0</v>
      </c>
      <c r="P42" s="74">
        <f t="shared" si="6"/>
        <v>0</v>
      </c>
      <c r="Q42" s="70">
        <f t="shared" si="6"/>
        <v>0</v>
      </c>
      <c r="S42" s="74">
        <f t="shared" si="7"/>
        <v>0</v>
      </c>
      <c r="T42" s="70">
        <f t="shared" si="7"/>
        <v>0</v>
      </c>
      <c r="V42" s="74">
        <f t="shared" si="8"/>
        <v>0</v>
      </c>
      <c r="W42" s="70">
        <f t="shared" si="8"/>
        <v>0</v>
      </c>
      <c r="Y42" s="74">
        <f t="shared" si="9"/>
        <v>0</v>
      </c>
      <c r="Z42" s="70">
        <f t="shared" si="9"/>
        <v>0</v>
      </c>
      <c r="AB42" s="74">
        <f t="shared" si="10"/>
        <v>0</v>
      </c>
      <c r="AC42" s="70">
        <f t="shared" si="10"/>
        <v>0</v>
      </c>
      <c r="AE42" s="74">
        <f>IF(AE34=1,AE28,0)</f>
        <v>0</v>
      </c>
      <c r="AW42" s="154"/>
    </row>
    <row r="43" spans="1:49" s="70" customFormat="1" ht="12.75" hidden="1" customHeight="1" x14ac:dyDescent="0.2">
      <c r="A43" s="70" t="s">
        <v>86</v>
      </c>
      <c r="B43" s="70">
        <f>IF(B35=1,B29,0)</f>
        <v>0</v>
      </c>
      <c r="D43" s="74">
        <f t="shared" si="2"/>
        <v>0</v>
      </c>
      <c r="E43" s="70">
        <f t="shared" si="2"/>
        <v>0</v>
      </c>
      <c r="G43" s="74">
        <f t="shared" si="3"/>
        <v>0</v>
      </c>
      <c r="H43" s="70">
        <f t="shared" si="3"/>
        <v>0</v>
      </c>
      <c r="J43" s="74">
        <f t="shared" si="4"/>
        <v>0</v>
      </c>
      <c r="K43" s="70">
        <f t="shared" si="4"/>
        <v>0</v>
      </c>
      <c r="M43" s="74">
        <f t="shared" si="5"/>
        <v>0</v>
      </c>
      <c r="N43" s="70">
        <f t="shared" si="5"/>
        <v>0</v>
      </c>
      <c r="P43" s="74">
        <f t="shared" si="6"/>
        <v>0</v>
      </c>
      <c r="Q43" s="70">
        <f t="shared" si="6"/>
        <v>0</v>
      </c>
      <c r="S43" s="74">
        <f t="shared" si="7"/>
        <v>0</v>
      </c>
      <c r="T43" s="70">
        <f t="shared" si="7"/>
        <v>0</v>
      </c>
      <c r="V43" s="74">
        <f t="shared" si="8"/>
        <v>0</v>
      </c>
      <c r="W43" s="70">
        <f t="shared" si="8"/>
        <v>0</v>
      </c>
      <c r="Y43" s="74">
        <f t="shared" si="9"/>
        <v>0</v>
      </c>
      <c r="Z43" s="70">
        <f t="shared" si="9"/>
        <v>0</v>
      </c>
      <c r="AB43" s="74">
        <f t="shared" si="10"/>
        <v>0</v>
      </c>
      <c r="AC43" s="70">
        <f t="shared" si="10"/>
        <v>0</v>
      </c>
      <c r="AE43" s="74">
        <f>IF(AE35=1,AE29,0)</f>
        <v>0</v>
      </c>
      <c r="AW43" s="154"/>
    </row>
    <row r="44" spans="1:49" s="70" customFormat="1" ht="38.25" hidden="1" customHeight="1" x14ac:dyDescent="0.2">
      <c r="A44" s="73" t="s">
        <v>87</v>
      </c>
      <c r="B44" s="70">
        <f>SUM(B39:D43)</f>
        <v>50</v>
      </c>
      <c r="D44" s="74"/>
      <c r="E44" s="70">
        <f>SUM(E39:G43)</f>
        <v>50</v>
      </c>
      <c r="G44" s="74"/>
      <c r="H44" s="70">
        <f>SUM(H39:J43)</f>
        <v>50</v>
      </c>
      <c r="J44" s="74"/>
      <c r="K44" s="70">
        <f>SUM(K39:M43)</f>
        <v>50</v>
      </c>
      <c r="M44" s="74"/>
      <c r="N44" s="70">
        <f>SUM(N39:P43)</f>
        <v>50</v>
      </c>
      <c r="P44" s="74"/>
      <c r="Q44" s="70">
        <f>SUM(Q39:S43)</f>
        <v>50</v>
      </c>
      <c r="S44" s="74"/>
      <c r="T44" s="70">
        <f>SUM(T39:V43)</f>
        <v>50</v>
      </c>
      <c r="V44" s="74"/>
      <c r="W44" s="70">
        <f>SUM(W39:Y43)</f>
        <v>50</v>
      </c>
      <c r="Y44" s="74"/>
      <c r="Z44" s="70">
        <f>SUM(Z39:AB43)</f>
        <v>50</v>
      </c>
      <c r="AB44" s="74"/>
      <c r="AC44" s="70">
        <f>SUM(AC39:AE43)</f>
        <v>50</v>
      </c>
      <c r="AE44" s="74"/>
      <c r="AW44" s="154"/>
    </row>
    <row r="45" spans="1:49" s="70" customFormat="1" ht="38.25" hidden="1" customHeight="1" x14ac:dyDescent="0.2">
      <c r="A45" s="70" t="s">
        <v>88</v>
      </c>
      <c r="D45" s="74"/>
      <c r="G45" s="74"/>
      <c r="J45" s="74"/>
      <c r="M45" s="74"/>
      <c r="P45" s="74"/>
      <c r="S45" s="74"/>
      <c r="V45" s="74"/>
      <c r="Y45" s="74"/>
      <c r="AB45" s="74"/>
      <c r="AE45" s="74"/>
      <c r="AF45" s="73" t="s">
        <v>89</v>
      </c>
      <c r="AG45" s="70" t="s">
        <v>90</v>
      </c>
      <c r="AW45" s="154"/>
    </row>
    <row r="46" spans="1:49" s="70" customFormat="1" ht="12.75" hidden="1" customHeight="1" x14ac:dyDescent="0.2">
      <c r="A46" s="70" t="s">
        <v>91</v>
      </c>
      <c r="B46" s="70">
        <f>IF(B24=1,IF(B37=1,1,0),0)</f>
        <v>0</v>
      </c>
      <c r="D46" s="74">
        <f>IF(D24=1,IF(D37=1,1,0),0)</f>
        <v>0</v>
      </c>
      <c r="E46" s="70">
        <f>IF(E24=1,IF(E37=1,1,0),0)</f>
        <v>1</v>
      </c>
      <c r="G46" s="74">
        <f>IF(G24=1,IF(G37=1,1,0),0)</f>
        <v>0</v>
      </c>
      <c r="H46" s="70">
        <f>IF(H24=1,IF(H37=1,1,0),0)</f>
        <v>0</v>
      </c>
      <c r="J46" s="74">
        <f>IF(J24=1,IF(J37=1,1,0),0)</f>
        <v>0</v>
      </c>
      <c r="K46" s="70">
        <f>IF(K24=1,IF(K37=1,1,0),0)</f>
        <v>0</v>
      </c>
      <c r="M46" s="74">
        <f>IF(M24=1,IF(M37=1,1,0),0)</f>
        <v>0</v>
      </c>
      <c r="N46" s="70">
        <f>IF(N24=1,IF(N37=1,1,0),0)</f>
        <v>1</v>
      </c>
      <c r="P46" s="74">
        <f>IF(P24=1,IF(P37=1,1,0),0)</f>
        <v>0</v>
      </c>
      <c r="Q46" s="70">
        <f>IF(Q24=1,IF(Q37=1,1,0),0)</f>
        <v>0</v>
      </c>
      <c r="S46" s="74">
        <f>IF(S24=1,IF(S37=1,1,0),0)</f>
        <v>0</v>
      </c>
      <c r="T46" s="70">
        <f>IF(T24=1,IF(T37=1,1,0),0)</f>
        <v>0</v>
      </c>
      <c r="V46" s="74">
        <f>IF(V24=1,IF(V37=1,1,0),0)</f>
        <v>0</v>
      </c>
      <c r="W46" s="70">
        <f>IF(W24=1,IF(W37=1,1,0),0)</f>
        <v>1</v>
      </c>
      <c r="Y46" s="74">
        <f>IF(Y24=1,IF(Y37=1,1,0),0)</f>
        <v>0</v>
      </c>
      <c r="Z46" s="70">
        <f>IF(Z24=1,IF(Z37=1,1,0),0)</f>
        <v>0</v>
      </c>
      <c r="AB46" s="74">
        <f>IF(AB24=1,IF(AB37=1,1,0),0)</f>
        <v>0</v>
      </c>
      <c r="AC46" s="70">
        <f>IF(AC24=1,IF(AC37=1,1,0),0)</f>
        <v>1</v>
      </c>
      <c r="AE46" s="74">
        <f>IF(AE24=1,IF(AE37=1,1,0),0)</f>
        <v>0</v>
      </c>
      <c r="AF46" s="70">
        <f>SUM(B46:AE46)</f>
        <v>4</v>
      </c>
      <c r="AG46" s="70">
        <f>AF52-AF46</f>
        <v>0</v>
      </c>
      <c r="AW46" s="154"/>
    </row>
    <row r="47" spans="1:49" s="70" customFormat="1" ht="12.75" hidden="1" customHeight="1" x14ac:dyDescent="0.2">
      <c r="A47" s="70" t="s">
        <v>92</v>
      </c>
      <c r="B47" s="70">
        <f>IF(B24=2,IF(B37=1,1,0),0)</f>
        <v>1</v>
      </c>
      <c r="D47" s="74">
        <f>IF(D24=2,IF(D37=1,1,0),0)</f>
        <v>0</v>
      </c>
      <c r="E47" s="70">
        <f>IF(E24=2,IF(E37=1,1,0),0)</f>
        <v>0</v>
      </c>
      <c r="G47" s="74">
        <f>IF(G24=2,IF(G37=1,1,0),0)</f>
        <v>0</v>
      </c>
      <c r="H47" s="70">
        <f>IF(H24=2,IF(H37=1,1,0),0)</f>
        <v>0</v>
      </c>
      <c r="J47" s="74">
        <f>IF(J24=2,IF(J37=1,1,0),0)</f>
        <v>0</v>
      </c>
      <c r="K47" s="70">
        <f>IF(K24=2,IF(K37=1,1,0),0)</f>
        <v>0</v>
      </c>
      <c r="M47" s="74">
        <f>IF(M24=2,IF(M37=1,1,0),0)</f>
        <v>0</v>
      </c>
      <c r="N47" s="70">
        <f>IF(N24=2,IF(N37=1,1,0),0)</f>
        <v>0</v>
      </c>
      <c r="P47" s="74">
        <f>IF(P24=2,IF(P37=1,1,0),0)</f>
        <v>0</v>
      </c>
      <c r="Q47" s="70">
        <f>IF(Q24=2,IF(Q37=1,1,0),0)</f>
        <v>0</v>
      </c>
      <c r="S47" s="74">
        <f>IF(S24=2,IF(S37=1,1,0),0)</f>
        <v>0</v>
      </c>
      <c r="T47" s="70">
        <f>IF(T24=2,IF(T37=1,1,0),0)</f>
        <v>0</v>
      </c>
      <c r="V47" s="74">
        <f>IF(V24=2,IF(V37=1,1,0),0)</f>
        <v>0</v>
      </c>
      <c r="W47" s="70">
        <f>IF(W24=2,IF(W37=1,1,0),0)</f>
        <v>0</v>
      </c>
      <c r="Y47" s="74">
        <f>IF(Y24=2,IF(Y37=1,1,0),0)</f>
        <v>0</v>
      </c>
      <c r="Z47" s="70">
        <f>IF(Z24=2,IF(Z37=1,1,0),0)</f>
        <v>0</v>
      </c>
      <c r="AB47" s="74">
        <f>IF(AB24=2,IF(AB37=1,1,0),0)</f>
        <v>0</v>
      </c>
      <c r="AC47" s="70">
        <f>IF(AC24=2,IF(AC37=1,1,0),0)</f>
        <v>0</v>
      </c>
      <c r="AE47" s="74">
        <f>IF(AE24=2,IF(AE37=1,1,0),0)</f>
        <v>0</v>
      </c>
      <c r="AF47" s="70">
        <f>SUM(B47:AE47)</f>
        <v>1</v>
      </c>
      <c r="AG47" s="70">
        <f>AF53-AF47</f>
        <v>1</v>
      </c>
      <c r="AW47" s="154"/>
    </row>
    <row r="48" spans="1:49" s="70" customFormat="1" ht="12.75" hidden="1" customHeight="1" x14ac:dyDescent="0.2">
      <c r="A48" s="70" t="s">
        <v>93</v>
      </c>
      <c r="B48" s="70">
        <f>IF(B24=3,IF(B37=1,1,0),0)</f>
        <v>0</v>
      </c>
      <c r="D48" s="74">
        <f>IF(D24=3,IF(D37=1,1,0),0)</f>
        <v>0</v>
      </c>
      <c r="E48" s="70">
        <f>IF(E24=3,IF(E37=1,1,0),0)</f>
        <v>0</v>
      </c>
      <c r="G48" s="74">
        <f>IF(G24=3,IF(G37=1,1,0),0)</f>
        <v>0</v>
      </c>
      <c r="H48" s="70">
        <f>IF(H24=3,IF(H37=1,1,0),0)</f>
        <v>1</v>
      </c>
      <c r="J48" s="74">
        <f>IF(J24=3,IF(J37=1,1,0),0)</f>
        <v>0</v>
      </c>
      <c r="K48" s="70">
        <f>IF(K24=3,IF(K37=1,1,0),0)</f>
        <v>0</v>
      </c>
      <c r="M48" s="74">
        <f>IF(M24=3,IF(M37=1,1,0),0)</f>
        <v>0</v>
      </c>
      <c r="N48" s="70">
        <f>IF(N24=3,IF(N37=1,1,0),0)</f>
        <v>0</v>
      </c>
      <c r="P48" s="74">
        <f>IF(P24=3,IF(P37=1,1,0),0)</f>
        <v>0</v>
      </c>
      <c r="Q48" s="70">
        <f>IF(Q24=3,IF(Q37=1,1,0),0)</f>
        <v>0</v>
      </c>
      <c r="S48" s="74">
        <f>IF(S24=3,IF(S37=1,1,0),0)</f>
        <v>0</v>
      </c>
      <c r="T48" s="70">
        <f>IF(T24=3,IF(T37=1,1,0),0)</f>
        <v>0</v>
      </c>
      <c r="V48" s="74">
        <f>IF(V24=3,IF(V37=1,1,0),0)</f>
        <v>0</v>
      </c>
      <c r="W48" s="70">
        <f>IF(W24=3,IF(W37=1,1,0),0)</f>
        <v>0</v>
      </c>
      <c r="Y48" s="74">
        <f>IF(Y24=3,IF(Y37=1,1,0),0)</f>
        <v>0</v>
      </c>
      <c r="Z48" s="70">
        <f>IF(Z24=3,IF(Z37=1,1,0),0)</f>
        <v>1</v>
      </c>
      <c r="AB48" s="74">
        <f>IF(AB24=3,IF(AB37=1,1,0),0)</f>
        <v>0</v>
      </c>
      <c r="AC48" s="70">
        <f>IF(AC24=3,IF(AC37=1,1,0),0)</f>
        <v>0</v>
      </c>
      <c r="AE48" s="74">
        <f>IF(AE24=3,IF(AE37=1,1,0),0)</f>
        <v>0</v>
      </c>
      <c r="AF48" s="70">
        <f>SUM(B48:AE48)</f>
        <v>2</v>
      </c>
      <c r="AG48" s="70">
        <f>AF54-AF48</f>
        <v>1</v>
      </c>
      <c r="AW48" s="154"/>
    </row>
    <row r="49" spans="1:49" s="70" customFormat="1" ht="12.75" hidden="1" customHeight="1" x14ac:dyDescent="0.2">
      <c r="A49" s="70" t="s">
        <v>94</v>
      </c>
      <c r="B49" s="70">
        <f>IF(B24=4,IF(B37=1,1,0),0)</f>
        <v>0</v>
      </c>
      <c r="D49" s="74">
        <f>IF(D24=4,IF(D37=1,1,0),0)</f>
        <v>0</v>
      </c>
      <c r="E49" s="70">
        <f>IF(E24=4,IF(E37=1,1,0),0)</f>
        <v>0</v>
      </c>
      <c r="G49" s="74">
        <f>IF(G24=4,IF(G37=1,1,0),0)</f>
        <v>0</v>
      </c>
      <c r="H49" s="70">
        <f>IF(H24=4,IF(H37=1,1,0),0)</f>
        <v>0</v>
      </c>
      <c r="J49" s="74">
        <f>IF(J24=4,IF(J37=1,1,0),0)</f>
        <v>0</v>
      </c>
      <c r="K49" s="70">
        <f>IF(K24=4,IF(K37=1,1,0),0)</f>
        <v>0</v>
      </c>
      <c r="M49" s="74">
        <f>IF(M24=4,IF(M37=1,1,0),0)</f>
        <v>0</v>
      </c>
      <c r="N49" s="70">
        <f>IF(N24=4,IF(N37=1,1,0),0)</f>
        <v>0</v>
      </c>
      <c r="P49" s="74">
        <f>IF(P24=4,IF(P37=1,1,0),0)</f>
        <v>0</v>
      </c>
      <c r="Q49" s="70">
        <f>IF(Q24=4,IF(Q37=1,1,0),0)</f>
        <v>1</v>
      </c>
      <c r="S49" s="74">
        <f>IF(S24=4,IF(S37=1,1,0),0)</f>
        <v>0</v>
      </c>
      <c r="T49" s="70">
        <f>IF(T24=4,IF(T37=1,1,0),0)</f>
        <v>0</v>
      </c>
      <c r="V49" s="74">
        <f>IF(V24=4,IF(V37=1,1,0),0)</f>
        <v>0</v>
      </c>
      <c r="W49" s="70">
        <f>IF(W24=4,IF(W37=1,1,0),0)</f>
        <v>0</v>
      </c>
      <c r="Y49" s="74">
        <f>IF(Y24=4,IF(Y37=1,1,0),0)</f>
        <v>0</v>
      </c>
      <c r="Z49" s="70">
        <f>IF(Z24=4,IF(Z37=1,1,0),0)</f>
        <v>0</v>
      </c>
      <c r="AB49" s="74">
        <f>IF(AB24=4,IF(AB37=1,1,0),0)</f>
        <v>0</v>
      </c>
      <c r="AC49" s="70">
        <f>IF(AC24=4,IF(AC37=1,1,0),0)</f>
        <v>0</v>
      </c>
      <c r="AE49" s="74">
        <f>IF(AE24=4,IF(AE37=1,1,0),0)</f>
        <v>0</v>
      </c>
      <c r="AF49" s="70">
        <f>SUM(B49:AE49)</f>
        <v>1</v>
      </c>
      <c r="AG49" s="70">
        <f>AF55-AF49</f>
        <v>2</v>
      </c>
      <c r="AW49" s="154"/>
    </row>
    <row r="50" spans="1:49" s="70" customFormat="1" ht="12.75" hidden="1" customHeight="1" x14ac:dyDescent="0.2">
      <c r="A50" s="70" t="s">
        <v>95</v>
      </c>
      <c r="B50" s="70">
        <f>IF(B24=5,IF(B37=1,1,0),0)</f>
        <v>0</v>
      </c>
      <c r="D50" s="74">
        <f>IF(D24=5,IF(D37=1,1,0),0)</f>
        <v>0</v>
      </c>
      <c r="E50" s="70">
        <f>IF(E24=5,IF(E37=1,1,0),0)</f>
        <v>0</v>
      </c>
      <c r="G50" s="74">
        <f>IF(G24=5,IF(G37=1,1,0),0)</f>
        <v>0</v>
      </c>
      <c r="H50" s="70">
        <f>IF(H24=5,IF(H37=1,1,0),0)</f>
        <v>0</v>
      </c>
      <c r="J50" s="74">
        <f>IF(J24=5,IF(J37=1,1,0),0)</f>
        <v>0</v>
      </c>
      <c r="K50" s="70">
        <f>IF(K24=5,IF(K37=1,1,0),0)</f>
        <v>0</v>
      </c>
      <c r="M50" s="74">
        <f>IF(M24=5,IF(M37=1,1,0),0)</f>
        <v>0</v>
      </c>
      <c r="N50" s="70">
        <f>IF(N24=5,IF(N37=1,1,0),0)</f>
        <v>0</v>
      </c>
      <c r="P50" s="74">
        <f>IF(P24=5,IF(P37=1,1,0),0)</f>
        <v>0</v>
      </c>
      <c r="Q50" s="70">
        <f>IF(Q24=5,IF(Q37=1,1,0),0)</f>
        <v>0</v>
      </c>
      <c r="S50" s="74">
        <f>IF(S24=5,IF(S37=1,1,0),0)</f>
        <v>0</v>
      </c>
      <c r="T50" s="70">
        <f>IF(T24=5,IF(T37=1,1,0),0)</f>
        <v>0</v>
      </c>
      <c r="V50" s="74">
        <f>IF(V24=5,IF(V37=1,1,0),0)</f>
        <v>0</v>
      </c>
      <c r="W50" s="70">
        <f>IF(W24=5,IF(W37=1,1,0),0)</f>
        <v>0</v>
      </c>
      <c r="Y50" s="74">
        <f>IF(Y24=5,IF(Y37=1,1,0),0)</f>
        <v>0</v>
      </c>
      <c r="Z50" s="70">
        <f>IF(Z24=5,IF(Z37=1,1,0),0)</f>
        <v>0</v>
      </c>
      <c r="AB50" s="74">
        <f>IF(AB24=5,IF(AB37=1,1,0),0)</f>
        <v>0</v>
      </c>
      <c r="AC50" s="70">
        <f>IF(AC24=5,IF(AC37=1,1,0),0)</f>
        <v>0</v>
      </c>
      <c r="AE50" s="74">
        <f>IF(AE24=5,IF(AE37=1,1,0),0)</f>
        <v>0</v>
      </c>
      <c r="AF50" s="70">
        <f>SUM(B50:AE50)</f>
        <v>0</v>
      </c>
      <c r="AG50" s="70">
        <f>AF56-AF50</f>
        <v>4</v>
      </c>
      <c r="AW50" s="154"/>
    </row>
    <row r="51" spans="1:49" s="70" customFormat="1" ht="38.25" hidden="1" customHeight="1" x14ac:dyDescent="0.2">
      <c r="A51" s="73"/>
      <c r="D51" s="74"/>
      <c r="G51" s="74"/>
      <c r="J51" s="74"/>
      <c r="M51" s="74"/>
      <c r="P51" s="74"/>
      <c r="S51" s="74"/>
      <c r="V51" s="74"/>
      <c r="Y51" s="74"/>
      <c r="AB51" s="74"/>
      <c r="AE51" s="74"/>
      <c r="AF51" s="73" t="s">
        <v>96</v>
      </c>
      <c r="AW51" s="154"/>
    </row>
    <row r="52" spans="1:49" s="70" customFormat="1" ht="12.75" hidden="1" customHeight="1" x14ac:dyDescent="0.2">
      <c r="A52" s="70" t="s">
        <v>97</v>
      </c>
      <c r="B52" s="70">
        <f>IF(B24=1,IF(C37=1,1,0),0)</f>
        <v>0</v>
      </c>
      <c r="D52" s="74">
        <f>IF(D24=1,IF(C37=1,1,0),0)</f>
        <v>0</v>
      </c>
      <c r="E52" s="70">
        <f>IF(E24=1,IF(F37=1,1,0),0)</f>
        <v>1</v>
      </c>
      <c r="G52" s="74">
        <f>IF(G24=1,IF(F37=1,1,0),0)</f>
        <v>0</v>
      </c>
      <c r="H52" s="70">
        <f>IF(H24=1,IF(I37=1,1,0),0)</f>
        <v>0</v>
      </c>
      <c r="J52" s="74">
        <f>IF(J24=1,IF(I37=1,1,0),0)</f>
        <v>0</v>
      </c>
      <c r="K52" s="70">
        <f>IF(K24=1,IF(L37=1,1,0),0)</f>
        <v>0</v>
      </c>
      <c r="M52" s="74">
        <f>IF(M24=1,IF(L37=1,1,0),0)</f>
        <v>0</v>
      </c>
      <c r="N52" s="70">
        <f>IF(N24=1,IF(O37=1,1,0),0)</f>
        <v>1</v>
      </c>
      <c r="P52" s="74">
        <f>IF(P24=1,IF(O37=1,1,0),0)</f>
        <v>0</v>
      </c>
      <c r="Q52" s="70">
        <f>IF(Q24=1,IF(R37=1,1,0),0)</f>
        <v>0</v>
      </c>
      <c r="S52" s="74">
        <f>IF(S24=1,IF(R37=1,1,0),0)</f>
        <v>0</v>
      </c>
      <c r="T52" s="70">
        <f>IF(T24=1,IF(U37=1,1,0),0)</f>
        <v>0</v>
      </c>
      <c r="V52" s="74">
        <f>IF(V24=1,IF(U37=1,1,0),0)</f>
        <v>0</v>
      </c>
      <c r="W52" s="70">
        <f>IF(W24=1,IF(X37=1,1,0),0)</f>
        <v>1</v>
      </c>
      <c r="Y52" s="74">
        <f>IF(Y24=1,IF(X37=1,1,0),0)</f>
        <v>0</v>
      </c>
      <c r="Z52" s="70">
        <f>IF(Z24=1,IF(AA37=1,1,0),0)</f>
        <v>0</v>
      </c>
      <c r="AB52" s="74">
        <f>IF(AB24=1,IF(AA37=1,1,0),0)</f>
        <v>0</v>
      </c>
      <c r="AC52" s="70">
        <f>IF(AC24=1,IF(AD37=1,1,0),0)</f>
        <v>1</v>
      </c>
      <c r="AE52" s="74">
        <f>IF(AE24=1,IF(AD37=1,1,0),0)</f>
        <v>0</v>
      </c>
      <c r="AF52" s="70">
        <f>SUM(B52:AE52)</f>
        <v>4</v>
      </c>
      <c r="AW52" s="154"/>
    </row>
    <row r="53" spans="1:49" s="70" customFormat="1" ht="12.75" hidden="1" customHeight="1" x14ac:dyDescent="0.2">
      <c r="A53" s="70" t="s">
        <v>98</v>
      </c>
      <c r="B53" s="70">
        <f>IF(B24=2,IF(C37=1,1,0),0)</f>
        <v>1</v>
      </c>
      <c r="D53" s="74">
        <f>IF(D24=2,IF(C37=1,1,0),0)</f>
        <v>0</v>
      </c>
      <c r="E53" s="70">
        <f>IF(E24=2,IF(F37=1,1,0),0)</f>
        <v>0</v>
      </c>
      <c r="G53" s="74">
        <f>IF(G24=2,IF(F37=1,1,0),0)</f>
        <v>0</v>
      </c>
      <c r="H53" s="70">
        <f>IF(H24=2,IF(I37=1,1,0),0)</f>
        <v>0</v>
      </c>
      <c r="J53" s="74">
        <f>IF(J24=2,IF(I37=1,1,0),0)</f>
        <v>0</v>
      </c>
      <c r="K53" s="70">
        <f>IF(K24=2,IF(L37=1,1,0),0)</f>
        <v>0</v>
      </c>
      <c r="M53" s="74">
        <f>IF(M24=2,IF(L37=1,1,0),0)</f>
        <v>0</v>
      </c>
      <c r="N53" s="70">
        <f>IF(N24=2,IF(O37=1,1,0),0)</f>
        <v>0</v>
      </c>
      <c r="P53" s="74">
        <f>IF(P24=2,IF(O37=1,1,0),0)</f>
        <v>0</v>
      </c>
      <c r="Q53" s="70">
        <f>IF(Q24=2,IF(R37=1,1,0),0)</f>
        <v>0</v>
      </c>
      <c r="S53" s="74">
        <f>IF(S24=2,IF(R37=1,1,0),0)</f>
        <v>0</v>
      </c>
      <c r="T53" s="70">
        <f>IF(T24=2,IF(U37=1,1,0),0)</f>
        <v>0</v>
      </c>
      <c r="V53" s="74">
        <f>IF(V24=2,IF(U37=1,1,0),0)</f>
        <v>0</v>
      </c>
      <c r="W53" s="70">
        <f>IF(W24=2,IF(X37=1,1,0),0)</f>
        <v>0</v>
      </c>
      <c r="Y53" s="74">
        <f>IF(Y24=2,IF(X37=1,1,0),0)</f>
        <v>0</v>
      </c>
      <c r="Z53" s="70">
        <f>IF(Z24=2,IF(AA37=1,1,0),0)</f>
        <v>0</v>
      </c>
      <c r="AB53" s="74">
        <f>IF(AB24=2,IF(AA37=1,1,0),0)</f>
        <v>0</v>
      </c>
      <c r="AC53" s="70">
        <f>IF(AC24=2,IF(AD37=1,1,0),0)</f>
        <v>0</v>
      </c>
      <c r="AE53" s="74">
        <f>IF(AE24=2,IF(AD37=1,1,0),0)</f>
        <v>1</v>
      </c>
      <c r="AF53" s="70">
        <f>SUM(B53:AE53)</f>
        <v>2</v>
      </c>
      <c r="AW53" s="154"/>
    </row>
    <row r="54" spans="1:49" s="70" customFormat="1" ht="12.75" hidden="1" customHeight="1" x14ac:dyDescent="0.2">
      <c r="A54" s="70" t="s">
        <v>99</v>
      </c>
      <c r="B54" s="70">
        <f>IF(B24=3,IF(C37=1,1,0),0)</f>
        <v>0</v>
      </c>
      <c r="D54" s="74">
        <f>IF(D24=3,IF(C37=1,1,0),0)</f>
        <v>0</v>
      </c>
      <c r="E54" s="70">
        <f>IF(E24=3,IF(F37=1,1,0),0)</f>
        <v>0</v>
      </c>
      <c r="G54" s="74">
        <f>IF(G24=3,IF(F37=1,1,0),0)</f>
        <v>0</v>
      </c>
      <c r="H54" s="70">
        <f>IF(H24=3,IF(I37=1,1,0),0)</f>
        <v>1</v>
      </c>
      <c r="J54" s="74">
        <f>IF(J24=3,IF(I37=1,1,0),0)</f>
        <v>0</v>
      </c>
      <c r="K54" s="70">
        <f>IF(K24=3,IF(L37=1,1,0),0)</f>
        <v>0</v>
      </c>
      <c r="M54" s="74">
        <f>IF(M24=3,IF(L37=1,1,0),0)</f>
        <v>0</v>
      </c>
      <c r="N54" s="70">
        <f>IF(N24=3,IF(O37=1,1,0),0)</f>
        <v>0</v>
      </c>
      <c r="P54" s="74">
        <f>IF(P24=3,IF(O37=1,1,0),0)</f>
        <v>1</v>
      </c>
      <c r="Q54" s="70">
        <f>IF(Q24=3,IF(R37=1,1,0),0)</f>
        <v>0</v>
      </c>
      <c r="S54" s="74">
        <f>IF(S24=3,IF(R37=1,1,0),0)</f>
        <v>0</v>
      </c>
      <c r="T54" s="70">
        <f>IF(T24=3,IF(U37=1,1,0),0)</f>
        <v>0</v>
      </c>
      <c r="V54" s="74">
        <f>IF(V24=3,IF(U37=1,1,0),0)</f>
        <v>0</v>
      </c>
      <c r="W54" s="70">
        <f>IF(W24=3,IF(X37=1,1,0),0)</f>
        <v>0</v>
      </c>
      <c r="Y54" s="74">
        <f>IF(Y24=3,IF(X37=1,1,0),0)</f>
        <v>0</v>
      </c>
      <c r="Z54" s="70">
        <f>IF(Z24=3,IF(AA37=1,1,0),0)</f>
        <v>1</v>
      </c>
      <c r="AB54" s="74">
        <f>IF(AB24=3,IF(AA37=1,1,0),0)</f>
        <v>0</v>
      </c>
      <c r="AC54" s="70">
        <f>IF(AC24=3,IF(AD37=1,1,0),0)</f>
        <v>0</v>
      </c>
      <c r="AE54" s="74">
        <f>IF(AE24=3,IF(AD37=1,1,0),0)</f>
        <v>0</v>
      </c>
      <c r="AF54" s="70">
        <f>SUM(B54:AE54)</f>
        <v>3</v>
      </c>
      <c r="AW54" s="154"/>
    </row>
    <row r="55" spans="1:49" s="70" customFormat="1" ht="12.75" hidden="1" customHeight="1" x14ac:dyDescent="0.2">
      <c r="A55" s="70" t="s">
        <v>100</v>
      </c>
      <c r="B55" s="70">
        <f>IF(B24=4,IF(C37=1,1,0),0)</f>
        <v>0</v>
      </c>
      <c r="D55" s="74">
        <f>IF(D24=4,IF(C37=1,1,0),0)</f>
        <v>0</v>
      </c>
      <c r="E55" s="70">
        <f>IF(E24=4,IF(F37=1,1,0),0)</f>
        <v>0</v>
      </c>
      <c r="G55" s="74">
        <f>IF(G24=4,IF(F37=1,1,0),0)</f>
        <v>1</v>
      </c>
      <c r="H55" s="70">
        <f>IF(H24=4,IF(I37=1,1,0),0)</f>
        <v>0</v>
      </c>
      <c r="J55" s="74">
        <f>IF(J24=4,IF(I37=1,1,0),0)</f>
        <v>0</v>
      </c>
      <c r="K55" s="70">
        <f>IF(K24=4,IF(L37=1,1,0),0)</f>
        <v>0</v>
      </c>
      <c r="M55" s="74">
        <f>IF(M24=4,IF(L37=1,1,0),0)</f>
        <v>0</v>
      </c>
      <c r="N55" s="70">
        <f>IF(N24=4,IF(O37=1,1,0),0)</f>
        <v>0</v>
      </c>
      <c r="P55" s="74">
        <f>IF(P24=4,IF(O37=1,1,0),0)</f>
        <v>0</v>
      </c>
      <c r="Q55" s="70">
        <f>IF(Q24=4,IF(R37=1,1,0),0)</f>
        <v>1</v>
      </c>
      <c r="S55" s="74">
        <f>IF(S24=4,IF(R37=1,1,0),0)</f>
        <v>0</v>
      </c>
      <c r="T55" s="70">
        <f>IF(T24=4,IF(U37=1,1,0),0)</f>
        <v>0</v>
      </c>
      <c r="V55" s="74">
        <f>IF(V24=4,IF(U37=1,1,0),0)</f>
        <v>0</v>
      </c>
      <c r="W55" s="70">
        <f>IF(W24=4,IF(X37=1,1,0),0)</f>
        <v>0</v>
      </c>
      <c r="Y55" s="74">
        <f>IF(Y24=4,IF(X37=1,1,0),0)</f>
        <v>0</v>
      </c>
      <c r="Z55" s="70">
        <f>IF(Z24=4,IF(AA37=1,1,0),0)</f>
        <v>0</v>
      </c>
      <c r="AB55" s="74">
        <f>IF(AB24=4,IF(AA37=1,1,0),0)</f>
        <v>1</v>
      </c>
      <c r="AC55" s="70">
        <f>IF(AC24=4,IF(AD37=1,1,0),0)</f>
        <v>0</v>
      </c>
      <c r="AE55" s="74">
        <f>IF(AE24=4,IF(AD37=1,1,0),0)</f>
        <v>0</v>
      </c>
      <c r="AF55" s="70">
        <f>SUM(B55:AE55)</f>
        <v>3</v>
      </c>
      <c r="AW55" s="154"/>
    </row>
    <row r="56" spans="1:49" s="70" customFormat="1" ht="12.75" hidden="1" customHeight="1" x14ac:dyDescent="0.2">
      <c r="A56" s="70" t="s">
        <v>101</v>
      </c>
      <c r="B56" s="70">
        <f>IF(B24=5,IF(C37=1,1,0),0)</f>
        <v>0</v>
      </c>
      <c r="D56" s="74">
        <f>IF(D24=5,IF(C37=1,1,0),0)</f>
        <v>1</v>
      </c>
      <c r="E56" s="70">
        <f>IF(E24=5,IF(F37=1,1,0),0)</f>
        <v>0</v>
      </c>
      <c r="G56" s="74">
        <f>IF(G24=5,IF(F37=1,1,0),0)</f>
        <v>0</v>
      </c>
      <c r="H56" s="70">
        <f>IF(H24=5,IF(I37=1,1,0),0)</f>
        <v>0</v>
      </c>
      <c r="J56" s="74">
        <f>IF(J24=5,IF(I37=1,1,0),0)</f>
        <v>1</v>
      </c>
      <c r="K56" s="70">
        <f>IF(K24=5,IF(L37=1,1,0),0)</f>
        <v>0</v>
      </c>
      <c r="M56" s="74">
        <f>IF(M24=5,IF(L37=1,1,0),0)</f>
        <v>0</v>
      </c>
      <c r="N56" s="70">
        <f>IF(N24=5,IF(O37=1,1,0),0)</f>
        <v>0</v>
      </c>
      <c r="P56" s="74">
        <f>IF(P24=5,IF(O37=1,1,0),0)</f>
        <v>0</v>
      </c>
      <c r="Q56" s="70">
        <f>IF(Q24=5,IF(R37=1,1,0),0)</f>
        <v>0</v>
      </c>
      <c r="S56" s="74">
        <f>IF(S24=5,IF(R37=1,1,0),0)</f>
        <v>1</v>
      </c>
      <c r="T56" s="70">
        <f>IF(T24=5,IF(U37=1,1,0),0)</f>
        <v>0</v>
      </c>
      <c r="V56" s="74">
        <f>IF(V24=5,IF(U37=1,1,0),0)</f>
        <v>0</v>
      </c>
      <c r="W56" s="70">
        <f>IF(W24=5,IF(X37=1,1,0),0)</f>
        <v>0</v>
      </c>
      <c r="Y56" s="74">
        <f>IF(Y24=5,IF(X37=1,1,0),0)</f>
        <v>1</v>
      </c>
      <c r="Z56" s="70">
        <f>IF(Z24=5,IF(AA37=1,1,0),0)</f>
        <v>0</v>
      </c>
      <c r="AB56" s="74">
        <f>IF(AB24=5,IF(AA37=1,1,0),0)</f>
        <v>0</v>
      </c>
      <c r="AC56" s="70">
        <f>IF(AC24=5,IF(AD37=1,1,0),0)</f>
        <v>0</v>
      </c>
      <c r="AE56" s="74">
        <f>IF(AE24=5,IF(AD37=1,1,0),0)</f>
        <v>0</v>
      </c>
      <c r="AF56" s="70">
        <f>SUM(B56:AE56)</f>
        <v>4</v>
      </c>
      <c r="AW56" s="154"/>
    </row>
    <row r="57" spans="1:49" s="70" customFormat="1" ht="38.25" hidden="1" customHeight="1" x14ac:dyDescent="0.2">
      <c r="A57" s="73"/>
      <c r="D57" s="74"/>
      <c r="G57" s="74"/>
      <c r="J57" s="74"/>
      <c r="M57" s="74"/>
      <c r="P57" s="74"/>
      <c r="S57" s="74"/>
      <c r="V57" s="74"/>
      <c r="Y57" s="74"/>
      <c r="AB57" s="74"/>
      <c r="AE57" s="74"/>
      <c r="AF57" s="73" t="s">
        <v>102</v>
      </c>
      <c r="AG57" s="280"/>
      <c r="AH57" s="280"/>
      <c r="AI57" s="280"/>
      <c r="AJ57" s="280"/>
      <c r="AK57" s="280"/>
      <c r="AW57" s="154"/>
    </row>
    <row r="58" spans="1:49" s="70" customFormat="1" ht="12.75" hidden="1" customHeight="1" x14ac:dyDescent="0.2">
      <c r="A58" s="70" t="s">
        <v>97</v>
      </c>
      <c r="B58" s="70">
        <f>IF(B24=1,B44,0)</f>
        <v>0</v>
      </c>
      <c r="D58" s="74">
        <f>IF(D24=1,B44,0)</f>
        <v>0</v>
      </c>
      <c r="E58" s="70">
        <f>IF(E24=1,E44,0)</f>
        <v>50</v>
      </c>
      <c r="G58" s="74">
        <f>IF(G24=1,E44,0)</f>
        <v>0</v>
      </c>
      <c r="H58" s="70">
        <f>IF(H24=1,H44,0)</f>
        <v>0</v>
      </c>
      <c r="J58" s="74">
        <f>IF(J24=1,H44,0)</f>
        <v>0</v>
      </c>
      <c r="K58" s="70">
        <f>IF(K24=1,K44,0)</f>
        <v>0</v>
      </c>
      <c r="M58" s="74">
        <f>IF(M24=1,K44,0)</f>
        <v>0</v>
      </c>
      <c r="N58" s="70">
        <f>IF(N24=1,N44,0)</f>
        <v>50</v>
      </c>
      <c r="P58" s="74">
        <f>IF(P24=1,N44,0)</f>
        <v>0</v>
      </c>
      <c r="Q58" s="70">
        <f>IF(Q24=1,Q44,0)</f>
        <v>0</v>
      </c>
      <c r="S58" s="74">
        <f>IF(S24=1,Q44,0)</f>
        <v>0</v>
      </c>
      <c r="T58" s="70">
        <f>IF(T24=1,T44,0)</f>
        <v>0</v>
      </c>
      <c r="V58" s="74">
        <f>IF(V24=1,T44,0)</f>
        <v>0</v>
      </c>
      <c r="W58" s="70">
        <f>IF(W24=1,W44,0)</f>
        <v>50</v>
      </c>
      <c r="Y58" s="74">
        <f>IF(Y24=1,W44,0)</f>
        <v>0</v>
      </c>
      <c r="Z58" s="70">
        <f>IF(Z24=1,Z44,0)</f>
        <v>0</v>
      </c>
      <c r="AB58" s="74">
        <f>IF(AB24=1,Z44,0)</f>
        <v>0</v>
      </c>
      <c r="AC58" s="70">
        <f>IF(AC24=1,AC44,0)</f>
        <v>50</v>
      </c>
      <c r="AE58" s="74">
        <f>IF(AE24=1,AC44,0)</f>
        <v>0</v>
      </c>
      <c r="AF58" s="70">
        <f>SUM(B58:AE58)</f>
        <v>200</v>
      </c>
      <c r="AW58" s="154"/>
    </row>
    <row r="59" spans="1:49" s="70" customFormat="1" ht="12.75" hidden="1" customHeight="1" x14ac:dyDescent="0.2">
      <c r="A59" s="70" t="s">
        <v>98</v>
      </c>
      <c r="B59" s="70">
        <f>IF(B24=2,B44,0)</f>
        <v>50</v>
      </c>
      <c r="D59" s="74">
        <f>IF(D24=2,B44,0)</f>
        <v>0</v>
      </c>
      <c r="E59" s="70">
        <f>IF(E24=2,E44,0)</f>
        <v>0</v>
      </c>
      <c r="G59" s="74">
        <f>IF(G24=2,E44,0)</f>
        <v>0</v>
      </c>
      <c r="H59" s="70">
        <f>IF(H24=2,H44,0)</f>
        <v>0</v>
      </c>
      <c r="J59" s="74">
        <f>IF(J24=2,H44,0)</f>
        <v>0</v>
      </c>
      <c r="K59" s="70">
        <f>IF(K24=2,K44,0)</f>
        <v>50</v>
      </c>
      <c r="M59" s="74">
        <f>IF(M24=2,K44,0)</f>
        <v>0</v>
      </c>
      <c r="N59" s="70">
        <f>IF(N24=2,N44,0)</f>
        <v>0</v>
      </c>
      <c r="P59" s="74">
        <f>IF(P24=2,N44,0)</f>
        <v>0</v>
      </c>
      <c r="Q59" s="70">
        <f>IF(Q24=2,Q44,0)</f>
        <v>0</v>
      </c>
      <c r="S59" s="74">
        <f>IF(S24=2,Q44,0)</f>
        <v>0</v>
      </c>
      <c r="T59" s="70">
        <f>IF(T24=2,T44,0)</f>
        <v>50</v>
      </c>
      <c r="V59" s="74">
        <f>IF(V24=2,T44,0)</f>
        <v>0</v>
      </c>
      <c r="W59" s="70">
        <f>IF(W24=2,W44,0)</f>
        <v>0</v>
      </c>
      <c r="Y59" s="74">
        <f>IF(Y24=2,W44,0)</f>
        <v>0</v>
      </c>
      <c r="Z59" s="70">
        <f>IF(Z24=2,Z44,0)</f>
        <v>0</v>
      </c>
      <c r="AB59" s="74">
        <f>IF(AB24=2,Z44,0)</f>
        <v>0</v>
      </c>
      <c r="AC59" s="70">
        <f>IF(AC24=2,AC44,0)</f>
        <v>0</v>
      </c>
      <c r="AE59" s="74">
        <f>IF(AE24=2,AC44,0)</f>
        <v>50</v>
      </c>
      <c r="AF59" s="70">
        <f>SUM(B59:AE59)</f>
        <v>200</v>
      </c>
      <c r="AW59" s="154"/>
    </row>
    <row r="60" spans="1:49" s="70" customFormat="1" ht="12.75" hidden="1" customHeight="1" x14ac:dyDescent="0.2">
      <c r="A60" s="70" t="s">
        <v>99</v>
      </c>
      <c r="B60" s="70">
        <f>IF(B24=3,B44,0)</f>
        <v>0</v>
      </c>
      <c r="D60" s="74">
        <f>IF(D24=3,B44,0)</f>
        <v>0</v>
      </c>
      <c r="E60" s="70">
        <f>IF(E24=3,E44,0)</f>
        <v>0</v>
      </c>
      <c r="G60" s="74">
        <f>IF(G24=3,E44,0)</f>
        <v>0</v>
      </c>
      <c r="H60" s="70">
        <f>IF(H24=3,H44,0)</f>
        <v>50</v>
      </c>
      <c r="J60" s="74">
        <f>IF(J24=3,H44,0)</f>
        <v>0</v>
      </c>
      <c r="K60" s="70">
        <f>IF(K24=3,K44,0)</f>
        <v>0</v>
      </c>
      <c r="M60" s="74">
        <f>IF(M24=3,K44,0)</f>
        <v>0</v>
      </c>
      <c r="N60" s="70">
        <f>IF(N24=3,N44,0)</f>
        <v>0</v>
      </c>
      <c r="P60" s="74">
        <f>IF(P24=3,N44,0)</f>
        <v>50</v>
      </c>
      <c r="Q60" s="70">
        <f>IF(Q24=3,Q44,0)</f>
        <v>0</v>
      </c>
      <c r="S60" s="74">
        <f>IF(S24=3,Q44,0)</f>
        <v>0</v>
      </c>
      <c r="T60" s="70">
        <f>IF(T24=3,T44,0)</f>
        <v>0</v>
      </c>
      <c r="V60" s="74">
        <f>IF(V24=3,T44,0)</f>
        <v>50</v>
      </c>
      <c r="W60" s="70">
        <f>IF(W24=3,W44,0)</f>
        <v>0</v>
      </c>
      <c r="Y60" s="74">
        <f>IF(Y24=3,W44,0)</f>
        <v>0</v>
      </c>
      <c r="Z60" s="70">
        <f>IF(Z24=3,Z44,0)</f>
        <v>50</v>
      </c>
      <c r="AB60" s="74">
        <f>IF(AB24=3,Z44,0)</f>
        <v>0</v>
      </c>
      <c r="AC60" s="70">
        <f>IF(AC24=3,AC44,0)</f>
        <v>0</v>
      </c>
      <c r="AE60" s="74">
        <f>IF(AE24=3,AC44,0)</f>
        <v>0</v>
      </c>
      <c r="AF60" s="70">
        <f>SUM(B60:AE60)</f>
        <v>200</v>
      </c>
      <c r="AW60" s="154"/>
    </row>
    <row r="61" spans="1:49" s="70" customFormat="1" ht="12.75" hidden="1" customHeight="1" x14ac:dyDescent="0.2">
      <c r="A61" s="70" t="s">
        <v>100</v>
      </c>
      <c r="B61" s="70">
        <f>IF(B24=4,B44,0)</f>
        <v>0</v>
      </c>
      <c r="D61" s="74">
        <f>IF(D24=4,B44,0)</f>
        <v>0</v>
      </c>
      <c r="E61" s="70">
        <f>IF(E24=4,E44,0)</f>
        <v>0</v>
      </c>
      <c r="G61" s="74">
        <f>IF(G24=4,E44,0)</f>
        <v>50</v>
      </c>
      <c r="H61" s="70">
        <f>IF(H24=4,H44,0)</f>
        <v>0</v>
      </c>
      <c r="J61" s="74">
        <f>IF(J24=4,H44,0)</f>
        <v>0</v>
      </c>
      <c r="K61" s="70">
        <f>IF(K24=4,K44,0)</f>
        <v>0</v>
      </c>
      <c r="M61" s="74">
        <f>IF(M24=4,K44,0)</f>
        <v>50</v>
      </c>
      <c r="N61" s="70">
        <f>IF(N24=4,N44,0)</f>
        <v>0</v>
      </c>
      <c r="P61" s="74">
        <f>IF(P24=4,N44,0)</f>
        <v>0</v>
      </c>
      <c r="Q61" s="70">
        <f>IF(Q24=4,Q44,0)</f>
        <v>50</v>
      </c>
      <c r="S61" s="74">
        <f>IF(S24=4,Q44,0)</f>
        <v>0</v>
      </c>
      <c r="T61" s="70">
        <f>IF(T24=4,T44,0)</f>
        <v>0</v>
      </c>
      <c r="V61" s="74">
        <f>IF(V24=4,T44,0)</f>
        <v>0</v>
      </c>
      <c r="W61" s="70">
        <f>IF(W24=4,W44,0)</f>
        <v>0</v>
      </c>
      <c r="Y61" s="74">
        <f>IF(Y24=4,W44,0)</f>
        <v>0</v>
      </c>
      <c r="Z61" s="70">
        <f>IF(Z24=4,Z44,0)</f>
        <v>0</v>
      </c>
      <c r="AB61" s="74">
        <f>IF(AB24=4,Z44,0)</f>
        <v>50</v>
      </c>
      <c r="AC61" s="70">
        <f>IF(AC24=4,AC44,0)</f>
        <v>0</v>
      </c>
      <c r="AE61" s="74">
        <f>IF(AE24=4,AC44,0)</f>
        <v>0</v>
      </c>
      <c r="AF61" s="70">
        <f>SUM(B61:AE61)</f>
        <v>200</v>
      </c>
      <c r="AW61" s="154"/>
    </row>
    <row r="62" spans="1:49" s="70" customFormat="1" ht="12.75" hidden="1" customHeight="1" x14ac:dyDescent="0.2">
      <c r="A62" s="70" t="s">
        <v>101</v>
      </c>
      <c r="B62" s="70">
        <f>IF(B24=5,B44,0)</f>
        <v>0</v>
      </c>
      <c r="D62" s="74">
        <f>IF(D24=5,B44,0)</f>
        <v>50</v>
      </c>
      <c r="E62" s="70">
        <f>IF(E24=5,E44,0)</f>
        <v>0</v>
      </c>
      <c r="G62" s="74">
        <f>IF(G24=5,E44,0)</f>
        <v>0</v>
      </c>
      <c r="H62" s="70">
        <f>IF(H24=5,H44,0)</f>
        <v>0</v>
      </c>
      <c r="J62" s="74">
        <f>IF(J24=5,H44,0)</f>
        <v>50</v>
      </c>
      <c r="K62" s="70">
        <f>IF(K24=5,K44,0)</f>
        <v>0</v>
      </c>
      <c r="M62" s="74">
        <f>IF(M24=5,K44,0)</f>
        <v>0</v>
      </c>
      <c r="N62" s="70">
        <f>IF(N24=5,N44,0)</f>
        <v>0</v>
      </c>
      <c r="P62" s="74">
        <f>IF(P24=5,N44,0)</f>
        <v>0</v>
      </c>
      <c r="Q62" s="70">
        <f>IF(Q24=5,Q44,0)</f>
        <v>0</v>
      </c>
      <c r="S62" s="74">
        <f>IF(S24=5,Q44,0)</f>
        <v>50</v>
      </c>
      <c r="T62" s="70">
        <f>IF(T24=5,T44,0)</f>
        <v>0</v>
      </c>
      <c r="V62" s="74">
        <f>IF(V24=5,T44,0)</f>
        <v>0</v>
      </c>
      <c r="W62" s="70">
        <f>IF(W24=5,W44,0)</f>
        <v>0</v>
      </c>
      <c r="Y62" s="74">
        <f>IF(Y24=5,W44,0)</f>
        <v>50</v>
      </c>
      <c r="Z62" s="70">
        <f>IF(Z24=5,Z44,0)</f>
        <v>0</v>
      </c>
      <c r="AB62" s="74">
        <f>IF(AB24=5,Z44,0)</f>
        <v>0</v>
      </c>
      <c r="AC62" s="70">
        <f>IF(AC24=5,AC44,0)</f>
        <v>0</v>
      </c>
      <c r="AE62" s="74">
        <f>IF(AE24=5,AC44,0)</f>
        <v>0</v>
      </c>
      <c r="AF62" s="70">
        <f>SUM(B62:AE62)</f>
        <v>200</v>
      </c>
      <c r="AW62" s="154"/>
    </row>
    <row r="63" spans="1:49" s="70" customFormat="1" ht="38.25" hidden="1" customHeight="1" x14ac:dyDescent="0.2">
      <c r="A63" s="70" t="s">
        <v>103</v>
      </c>
      <c r="D63" s="74"/>
      <c r="G63" s="74"/>
      <c r="J63" s="74"/>
      <c r="M63" s="74"/>
      <c r="P63" s="74"/>
      <c r="S63" s="74"/>
      <c r="V63" s="74"/>
      <c r="Y63" s="74"/>
      <c r="AB63" s="74"/>
      <c r="AE63" s="74"/>
      <c r="AF63" s="73" t="s">
        <v>104</v>
      </c>
      <c r="AG63" s="70" t="s">
        <v>105</v>
      </c>
      <c r="AW63" s="154"/>
    </row>
    <row r="64" spans="1:49" s="70" customFormat="1" ht="12.75" hidden="1" customHeight="1" x14ac:dyDescent="0.2">
      <c r="A64" s="70" t="s">
        <v>91</v>
      </c>
      <c r="B64" s="70">
        <f>IF(B24=1,SUMIF(B31:B35,"&gt;0"),0)</f>
        <v>0</v>
      </c>
      <c r="D64" s="74">
        <f>IF(D24=1,SUMIF(D31:D35,"&gt;0"),0)</f>
        <v>0</v>
      </c>
      <c r="E64" s="70">
        <f>IF(E24=1,SUMIF(E31:E35,"&gt;0"),0)</f>
        <v>2</v>
      </c>
      <c r="G64" s="74">
        <f>IF(G24=1,SUMIF(G31:G35,"&gt;0"),0)</f>
        <v>0</v>
      </c>
      <c r="H64" s="70">
        <f>IF(H24=1,SUMIF(H31:H35,"&gt;0"),0)</f>
        <v>0</v>
      </c>
      <c r="J64" s="74">
        <f>IF(J24=1,SUMIF(J31:J35,"&gt;0"),0)</f>
        <v>0</v>
      </c>
      <c r="K64" s="70">
        <f>IF(K24=1,SUMIF(K31:K35,"&gt;0"),0)</f>
        <v>0</v>
      </c>
      <c r="M64" s="74">
        <f>IF(M24=1,SUMIF(M31:M35,"&gt;0"),0)</f>
        <v>0</v>
      </c>
      <c r="N64" s="70">
        <f>IF(N24=1,SUMIF(N31:N35,"&gt;0"),0)</f>
        <v>2</v>
      </c>
      <c r="P64" s="74">
        <f>IF(P24=1,SUMIF(P31:P35,"&gt;0"),0)</f>
        <v>0</v>
      </c>
      <c r="Q64" s="70">
        <f>IF(Q24=1,SUMIF(Q31:Q35,"&gt;0"),0)</f>
        <v>0</v>
      </c>
      <c r="S64" s="74">
        <f>IF(S24=1,SUMIF(S31:S35,"&gt;0"),0)</f>
        <v>0</v>
      </c>
      <c r="T64" s="70">
        <f>IF(T24=1,SUMIF(T31:T35,"&gt;0"),0)</f>
        <v>0</v>
      </c>
      <c r="V64" s="74">
        <f>IF(V24=1,SUMIF(V31:V35,"&gt;0"),0)</f>
        <v>0</v>
      </c>
      <c r="W64" s="70">
        <f>IF(W24=1,SUMIF(W31:W35,"&gt;0"),0)</f>
        <v>2</v>
      </c>
      <c r="Y64" s="74">
        <f>IF(Y24=1,SUMIF(Y31:Y35,"&gt;0"),0)</f>
        <v>0</v>
      </c>
      <c r="Z64" s="70">
        <f>IF(Z24=1,SUMIF(Z31:Z35,"&gt;0"),0)</f>
        <v>0</v>
      </c>
      <c r="AB64" s="74">
        <f>IF(AB24=1,SUMIF(AB31:AB35,"&gt;0"),0)</f>
        <v>0</v>
      </c>
      <c r="AC64" s="70">
        <f>IF(AC24=1,SUMIF(AC31:AC35,"&gt;0"),0)</f>
        <v>2</v>
      </c>
      <c r="AE64" s="74">
        <f>IF(AE24=1,SUMIF(AE31:AE35,"&gt;0"),0)</f>
        <v>0</v>
      </c>
      <c r="AF64" s="70">
        <f>SUM(B64:AE64)</f>
        <v>8</v>
      </c>
      <c r="AG64" s="70">
        <f>AF72-AF64</f>
        <v>0</v>
      </c>
      <c r="AW64" s="154"/>
    </row>
    <row r="65" spans="1:54" s="70" customFormat="1" ht="12.75" hidden="1" customHeight="1" x14ac:dyDescent="0.2">
      <c r="A65" s="70" t="s">
        <v>92</v>
      </c>
      <c r="B65" s="70">
        <f>IF(B24=2,SUMIF(B31:B35,"&gt;0"),0)</f>
        <v>2</v>
      </c>
      <c r="D65" s="74">
        <f>IF(D24=2,SUMIF(D31:D35,"&gt;0"),0)</f>
        <v>0</v>
      </c>
      <c r="E65" s="70">
        <f>IF(E24=2,SUMIF(E31:E35,"&gt;0"),0)</f>
        <v>0</v>
      </c>
      <c r="G65" s="74">
        <f>IF(G24=2,SUMIF(G31:G35,"&gt;0"),0)</f>
        <v>0</v>
      </c>
      <c r="H65" s="70">
        <f>IF(H24=2,SUMIF(H31:H35,"&gt;0"),0)</f>
        <v>0</v>
      </c>
      <c r="J65" s="74">
        <f>IF(J24=2,SUMIF(J31:J35,"&gt;0"),0)</f>
        <v>0</v>
      </c>
      <c r="K65" s="70">
        <f>IF(K24=2,SUMIF(K31:K35,"&gt;0"),0)</f>
        <v>1</v>
      </c>
      <c r="M65" s="74">
        <f>IF(M24=2,SUMIF(M31:M35,"&gt;0"),0)</f>
        <v>0</v>
      </c>
      <c r="N65" s="70">
        <f>IF(N24=2,SUMIF(N31:N35,"&gt;0"),0)</f>
        <v>0</v>
      </c>
      <c r="P65" s="74">
        <f>IF(P24=2,SUMIF(P31:P35,"&gt;0"),0)</f>
        <v>0</v>
      </c>
      <c r="Q65" s="70">
        <f>IF(Q24=2,SUMIF(Q31:Q35,"&gt;0"),0)</f>
        <v>0</v>
      </c>
      <c r="S65" s="74">
        <f>IF(S24=2,SUMIF(S31:S35,"&gt;0"),0)</f>
        <v>0</v>
      </c>
      <c r="T65" s="70">
        <f>IF(T24=2,SUMIF(T31:T35,"&gt;0"),0)</f>
        <v>1</v>
      </c>
      <c r="V65" s="74">
        <f>IF(V24=2,SUMIF(V31:V35,"&gt;0"),0)</f>
        <v>0</v>
      </c>
      <c r="W65" s="70">
        <f>IF(W24=2,SUMIF(W31:W35,"&gt;0"),0)</f>
        <v>0</v>
      </c>
      <c r="Y65" s="74">
        <f>IF(Y24=2,SUMIF(Y31:Y35,"&gt;0"),0)</f>
        <v>0</v>
      </c>
      <c r="Z65" s="70">
        <f>IF(Z24=2,SUMIF(Z31:Z35,"&gt;0"),0)</f>
        <v>0</v>
      </c>
      <c r="AB65" s="74">
        <f>IF(AB24=2,SUMIF(AB31:AB35,"&gt;0"),0)</f>
        <v>0</v>
      </c>
      <c r="AC65" s="70">
        <f>IF(AC24=2,SUMIF(AC31:AC35,"&gt;0"),0)</f>
        <v>0</v>
      </c>
      <c r="AE65" s="74">
        <f>IF(AE24=2,SUMIF(AE31:AE35,"&gt;0"),0)</f>
        <v>0</v>
      </c>
      <c r="AF65" s="70">
        <f>SUM(B65:AE65)</f>
        <v>4</v>
      </c>
      <c r="AG65" s="70">
        <f>AF73-AF65</f>
        <v>4</v>
      </c>
      <c r="AW65" s="154"/>
    </row>
    <row r="66" spans="1:54" s="70" customFormat="1" ht="12.75" hidden="1" customHeight="1" x14ac:dyDescent="0.2">
      <c r="A66" s="70" t="s">
        <v>93</v>
      </c>
      <c r="B66" s="70">
        <f>IF(B24=3,SUMIF(B31:B35,"&gt;0"),0)</f>
        <v>0</v>
      </c>
      <c r="D66" s="74">
        <f>IF(D24=3,SUMIF(D31:D35,"&gt;0"),0)</f>
        <v>0</v>
      </c>
      <c r="E66" s="70">
        <f>IF(E24=3,SUMIF(E31:E35,"&gt;0"),0)</f>
        <v>0</v>
      </c>
      <c r="G66" s="74">
        <f>IF(G24=3,SUMIF(G31:G35,"&gt;0"),0)</f>
        <v>0</v>
      </c>
      <c r="H66" s="70">
        <f>IF(H24=3,SUMIF(H31:H35,"&gt;0"),0)</f>
        <v>2</v>
      </c>
      <c r="J66" s="74">
        <f>IF(J24=3,SUMIF(J31:J35,"&gt;0"),0)</f>
        <v>0</v>
      </c>
      <c r="K66" s="70">
        <f>IF(K24=3,SUMIF(K31:K35,"&gt;0"),0)</f>
        <v>0</v>
      </c>
      <c r="M66" s="74">
        <f>IF(M24=3,SUMIF(M31:M35,"&gt;0"),0)</f>
        <v>0</v>
      </c>
      <c r="N66" s="70">
        <f>IF(N24=3,SUMIF(N31:N35,"&gt;0"),0)</f>
        <v>0</v>
      </c>
      <c r="P66" s="74">
        <f>IF(P24=3,SUMIF(P31:P35,"&gt;0"),0)</f>
        <v>0</v>
      </c>
      <c r="Q66" s="70">
        <f>IF(Q24=3,SUMIF(Q31:Q35,"&gt;0"),0)</f>
        <v>0</v>
      </c>
      <c r="S66" s="74">
        <f>IF(S24=3,SUMIF(S31:S35,"&gt;0"),0)</f>
        <v>0</v>
      </c>
      <c r="T66" s="70">
        <f>IF(T24=3,SUMIF(T31:T35,"&gt;0"),0)</f>
        <v>0</v>
      </c>
      <c r="V66" s="74">
        <f>IF(V24=3,SUMIF(V31:V35,"&gt;0"),0)</f>
        <v>1</v>
      </c>
      <c r="W66" s="70">
        <f>IF(W24=3,SUMIF(W31:W35,"&gt;0"),0)</f>
        <v>0</v>
      </c>
      <c r="Y66" s="74">
        <f>IF(Y24=3,SUMIF(Y31:Y35,"&gt;0"),0)</f>
        <v>0</v>
      </c>
      <c r="Z66" s="70">
        <f>IF(Z24=3,SUMIF(Z31:Z35,"&gt;0"),0)</f>
        <v>2</v>
      </c>
      <c r="AB66" s="74">
        <f>IF(AB24=3,SUMIF(AB31:AB35,"&gt;0"),0)</f>
        <v>0</v>
      </c>
      <c r="AC66" s="70">
        <f>IF(AC24=3,SUMIF(AC31:AC35,"&gt;0"),0)</f>
        <v>0</v>
      </c>
      <c r="AE66" s="74">
        <f>IF(AE24=3,SUMIF(AE31:AE35,"&gt;0"),0)</f>
        <v>0</v>
      </c>
      <c r="AF66" s="70">
        <f>SUM(B66:AE66)</f>
        <v>5</v>
      </c>
      <c r="AG66" s="70">
        <f>AF74-AF66</f>
        <v>3</v>
      </c>
      <c r="AW66" s="154"/>
    </row>
    <row r="67" spans="1:54" s="70" customFormat="1" ht="12.75" hidden="1" customHeight="1" x14ac:dyDescent="0.2">
      <c r="A67" s="70" t="s">
        <v>94</v>
      </c>
      <c r="B67" s="70">
        <f>IF(B24=4,SUMIF(B31:B35,"&gt;0"),0)</f>
        <v>0</v>
      </c>
      <c r="D67" s="74">
        <f>IF(D24=4,SUMIF(D31:D35,"&gt;0"),0)</f>
        <v>0</v>
      </c>
      <c r="E67" s="70">
        <f>IF(E24=4,SUMIF(E31:E35,"&gt;0"),0)</f>
        <v>0</v>
      </c>
      <c r="G67" s="74">
        <f>IF(G24=4,SUMIF(G31:G35,"&gt;0"),0)</f>
        <v>0</v>
      </c>
      <c r="H67" s="70">
        <f>IF(H24=4,SUMIF(H31:H35,"&gt;0"),0)</f>
        <v>0</v>
      </c>
      <c r="J67" s="74">
        <f>IF(J24=4,SUMIF(J31:J35,"&gt;0"),0)</f>
        <v>0</v>
      </c>
      <c r="K67" s="70">
        <f>IF(K24=4,SUMIF(K31:K35,"&gt;0"),0)</f>
        <v>0</v>
      </c>
      <c r="M67" s="74">
        <f>IF(M24=4,SUMIF(M31:M35,"&gt;0"),0)</f>
        <v>1</v>
      </c>
      <c r="N67" s="70">
        <f>IF(N24=4,SUMIF(N31:N35,"&gt;0"),0)</f>
        <v>0</v>
      </c>
      <c r="P67" s="74">
        <f>IF(P24=4,SUMIF(P31:P35,"&gt;0"),0)</f>
        <v>0</v>
      </c>
      <c r="Q67" s="70">
        <f>IF(Q24=4,SUMIF(Q31:Q35,"&gt;0"),0)</f>
        <v>2</v>
      </c>
      <c r="S67" s="74">
        <f>IF(S24=4,SUMIF(S31:S35,"&gt;0"),0)</f>
        <v>0</v>
      </c>
      <c r="T67" s="70">
        <f>IF(T24=4,SUMIF(T31:T35,"&gt;0"),0)</f>
        <v>0</v>
      </c>
      <c r="V67" s="74">
        <f>IF(V24=4,SUMIF(V31:V35,"&gt;0"),0)</f>
        <v>0</v>
      </c>
      <c r="W67" s="70">
        <f>IF(W24=4,SUMIF(W31:W35,"&gt;0"),0)</f>
        <v>0</v>
      </c>
      <c r="Y67" s="74">
        <f>IF(Y24=4,SUMIF(Y31:Y35,"&gt;0"),0)</f>
        <v>0</v>
      </c>
      <c r="Z67" s="70">
        <f>IF(Z24=4,SUMIF(Z31:Z35,"&gt;0"),0)</f>
        <v>0</v>
      </c>
      <c r="AB67" s="74">
        <f>IF(AB24=4,SUMIF(AB31:AB35,"&gt;0"),0)</f>
        <v>0</v>
      </c>
      <c r="AC67" s="70">
        <f>IF(AC24=4,SUMIF(AC31:AC35,"&gt;0"),0)</f>
        <v>0</v>
      </c>
      <c r="AE67" s="74">
        <f>IF(AE24=4,SUMIF(AE31:AE35,"&gt;0"),0)</f>
        <v>0</v>
      </c>
      <c r="AF67" s="70">
        <f>SUM(B67:AE67)</f>
        <v>3</v>
      </c>
      <c r="AG67" s="70">
        <f>AF75-AF67</f>
        <v>5</v>
      </c>
      <c r="AW67" s="154"/>
    </row>
    <row r="68" spans="1:54" s="70" customFormat="1" ht="12.75" hidden="1" customHeight="1" x14ac:dyDescent="0.2">
      <c r="A68" s="70" t="s">
        <v>95</v>
      </c>
      <c r="B68" s="70">
        <f>IF(B24=5,SUMIF(B31:B35,"&gt;0"),0)</f>
        <v>0</v>
      </c>
      <c r="D68" s="74">
        <f>IF(D24=5,SUMIF(D31:D35,"&gt;0"),0)</f>
        <v>0</v>
      </c>
      <c r="E68" s="70">
        <f>IF(E24=5,SUMIF(E31:E35,"&gt;0"),0)</f>
        <v>0</v>
      </c>
      <c r="G68" s="74">
        <f>IF(G24=5,SUMIF(G31:G35,"&gt;0"),0)</f>
        <v>0</v>
      </c>
      <c r="H68" s="70">
        <f>IF(H24=5,SUMIF(H31:H35,"&gt;0"),0)</f>
        <v>0</v>
      </c>
      <c r="J68" s="74">
        <f>IF(J24=5,SUMIF(J31:J35,"&gt;0"),0)</f>
        <v>0</v>
      </c>
      <c r="K68" s="70">
        <f>IF(K24=5,SUMIF(K31:K35,"&gt;0"),0)</f>
        <v>0</v>
      </c>
      <c r="M68" s="74">
        <f>IF(M24=5,SUMIF(M31:M35,"&gt;0"),0)</f>
        <v>0</v>
      </c>
      <c r="N68" s="70">
        <f>IF(N24=5,SUMIF(N31:N35,"&gt;0"),0)</f>
        <v>0</v>
      </c>
      <c r="P68" s="74">
        <f>IF(P24=5,SUMIF(P31:P35,"&gt;0"),0)</f>
        <v>0</v>
      </c>
      <c r="Q68" s="70">
        <f>IF(Q24=5,SUMIF(Q31:Q35,"&gt;0"),0)</f>
        <v>0</v>
      </c>
      <c r="S68" s="74">
        <f>IF(S24=5,SUMIF(S31:S35,"&gt;0"),0)</f>
        <v>0</v>
      </c>
      <c r="T68" s="70">
        <f>IF(T24=5,SUMIF(T31:T35,"&gt;0"),0)</f>
        <v>0</v>
      </c>
      <c r="V68" s="74">
        <f>IF(V24=5,SUMIF(V31:V35,"&gt;0"),0)</f>
        <v>0</v>
      </c>
      <c r="W68" s="70">
        <f>IF(W24=5,SUMIF(W31:W35,"&gt;0"),0)</f>
        <v>0</v>
      </c>
      <c r="Y68" s="74">
        <f>IF(Y24=5,SUMIF(Y31:Y35,"&gt;0"),0)</f>
        <v>0</v>
      </c>
      <c r="Z68" s="70">
        <f>IF(Z24=5,SUMIF(Z31:Z35,"&gt;0"),0)</f>
        <v>0</v>
      </c>
      <c r="AB68" s="74">
        <f>IF(AB24=5,SUMIF(AB31:AB35,"&gt;0"),0)</f>
        <v>0</v>
      </c>
      <c r="AC68" s="70">
        <f>IF(AC24=5,SUMIF(AC31:AC35,"&gt;0"),0)</f>
        <v>0</v>
      </c>
      <c r="AE68" s="74">
        <f>IF(AE24=5,SUMIF(AE31:AE35,"&gt;0"),0)</f>
        <v>0</v>
      </c>
      <c r="AF68" s="70">
        <f>SUM(B68:AE68)</f>
        <v>0</v>
      </c>
      <c r="AG68" s="70">
        <f>AF76-AF68</f>
        <v>8</v>
      </c>
      <c r="AW68" s="154"/>
    </row>
    <row r="69" spans="1:54" s="70" customFormat="1" ht="12.75" hidden="1" customHeight="1" x14ac:dyDescent="0.2">
      <c r="D69" s="74"/>
      <c r="G69" s="74"/>
      <c r="J69" s="74"/>
      <c r="M69" s="74"/>
      <c r="P69" s="74"/>
      <c r="S69" s="74"/>
      <c r="V69" s="74"/>
      <c r="Y69" s="74"/>
      <c r="AB69" s="74"/>
      <c r="AE69" s="74"/>
      <c r="AW69" s="154"/>
    </row>
    <row r="70" spans="1:54" s="70" customFormat="1" ht="12.75" hidden="1" customHeight="1" x14ac:dyDescent="0.2">
      <c r="D70" s="74"/>
      <c r="G70" s="74"/>
      <c r="J70" s="74"/>
      <c r="M70" s="74"/>
      <c r="P70" s="74"/>
      <c r="S70" s="74"/>
      <c r="V70" s="74"/>
      <c r="Y70" s="74"/>
      <c r="AB70" s="74"/>
      <c r="AE70" s="74"/>
      <c r="AW70" s="154"/>
    </row>
    <row r="71" spans="1:54" s="70" customFormat="1" ht="51" hidden="1" customHeight="1" x14ac:dyDescent="0.2">
      <c r="A71" s="73" t="s">
        <v>106</v>
      </c>
      <c r="C71" s="70">
        <f>SUMIF(B64:D68,"&gt;0")</f>
        <v>2</v>
      </c>
      <c r="D71" s="74"/>
      <c r="F71" s="70">
        <f>SUMIF(E64:G68,"&gt;0")</f>
        <v>2</v>
      </c>
      <c r="G71" s="74"/>
      <c r="I71" s="70">
        <f>SUMIF(H64:J68,"&gt;0")</f>
        <v>2</v>
      </c>
      <c r="J71" s="74"/>
      <c r="L71" s="70">
        <f>SUMIF(K64:M68,"&gt;0")</f>
        <v>2</v>
      </c>
      <c r="M71" s="74"/>
      <c r="O71" s="70">
        <f>SUMIF(N64:P68,"&gt;0")</f>
        <v>2</v>
      </c>
      <c r="P71" s="74"/>
      <c r="R71" s="70">
        <f>SUMIF(Q64:S68,"&gt;0")</f>
        <v>2</v>
      </c>
      <c r="S71" s="74"/>
      <c r="U71" s="70">
        <f>SUMIF(T64:V68,"&gt;0")</f>
        <v>2</v>
      </c>
      <c r="V71" s="74"/>
      <c r="X71" s="70">
        <f>SUMIF(W64:Y68,"&gt;0")</f>
        <v>2</v>
      </c>
      <c r="Y71" s="74"/>
      <c r="AA71" s="70">
        <f>SUMIF(Z64:AB68,"&gt;0")</f>
        <v>2</v>
      </c>
      <c r="AB71" s="74"/>
      <c r="AD71" s="70">
        <f>SUMIF(AC64:AE68,"&gt;0")</f>
        <v>2</v>
      </c>
      <c r="AE71" s="74"/>
      <c r="AF71" s="73" t="s">
        <v>107</v>
      </c>
      <c r="AW71" s="154"/>
    </row>
    <row r="72" spans="1:54" s="70" customFormat="1" ht="12.75" hidden="1" customHeight="1" x14ac:dyDescent="0.2">
      <c r="A72" s="70" t="s">
        <v>97</v>
      </c>
      <c r="B72" s="70">
        <f>IF(B24=1,C71,0)</f>
        <v>0</v>
      </c>
      <c r="D72" s="74">
        <f>IF(D24=1,C71,0)</f>
        <v>0</v>
      </c>
      <c r="E72" s="70">
        <f>IF(E24=1,F71,0)</f>
        <v>2</v>
      </c>
      <c r="G72" s="74">
        <f>IF(G24=1,F71,0)</f>
        <v>0</v>
      </c>
      <c r="H72" s="70">
        <f>IF(H24=1,I71,0)</f>
        <v>0</v>
      </c>
      <c r="J72" s="74">
        <f>IF(J24=1,I71,0)</f>
        <v>0</v>
      </c>
      <c r="K72" s="70">
        <f>IF(K24=1,L71,0)</f>
        <v>0</v>
      </c>
      <c r="M72" s="74">
        <f>IF(M24=1,L71,0)</f>
        <v>0</v>
      </c>
      <c r="N72" s="70">
        <f>IF(N24=1,O71,0)</f>
        <v>2</v>
      </c>
      <c r="P72" s="74">
        <f>IF(P24=1,O71,0)</f>
        <v>0</v>
      </c>
      <c r="Q72" s="70">
        <f>IF(Q24=1,R71,0)</f>
        <v>0</v>
      </c>
      <c r="S72" s="74">
        <f>IF(S24=1,R71,0)</f>
        <v>0</v>
      </c>
      <c r="T72" s="70">
        <f>IF(T24=1,U71,0)</f>
        <v>0</v>
      </c>
      <c r="V72" s="74">
        <f>IF(V24=1,U71,0)</f>
        <v>0</v>
      </c>
      <c r="W72" s="70">
        <f>IF(W24=1,X71,0)</f>
        <v>2</v>
      </c>
      <c r="Y72" s="74">
        <f>IF(Y24=1,X71,0)</f>
        <v>0</v>
      </c>
      <c r="Z72" s="70">
        <f>IF(Z24=1,AA71,0)</f>
        <v>0</v>
      </c>
      <c r="AB72" s="74">
        <f>IF(AB24=1,AA71,0)</f>
        <v>0</v>
      </c>
      <c r="AC72" s="70">
        <f>IF(AC24=1,AD71,0)</f>
        <v>2</v>
      </c>
      <c r="AE72" s="74">
        <f>IF(AE24=1,AD71,0)</f>
        <v>0</v>
      </c>
      <c r="AF72" s="70">
        <f>SUM(B72:AE72)</f>
        <v>8</v>
      </c>
      <c r="AW72" s="154"/>
    </row>
    <row r="73" spans="1:54" s="70" customFormat="1" ht="12.75" hidden="1" customHeight="1" x14ac:dyDescent="0.2">
      <c r="A73" s="70" t="s">
        <v>98</v>
      </c>
      <c r="B73" s="70">
        <f>IF(B24=2,C71,0)</f>
        <v>2</v>
      </c>
      <c r="D73" s="74">
        <f>IF(D24=2,C71,0)</f>
        <v>0</v>
      </c>
      <c r="E73" s="70">
        <f>IF(E24=2,F71,0)</f>
        <v>0</v>
      </c>
      <c r="G73" s="74">
        <f>IF(G24=2,F71,0)</f>
        <v>0</v>
      </c>
      <c r="H73" s="70">
        <f>IF(H24=2,I71,0)</f>
        <v>0</v>
      </c>
      <c r="J73" s="74">
        <f>IF(J24=2,I71,0)</f>
        <v>0</v>
      </c>
      <c r="K73" s="70">
        <f>IF(K24=2,L71,0)</f>
        <v>2</v>
      </c>
      <c r="M73" s="74">
        <f>IF(M24=2,L71,0)</f>
        <v>0</v>
      </c>
      <c r="N73" s="70">
        <f>IF(N24=2,O71,0)</f>
        <v>0</v>
      </c>
      <c r="P73" s="74">
        <f>IF(P24=2,O71,0)</f>
        <v>0</v>
      </c>
      <c r="Q73" s="70">
        <f>IF(Q24=2,R71,0)</f>
        <v>0</v>
      </c>
      <c r="S73" s="74">
        <f>IF(S24=2,R71,0)</f>
        <v>0</v>
      </c>
      <c r="T73" s="70">
        <f>IF(T24=2,U71,0)</f>
        <v>2</v>
      </c>
      <c r="V73" s="74">
        <f>IF(V24=2,U71,0)</f>
        <v>0</v>
      </c>
      <c r="W73" s="70">
        <f>IF(W24=2,X71,0)</f>
        <v>0</v>
      </c>
      <c r="Y73" s="74">
        <f>IF(Y24=2,X71,0)</f>
        <v>0</v>
      </c>
      <c r="Z73" s="70">
        <f>IF(Z24=2,AA71,0)</f>
        <v>0</v>
      </c>
      <c r="AB73" s="74">
        <f>IF(AB24=2,AA71,0)</f>
        <v>0</v>
      </c>
      <c r="AC73" s="70">
        <f>IF(AC24=2,AD71,0)</f>
        <v>0</v>
      </c>
      <c r="AE73" s="74">
        <f>IF(AE24=2,AD71,0)</f>
        <v>2</v>
      </c>
      <c r="AF73" s="70">
        <f>SUM(B73:AE73)</f>
        <v>8</v>
      </c>
      <c r="AW73" s="154"/>
    </row>
    <row r="74" spans="1:54" s="70" customFormat="1" ht="12.75" hidden="1" customHeight="1" x14ac:dyDescent="0.2">
      <c r="A74" s="70" t="s">
        <v>99</v>
      </c>
      <c r="B74" s="70">
        <f>IF(B24=3,C71,0)</f>
        <v>0</v>
      </c>
      <c r="D74" s="74">
        <f>IF(D24=3,C71,0)</f>
        <v>0</v>
      </c>
      <c r="E74" s="70">
        <f>IF(E24=3,F71,0)</f>
        <v>0</v>
      </c>
      <c r="G74" s="74">
        <f>IF(G24=3,F71,0)</f>
        <v>0</v>
      </c>
      <c r="H74" s="70">
        <f>IF(H24=3,I71,0)</f>
        <v>2</v>
      </c>
      <c r="J74" s="74">
        <f>IF(J24=3,I71,0)</f>
        <v>0</v>
      </c>
      <c r="K74" s="70">
        <f>IF(K24=3,L71,0)</f>
        <v>0</v>
      </c>
      <c r="M74" s="74">
        <f>IF(M24=3,L71,0)</f>
        <v>0</v>
      </c>
      <c r="N74" s="70">
        <f>IF(N24=3,O71,0)</f>
        <v>0</v>
      </c>
      <c r="P74" s="74">
        <f>IF(P24=3,O71,0)</f>
        <v>2</v>
      </c>
      <c r="Q74" s="70">
        <f>IF(Q24=3,R71,0)</f>
        <v>0</v>
      </c>
      <c r="S74" s="74">
        <f>IF(S24=3,R71,0)</f>
        <v>0</v>
      </c>
      <c r="T74" s="70">
        <f>IF(T24=3,U71,0)</f>
        <v>0</v>
      </c>
      <c r="V74" s="74">
        <f>IF(V24=3,U71,0)</f>
        <v>2</v>
      </c>
      <c r="W74" s="70">
        <f>IF(W24=3,X71,0)</f>
        <v>0</v>
      </c>
      <c r="Y74" s="74">
        <f>IF(Y24=3,X71,0)</f>
        <v>0</v>
      </c>
      <c r="Z74" s="70">
        <f>IF(Z24=3,AA71,0)</f>
        <v>2</v>
      </c>
      <c r="AB74" s="74">
        <f>IF(AB24=3,AA71,0)</f>
        <v>0</v>
      </c>
      <c r="AC74" s="70">
        <f>IF(AC24=3,AD71,0)</f>
        <v>0</v>
      </c>
      <c r="AE74" s="74">
        <f>IF(AE24=3,AD71,0)</f>
        <v>0</v>
      </c>
      <c r="AF74" s="70">
        <f>SUM(B74:AE74)</f>
        <v>8</v>
      </c>
      <c r="AW74" s="154"/>
    </row>
    <row r="75" spans="1:54" s="70" customFormat="1" ht="12.75" hidden="1" customHeight="1" x14ac:dyDescent="0.2">
      <c r="A75" s="70" t="s">
        <v>100</v>
      </c>
      <c r="B75" s="70">
        <f>IF(B24=4,C71,0)</f>
        <v>0</v>
      </c>
      <c r="D75" s="74">
        <f>IF(D24=4,C71,0)</f>
        <v>0</v>
      </c>
      <c r="E75" s="70">
        <f>IF(E24=4,F71,0)</f>
        <v>0</v>
      </c>
      <c r="G75" s="74">
        <f>IF(G24=4,F71,0)</f>
        <v>2</v>
      </c>
      <c r="H75" s="70">
        <f>IF(H24=4,I71,0)</f>
        <v>0</v>
      </c>
      <c r="J75" s="74">
        <f>IF(J24=4,I71,0)</f>
        <v>0</v>
      </c>
      <c r="K75" s="70">
        <f>IF(K24=4,L71,0)</f>
        <v>0</v>
      </c>
      <c r="M75" s="74">
        <f>IF(M24=4,L71,0)</f>
        <v>2</v>
      </c>
      <c r="N75" s="70">
        <f>IF(N24=4,O71,0)</f>
        <v>0</v>
      </c>
      <c r="P75" s="74">
        <f>IF(P24=4,O71,0)</f>
        <v>0</v>
      </c>
      <c r="Q75" s="70">
        <f>IF(Q24=4,R71,0)</f>
        <v>2</v>
      </c>
      <c r="S75" s="74">
        <f>IF(S24=4,R71,0)</f>
        <v>0</v>
      </c>
      <c r="T75" s="70">
        <f>IF(T24=4,U71,0)</f>
        <v>0</v>
      </c>
      <c r="V75" s="74">
        <f>IF(V24=4,U71,0)</f>
        <v>0</v>
      </c>
      <c r="W75" s="70">
        <f>IF(W24=4,X71,0)</f>
        <v>0</v>
      </c>
      <c r="Y75" s="74">
        <f>IF(Y24=4,X71,0)</f>
        <v>0</v>
      </c>
      <c r="Z75" s="70">
        <f>IF(Z24=4,AA71,0)</f>
        <v>0</v>
      </c>
      <c r="AB75" s="74">
        <f>IF(AB24=4,AA71,0)</f>
        <v>2</v>
      </c>
      <c r="AC75" s="70">
        <f>IF(AC24=4,AD71,0)</f>
        <v>0</v>
      </c>
      <c r="AE75" s="74">
        <f>IF(AE24=4,AD71,0)</f>
        <v>0</v>
      </c>
      <c r="AF75" s="70">
        <f>SUM(B75:AE75)</f>
        <v>8</v>
      </c>
      <c r="AW75" s="154"/>
    </row>
    <row r="76" spans="1:54" s="70" customFormat="1" ht="12.75" hidden="1" customHeight="1" x14ac:dyDescent="0.2">
      <c r="A76" s="70" t="s">
        <v>101</v>
      </c>
      <c r="B76" s="70">
        <f>IF(B24=5,C71,0)</f>
        <v>0</v>
      </c>
      <c r="D76" s="74">
        <f>IF(D24=5,C71,0)</f>
        <v>2</v>
      </c>
      <c r="E76" s="70">
        <f>IF(E24=5,F71,0)</f>
        <v>0</v>
      </c>
      <c r="G76" s="74">
        <f>IF(G24=5,F71,0)</f>
        <v>0</v>
      </c>
      <c r="H76" s="70">
        <f>IF(H24=5,I71,0)</f>
        <v>0</v>
      </c>
      <c r="J76" s="74">
        <f>IF(J24=5,I71,0)</f>
        <v>2</v>
      </c>
      <c r="K76" s="70">
        <f>IF(K24=5,L71,0)</f>
        <v>0</v>
      </c>
      <c r="M76" s="74">
        <f>IF(M24=5,L71,0)</f>
        <v>0</v>
      </c>
      <c r="N76" s="70">
        <f>IF(N24=5,O71,0)</f>
        <v>0</v>
      </c>
      <c r="P76" s="74">
        <f>IF(P24=5,O71,0)</f>
        <v>0</v>
      </c>
      <c r="Q76" s="70">
        <f>IF(Q24=5,R71,0)</f>
        <v>0</v>
      </c>
      <c r="S76" s="74">
        <f>IF(S24=5,R71,0)</f>
        <v>2</v>
      </c>
      <c r="T76" s="70">
        <f>IF(T24=5,U71,0)</f>
        <v>0</v>
      </c>
      <c r="V76" s="74">
        <f>IF(V24=5,U71,0)</f>
        <v>0</v>
      </c>
      <c r="W76" s="70">
        <f>IF(W24=5,X71,0)</f>
        <v>0</v>
      </c>
      <c r="Y76" s="74">
        <f>IF(Y24=5,X71,0)</f>
        <v>2</v>
      </c>
      <c r="Z76" s="70">
        <f>IF(Z24=5,AA71,0)</f>
        <v>0</v>
      </c>
      <c r="AB76" s="74">
        <f>IF(AB24=5,AA71,0)</f>
        <v>0</v>
      </c>
      <c r="AC76" s="70">
        <f>IF(AC24=5,AD71,0)</f>
        <v>0</v>
      </c>
      <c r="AE76" s="74">
        <f>IF(AE24=5,AD71,0)</f>
        <v>0</v>
      </c>
      <c r="AF76" s="70">
        <f>SUM(B76:AE76)</f>
        <v>8</v>
      </c>
      <c r="AT76" s="77"/>
      <c r="AU76" s="77"/>
      <c r="AV76" s="77"/>
      <c r="AW76" s="154"/>
    </row>
    <row r="77" spans="1:54" hidden="1" x14ac:dyDescent="0.2">
      <c r="A77" s="95"/>
      <c r="B77" s="95"/>
      <c r="C77" s="95"/>
      <c r="D77" s="95"/>
      <c r="E77" s="95"/>
      <c r="F77" s="95"/>
      <c r="G77" s="95"/>
      <c r="H77" s="95"/>
      <c r="I77" s="95"/>
      <c r="J77" s="95"/>
      <c r="K77" s="95"/>
      <c r="L77" s="95"/>
      <c r="M77" s="95"/>
      <c r="N77" s="95"/>
      <c r="O77" s="95"/>
      <c r="P77" s="95"/>
      <c r="Q77" s="95"/>
      <c r="R77" s="95"/>
      <c r="S77" s="95"/>
      <c r="T77" s="95"/>
      <c r="U77" s="95"/>
      <c r="V77" s="95"/>
      <c r="W77" s="95"/>
      <c r="X77" s="95"/>
      <c r="Y77" s="95"/>
      <c r="Z77" s="95"/>
      <c r="AA77" s="95"/>
      <c r="AB77" s="95"/>
      <c r="AC77" s="95"/>
      <c r="AD77" s="95"/>
      <c r="AE77" s="95"/>
      <c r="AF77" s="95"/>
      <c r="AG77" s="95"/>
      <c r="AH77" s="95"/>
      <c r="AI77" s="95"/>
      <c r="AJ77" s="95"/>
      <c r="AK77" s="95"/>
      <c r="AL77" s="95"/>
      <c r="AM77" s="95"/>
      <c r="AN77" s="96"/>
      <c r="AO77" s="96"/>
      <c r="AP77" s="96"/>
      <c r="AQ77" s="96"/>
      <c r="AR77" s="77"/>
      <c r="AS77" s="77"/>
      <c r="AT77" s="77"/>
      <c r="AU77" s="77"/>
      <c r="AV77" s="77"/>
      <c r="BB77" s="156"/>
    </row>
    <row r="78" spans="1:54" s="77" customFormat="1" hidden="1" x14ac:dyDescent="0.2">
      <c r="A78" s="79"/>
      <c r="B78" s="79"/>
      <c r="C78" s="79" t="s">
        <v>108</v>
      </c>
      <c r="D78" s="79">
        <v>1</v>
      </c>
      <c r="E78" s="79"/>
      <c r="F78" s="79"/>
      <c r="G78" s="79">
        <v>2</v>
      </c>
      <c r="H78" s="79"/>
      <c r="I78" s="79"/>
      <c r="J78" s="79">
        <v>3</v>
      </c>
      <c r="K78" s="79"/>
      <c r="L78" s="79"/>
      <c r="M78" s="79">
        <v>4</v>
      </c>
      <c r="N78" s="79"/>
      <c r="O78" s="79"/>
      <c r="P78" s="79">
        <v>5</v>
      </c>
      <c r="Q78" s="79"/>
      <c r="R78" s="79"/>
      <c r="S78" s="79">
        <v>6</v>
      </c>
      <c r="T78" s="79"/>
      <c r="U78" s="79"/>
      <c r="V78" s="79">
        <v>7</v>
      </c>
      <c r="W78" s="79"/>
      <c r="X78" s="79"/>
      <c r="Y78" s="79">
        <v>8</v>
      </c>
      <c r="Z78" s="79"/>
      <c r="AA78" s="79"/>
      <c r="AB78" s="79">
        <v>9</v>
      </c>
      <c r="AC78" s="79"/>
      <c r="AD78" s="79"/>
      <c r="AE78" s="79">
        <v>10</v>
      </c>
      <c r="AF78" s="4"/>
      <c r="AG78" s="79"/>
      <c r="AI78" s="80"/>
      <c r="AJ78" s="4"/>
      <c r="AK78" s="4"/>
      <c r="AL78" s="4"/>
      <c r="AM78" s="4"/>
      <c r="AN78" s="4"/>
      <c r="AO78" s="4"/>
      <c r="AT78" s="80" t="s">
        <v>109</v>
      </c>
      <c r="AW78" s="81"/>
      <c r="BB78" s="81"/>
    </row>
    <row r="79" spans="1:54" s="77" customFormat="1" hidden="1" x14ac:dyDescent="0.2">
      <c r="A79" s="82">
        <v>1</v>
      </c>
      <c r="B79" s="82" t="str">
        <f>E8</f>
        <v>SC Midlands 14 National</v>
      </c>
      <c r="C79" s="82">
        <f>VLOOKUP(B79,AU$3:BB$33,3,FALSE)</f>
        <v>2278.9585369408887</v>
      </c>
      <c r="D79" s="82">
        <f>IF(B72,B87,IF(D72,D87,C79))</f>
        <v>2278.9585369408887</v>
      </c>
      <c r="E79" s="82"/>
      <c r="F79" s="82"/>
      <c r="G79" s="82">
        <f>IF(E72,E87,IF(G72,G87,D79))</f>
        <v>2291.2707915650885</v>
      </c>
      <c r="H79" s="82"/>
      <c r="I79" s="82"/>
      <c r="J79" s="82">
        <f>IF(H72,H87,IF(J72,J87,G79))</f>
        <v>2291.2707915650885</v>
      </c>
      <c r="K79" s="82"/>
      <c r="L79" s="82"/>
      <c r="M79" s="82">
        <f>IF(K72,K87,IF(M72,M87,J79))</f>
        <v>2291.2707915650885</v>
      </c>
      <c r="N79" s="82"/>
      <c r="O79" s="82"/>
      <c r="P79" s="82">
        <f>IF(N72,N87,IF(P72,P87,M79))</f>
        <v>2310.5757549271548</v>
      </c>
      <c r="Q79" s="82"/>
      <c r="R79" s="82"/>
      <c r="S79" s="82">
        <f>IF(Q72,Q87,IF(S72,S87,P79))</f>
        <v>2310.5757549271548</v>
      </c>
      <c r="T79" s="82"/>
      <c r="U79" s="82"/>
      <c r="V79" s="82">
        <f>IF(T72,T87,IF(V72,V87,S79))</f>
        <v>2310.5757549271548</v>
      </c>
      <c r="W79" s="82"/>
      <c r="X79" s="82"/>
      <c r="Y79" s="82">
        <f>IF(W72,W87,IF(Y72,Y87,V79))</f>
        <v>2314.5234304274304</v>
      </c>
      <c r="Z79" s="82"/>
      <c r="AA79" s="82"/>
      <c r="AB79" s="82">
        <f>IF(Z72,Z87,IF(AB72,AB87,Y79))</f>
        <v>2314.5234304274304</v>
      </c>
      <c r="AC79" s="82"/>
      <c r="AD79" s="82"/>
      <c r="AE79" s="82">
        <f>IF(AC72,AC87,IF(AE72,AE87,AB79))</f>
        <v>2333.3158352174805</v>
      </c>
      <c r="AF79" s="4"/>
      <c r="AG79" s="4"/>
      <c r="AJ79" s="4"/>
      <c r="AK79" s="4"/>
      <c r="AL79" s="4"/>
      <c r="AM79" s="4"/>
      <c r="AN79" s="4"/>
      <c r="AO79" s="4"/>
      <c r="AT79" s="77" t="str">
        <f>B79</f>
        <v>SC Midlands 14 National</v>
      </c>
      <c r="AU79" s="77">
        <f>AE79</f>
        <v>2333.3158352174805</v>
      </c>
      <c r="AW79" s="81"/>
      <c r="BB79" s="81"/>
    </row>
    <row r="80" spans="1:54" s="77" customFormat="1" hidden="1" x14ac:dyDescent="0.2">
      <c r="A80" s="82">
        <v>2</v>
      </c>
      <c r="B80" s="82" t="str">
        <f>E10</f>
        <v>C1VB 14 Power Grvl</v>
      </c>
      <c r="C80" s="82">
        <f>VLOOKUP(B80,AU$3:BB$33,3,FALSE)</f>
        <v>2169.631559284067</v>
      </c>
      <c r="D80" s="82">
        <f>IF(B73,B87,IF(D73,D87,C80))</f>
        <v>2179.5952449236461</v>
      </c>
      <c r="E80" s="82"/>
      <c r="F80" s="82"/>
      <c r="G80" s="82">
        <f>IF(E73,E87,IF(G73,G87,D80))</f>
        <v>2179.5952449236461</v>
      </c>
      <c r="H80" s="82"/>
      <c r="I80" s="82"/>
      <c r="J80" s="82">
        <f>IF(H73,H87,IF(J73,J87,G80))</f>
        <v>2179.5952449236461</v>
      </c>
      <c r="K80" s="82"/>
      <c r="L80" s="82"/>
      <c r="M80" s="82">
        <f>IF(K73,K87,IF(M73,M87,J80))</f>
        <v>2165.6567624804338</v>
      </c>
      <c r="N80" s="82"/>
      <c r="O80" s="82"/>
      <c r="P80" s="82">
        <f>IF(N73,N87,IF(P73,P87,M80))</f>
        <v>2165.6567624804338</v>
      </c>
      <c r="Q80" s="82"/>
      <c r="R80" s="82"/>
      <c r="S80" s="82">
        <f>IF(Q73,Q87,IF(S73,S87,P80))</f>
        <v>2165.6567624804338</v>
      </c>
      <c r="T80" s="82"/>
      <c r="U80" s="82"/>
      <c r="V80" s="82">
        <f>IF(T73,T87,IF(V73,V87,S80))</f>
        <v>2162.0318116230619</v>
      </c>
      <c r="W80" s="82"/>
      <c r="X80" s="82"/>
      <c r="Y80" s="82">
        <f>IF(W73,W87,IF(Y73,Y87,V80))</f>
        <v>2162.0318116230619</v>
      </c>
      <c r="Z80" s="82"/>
      <c r="AA80" s="82"/>
      <c r="AB80" s="82">
        <f>IF(Z73,Z87,IF(AB73,AB87,Y80))</f>
        <v>2162.0318116230619</v>
      </c>
      <c r="AC80" s="82"/>
      <c r="AD80" s="82"/>
      <c r="AE80" s="82">
        <f>IF(AC73,AC87,IF(AE73,AE87,AB80))</f>
        <v>2143.2394068330118</v>
      </c>
      <c r="AF80" s="4"/>
      <c r="AG80" s="4"/>
      <c r="AJ80" s="4"/>
      <c r="AL80" s="4"/>
      <c r="AM80" s="4"/>
      <c r="AN80" s="4"/>
      <c r="AO80" s="4"/>
      <c r="AT80" s="77" t="str">
        <f>B80</f>
        <v>C1VB 14 Power Grvl</v>
      </c>
      <c r="AU80" s="77">
        <f>AE80</f>
        <v>2143.2394068330118</v>
      </c>
      <c r="AW80" s="81"/>
      <c r="BB80" s="81"/>
    </row>
    <row r="81" spans="1:54" s="77" customFormat="1" hidden="1" x14ac:dyDescent="0.2">
      <c r="A81" s="82">
        <v>3</v>
      </c>
      <c r="B81" s="82" t="str">
        <f>E12</f>
        <v>Kershaw 14 Black</v>
      </c>
      <c r="C81" s="82">
        <f>VLOOKUP(B81,AU$3:BB$33,3,FALSE)</f>
        <v>2134.1731065083045</v>
      </c>
      <c r="D81" s="82">
        <f>IF(B74,B87,IF(D74,D87,C81))</f>
        <v>2134.1731065083045</v>
      </c>
      <c r="E81" s="82"/>
      <c r="F81" s="82"/>
      <c r="G81" s="82">
        <f>IF(E74,E87,IF(G74,G87,D81))</f>
        <v>2134.1731065083045</v>
      </c>
      <c r="H81" s="82"/>
      <c r="I81" s="82"/>
      <c r="J81" s="82">
        <f>IF(H74,H87,IF(J74,J87,G81))</f>
        <v>2145.4346652115364</v>
      </c>
      <c r="K81" s="82"/>
      <c r="L81" s="82"/>
      <c r="M81" s="82">
        <f>IF(K74,K87,IF(M74,M87,J81))</f>
        <v>2145.4346652115364</v>
      </c>
      <c r="N81" s="82"/>
      <c r="O81" s="82"/>
      <c r="P81" s="82">
        <f>IF(N74,N87,IF(P74,P87,M81))</f>
        <v>2126.1297018494702</v>
      </c>
      <c r="Q81" s="82"/>
      <c r="R81" s="82"/>
      <c r="S81" s="82">
        <f>IF(Q74,Q87,IF(S74,S87,P81))</f>
        <v>2126.1297018494702</v>
      </c>
      <c r="T81" s="82"/>
      <c r="U81" s="82"/>
      <c r="V81" s="82">
        <f>IF(T74,T87,IF(V74,V87,S81))</f>
        <v>2129.7546527068421</v>
      </c>
      <c r="W81" s="82"/>
      <c r="X81" s="82"/>
      <c r="Y81" s="82">
        <f>IF(W74,W87,IF(Y74,Y87,V81))</f>
        <v>2129.7546527068421</v>
      </c>
      <c r="Z81" s="82"/>
      <c r="AA81" s="82"/>
      <c r="AB81" s="82">
        <f>IF(Z74,Z87,IF(AB74,AB87,Y81))</f>
        <v>2154.3925152218153</v>
      </c>
      <c r="AC81" s="82"/>
      <c r="AD81" s="82"/>
      <c r="AE81" s="82">
        <f>IF(AC74,AC87,IF(AE74,AE87,AB81))</f>
        <v>2154.3925152218153</v>
      </c>
      <c r="AF81" s="4"/>
      <c r="AG81" s="4"/>
      <c r="AJ81" s="4"/>
      <c r="AL81" s="4"/>
      <c r="AM81" s="4"/>
      <c r="AN81" s="4"/>
      <c r="AO81" s="4"/>
      <c r="AT81" s="77" t="str">
        <f>B81</f>
        <v>Kershaw 14 Black</v>
      </c>
      <c r="AU81" s="77">
        <f>AE81</f>
        <v>2154.3925152218153</v>
      </c>
      <c r="AW81" s="81"/>
      <c r="BB81" s="81"/>
    </row>
    <row r="82" spans="1:54" s="77" customFormat="1" hidden="1" x14ac:dyDescent="0.2">
      <c r="A82" s="82">
        <v>4</v>
      </c>
      <c r="B82" s="82" t="str">
        <f>E14</f>
        <v>SC Midlands 14 Perf</v>
      </c>
      <c r="C82" s="82">
        <f>VLOOKUP(B82,AU$3:BB$33,3,FALSE)</f>
        <v>2029.7385368406767</v>
      </c>
      <c r="D82" s="82">
        <f>IF(B75,B87,IF(D75,D87,C82))</f>
        <v>2029.7385368406767</v>
      </c>
      <c r="E82" s="82"/>
      <c r="F82" s="82"/>
      <c r="G82" s="82">
        <f>IF(E75,E87,IF(G75,G87,D82))</f>
        <v>2017.4262822164767</v>
      </c>
      <c r="H82" s="82"/>
      <c r="I82" s="82"/>
      <c r="J82" s="82">
        <f>IF(H75,H87,IF(J75,J87,G82))</f>
        <v>2017.4262822164767</v>
      </c>
      <c r="K82" s="82"/>
      <c r="L82" s="82"/>
      <c r="M82" s="82">
        <f>IF(K75,K87,IF(M75,M87,J82))</f>
        <v>2031.3647646596889</v>
      </c>
      <c r="N82" s="82"/>
      <c r="O82" s="82"/>
      <c r="P82" s="82">
        <f>IF(N75,N87,IF(P75,P87,M82))</f>
        <v>2031.3647646596889</v>
      </c>
      <c r="Q82" s="82"/>
      <c r="R82" s="82"/>
      <c r="S82" s="82">
        <f>IF(Q75,Q87,IF(S75,S87,P82))</f>
        <v>2048.3643941083155</v>
      </c>
      <c r="T82" s="82"/>
      <c r="U82" s="82"/>
      <c r="V82" s="82">
        <f>IF(T75,T87,IF(V75,V87,S82))</f>
        <v>2048.3643941083155</v>
      </c>
      <c r="W82" s="82"/>
      <c r="X82" s="82"/>
      <c r="Y82" s="82">
        <f>IF(W75,W87,IF(Y75,Y87,V82))</f>
        <v>2048.3643941083155</v>
      </c>
      <c r="Z82" s="82"/>
      <c r="AA82" s="82"/>
      <c r="AB82" s="82">
        <f>IF(Z75,Z87,IF(AB75,AB87,Y82))</f>
        <v>2023.7265315933423</v>
      </c>
      <c r="AC82" s="82"/>
      <c r="AD82" s="82"/>
      <c r="AE82" s="82">
        <f>IF(AC75,AC87,IF(AE75,AE87,AB82))</f>
        <v>2023.7265315933423</v>
      </c>
      <c r="AF82" s="4"/>
      <c r="AG82" s="4"/>
      <c r="AJ82" s="4"/>
      <c r="AL82" s="4"/>
      <c r="AM82" s="4"/>
      <c r="AN82" s="4"/>
      <c r="AO82" s="4"/>
      <c r="AT82" s="77" t="str">
        <f>B82</f>
        <v>SC Midlands 14 Perf</v>
      </c>
      <c r="AU82" s="77">
        <f>AE82</f>
        <v>2023.7265315933423</v>
      </c>
      <c r="AW82" s="81"/>
      <c r="BB82" s="81"/>
    </row>
    <row r="83" spans="1:54" s="77" customFormat="1" hidden="1" x14ac:dyDescent="0.2">
      <c r="A83" s="82">
        <v>5</v>
      </c>
      <c r="B83" s="82" t="str">
        <f>E16</f>
        <v>Intense 14 Performance Ro</v>
      </c>
      <c r="C83" s="82">
        <f>VLOOKUP(B83,AU$3:BB$33,3,FALSE)</f>
        <v>1875.9252781891223</v>
      </c>
      <c r="D83" s="82">
        <f>IF(B76,B87,IF(D76,D87,C83))</f>
        <v>1865.961592549543</v>
      </c>
      <c r="E83" s="82"/>
      <c r="F83" s="82"/>
      <c r="G83" s="82">
        <f>IF(E76,E87,IF(G76,G87,D83))</f>
        <v>1865.961592549543</v>
      </c>
      <c r="H83" s="82"/>
      <c r="I83" s="82"/>
      <c r="J83" s="82">
        <f>IF(H76,H87,IF(J76,J87,G83))</f>
        <v>1854.700033846311</v>
      </c>
      <c r="K83" s="82"/>
      <c r="L83" s="82"/>
      <c r="M83" s="82">
        <f>IF(K76,K87,IF(M76,M87,J83))</f>
        <v>1854.700033846311</v>
      </c>
      <c r="N83" s="82"/>
      <c r="O83" s="82"/>
      <c r="P83" s="82">
        <f>IF(N76,N87,IF(P76,P87,M83))</f>
        <v>1854.700033846311</v>
      </c>
      <c r="Q83" s="82"/>
      <c r="R83" s="82"/>
      <c r="S83" s="82">
        <f>IF(Q76,Q87,IF(S76,S87,P83))</f>
        <v>1837.7004043976847</v>
      </c>
      <c r="T83" s="82"/>
      <c r="U83" s="82"/>
      <c r="V83" s="82">
        <f>IF(T76,T87,IF(V76,V87,S83))</f>
        <v>1837.7004043976847</v>
      </c>
      <c r="W83" s="82"/>
      <c r="X83" s="82"/>
      <c r="Y83" s="82">
        <f>IF(W76,W87,IF(Y76,Y87,V83))</f>
        <v>1833.752728897409</v>
      </c>
      <c r="Z83" s="82"/>
      <c r="AA83" s="82"/>
      <c r="AB83" s="82">
        <f>IF(Z76,Z87,IF(AB76,AB87,Y83))</f>
        <v>1833.752728897409</v>
      </c>
      <c r="AC83" s="82"/>
      <c r="AD83" s="82"/>
      <c r="AE83" s="82">
        <f>IF(AC76,AC87,IF(AE76,AE87,AB83))</f>
        <v>1833.752728897409</v>
      </c>
      <c r="AF83" s="4"/>
      <c r="AG83" s="4"/>
      <c r="AJ83" s="4"/>
      <c r="AL83" s="4"/>
      <c r="AM83" s="4"/>
      <c r="AN83" s="4"/>
      <c r="AO83" s="4"/>
      <c r="AT83" s="77" t="str">
        <f>B83</f>
        <v>Intense 14 Performance Ro</v>
      </c>
      <c r="AU83" s="77">
        <f>AE83</f>
        <v>1833.752728897409</v>
      </c>
      <c r="AW83" s="81"/>
      <c r="BB83" s="81"/>
    </row>
    <row r="84" spans="1:54" s="77" customFormat="1" hidden="1" x14ac:dyDescent="0.2">
      <c r="A84" s="82"/>
      <c r="B84" s="82"/>
      <c r="C84" s="82"/>
      <c r="D84" s="82"/>
      <c r="E84" s="82"/>
      <c r="F84" s="82"/>
      <c r="G84" s="82"/>
      <c r="H84" s="82"/>
      <c r="I84" s="82"/>
      <c r="J84" s="82"/>
      <c r="K84" s="82"/>
      <c r="L84" s="82"/>
      <c r="M84" s="82"/>
      <c r="N84" s="82"/>
      <c r="O84" s="82"/>
      <c r="P84" s="82"/>
      <c r="Q84" s="82"/>
      <c r="R84" s="82"/>
      <c r="S84" s="82"/>
      <c r="T84" s="82"/>
      <c r="U84" s="82"/>
      <c r="V84" s="82"/>
      <c r="W84" s="82"/>
      <c r="X84" s="82"/>
      <c r="Y84" s="82"/>
      <c r="Z84" s="82"/>
      <c r="AA84" s="82"/>
      <c r="AB84" s="82"/>
      <c r="AC84" s="82"/>
      <c r="AD84" s="82"/>
      <c r="AE84" s="82"/>
      <c r="AF84" s="4"/>
      <c r="AG84" s="4"/>
      <c r="AJ84" s="4"/>
      <c r="AL84" s="4"/>
      <c r="AM84" s="4"/>
      <c r="AN84" s="4"/>
      <c r="AO84" s="4"/>
      <c r="AW84" s="81"/>
      <c r="BB84" s="81"/>
    </row>
    <row r="85" spans="1:54" s="77" customFormat="1" hidden="1" x14ac:dyDescent="0.2">
      <c r="A85" s="82" t="s">
        <v>110</v>
      </c>
      <c r="B85" s="82">
        <f>VLOOKUP(B24,$A79:$AE83,3,FALSE)</f>
        <v>2169.631559284067</v>
      </c>
      <c r="C85" s="82">
        <v>1</v>
      </c>
      <c r="D85" s="82">
        <f>VLOOKUP(D24,$A79:$AE83,3,FALSE)</f>
        <v>1875.9252781891223</v>
      </c>
      <c r="E85" s="82">
        <f>VLOOKUP(E24,$A79:$AE83,4,FALSE)</f>
        <v>2278.9585369408887</v>
      </c>
      <c r="F85" s="82">
        <v>2</v>
      </c>
      <c r="G85" s="82">
        <f>VLOOKUP(G24,$A79:$AE83,4,FALSE)</f>
        <v>2029.7385368406767</v>
      </c>
      <c r="H85" s="82">
        <f>VLOOKUP(H24,$A79:$AE83,7,FALSE)</f>
        <v>2134.1731065083045</v>
      </c>
      <c r="I85" s="82">
        <v>3</v>
      </c>
      <c r="J85" s="82">
        <f>VLOOKUP(J24,$A79:$AE83,7,FALSE)</f>
        <v>1865.961592549543</v>
      </c>
      <c r="K85" s="82">
        <f>VLOOKUP(K24,$A79:$AE83,10,FALSE)</f>
        <v>2179.5952449236461</v>
      </c>
      <c r="L85" s="82">
        <v>4</v>
      </c>
      <c r="M85" s="82">
        <f>VLOOKUP(M24,$A79:$AE83,10,FALSE)</f>
        <v>2017.4262822164767</v>
      </c>
      <c r="N85" s="82">
        <f>VLOOKUP(N24,$A79:$AE83,13,FALSE)</f>
        <v>2291.2707915650885</v>
      </c>
      <c r="O85" s="82">
        <v>5</v>
      </c>
      <c r="P85" s="82">
        <f>VLOOKUP(P24,$A79:$AE83,13,FALSE)</f>
        <v>2145.4346652115364</v>
      </c>
      <c r="Q85" s="82">
        <f>VLOOKUP(Q24,$A79:$AE83,16,FALSE)</f>
        <v>2031.3647646596889</v>
      </c>
      <c r="R85" s="82">
        <v>6</v>
      </c>
      <c r="S85" s="82">
        <f>VLOOKUP(S24,$A79:$AE83,16,FALSE)</f>
        <v>1854.700033846311</v>
      </c>
      <c r="T85" s="82">
        <f>VLOOKUP(T24,$A79:$AE83,19,FALSE)</f>
        <v>2165.6567624804338</v>
      </c>
      <c r="U85" s="82">
        <v>7</v>
      </c>
      <c r="V85" s="82">
        <f>VLOOKUP(V24,$A79:$AE83,19,FALSE)</f>
        <v>2126.1297018494702</v>
      </c>
      <c r="W85" s="82">
        <f>VLOOKUP(W24,$A79:$AE83,22,FALSE)</f>
        <v>2310.5757549271548</v>
      </c>
      <c r="X85" s="82">
        <v>8</v>
      </c>
      <c r="Y85" s="82">
        <f>VLOOKUP(Y24,$A79:$AE83,22,FALSE)</f>
        <v>1837.7004043976847</v>
      </c>
      <c r="Z85" s="82">
        <f>VLOOKUP(Z24,$A79:$AE83,25,FALSE)</f>
        <v>2129.7546527068421</v>
      </c>
      <c r="AA85" s="82">
        <v>9</v>
      </c>
      <c r="AB85" s="82">
        <f>VLOOKUP(AB24,$A79:$AE83,25,FALSE)</f>
        <v>2048.3643941083155</v>
      </c>
      <c r="AC85" s="82">
        <f>VLOOKUP(AC24,$A79:$AE83,28,FALSE)</f>
        <v>2314.5234304274304</v>
      </c>
      <c r="AD85" s="82">
        <v>10</v>
      </c>
      <c r="AE85" s="82">
        <f>VLOOKUP(AE24,$A79:$AE83,28,FALSE)</f>
        <v>2162.0318116230619</v>
      </c>
      <c r="AF85" s="4"/>
      <c r="AG85" s="95"/>
      <c r="AH85" s="95"/>
      <c r="AI85" s="95"/>
      <c r="AJ85" s="95"/>
      <c r="AK85" s="95"/>
      <c r="AL85" s="95"/>
      <c r="AM85" s="95"/>
      <c r="AN85" s="96"/>
      <c r="AO85" s="96"/>
      <c r="AP85" s="96"/>
      <c r="AQ85" s="96"/>
      <c r="AW85" s="81"/>
      <c r="BB85" s="81"/>
    </row>
    <row r="86" spans="1:54" s="87" customFormat="1" hidden="1" x14ac:dyDescent="0.2">
      <c r="A86" s="83" t="s">
        <v>111</v>
      </c>
      <c r="B86" s="83">
        <f>1/(1+(10^-((B85-D85)/400)))*(B36+D36)</f>
        <v>1.6886348237631463</v>
      </c>
      <c r="C86" s="83"/>
      <c r="D86" s="83">
        <f>1/(1+(10^-((D85-B85)/400)))*(B36+D36)</f>
        <v>0.31136517623685361</v>
      </c>
      <c r="E86" s="83">
        <f>1/(1+(10^-((E85-G85)/400)))*(E36+G36)</f>
        <v>1.6152420429937508</v>
      </c>
      <c r="F86" s="83"/>
      <c r="G86" s="83">
        <f>1/(1+(10^-((G85-E85)/400)))*(E36+G36)</f>
        <v>0.38475795700624932</v>
      </c>
      <c r="H86" s="83">
        <f>1/(1+(10^-((H85-J85)/400)))*(H36+J36)</f>
        <v>1.6480762905240016</v>
      </c>
      <c r="I86" s="83"/>
      <c r="J86" s="83">
        <f>1/(1+(10^-((J85-H85)/400)))*(H36+J36)</f>
        <v>0.35192370947599838</v>
      </c>
      <c r="K86" s="83">
        <f>1/(1+(10^-((K85-M85)/400)))*(K36+M36)</f>
        <v>1.4355775763503813</v>
      </c>
      <c r="L86" s="83"/>
      <c r="M86" s="83">
        <f>1/(1+(10^-((M85-K85)/400)))*(K36+M36)</f>
        <v>0.56442242364961881</v>
      </c>
      <c r="N86" s="83">
        <f>1/(1+(10^-((N85-P85)/400)))*(N36+P36)</f>
        <v>1.3967198949354285</v>
      </c>
      <c r="O86" s="83"/>
      <c r="P86" s="83">
        <f>1/(1+(10^-((P85-N85)/400)))*(N36+P36)</f>
        <v>0.60328010506457153</v>
      </c>
      <c r="Q86" s="83">
        <f>1/(1+(10^-((Q85-S85)/400)))*(Q36+S36)</f>
        <v>1.4687615797304243</v>
      </c>
      <c r="R86" s="83"/>
      <c r="S86" s="83">
        <f>1/(1+(10^-((S85-Q85)/400)))*(Q36+S36)</f>
        <v>0.5312384202695758</v>
      </c>
      <c r="T86" s="83">
        <f>1/(1+(10^-((T85-V85)/400)))*(T36+V36)</f>
        <v>1.1132797142928748</v>
      </c>
      <c r="U86" s="83"/>
      <c r="V86" s="83">
        <f>1/(1+(10^-((V85-T85)/400)))*(T36+V36)</f>
        <v>0.88672028570712536</v>
      </c>
      <c r="W86" s="83">
        <f>1/(1+(10^-((W85-Y85)/400)))*(W36+Y36)</f>
        <v>1.876635140616383</v>
      </c>
      <c r="X86" s="83"/>
      <c r="Y86" s="83">
        <f>1/(1+(10^-((Y85-W85)/400)))*(W36+Y36)</f>
        <v>0.12336485938361676</v>
      </c>
      <c r="Z86" s="83">
        <f>1/(1+(10^-((Z85-AB85)/400)))*(Z36+AB36)</f>
        <v>1.2300667964070866</v>
      </c>
      <c r="AA86" s="83"/>
      <c r="AB86" s="83">
        <f>1/(1+(10^-((AB85-Z85)/400)))*(Z36+AB36)</f>
        <v>0.76993320359291351</v>
      </c>
      <c r="AC86" s="83">
        <f>1/(1+(10^-((AC85-AE85)/400)))*(AC36+AE36)</f>
        <v>1.4127373503109277</v>
      </c>
      <c r="AD86" s="83"/>
      <c r="AE86" s="83">
        <f>1/(1+(10^-((AE85-AC85)/400)))*(AC36+AE36)</f>
        <v>0.58726264968907227</v>
      </c>
      <c r="AF86" s="84"/>
      <c r="AG86" s="85"/>
      <c r="AH86" s="85"/>
      <c r="AI86" s="85"/>
      <c r="AJ86" s="85"/>
      <c r="AK86" s="85"/>
      <c r="AL86" s="85"/>
      <c r="AM86" s="85"/>
      <c r="AN86" s="86"/>
      <c r="AO86" s="86"/>
      <c r="AP86" s="86"/>
      <c r="AQ86" s="86"/>
      <c r="AW86" s="88"/>
      <c r="BB86" s="88"/>
    </row>
    <row r="87" spans="1:54" s="93" customFormat="1" hidden="1" x14ac:dyDescent="0.2">
      <c r="A87" s="89" t="s">
        <v>112</v>
      </c>
      <c r="B87" s="89">
        <f>B85+(B36-B86)*$BA$1</f>
        <v>2179.5952449236461</v>
      </c>
      <c r="C87" s="89"/>
      <c r="D87" s="89">
        <f>D85+(D36-D86)*$BA$1</f>
        <v>1865.961592549543</v>
      </c>
      <c r="E87" s="89">
        <f>E85+(E36-E86)*$BA$1</f>
        <v>2291.2707915650885</v>
      </c>
      <c r="F87" s="89"/>
      <c r="G87" s="89">
        <f>G85+(G36-G86)*$BA$1</f>
        <v>2017.4262822164767</v>
      </c>
      <c r="H87" s="89">
        <f>H85+(H36-H86)*$BA$1</f>
        <v>2145.4346652115364</v>
      </c>
      <c r="I87" s="89"/>
      <c r="J87" s="89">
        <f>J85+(J36-J86)*$BA$1</f>
        <v>1854.700033846311</v>
      </c>
      <c r="K87" s="89">
        <f>K85+(K36-K86)*$BA$1</f>
        <v>2165.6567624804338</v>
      </c>
      <c r="L87" s="89"/>
      <c r="M87" s="89">
        <f>M85+(M36-M86)*$BA$1</f>
        <v>2031.3647646596889</v>
      </c>
      <c r="N87" s="89">
        <f>N85+(N36-N86)*$BA$1</f>
        <v>2310.5757549271548</v>
      </c>
      <c r="O87" s="89"/>
      <c r="P87" s="89">
        <f>P85+(P36-P86)*$BA$1</f>
        <v>2126.1297018494702</v>
      </c>
      <c r="Q87" s="89">
        <f>Q85+(Q36-Q86)*$BA$1</f>
        <v>2048.3643941083155</v>
      </c>
      <c r="R87" s="89"/>
      <c r="S87" s="89">
        <f>S85+(S36-S86)*$BA$1</f>
        <v>1837.7004043976847</v>
      </c>
      <c r="T87" s="89">
        <f>T85+(T36-T86)*$BA$1</f>
        <v>2162.0318116230619</v>
      </c>
      <c r="U87" s="89"/>
      <c r="V87" s="89">
        <f>V85+(V36-V86)*$BA$1</f>
        <v>2129.7546527068421</v>
      </c>
      <c r="W87" s="89">
        <f>W85+(W36-W86)*$BA$1</f>
        <v>2314.5234304274304</v>
      </c>
      <c r="X87" s="89"/>
      <c r="Y87" s="89">
        <f>Y85+(Y36-Y86)*$BA$1</f>
        <v>1833.752728897409</v>
      </c>
      <c r="Z87" s="89">
        <f>Z85+(Z36-Z86)*$BA$1</f>
        <v>2154.3925152218153</v>
      </c>
      <c r="AA87" s="89"/>
      <c r="AB87" s="89">
        <f>AB85+(AB36-AB86)*$BA$1</f>
        <v>2023.7265315933423</v>
      </c>
      <c r="AC87" s="89">
        <f>AC85+(AC36-AC86)*$BA$1</f>
        <v>2333.3158352174805</v>
      </c>
      <c r="AD87" s="89"/>
      <c r="AE87" s="89">
        <f>AE85+(AE36-AE86)*$BA$1</f>
        <v>2143.2394068330118</v>
      </c>
      <c r="AF87" s="90"/>
      <c r="AG87" s="91"/>
      <c r="AH87" s="91"/>
      <c r="AI87" s="91"/>
      <c r="AJ87" s="91"/>
      <c r="AK87" s="91"/>
      <c r="AL87" s="91"/>
      <c r="AM87" s="91"/>
      <c r="AN87" s="92"/>
      <c r="AO87" s="92"/>
      <c r="AP87" s="92"/>
      <c r="AQ87" s="92"/>
      <c r="AW87" s="94"/>
      <c r="BB87" s="94"/>
    </row>
    <row r="88" spans="1:54" s="93" customFormat="1" hidden="1" x14ac:dyDescent="0.2">
      <c r="A88" s="89"/>
      <c r="B88" s="89"/>
      <c r="C88" s="89"/>
      <c r="D88" s="89"/>
      <c r="E88" s="89"/>
      <c r="F88" s="89"/>
      <c r="G88" s="89"/>
      <c r="H88" s="89"/>
      <c r="I88" s="89"/>
      <c r="J88" s="89"/>
      <c r="K88" s="89"/>
      <c r="L88" s="89"/>
      <c r="M88" s="89"/>
      <c r="N88" s="89"/>
      <c r="O88" s="89"/>
      <c r="P88" s="89"/>
      <c r="Q88" s="89"/>
      <c r="R88" s="89"/>
      <c r="S88" s="89"/>
      <c r="T88" s="89"/>
      <c r="U88" s="89"/>
      <c r="V88" s="89"/>
      <c r="W88" s="89"/>
      <c r="X88" s="89"/>
      <c r="Y88" s="89"/>
      <c r="Z88" s="89"/>
      <c r="AA88" s="89"/>
      <c r="AB88" s="89"/>
      <c r="AC88" s="89"/>
      <c r="AD88" s="89"/>
      <c r="AE88" s="89"/>
      <c r="AF88" s="90"/>
      <c r="AG88" s="91"/>
      <c r="AH88" s="91"/>
      <c r="AI88" s="91"/>
      <c r="AJ88" s="91"/>
      <c r="AK88" s="91"/>
      <c r="AL88" s="91"/>
      <c r="AM88" s="91"/>
      <c r="AN88" s="92"/>
      <c r="AO88" s="92"/>
      <c r="AP88" s="92"/>
      <c r="AQ88" s="92"/>
      <c r="AW88" s="94"/>
      <c r="BB88" s="94"/>
    </row>
    <row r="89" spans="1:54" s="77" customFormat="1" x14ac:dyDescent="0.2">
      <c r="A89" s="281" t="str">
        <f>IF($AK10=1,"Pool Tiereaker : 1) Matches Won vs Lost (if 3 way tie then #4)  2) Head to Head  3) Game Win %  4) Total Pool Net Points  5) Flip a Coin","Pool Tiebreaker : 1) Games Won vs Lost (if 3 way tie then #5)  2) Head to Head  3) Head to Head Net Points  4) Game Win %  5) Total Pool Net Points  6) Flip a Coin")</f>
        <v>Pool Tiebreaker : 1) Games Won vs Lost (if 3 way tie then #5)  2) Head to Head  3) Head to Head Net Points  4) Game Win %  5) Total Pool Net Points  6) Flip a Coin</v>
      </c>
      <c r="B89" s="281"/>
      <c r="C89" s="281"/>
      <c r="D89" s="281"/>
      <c r="E89" s="281"/>
      <c r="F89" s="281"/>
      <c r="G89" s="281"/>
      <c r="H89" s="281"/>
      <c r="I89" s="281"/>
      <c r="J89" s="281"/>
      <c r="K89" s="281"/>
      <c r="L89" s="281"/>
      <c r="M89" s="281"/>
      <c r="N89" s="281"/>
      <c r="O89" s="281"/>
      <c r="P89" s="281"/>
      <c r="Q89" s="281"/>
      <c r="R89" s="281"/>
      <c r="S89" s="281"/>
      <c r="T89" s="281"/>
      <c r="U89" s="281"/>
      <c r="V89" s="281"/>
      <c r="W89" s="281"/>
      <c r="X89" s="281"/>
      <c r="Y89" s="281"/>
      <c r="Z89" s="281"/>
      <c r="AA89" s="281"/>
      <c r="AB89" s="281"/>
      <c r="AC89" s="281"/>
      <c r="AD89" s="281"/>
      <c r="AE89" s="281"/>
      <c r="AF89" s="281"/>
      <c r="AG89" s="281"/>
      <c r="AH89" s="281"/>
      <c r="AI89" s="281"/>
      <c r="AJ89" s="281"/>
      <c r="AK89" s="281"/>
      <c r="AL89" s="281"/>
      <c r="AM89" s="281"/>
      <c r="AN89" s="259"/>
      <c r="AO89" s="259"/>
      <c r="AP89" s="259"/>
      <c r="AQ89" s="259"/>
      <c r="AW89" s="81"/>
    </row>
    <row r="90" spans="1:54" s="77" customFormat="1" ht="13.5" thickBot="1" x14ac:dyDescent="0.25">
      <c r="A90" s="282"/>
      <c r="B90" s="282"/>
      <c r="C90" s="282"/>
      <c r="D90" s="282"/>
      <c r="E90" s="282"/>
      <c r="F90" s="282"/>
      <c r="G90" s="282"/>
      <c r="H90" s="282"/>
      <c r="I90" s="282"/>
      <c r="J90" s="282"/>
      <c r="K90" s="282"/>
      <c r="L90" s="282"/>
      <c r="M90" s="282"/>
      <c r="N90" s="282"/>
      <c r="O90" s="282"/>
      <c r="P90" s="282"/>
      <c r="Q90" s="282"/>
      <c r="R90" s="282"/>
      <c r="S90" s="282"/>
      <c r="T90" s="282"/>
      <c r="U90" s="282"/>
      <c r="V90" s="282"/>
      <c r="W90" s="282"/>
      <c r="X90" s="282"/>
      <c r="Y90" s="282"/>
      <c r="Z90" s="282"/>
      <c r="AA90" s="282"/>
      <c r="AB90" s="282"/>
      <c r="AC90" s="282"/>
      <c r="AD90" s="282"/>
      <c r="AE90" s="282"/>
      <c r="AF90" s="282"/>
      <c r="AG90" s="282"/>
      <c r="AH90" s="282"/>
      <c r="AI90" s="282"/>
      <c r="AJ90" s="282"/>
      <c r="AK90" s="282"/>
      <c r="AL90" s="282"/>
      <c r="AM90" s="282"/>
      <c r="AN90" s="282"/>
      <c r="AO90" s="282"/>
      <c r="AP90" s="282"/>
      <c r="AQ90" s="282"/>
      <c r="AT90" s="4"/>
      <c r="AU90" s="4"/>
      <c r="AV90" s="4"/>
      <c r="AW90" s="81"/>
    </row>
    <row r="91" spans="1:54" ht="24" customHeight="1" thickBot="1" x14ac:dyDescent="0.25">
      <c r="A91" s="27" t="s">
        <v>34</v>
      </c>
      <c r="B91" s="28" t="s">
        <v>113</v>
      </c>
      <c r="C91" s="353" t="s">
        <v>36</v>
      </c>
      <c r="D91" s="354"/>
      <c r="E91" s="354"/>
      <c r="F91" s="354"/>
      <c r="G91" s="354"/>
      <c r="H91" s="355"/>
      <c r="I91" s="356">
        <v>2</v>
      </c>
      <c r="J91" s="357"/>
      <c r="K91" s="358" t="str">
        <f>"Pool "&amp;B91&amp;" - Round 1 - Court "&amp;I91</f>
        <v>Pool B - Round 1 - Court 2</v>
      </c>
      <c r="L91" s="359"/>
      <c r="M91" s="359"/>
      <c r="N91" s="359"/>
      <c r="O91" s="359"/>
      <c r="P91" s="359"/>
      <c r="Q91" s="359"/>
      <c r="R91" s="359"/>
      <c r="S91" s="359"/>
      <c r="T91" s="359"/>
      <c r="U91" s="359"/>
      <c r="V91" s="359"/>
      <c r="W91" s="359"/>
      <c r="X91" s="359"/>
      <c r="Y91" s="359"/>
      <c r="Z91" s="359"/>
      <c r="AA91" s="359"/>
      <c r="AB91" s="359"/>
      <c r="AC91" s="359"/>
      <c r="AD91" s="359"/>
      <c r="AE91" s="359"/>
      <c r="AF91" s="359"/>
      <c r="AG91" s="359"/>
      <c r="AH91" s="359"/>
      <c r="AI91" s="360"/>
      <c r="AJ91" s="8"/>
      <c r="AK91" s="8"/>
      <c r="AL91" s="8"/>
      <c r="AM91" s="8"/>
      <c r="AN91" s="8"/>
      <c r="AO91" s="8"/>
      <c r="AP91" s="8"/>
      <c r="AQ91" s="8"/>
    </row>
    <row r="92" spans="1:54" ht="27" customHeight="1" thickBot="1" x14ac:dyDescent="0.25">
      <c r="A92" s="29" t="s">
        <v>39</v>
      </c>
      <c r="B92" s="361" t="s">
        <v>10</v>
      </c>
      <c r="C92" s="362"/>
      <c r="D92" s="362"/>
      <c r="E92" s="362"/>
      <c r="F92" s="362"/>
      <c r="G92" s="362"/>
      <c r="H92" s="362"/>
      <c r="I92" s="362"/>
      <c r="J92" s="362"/>
      <c r="K92" s="362"/>
      <c r="L92" s="361" t="str">
        <f>IF($AK95=0,"Games Won","Matches Won")</f>
        <v>Games Won</v>
      </c>
      <c r="M92" s="362"/>
      <c r="N92" s="362"/>
      <c r="O92" s="362"/>
      <c r="P92" s="362"/>
      <c r="Q92" s="363"/>
      <c r="R92" s="361" t="str">
        <f>IF($AK95=0,"Games Lost","Matches Lost")</f>
        <v>Games Lost</v>
      </c>
      <c r="S92" s="364"/>
      <c r="T92" s="364"/>
      <c r="U92" s="364"/>
      <c r="V92" s="365"/>
      <c r="W92" s="366" t="s">
        <v>40</v>
      </c>
      <c r="X92" s="367"/>
      <c r="Y92" s="368"/>
      <c r="Z92" s="366" t="s">
        <v>41</v>
      </c>
      <c r="AA92" s="367"/>
      <c r="AB92" s="368"/>
      <c r="AC92" s="369" t="s">
        <v>42</v>
      </c>
      <c r="AD92" s="370"/>
      <c r="AE92" s="371"/>
      <c r="AF92" s="30" t="s">
        <v>43</v>
      </c>
      <c r="AG92" s="31" t="s">
        <v>9</v>
      </c>
      <c r="AH92" s="351" t="s">
        <v>44</v>
      </c>
      <c r="AI92" s="352"/>
      <c r="AJ92" s="32"/>
      <c r="AK92" s="33">
        <v>2</v>
      </c>
      <c r="AL92" s="34" t="s">
        <v>45</v>
      </c>
      <c r="AM92" s="34"/>
      <c r="AN92" s="34"/>
      <c r="AO92" s="34"/>
      <c r="AP92" s="34"/>
      <c r="AQ92" s="34"/>
      <c r="AR92" s="35"/>
    </row>
    <row r="93" spans="1:54" ht="18.75" customHeight="1" x14ac:dyDescent="0.2">
      <c r="A93" s="320" t="str">
        <f>IF($AK94&gt;0,"1","")</f>
        <v>1</v>
      </c>
      <c r="B93" s="348" t="s">
        <v>10</v>
      </c>
      <c r="C93" s="349"/>
      <c r="D93" s="350"/>
      <c r="E93" s="324" t="str">
        <f>AU4</f>
        <v>Magnum 14 Elite</v>
      </c>
      <c r="F93" s="325"/>
      <c r="G93" s="325"/>
      <c r="H93" s="325"/>
      <c r="I93" s="325"/>
      <c r="J93" s="325"/>
      <c r="K93" s="326"/>
      <c r="L93" s="327">
        <f>IF($AK95=0,AF149,AF131)</f>
        <v>7</v>
      </c>
      <c r="M93" s="328"/>
      <c r="N93" s="328"/>
      <c r="O93" s="328"/>
      <c r="P93" s="328"/>
      <c r="Q93" s="363"/>
      <c r="R93" s="327">
        <f>IF($AK95=0,AG149,AG131)</f>
        <v>1</v>
      </c>
      <c r="S93" s="328"/>
      <c r="T93" s="328"/>
      <c r="U93" s="328"/>
      <c r="V93" s="328"/>
      <c r="W93" s="327">
        <f>AQ109</f>
        <v>63</v>
      </c>
      <c r="X93" s="328"/>
      <c r="Y93" s="328"/>
      <c r="Z93" s="300">
        <f>IF(AF143&gt;0,(AQ109/AF143),0)</f>
        <v>0.315</v>
      </c>
      <c r="AA93" s="301"/>
      <c r="AB93" s="301"/>
      <c r="AC93" s="304">
        <f>IF(AF157=0,0,(AF149/AF157))</f>
        <v>0.875</v>
      </c>
      <c r="AD93" s="305"/>
      <c r="AE93" s="306"/>
      <c r="AF93" s="310">
        <v>1</v>
      </c>
      <c r="AG93" s="310">
        <v>1</v>
      </c>
      <c r="AH93" s="312">
        <v>2</v>
      </c>
      <c r="AI93" s="313"/>
      <c r="AJ93" s="32"/>
      <c r="AK93" s="33">
        <v>10</v>
      </c>
      <c r="AL93" s="34" t="s">
        <v>48</v>
      </c>
      <c r="AM93" s="34"/>
      <c r="AN93" s="34"/>
      <c r="AO93" s="34"/>
      <c r="AP93" s="34"/>
      <c r="AQ93" s="34"/>
      <c r="AR93" s="35"/>
    </row>
    <row r="94" spans="1:54" ht="18.75" customHeight="1" thickBot="1" x14ac:dyDescent="0.25">
      <c r="A94" s="321"/>
      <c r="B94" s="345" t="s">
        <v>11</v>
      </c>
      <c r="C94" s="346"/>
      <c r="D94" s="347"/>
      <c r="E94" s="341" t="str">
        <f>AV4</f>
        <v>fj4magnm2pm</v>
      </c>
      <c r="F94" s="342"/>
      <c r="G94" s="342"/>
      <c r="H94" s="342"/>
      <c r="I94" s="342"/>
      <c r="J94" s="342"/>
      <c r="K94" s="342"/>
      <c r="L94" s="343"/>
      <c r="M94" s="344"/>
      <c r="N94" s="344"/>
      <c r="O94" s="344"/>
      <c r="P94" s="344"/>
      <c r="Q94" s="363"/>
      <c r="R94" s="343"/>
      <c r="S94" s="344"/>
      <c r="T94" s="344"/>
      <c r="U94" s="344"/>
      <c r="V94" s="344"/>
      <c r="W94" s="343"/>
      <c r="X94" s="344"/>
      <c r="Y94" s="344"/>
      <c r="Z94" s="331"/>
      <c r="AA94" s="332"/>
      <c r="AB94" s="332"/>
      <c r="AC94" s="333"/>
      <c r="AD94" s="334"/>
      <c r="AE94" s="335"/>
      <c r="AF94" s="336"/>
      <c r="AG94" s="336"/>
      <c r="AH94" s="337"/>
      <c r="AI94" s="338"/>
      <c r="AJ94" s="32"/>
      <c r="AK94" s="33">
        <v>5</v>
      </c>
      <c r="AL94" s="34" t="s">
        <v>51</v>
      </c>
      <c r="AM94" s="32"/>
      <c r="AN94" s="32"/>
      <c r="AO94" s="32"/>
      <c r="AP94" s="32"/>
      <c r="AQ94" s="32"/>
      <c r="AR94" s="3"/>
    </row>
    <row r="95" spans="1:54" ht="18.75" customHeight="1" x14ac:dyDescent="0.2">
      <c r="A95" s="320" t="str">
        <f>IF($AK94&gt;1,"2","")</f>
        <v>2</v>
      </c>
      <c r="B95" s="348" t="s">
        <v>10</v>
      </c>
      <c r="C95" s="349"/>
      <c r="D95" s="350"/>
      <c r="E95" s="324" t="str">
        <f>AU9</f>
        <v>Intense 14 Elite Rock Hil</v>
      </c>
      <c r="F95" s="325"/>
      <c r="G95" s="325"/>
      <c r="H95" s="325"/>
      <c r="I95" s="325"/>
      <c r="J95" s="325"/>
      <c r="K95" s="326"/>
      <c r="L95" s="327">
        <f>IF($AK95=0,AF150,AF132)</f>
        <v>6</v>
      </c>
      <c r="M95" s="328"/>
      <c r="N95" s="328"/>
      <c r="O95" s="328"/>
      <c r="P95" s="328"/>
      <c r="Q95" s="363"/>
      <c r="R95" s="327">
        <f>IF($AK95=0,AG150,AG132)</f>
        <v>2</v>
      </c>
      <c r="S95" s="328"/>
      <c r="T95" s="328"/>
      <c r="U95" s="328"/>
      <c r="V95" s="328"/>
      <c r="W95" s="327">
        <f>AQ110</f>
        <v>17</v>
      </c>
      <c r="X95" s="328"/>
      <c r="Y95" s="328"/>
      <c r="Z95" s="300">
        <f>IF(AF144&gt;0,(AQ110/AF144),0)</f>
        <v>8.4158415841584164E-2</v>
      </c>
      <c r="AA95" s="301"/>
      <c r="AB95" s="301"/>
      <c r="AC95" s="304">
        <f>IF(AF158=0,0,(AF150/AF158))</f>
        <v>0.75</v>
      </c>
      <c r="AD95" s="305"/>
      <c r="AE95" s="306"/>
      <c r="AF95" s="310">
        <v>2</v>
      </c>
      <c r="AG95" s="310">
        <v>1</v>
      </c>
      <c r="AH95" s="312">
        <v>5</v>
      </c>
      <c r="AI95" s="313"/>
      <c r="AJ95" s="32"/>
      <c r="AK95" s="33">
        <v>0</v>
      </c>
      <c r="AL95" s="34" t="s">
        <v>54</v>
      </c>
      <c r="AM95" s="34"/>
      <c r="AN95" s="34"/>
      <c r="AO95" s="34"/>
      <c r="AP95" s="34"/>
      <c r="AQ95" s="34"/>
      <c r="AR95" s="35"/>
    </row>
    <row r="96" spans="1:54" ht="18.75" customHeight="1" thickBot="1" x14ac:dyDescent="0.25">
      <c r="A96" s="321"/>
      <c r="B96" s="339" t="s">
        <v>11</v>
      </c>
      <c r="C96" s="340"/>
      <c r="D96" s="340"/>
      <c r="E96" s="341" t="str">
        <f>AV9</f>
        <v>fj4inten6pm</v>
      </c>
      <c r="F96" s="342"/>
      <c r="G96" s="342"/>
      <c r="H96" s="342"/>
      <c r="I96" s="342"/>
      <c r="J96" s="342"/>
      <c r="K96" s="342"/>
      <c r="L96" s="343"/>
      <c r="M96" s="344"/>
      <c r="N96" s="344"/>
      <c r="O96" s="344"/>
      <c r="P96" s="344"/>
      <c r="Q96" s="363"/>
      <c r="R96" s="343"/>
      <c r="S96" s="344"/>
      <c r="T96" s="344"/>
      <c r="U96" s="344"/>
      <c r="V96" s="344"/>
      <c r="W96" s="343"/>
      <c r="X96" s="344"/>
      <c r="Y96" s="344"/>
      <c r="Z96" s="331"/>
      <c r="AA96" s="332"/>
      <c r="AB96" s="332"/>
      <c r="AC96" s="333"/>
      <c r="AD96" s="334"/>
      <c r="AE96" s="335"/>
      <c r="AF96" s="336"/>
      <c r="AG96" s="336"/>
      <c r="AH96" s="337"/>
      <c r="AI96" s="338"/>
      <c r="AJ96" s="32"/>
      <c r="AK96" s="33">
        <v>1</v>
      </c>
      <c r="AL96" s="34" t="s">
        <v>56</v>
      </c>
      <c r="AM96" s="32"/>
      <c r="AN96" s="32"/>
      <c r="AO96" s="32"/>
      <c r="AP96" s="32"/>
      <c r="AQ96" s="32"/>
      <c r="AR96" s="3"/>
    </row>
    <row r="97" spans="1:44" ht="18.75" customHeight="1" x14ac:dyDescent="0.2">
      <c r="A97" s="320" t="str">
        <f>IF($AK94&gt;2,"3","")</f>
        <v>3</v>
      </c>
      <c r="B97" s="322" t="s">
        <v>10</v>
      </c>
      <c r="C97" s="323"/>
      <c r="D97" s="323"/>
      <c r="E97" s="324" t="str">
        <f>AU12</f>
        <v>Fort Mill 14 Bayley</v>
      </c>
      <c r="F97" s="325"/>
      <c r="G97" s="325"/>
      <c r="H97" s="325"/>
      <c r="I97" s="325"/>
      <c r="J97" s="325"/>
      <c r="K97" s="326"/>
      <c r="L97" s="327">
        <f>IF($AK95=0,AF151,AF133)</f>
        <v>5</v>
      </c>
      <c r="M97" s="328"/>
      <c r="N97" s="328"/>
      <c r="O97" s="328"/>
      <c r="P97" s="328"/>
      <c r="Q97" s="363"/>
      <c r="R97" s="327">
        <f>IF($AK95=0,AG151,AG133)</f>
        <v>3</v>
      </c>
      <c r="S97" s="328"/>
      <c r="T97" s="328"/>
      <c r="U97" s="328"/>
      <c r="V97" s="328"/>
      <c r="W97" s="327">
        <f>AQ111</f>
        <v>37</v>
      </c>
      <c r="X97" s="328"/>
      <c r="Y97" s="328"/>
      <c r="Z97" s="300">
        <f>IF(AF145&gt;0,(AQ111/AF145),0)</f>
        <v>0.18316831683168316</v>
      </c>
      <c r="AA97" s="301"/>
      <c r="AB97" s="301"/>
      <c r="AC97" s="304">
        <f>IF(AF159=0,0,(AF151/AF159))</f>
        <v>0.625</v>
      </c>
      <c r="AD97" s="305"/>
      <c r="AE97" s="306"/>
      <c r="AF97" s="310">
        <v>3</v>
      </c>
      <c r="AG97" s="310">
        <v>1</v>
      </c>
      <c r="AH97" s="312">
        <v>11</v>
      </c>
      <c r="AI97" s="313"/>
      <c r="AJ97" s="43"/>
      <c r="AK97" s="33">
        <v>8</v>
      </c>
      <c r="AL97" s="44" t="s">
        <v>57</v>
      </c>
      <c r="AM97" s="34"/>
      <c r="AN97" s="34"/>
      <c r="AO97" s="34"/>
      <c r="AP97" s="34"/>
      <c r="AQ97" s="34"/>
      <c r="AR97" s="35"/>
    </row>
    <row r="98" spans="1:44" ht="18.75" customHeight="1" thickBot="1" x14ac:dyDescent="0.25">
      <c r="A98" s="321"/>
      <c r="B98" s="339" t="s">
        <v>11</v>
      </c>
      <c r="C98" s="340"/>
      <c r="D98" s="340"/>
      <c r="E98" s="341" t="str">
        <f>AV12</f>
        <v>fj4fortm1pm</v>
      </c>
      <c r="F98" s="342"/>
      <c r="G98" s="342"/>
      <c r="H98" s="342"/>
      <c r="I98" s="342"/>
      <c r="J98" s="342"/>
      <c r="K98" s="342"/>
      <c r="L98" s="343"/>
      <c r="M98" s="344"/>
      <c r="N98" s="344"/>
      <c r="O98" s="344"/>
      <c r="P98" s="344"/>
      <c r="Q98" s="363"/>
      <c r="R98" s="343"/>
      <c r="S98" s="344"/>
      <c r="T98" s="344"/>
      <c r="U98" s="344"/>
      <c r="V98" s="344"/>
      <c r="W98" s="343"/>
      <c r="X98" s="344"/>
      <c r="Y98" s="344"/>
      <c r="Z98" s="331"/>
      <c r="AA98" s="332"/>
      <c r="AB98" s="332"/>
      <c r="AC98" s="333"/>
      <c r="AD98" s="334"/>
      <c r="AE98" s="335"/>
      <c r="AF98" s="336"/>
      <c r="AG98" s="336"/>
      <c r="AH98" s="337"/>
      <c r="AI98" s="338"/>
      <c r="AJ98" s="43"/>
      <c r="AK98" s="51"/>
      <c r="AL98" s="52"/>
      <c r="AM98" s="52"/>
      <c r="AN98" s="52"/>
      <c r="AO98" s="52"/>
      <c r="AP98" s="52"/>
      <c r="AQ98" s="32"/>
      <c r="AR98" s="3"/>
    </row>
    <row r="99" spans="1:44" ht="18.75" customHeight="1" x14ac:dyDescent="0.2">
      <c r="A99" s="320" t="str">
        <f>IF($AK94&gt;3,"4","")</f>
        <v>4</v>
      </c>
      <c r="B99" s="322" t="s">
        <v>10</v>
      </c>
      <c r="C99" s="323"/>
      <c r="D99" s="323"/>
      <c r="E99" s="324" t="str">
        <f>AU17</f>
        <v>Intense 14 performace</v>
      </c>
      <c r="F99" s="325"/>
      <c r="G99" s="325"/>
      <c r="H99" s="325"/>
      <c r="I99" s="325"/>
      <c r="J99" s="325"/>
      <c r="K99" s="326"/>
      <c r="L99" s="327">
        <f>IF($AK95=0,AF152,AF134)</f>
        <v>2</v>
      </c>
      <c r="M99" s="328"/>
      <c r="N99" s="328"/>
      <c r="O99" s="328"/>
      <c r="P99" s="328"/>
      <c r="Q99" s="363"/>
      <c r="R99" s="327">
        <f>IF($AK95=0,AG152,AG134)</f>
        <v>6</v>
      </c>
      <c r="S99" s="328"/>
      <c r="T99" s="328"/>
      <c r="U99" s="328"/>
      <c r="V99" s="328"/>
      <c r="W99" s="327">
        <f>AQ112</f>
        <v>-35</v>
      </c>
      <c r="X99" s="328"/>
      <c r="Y99" s="328"/>
      <c r="Z99" s="300">
        <f>IF(AF146&gt;0,(AQ112/AF146),0)</f>
        <v>-0.17499999999999999</v>
      </c>
      <c r="AA99" s="301"/>
      <c r="AB99" s="301"/>
      <c r="AC99" s="304">
        <f>IF(AF160=0,0,(AF152/AF160))</f>
        <v>0.25</v>
      </c>
      <c r="AD99" s="305"/>
      <c r="AE99" s="306"/>
      <c r="AF99" s="310">
        <v>4</v>
      </c>
      <c r="AG99" s="310">
        <v>1</v>
      </c>
      <c r="AH99" s="312">
        <v>15</v>
      </c>
      <c r="AI99" s="313"/>
      <c r="AJ99" s="8"/>
      <c r="AK99" s="52"/>
      <c r="AL99" s="52"/>
      <c r="AM99" s="52"/>
      <c r="AN99" s="52"/>
      <c r="AO99" s="52"/>
      <c r="AP99" s="52"/>
      <c r="AQ99" s="34"/>
      <c r="AR99" s="35"/>
    </row>
    <row r="100" spans="1:44" ht="18.75" customHeight="1" thickBot="1" x14ac:dyDescent="0.25">
      <c r="A100" s="321"/>
      <c r="B100" s="339" t="s">
        <v>11</v>
      </c>
      <c r="C100" s="340"/>
      <c r="D100" s="340"/>
      <c r="E100" s="341" t="str">
        <f>AV17</f>
        <v>fj4inten3pm</v>
      </c>
      <c r="F100" s="342"/>
      <c r="G100" s="342"/>
      <c r="H100" s="342"/>
      <c r="I100" s="342"/>
      <c r="J100" s="342"/>
      <c r="K100" s="342"/>
      <c r="L100" s="343"/>
      <c r="M100" s="344"/>
      <c r="N100" s="344"/>
      <c r="O100" s="344"/>
      <c r="P100" s="344"/>
      <c r="Q100" s="363"/>
      <c r="R100" s="343"/>
      <c r="S100" s="344"/>
      <c r="T100" s="344"/>
      <c r="U100" s="344"/>
      <c r="V100" s="344"/>
      <c r="W100" s="343"/>
      <c r="X100" s="344"/>
      <c r="Y100" s="344"/>
      <c r="Z100" s="331"/>
      <c r="AA100" s="332"/>
      <c r="AB100" s="332"/>
      <c r="AC100" s="333"/>
      <c r="AD100" s="334"/>
      <c r="AE100" s="335"/>
      <c r="AF100" s="336"/>
      <c r="AG100" s="336"/>
      <c r="AH100" s="337"/>
      <c r="AI100" s="338"/>
      <c r="AJ100" s="8"/>
      <c r="AK100" s="52"/>
      <c r="AL100" s="52"/>
      <c r="AM100" s="52"/>
      <c r="AN100" s="52"/>
      <c r="AO100" s="52"/>
      <c r="AP100" s="52"/>
      <c r="AQ100" s="8"/>
      <c r="AR100" s="3"/>
    </row>
    <row r="101" spans="1:44" ht="18.75" customHeight="1" x14ac:dyDescent="0.2">
      <c r="A101" s="320" t="str">
        <f>IF($AK94&gt;4,"5","")</f>
        <v>5</v>
      </c>
      <c r="B101" s="322" t="s">
        <v>10</v>
      </c>
      <c r="C101" s="323"/>
      <c r="D101" s="323"/>
      <c r="E101" s="324" t="str">
        <f>AU20</f>
        <v>MOTO 14-2 IGNITE</v>
      </c>
      <c r="F101" s="325"/>
      <c r="G101" s="325"/>
      <c r="H101" s="325"/>
      <c r="I101" s="325"/>
      <c r="J101" s="325"/>
      <c r="K101" s="326"/>
      <c r="L101" s="327">
        <f>IF($AK95=0,AF153,AF135)</f>
        <v>0</v>
      </c>
      <c r="M101" s="328"/>
      <c r="N101" s="328"/>
      <c r="O101" s="328"/>
      <c r="P101" s="328"/>
      <c r="Q101" s="363"/>
      <c r="R101" s="327">
        <f>IF($AK95=0,AG153,AG135)</f>
        <v>8</v>
      </c>
      <c r="S101" s="328"/>
      <c r="T101" s="328"/>
      <c r="U101" s="328"/>
      <c r="V101" s="328"/>
      <c r="W101" s="327">
        <f>AQ113</f>
        <v>-82</v>
      </c>
      <c r="X101" s="328"/>
      <c r="Y101" s="328"/>
      <c r="Z101" s="300">
        <f>IF(AF147&gt;0,(AQ113/AF147),0)</f>
        <v>-0.41</v>
      </c>
      <c r="AA101" s="301"/>
      <c r="AB101" s="301"/>
      <c r="AC101" s="304">
        <f>IF(AF161=0,0,(AF153/AF161))</f>
        <v>0</v>
      </c>
      <c r="AD101" s="305"/>
      <c r="AE101" s="306"/>
      <c r="AF101" s="310">
        <v>5</v>
      </c>
      <c r="AG101" s="310">
        <v>1</v>
      </c>
      <c r="AH101" s="312">
        <v>16</v>
      </c>
      <c r="AI101" s="313"/>
      <c r="AJ101" s="8"/>
      <c r="AK101" s="52"/>
      <c r="AL101" s="52"/>
      <c r="AM101" s="52"/>
      <c r="AN101" s="52"/>
      <c r="AO101" s="52"/>
      <c r="AP101" s="52"/>
      <c r="AQ101" s="8"/>
      <c r="AR101" s="3"/>
    </row>
    <row r="102" spans="1:44" ht="18.75" customHeight="1" thickBot="1" x14ac:dyDescent="0.25">
      <c r="A102" s="321"/>
      <c r="B102" s="316" t="s">
        <v>11</v>
      </c>
      <c r="C102" s="317"/>
      <c r="D102" s="317"/>
      <c r="E102" s="318" t="str">
        <f>AV20</f>
        <v>fj4motoj2pm</v>
      </c>
      <c r="F102" s="319"/>
      <c r="G102" s="319"/>
      <c r="H102" s="319"/>
      <c r="I102" s="319"/>
      <c r="J102" s="319"/>
      <c r="K102" s="319"/>
      <c r="L102" s="329"/>
      <c r="M102" s="330"/>
      <c r="N102" s="330"/>
      <c r="O102" s="330"/>
      <c r="P102" s="330"/>
      <c r="Q102" s="363"/>
      <c r="R102" s="329"/>
      <c r="S102" s="330"/>
      <c r="T102" s="330"/>
      <c r="U102" s="330"/>
      <c r="V102" s="330"/>
      <c r="W102" s="329"/>
      <c r="X102" s="330"/>
      <c r="Y102" s="330"/>
      <c r="Z102" s="302"/>
      <c r="AA102" s="303"/>
      <c r="AB102" s="303"/>
      <c r="AC102" s="307"/>
      <c r="AD102" s="308"/>
      <c r="AE102" s="309"/>
      <c r="AF102" s="311"/>
      <c r="AG102" s="311"/>
      <c r="AH102" s="314"/>
      <c r="AI102" s="315"/>
      <c r="AJ102" s="8"/>
      <c r="AK102" s="52"/>
      <c r="AL102" s="52"/>
      <c r="AM102" s="52"/>
      <c r="AN102" s="52"/>
      <c r="AO102" s="52"/>
      <c r="AP102" s="52"/>
      <c r="AQ102" s="8"/>
      <c r="AR102" s="3"/>
    </row>
    <row r="103" spans="1:44" ht="21" customHeight="1" thickTop="1" thickBot="1" x14ac:dyDescent="0.25">
      <c r="A103" s="55"/>
      <c r="B103" s="297" t="s">
        <v>195</v>
      </c>
      <c r="C103" s="298"/>
      <c r="D103" s="298"/>
      <c r="E103" s="298"/>
      <c r="F103" s="298"/>
      <c r="G103" s="298"/>
      <c r="H103" s="298"/>
      <c r="I103" s="298"/>
      <c r="J103" s="298"/>
      <c r="K103" s="298"/>
      <c r="L103" s="298"/>
      <c r="M103" s="298"/>
      <c r="N103" s="298"/>
      <c r="O103" s="298"/>
      <c r="P103" s="298"/>
      <c r="Q103" s="298"/>
      <c r="R103" s="298"/>
      <c r="S103" s="298"/>
      <c r="T103" s="298"/>
      <c r="U103" s="298"/>
      <c r="V103" s="298"/>
      <c r="W103" s="298"/>
      <c r="X103" s="298"/>
      <c r="Y103" s="298"/>
      <c r="Z103" s="298"/>
      <c r="AA103" s="298"/>
      <c r="AB103" s="298"/>
      <c r="AC103" s="298"/>
      <c r="AD103" s="298"/>
      <c r="AE103" s="298"/>
      <c r="AF103" s="298"/>
      <c r="AG103" s="298"/>
      <c r="AH103" s="298"/>
      <c r="AI103" s="299"/>
      <c r="AJ103" s="8"/>
      <c r="AK103" s="52"/>
      <c r="AL103" s="52"/>
      <c r="AM103" s="52"/>
      <c r="AN103" s="52"/>
      <c r="AO103" s="52"/>
      <c r="AP103" s="52"/>
      <c r="AQ103" s="8"/>
      <c r="AR103" s="3"/>
    </row>
    <row r="104" spans="1:44" ht="13.5" thickTop="1" x14ac:dyDescent="0.2">
      <c r="A104" s="4" t="s">
        <v>60</v>
      </c>
      <c r="B104" s="286">
        <v>0.35416666666666669</v>
      </c>
      <c r="C104" s="287"/>
      <c r="D104" s="288"/>
      <c r="E104" s="286">
        <v>0.38194444444444442</v>
      </c>
      <c r="F104" s="287"/>
      <c r="G104" s="288"/>
      <c r="H104" s="286">
        <v>0.40972222222222227</v>
      </c>
      <c r="I104" s="287"/>
      <c r="J104" s="288"/>
      <c r="K104" s="286">
        <v>0.4375</v>
      </c>
      <c r="L104" s="287"/>
      <c r="M104" s="288"/>
      <c r="N104" s="286">
        <v>0.46527777777777773</v>
      </c>
      <c r="O104" s="287"/>
      <c r="P104" s="288"/>
      <c r="Q104" s="286">
        <v>0.49305555555555558</v>
      </c>
      <c r="R104" s="287"/>
      <c r="S104" s="288"/>
      <c r="T104" s="286">
        <v>0.52083333333333337</v>
      </c>
      <c r="U104" s="287"/>
      <c r="V104" s="288"/>
      <c r="W104" s="286">
        <v>4.8611111111111112E-2</v>
      </c>
      <c r="X104" s="287"/>
      <c r="Y104" s="288"/>
      <c r="Z104" s="286">
        <v>7.6388888888888895E-2</v>
      </c>
      <c r="AA104" s="287"/>
      <c r="AB104" s="288"/>
      <c r="AC104" s="286">
        <v>0.10416666666666667</v>
      </c>
      <c r="AD104" s="287"/>
      <c r="AE104" s="288"/>
      <c r="AF104" s="289" t="s">
        <v>61</v>
      </c>
      <c r="AG104" s="290"/>
      <c r="AH104" s="290"/>
      <c r="AI104" s="290"/>
      <c r="AJ104" s="291"/>
      <c r="AK104" s="291"/>
      <c r="AL104" s="291"/>
      <c r="AM104" s="291"/>
      <c r="AN104" s="291"/>
      <c r="AO104" s="291"/>
      <c r="AP104" s="291"/>
      <c r="AQ104" s="292"/>
    </row>
    <row r="105" spans="1:44" x14ac:dyDescent="0.2">
      <c r="A105" s="56" t="s">
        <v>62</v>
      </c>
      <c r="B105" s="283">
        <v>0.3576388888888889</v>
      </c>
      <c r="C105" s="284"/>
      <c r="D105" s="285"/>
      <c r="E105" s="283">
        <v>0.38680555555555557</v>
      </c>
      <c r="F105" s="284"/>
      <c r="G105" s="285"/>
      <c r="H105" s="283">
        <v>0.41805555555555557</v>
      </c>
      <c r="I105" s="284"/>
      <c r="J105" s="285"/>
      <c r="K105" s="283">
        <v>0.44305555555555554</v>
      </c>
      <c r="L105" s="284"/>
      <c r="M105" s="285"/>
      <c r="N105" s="283">
        <v>0.4826388888888889</v>
      </c>
      <c r="O105" s="284"/>
      <c r="P105" s="285"/>
      <c r="Q105" s="283">
        <v>0.51180555555555551</v>
      </c>
      <c r="R105" s="284"/>
      <c r="S105" s="285"/>
      <c r="T105" s="283">
        <v>0.53472222222222221</v>
      </c>
      <c r="U105" s="284"/>
      <c r="V105" s="285"/>
      <c r="W105" s="283">
        <v>7.9861111111111105E-2</v>
      </c>
      <c r="X105" s="284"/>
      <c r="Y105" s="285"/>
      <c r="Z105" s="283">
        <v>9.0277777777777776E-2</v>
      </c>
      <c r="AA105" s="284"/>
      <c r="AB105" s="285"/>
      <c r="AC105" s="283">
        <v>0.1277777777777778</v>
      </c>
      <c r="AD105" s="284"/>
      <c r="AE105" s="285"/>
      <c r="AF105" s="289"/>
      <c r="AG105" s="290"/>
      <c r="AH105" s="290"/>
      <c r="AI105" s="290"/>
      <c r="AJ105" s="290"/>
      <c r="AK105" s="290"/>
      <c r="AL105" s="290"/>
      <c r="AM105" s="290"/>
      <c r="AN105" s="290"/>
      <c r="AO105" s="290"/>
      <c r="AP105" s="290"/>
      <c r="AQ105" s="293"/>
    </row>
    <row r="106" spans="1:44" x14ac:dyDescent="0.2">
      <c r="A106" s="56" t="s">
        <v>63</v>
      </c>
      <c r="B106" s="283">
        <v>0.375</v>
      </c>
      <c r="C106" s="284"/>
      <c r="D106" s="285"/>
      <c r="E106" s="283">
        <v>0.4055555555555555</v>
      </c>
      <c r="F106" s="284"/>
      <c r="G106" s="285"/>
      <c r="H106" s="283">
        <v>0.4375</v>
      </c>
      <c r="I106" s="284"/>
      <c r="J106" s="285"/>
      <c r="K106" s="283">
        <v>0.47083333333333338</v>
      </c>
      <c r="L106" s="284"/>
      <c r="M106" s="285"/>
      <c r="N106" s="283">
        <v>0.50208333333333333</v>
      </c>
      <c r="O106" s="284"/>
      <c r="P106" s="285"/>
      <c r="Q106" s="283">
        <v>0.53055555555555556</v>
      </c>
      <c r="R106" s="284"/>
      <c r="S106" s="285"/>
      <c r="T106" s="283">
        <v>7.0833333333333331E-2</v>
      </c>
      <c r="U106" s="284"/>
      <c r="V106" s="285"/>
      <c r="W106" s="283">
        <v>9.5833333333333326E-2</v>
      </c>
      <c r="X106" s="284"/>
      <c r="Y106" s="285"/>
      <c r="Z106" s="283">
        <v>0.125</v>
      </c>
      <c r="AA106" s="284"/>
      <c r="AB106" s="285"/>
      <c r="AC106" s="283">
        <v>0.15763888888888888</v>
      </c>
      <c r="AD106" s="284"/>
      <c r="AE106" s="285"/>
      <c r="AF106" s="289"/>
      <c r="AG106" s="290"/>
      <c r="AH106" s="290"/>
      <c r="AI106" s="290"/>
      <c r="AJ106" s="290"/>
      <c r="AK106" s="290"/>
      <c r="AL106" s="290"/>
      <c r="AM106" s="290"/>
      <c r="AN106" s="290"/>
      <c r="AO106" s="290"/>
      <c r="AP106" s="290"/>
      <c r="AQ106" s="293"/>
    </row>
    <row r="107" spans="1:44" ht="13.5" thickBot="1" x14ac:dyDescent="0.25">
      <c r="A107" s="8"/>
      <c r="B107" s="173" t="s">
        <v>64</v>
      </c>
      <c r="C107" s="174"/>
      <c r="D107" s="180"/>
      <c r="E107" s="173" t="str">
        <f>IF(AK93&gt;1,"Match 2","")</f>
        <v>Match 2</v>
      </c>
      <c r="F107" s="174"/>
      <c r="G107" s="180"/>
      <c r="H107" s="173" t="str">
        <f>IF(AK93&gt;2,"Match 3","")</f>
        <v>Match 3</v>
      </c>
      <c r="I107" s="174"/>
      <c r="J107" s="180"/>
      <c r="K107" s="173" t="str">
        <f>IF(AK93&gt;3,"Match 4","")</f>
        <v>Match 4</v>
      </c>
      <c r="L107" s="174"/>
      <c r="M107" s="180"/>
      <c r="N107" s="173" t="str">
        <f>IF(AK93&gt;4,"Match 5","")</f>
        <v>Match 5</v>
      </c>
      <c r="O107" s="174"/>
      <c r="P107" s="180"/>
      <c r="Q107" s="173" t="str">
        <f>IF(AK93&gt;5,"Match 6","")</f>
        <v>Match 6</v>
      </c>
      <c r="R107" s="174"/>
      <c r="S107" s="180"/>
      <c r="T107" s="173" t="str">
        <f>IF(AK93&gt;6,"Match 7","")</f>
        <v>Match 7</v>
      </c>
      <c r="U107" s="174"/>
      <c r="V107" s="180"/>
      <c r="W107" s="173" t="str">
        <f>IF(AK93&gt;7,"Match 8","")</f>
        <v>Match 8</v>
      </c>
      <c r="X107" s="174"/>
      <c r="Y107" s="180"/>
      <c r="Z107" s="173" t="str">
        <f>IF(AK93&gt;8,"Match 9","")</f>
        <v>Match 9</v>
      </c>
      <c r="AA107" s="174"/>
      <c r="AB107" s="180"/>
      <c r="AC107" s="173" t="str">
        <f>IF(AK93&gt;9,"Match 10","")</f>
        <v>Match 10</v>
      </c>
      <c r="AD107" s="174"/>
      <c r="AE107" s="180"/>
      <c r="AF107" s="294"/>
      <c r="AG107" s="295"/>
      <c r="AH107" s="295"/>
      <c r="AI107" s="295"/>
      <c r="AJ107" s="295"/>
      <c r="AK107" s="295"/>
      <c r="AL107" s="295"/>
      <c r="AM107" s="295"/>
      <c r="AN107" s="295"/>
      <c r="AO107" s="295"/>
      <c r="AP107" s="295"/>
      <c r="AQ107" s="296"/>
    </row>
    <row r="108" spans="1:44" ht="15.75" x14ac:dyDescent="0.25">
      <c r="A108" s="8"/>
      <c r="B108" s="277" t="s">
        <v>68</v>
      </c>
      <c r="C108" s="278"/>
      <c r="D108" s="279"/>
      <c r="E108" s="277" t="s">
        <v>67</v>
      </c>
      <c r="F108" s="278"/>
      <c r="G108" s="279"/>
      <c r="H108" s="277" t="s">
        <v>65</v>
      </c>
      <c r="I108" s="278"/>
      <c r="J108" s="279"/>
      <c r="K108" s="277" t="s">
        <v>204</v>
      </c>
      <c r="L108" s="278"/>
      <c r="M108" s="279"/>
      <c r="N108" s="277" t="s">
        <v>66</v>
      </c>
      <c r="O108" s="278"/>
      <c r="P108" s="279"/>
      <c r="Q108" s="277" t="s">
        <v>65</v>
      </c>
      <c r="R108" s="278"/>
      <c r="S108" s="279"/>
      <c r="T108" s="277" t="s">
        <v>68</v>
      </c>
      <c r="U108" s="278"/>
      <c r="V108" s="279"/>
      <c r="W108" s="277" t="s">
        <v>66</v>
      </c>
      <c r="X108" s="278"/>
      <c r="Y108" s="279"/>
      <c r="Z108" s="277" t="s">
        <v>204</v>
      </c>
      <c r="AA108" s="278"/>
      <c r="AB108" s="279"/>
      <c r="AC108" s="277" t="s">
        <v>67</v>
      </c>
      <c r="AD108" s="278"/>
      <c r="AE108" s="279"/>
      <c r="AF108" s="57" t="s">
        <v>70</v>
      </c>
      <c r="AG108" s="58">
        <v>1</v>
      </c>
      <c r="AH108" s="58">
        <v>2</v>
      </c>
      <c r="AI108" s="58">
        <v>3</v>
      </c>
      <c r="AJ108" s="58">
        <v>4</v>
      </c>
      <c r="AK108" s="58">
        <v>5</v>
      </c>
      <c r="AL108" s="58">
        <v>6</v>
      </c>
      <c r="AM108" s="58">
        <v>7</v>
      </c>
      <c r="AN108" s="58">
        <v>8</v>
      </c>
      <c r="AO108" s="58">
        <v>9</v>
      </c>
      <c r="AP108" s="58">
        <v>10</v>
      </c>
      <c r="AQ108" s="59" t="s">
        <v>71</v>
      </c>
    </row>
    <row r="109" spans="1:44" ht="15.75" x14ac:dyDescent="0.25">
      <c r="A109" s="8"/>
      <c r="B109" s="61">
        <v>2</v>
      </c>
      <c r="C109" s="62" t="s">
        <v>72</v>
      </c>
      <c r="D109" s="63">
        <v>5</v>
      </c>
      <c r="E109" s="61">
        <v>1</v>
      </c>
      <c r="F109" s="62" t="str">
        <f>IF(AK93&gt;1,"v","")</f>
        <v>v</v>
      </c>
      <c r="G109" s="63">
        <v>4</v>
      </c>
      <c r="H109" s="61">
        <v>3</v>
      </c>
      <c r="I109" s="62" t="str">
        <f>IF(AK93&gt;2,"v","")</f>
        <v>v</v>
      </c>
      <c r="J109" s="63">
        <v>5</v>
      </c>
      <c r="K109" s="61">
        <v>2</v>
      </c>
      <c r="L109" s="62" t="str">
        <f>IF(AK93&gt;3,"v","")</f>
        <v>v</v>
      </c>
      <c r="M109" s="63">
        <v>4</v>
      </c>
      <c r="N109" s="61">
        <v>1</v>
      </c>
      <c r="O109" s="62" t="str">
        <f>IF(AK93&gt;4,"v","")</f>
        <v>v</v>
      </c>
      <c r="P109" s="63">
        <v>3</v>
      </c>
      <c r="Q109" s="61">
        <v>4</v>
      </c>
      <c r="R109" s="62" t="str">
        <f>IF(AK93&gt;5,"v","")</f>
        <v>v</v>
      </c>
      <c r="S109" s="63">
        <v>5</v>
      </c>
      <c r="T109" s="61">
        <v>2</v>
      </c>
      <c r="U109" s="62" t="str">
        <f>IF(AK93&gt;6,"v","")</f>
        <v>v</v>
      </c>
      <c r="V109" s="63">
        <v>3</v>
      </c>
      <c r="W109" s="61">
        <v>1</v>
      </c>
      <c r="X109" s="62" t="str">
        <f>IF(AK93&gt;7,"v","")</f>
        <v>v</v>
      </c>
      <c r="Y109" s="63">
        <v>5</v>
      </c>
      <c r="Z109" s="61">
        <v>3</v>
      </c>
      <c r="AA109" s="62" t="str">
        <f>IF(AK93&gt;8,"v","")</f>
        <v>v</v>
      </c>
      <c r="AB109" s="63">
        <v>4</v>
      </c>
      <c r="AC109" s="61">
        <v>1</v>
      </c>
      <c r="AD109" s="62" t="str">
        <f>IF(AK93&gt;9,"v","")</f>
        <v>v</v>
      </c>
      <c r="AE109" s="63">
        <v>2</v>
      </c>
      <c r="AF109" s="57" t="str">
        <f>IF(AK94&gt;0,"Team 1","")</f>
        <v>Team 1</v>
      </c>
      <c r="AG109" s="64" t="str">
        <f>IF(AK94&lt;1,"",IF(AK93&lt;1,"",IF(B109=1,B115-D115,IF(D109=1,D115-B115,""))))</f>
        <v/>
      </c>
      <c r="AH109" s="64">
        <f>IF(AK94&lt;1,"",IF(AK93&lt;2,"",IF(E109=1,E115-G115,IF(G109=1,G115-E115,""))))</f>
        <v>19</v>
      </c>
      <c r="AI109" s="64" t="str">
        <f>IF(AK94&lt;1,"",IF(AK93&lt;3,"",IF(H109=1,H115-J115,IF(J109=1,J115-H115,""))))</f>
        <v/>
      </c>
      <c r="AJ109" s="64" t="str">
        <f>IF(AK94&lt;1,"",IF(AK93&lt;4,"",IF(K109=1,K115-M115,IF(M109=1,M115-K115,""))))</f>
        <v/>
      </c>
      <c r="AK109" s="64">
        <f>IF(AK94&lt;1,"",IF(AK93&lt;5,"",IF(N109=1,N115-P115,IF(P109=1,P115-N115,""))))</f>
        <v>15</v>
      </c>
      <c r="AL109" s="64" t="str">
        <f>IF(AK94&lt;1,"",IF(AK93&lt;6,"",IF(Q109=1,Q115-S115,IF(S109=1,S115-Q115,""))))</f>
        <v/>
      </c>
      <c r="AM109" s="64" t="str">
        <f>IF(AK94&lt;1,"",IF(AK93&lt;7,"",IF(T109=1,T115-V115,IF(V109=1,V115-T115,""))))</f>
        <v/>
      </c>
      <c r="AN109" s="64">
        <f>IF(AK94&lt;1,"",IF(AK93&lt;8,"",IF(W109=1,W115-Y115,IF(Y109=1,Y115-W115,""))))</f>
        <v>25</v>
      </c>
      <c r="AO109" s="64" t="str">
        <f>IF(AK94&lt;1,"",IF(AK93&lt;9,"",IF(Z109=1,Z115-AB115,IF(AB109=1,AB115-Z115,""))))</f>
        <v/>
      </c>
      <c r="AP109" s="64">
        <f>IF(AK94&lt;1,"",IF(AK93&lt;10,"",IF(AC109=1,AC115-AE115,IF(AE109=1,AE115-AC115,""))))</f>
        <v>4</v>
      </c>
      <c r="AQ109" s="59">
        <f>SUM(AG109:AP109)</f>
        <v>63</v>
      </c>
    </row>
    <row r="110" spans="1:44" ht="15" x14ac:dyDescent="0.2">
      <c r="A110" s="4" t="s">
        <v>73</v>
      </c>
      <c r="B110" s="65">
        <v>25</v>
      </c>
      <c r="C110" s="66" t="s">
        <v>74</v>
      </c>
      <c r="D110" s="67">
        <v>20</v>
      </c>
      <c r="E110" s="65">
        <v>25</v>
      </c>
      <c r="F110" s="66" t="str">
        <f>IF(AK93&gt;1,"/","")</f>
        <v>/</v>
      </c>
      <c r="G110" s="67">
        <v>16</v>
      </c>
      <c r="H110" s="65">
        <v>25</v>
      </c>
      <c r="I110" s="66" t="str">
        <f>IF(AK93&gt;2,"/","")</f>
        <v>/</v>
      </c>
      <c r="J110" s="67">
        <v>14</v>
      </c>
      <c r="K110" s="65">
        <v>25</v>
      </c>
      <c r="L110" s="66" t="str">
        <f>IF(AK93&gt;3,"/","")</f>
        <v>/</v>
      </c>
      <c r="M110" s="67">
        <v>17</v>
      </c>
      <c r="N110" s="65">
        <v>25</v>
      </c>
      <c r="O110" s="66" t="str">
        <f>IF(AK93&gt;4,"/","")</f>
        <v>/</v>
      </c>
      <c r="P110" s="67">
        <v>17</v>
      </c>
      <c r="Q110" s="65">
        <v>25</v>
      </c>
      <c r="R110" s="66" t="str">
        <f>IF(AK93&gt;5,"/","")</f>
        <v>/</v>
      </c>
      <c r="S110" s="67">
        <v>14</v>
      </c>
      <c r="T110" s="65">
        <v>27</v>
      </c>
      <c r="U110" s="66" t="str">
        <f>IF(AK93&gt;6,"/","")</f>
        <v>/</v>
      </c>
      <c r="V110" s="67">
        <v>26</v>
      </c>
      <c r="W110" s="65">
        <v>25</v>
      </c>
      <c r="X110" s="66" t="str">
        <f>IF(AK93&gt;7,"/","")</f>
        <v>/</v>
      </c>
      <c r="Y110" s="67">
        <v>18</v>
      </c>
      <c r="Z110" s="65">
        <v>25</v>
      </c>
      <c r="AA110" s="66" t="str">
        <f>IF(AK93&gt;8,"/","")</f>
        <v>/</v>
      </c>
      <c r="AB110" s="67">
        <v>9</v>
      </c>
      <c r="AC110" s="65">
        <v>25</v>
      </c>
      <c r="AD110" s="66" t="str">
        <f>IF(AK93&gt;9,"/","")</f>
        <v>/</v>
      </c>
      <c r="AE110" s="67">
        <v>18</v>
      </c>
      <c r="AF110" s="57" t="str">
        <f>IF(AK94&gt;1,"Team 2","")</f>
        <v>Team 2</v>
      </c>
      <c r="AG110" s="64">
        <f>IF(AK94&lt;2,"",IF(AK93&lt;1,"",IF(B109=2,B115-D115,IF(D109=2,D115-B115,""))))</f>
        <v>19</v>
      </c>
      <c r="AH110" s="64" t="str">
        <f>IF(AK94&lt;2,"",IF(AK93&lt;2,"",IF(E109=2,E115-G115,IF(G109=2,G115-E115,""))))</f>
        <v/>
      </c>
      <c r="AI110" s="64" t="str">
        <f>IF(AK94&lt;2,"",IF(AK93&lt;3,"",IF(H109=2,H115-J115,IF(J109=2,J115-H115,""))))</f>
        <v/>
      </c>
      <c r="AJ110" s="64">
        <f>IF(AK94&lt;2,"",IF(AK93&lt;4,"",IF(K109=2,K115-M115,IF(M109=2,M115-K115,""))))</f>
        <v>12</v>
      </c>
      <c r="AK110" s="64" t="str">
        <f>IF(AK94&lt;2,"",IF(AK93&lt;5,"",IF(N109=2,N115-P115,IF(P109=2,P115-N115,""))))</f>
        <v/>
      </c>
      <c r="AL110" s="64" t="str">
        <f>IF(AK94&lt;2,"",IF(AK93&lt;6,"",IF(Q109=2,Q115-S115,IF(S109=2,S115-Q115,""))))</f>
        <v/>
      </c>
      <c r="AM110" s="64">
        <f>IF(AK94&lt;2,"",IF(AK93&lt;7,"",IF(T109=2,T115-V115,IF(V109=2,V115-T115,""))))</f>
        <v>-10</v>
      </c>
      <c r="AN110" s="64" t="str">
        <f>IF(AK94&lt;2,"",IF(AK93&lt;8,"",IF(W109=2,W115-Y115,IF(Y109=2,Y115-W115,""))))</f>
        <v/>
      </c>
      <c r="AO110" s="64" t="str">
        <f>IF(AK94&lt;2,"",IF(AK93&lt;9,"",IF(Z109=2,Z115-AB115,IF(AB109=2,AB115-Z115,""))))</f>
        <v/>
      </c>
      <c r="AP110" s="64">
        <f>IF(AK94&lt;2,"",IF(AK93&lt;10,"",IF(AC109=2,AC115-AE115,IF(AE109=2,AE115-AC115,""))))</f>
        <v>-4</v>
      </c>
      <c r="AQ110" s="59">
        <f>SUM(AG110:AP110)</f>
        <v>17</v>
      </c>
    </row>
    <row r="111" spans="1:44" ht="15" x14ac:dyDescent="0.2">
      <c r="A111" s="3" t="str">
        <f>IF(AK92&gt;1,"Game 2","")</f>
        <v>Game 2</v>
      </c>
      <c r="B111" s="65">
        <v>25</v>
      </c>
      <c r="C111" s="66" t="s">
        <v>74</v>
      </c>
      <c r="D111" s="67">
        <v>11</v>
      </c>
      <c r="E111" s="65">
        <v>25</v>
      </c>
      <c r="F111" s="66" t="str">
        <f>IF(AK93&gt;1,IF(AK92&gt;1,"/",""),"")</f>
        <v>/</v>
      </c>
      <c r="G111" s="67">
        <v>15</v>
      </c>
      <c r="H111" s="65">
        <v>25</v>
      </c>
      <c r="I111" s="66" t="str">
        <f>IF(AK93&gt;2,IF(AK92&gt;1,"/",""),"")</f>
        <v>/</v>
      </c>
      <c r="J111" s="67">
        <v>19</v>
      </c>
      <c r="K111" s="65">
        <v>25</v>
      </c>
      <c r="L111" s="66" t="str">
        <f>IF(AK93&gt;3,IF(AK92&gt;1,"/",""),"")</f>
        <v>/</v>
      </c>
      <c r="M111" s="67">
        <v>21</v>
      </c>
      <c r="N111" s="65">
        <v>25</v>
      </c>
      <c r="O111" s="66" t="str">
        <f>IF(AK93&gt;4,IF(AK92&gt;1,"/",""),"")</f>
        <v>/</v>
      </c>
      <c r="P111" s="67">
        <v>18</v>
      </c>
      <c r="Q111" s="65">
        <v>25</v>
      </c>
      <c r="R111" s="66" t="str">
        <f>IF(AK93&gt;5,IF(AK92&gt;1,"/",""),"")</f>
        <v>/</v>
      </c>
      <c r="S111" s="67">
        <v>15</v>
      </c>
      <c r="T111" s="65">
        <v>14</v>
      </c>
      <c r="U111" s="66" t="str">
        <f>IF(AK93&gt;6,IF(AK92&gt;1,"/",""),"")</f>
        <v>/</v>
      </c>
      <c r="V111" s="67">
        <v>25</v>
      </c>
      <c r="W111" s="65">
        <v>25</v>
      </c>
      <c r="X111" s="66" t="str">
        <f>IF(AK93&gt;7,IF(AK92&gt;1,"/",""),"")</f>
        <v>/</v>
      </c>
      <c r="Y111" s="67">
        <v>7</v>
      </c>
      <c r="Z111" s="65">
        <v>25</v>
      </c>
      <c r="AA111" s="66" t="str">
        <f>IF(AK93&gt;8,IF(AK92&gt;1,"/",""),"")</f>
        <v>/</v>
      </c>
      <c r="AB111" s="67">
        <v>16</v>
      </c>
      <c r="AC111" s="65">
        <v>22</v>
      </c>
      <c r="AD111" s="66" t="str">
        <f>IF(AK93&gt;9,IF(AK92&gt;1,"/",""),"")</f>
        <v>/</v>
      </c>
      <c r="AE111" s="67">
        <v>25</v>
      </c>
      <c r="AF111" s="57" t="str">
        <f>IF(AK94&gt;2,"Team 3","")</f>
        <v>Team 3</v>
      </c>
      <c r="AG111" s="64" t="str">
        <f>IF(AK94&lt;3,"",IF(AK93&lt;1,"",IF(B109=3,B115-D115,IF(D109=3,D115-B115,""))))</f>
        <v/>
      </c>
      <c r="AH111" s="64" t="str">
        <f>IF(AK94&lt;3,"",IF(AK93&lt;2,"",IF(E109=3,E115-G115,IF(G109=3,G115-E115,""))))</f>
        <v/>
      </c>
      <c r="AI111" s="64">
        <f>IF(AK94&lt;3,"",IF(AK93&lt;3,"",IF(H109=3,H115-J115,IF(J109=3,J115-H115,""))))</f>
        <v>17</v>
      </c>
      <c r="AJ111" s="64" t="str">
        <f>IF(AK94&lt;3,"",IF(AK93&lt;4,"",IF(K109=3,K115-M115,IF(M109=3,M115-K115,""))))</f>
        <v/>
      </c>
      <c r="AK111" s="64">
        <f>IF(AK94&lt;3,"",IF(AK93&lt;5,"",IF(N109=3,N115-P115,IF(P109=3,P115-N115,""))))</f>
        <v>-15</v>
      </c>
      <c r="AL111" s="64" t="str">
        <f>IF(AK94&lt;3,"",IF(AK93&lt;6,"",IF(Q109=3,Q115-S115,IF(S109=3,S115-Q115,""))))</f>
        <v/>
      </c>
      <c r="AM111" s="64">
        <f>IF(AK94&lt;3,"",IF(AK93&lt;7,"",IF(T109=3,T115-V115,IF(V109=3,V115-T115,""))))</f>
        <v>10</v>
      </c>
      <c r="AN111" s="64" t="str">
        <f>IF(AK94&lt;3,"",IF(AK93&lt;8,"",IF(W109=3,W115-Y115,IF(Y109=3,Y115-W115,""))))</f>
        <v/>
      </c>
      <c r="AO111" s="64">
        <f>IF(AK94&lt;3,"",IF(AK93&lt;9,"",IF(Z109=3,Z115-AB115,IF(AB109=3,AB115-Z115,""))))</f>
        <v>25</v>
      </c>
      <c r="AP111" s="64" t="str">
        <f>IF(AK94&lt;3,"",IF(AK93&lt;9,"",IF(AC109=3,AC115-AE115,IF(AE109=3,AE115-AC115,""))))</f>
        <v/>
      </c>
      <c r="AQ111" s="59">
        <f>SUM(AG111:AP111)</f>
        <v>37</v>
      </c>
    </row>
    <row r="112" spans="1:44" ht="15" x14ac:dyDescent="0.2">
      <c r="A112" s="3" t="str">
        <f>IF(AK92&gt;2,"Game 3","")</f>
        <v/>
      </c>
      <c r="B112" s="65"/>
      <c r="C112" s="66" t="s">
        <v>74</v>
      </c>
      <c r="D112" s="67"/>
      <c r="E112" s="65"/>
      <c r="F112" s="66" t="str">
        <f>IF(AK93&gt;1,IF(AK92&gt;2,"/",""),"")</f>
        <v/>
      </c>
      <c r="G112" s="67"/>
      <c r="H112" s="65"/>
      <c r="I112" s="66" t="str">
        <f>IF(AK93&gt;2,IF(AK92&gt;2,"/",""),"")</f>
        <v/>
      </c>
      <c r="J112" s="67"/>
      <c r="K112" s="65"/>
      <c r="L112" s="66" t="str">
        <f>IF(AK93&gt;3,IF(AK92&gt;2,"/",""),"")</f>
        <v/>
      </c>
      <c r="M112" s="67"/>
      <c r="N112" s="65"/>
      <c r="O112" s="66" t="str">
        <f>IF(AK93&gt;4,IF(AK92&gt;2,"/",""),"")</f>
        <v/>
      </c>
      <c r="P112" s="67"/>
      <c r="Q112" s="65"/>
      <c r="R112" s="66" t="str">
        <f>IF(AK93&gt;5,IF(AK92&gt;2,"/",""),"")</f>
        <v/>
      </c>
      <c r="S112" s="67"/>
      <c r="T112" s="65"/>
      <c r="U112" s="66" t="str">
        <f>IF(AK93&gt;6,IF(AK92&gt;2,"/",""),"")</f>
        <v/>
      </c>
      <c r="V112" s="67"/>
      <c r="W112" s="65"/>
      <c r="X112" s="66" t="str">
        <f>IF(AK93&gt;7,IF(AK92&gt;2,"/",""),"")</f>
        <v/>
      </c>
      <c r="Y112" s="67"/>
      <c r="Z112" s="65"/>
      <c r="AA112" s="66" t="str">
        <f>IF(AK93&gt;8,IF(AK92&gt;2,"/",""),"")</f>
        <v/>
      </c>
      <c r="AB112" s="67"/>
      <c r="AC112" s="65"/>
      <c r="AD112" s="66" t="str">
        <f>IF(AK93&gt;9,IF(AK92&gt;2,"/",""),"")</f>
        <v/>
      </c>
      <c r="AE112" s="67"/>
      <c r="AF112" s="57" t="str">
        <f>IF(AK94&gt;3,"Team 4","")</f>
        <v>Team 4</v>
      </c>
      <c r="AG112" s="64" t="str">
        <f>IF(AK94&lt;4,"",IF(AK93&lt;1,"",IF(B109=4,B115-D115,IF(D109=4,D115-B115,""))))</f>
        <v/>
      </c>
      <c r="AH112" s="64">
        <f>IF(AK94&lt;4,"",IF(AK93&lt;2,"",IF(E109=4,E115-G115,IF(G109=4,G115-E115,""))))</f>
        <v>-19</v>
      </c>
      <c r="AI112" s="64" t="str">
        <f>IF(AK94&lt;4,"",IF(AK93&lt;3,"",IF(H109=4,H115-J115,IF(J109=4,J115-H115,""))))</f>
        <v/>
      </c>
      <c r="AJ112" s="64">
        <f>IF(AK94&lt;4,"",IF(AK93&lt;4,"",IF(K109=4,K115-M115,IF(M109=4,M115-K115,""))))</f>
        <v>-12</v>
      </c>
      <c r="AK112" s="64" t="str">
        <f>IF(AK94&lt;4,"",IF(AK93&lt;5,"",IF(N109=4,N115-P115,IF(P109=4,P115-N115,""))))</f>
        <v/>
      </c>
      <c r="AL112" s="64">
        <f>IF(AK94&lt;4,"",IF(AK93&lt;6,"",IF(Q109=4,Q115-S115,IF(S109=4,S115-Q115,""))))</f>
        <v>21</v>
      </c>
      <c r="AM112" s="64" t="str">
        <f>IF(AK94&lt;4,"",IF(AK93&lt;7,"",IF(T109=4,T115-V115,IF(V109=4,V115-T115,""))))</f>
        <v/>
      </c>
      <c r="AN112" s="64" t="str">
        <f>IF(AK94&lt;4,"",IF(AK93&lt;8,"",IF(W109=4,W115-Y115,IF(Y109=4,Y115-W115,""))))</f>
        <v/>
      </c>
      <c r="AO112" s="64">
        <f>IF(AK94&lt;4,"",IF(AK93&lt;9,"",IF(Z109=4,Z115-AB115,IF(AB109=4,AB115-Z115,""))))</f>
        <v>-25</v>
      </c>
      <c r="AP112" s="64" t="str">
        <f>IF(AK94&lt;4,"",IF(AK93&lt;10,"",IF(AC109=4,AC115-AE115,IF(AE109=4,AE115-AC115,""))))</f>
        <v/>
      </c>
      <c r="AQ112" s="59">
        <f>SUM(AG112:AP112)</f>
        <v>-35</v>
      </c>
    </row>
    <row r="113" spans="1:49" ht="15" x14ac:dyDescent="0.2">
      <c r="A113" s="3" t="str">
        <f>IF(AK92&gt;3,"Game 4","")</f>
        <v/>
      </c>
      <c r="B113" s="65"/>
      <c r="C113" s="66" t="s">
        <v>74</v>
      </c>
      <c r="D113" s="67"/>
      <c r="E113" s="65"/>
      <c r="F113" s="66" t="str">
        <f>IF(AK93&gt;1,IF(AK92&gt;3,"/",""),"")</f>
        <v/>
      </c>
      <c r="G113" s="67"/>
      <c r="H113" s="65"/>
      <c r="I113" s="66" t="str">
        <f>IF(AK93&gt;2,IF(AK92&gt;3,"/",""),"")</f>
        <v/>
      </c>
      <c r="J113" s="67"/>
      <c r="K113" s="65"/>
      <c r="L113" s="66" t="str">
        <f>IF(AK93&gt;3,IF(AK92&gt;3,"/",""),"")</f>
        <v/>
      </c>
      <c r="M113" s="67"/>
      <c r="N113" s="65"/>
      <c r="O113" s="66" t="str">
        <f>IF(AK93&gt;4,IF(AK92&gt;3,"/",""),"")</f>
        <v/>
      </c>
      <c r="P113" s="67"/>
      <c r="Q113" s="65"/>
      <c r="R113" s="66" t="str">
        <f>IF(AK93&gt;5,IF(AK92&gt;3,"/",""),"")</f>
        <v/>
      </c>
      <c r="S113" s="67"/>
      <c r="T113" s="65"/>
      <c r="U113" s="66" t="str">
        <f>IF(AK93&gt;6,IF(AK92&gt;3,"/",""),"")</f>
        <v/>
      </c>
      <c r="V113" s="67"/>
      <c r="W113" s="65"/>
      <c r="X113" s="66" t="str">
        <f>IF(AK93&gt;7,IF(AK92&gt;3,"/",""),"")</f>
        <v/>
      </c>
      <c r="Y113" s="67"/>
      <c r="Z113" s="65"/>
      <c r="AA113" s="66" t="str">
        <f>IF(AK93&gt;8,IF(AK92&gt;3,"/",""),"")</f>
        <v/>
      </c>
      <c r="AB113" s="67"/>
      <c r="AC113" s="65"/>
      <c r="AD113" s="66" t="str">
        <f>IF(AK93&gt;9,IF(AK92&gt;3,"/",""),"")</f>
        <v/>
      </c>
      <c r="AE113" s="67"/>
      <c r="AF113" s="57" t="str">
        <f>IF(AK94&gt;4,"Team 5","")</f>
        <v>Team 5</v>
      </c>
      <c r="AG113" s="68">
        <f>IF(AK94&lt;5,"",IF(AK93&lt;1,"",IF(B109=5,B115-D115,IF(D109=5,D115-B115,""))))</f>
        <v>-19</v>
      </c>
      <c r="AH113" s="64" t="str">
        <f>IF(AK94&lt;5,"",IF(AK93&lt;2,"",IF(E109=5,E115-G115,IF(G109=5,G115-E115,""))))</f>
        <v/>
      </c>
      <c r="AI113" s="64">
        <f>IF(AK94&lt;5,"",IF(AK93&lt;3,"",IF(H109=5,H115-J115,IF(J109=5,J115-H115,""))))</f>
        <v>-17</v>
      </c>
      <c r="AJ113" s="64" t="str">
        <f>IF(AK94&lt;5,"",IF(AK93&lt;4,"",IF(K109=5,K115-M115,IF(M109=5,M115-K115,""))))</f>
        <v/>
      </c>
      <c r="AK113" s="64" t="str">
        <f>IF(AK94&lt;5,"",IF(AK93&lt;5,"",IF(N109=5,N115-P115,IF(P109=5,P115-N115,""))))</f>
        <v/>
      </c>
      <c r="AL113" s="64">
        <f>IF(AK94&lt;5,"",IF(AK93&lt;6,"",IF(Q109=5,Q115-S115,IF(S109=5,S115-Q115,""))))</f>
        <v>-21</v>
      </c>
      <c r="AM113" s="64" t="str">
        <f>IF(AK94&lt;5,"",IF(AK93&lt;7,"",IF(T109=5,T115-V115,IF(V109=5,V115-T115,""))))</f>
        <v/>
      </c>
      <c r="AN113" s="64">
        <f>IF(AK94&lt;5,"",IF(AK93&lt;8,"",IF(W109=5,W115-Y115,IF(Y109=5,Y115-W115,""))))</f>
        <v>-25</v>
      </c>
      <c r="AO113" s="64" t="str">
        <f>IF(AK94&lt;5,"",IF(AK93&lt;9,"",IF(Z109=5,Z115-AB115,IF(AB109=5,AB115-Z115,""))))</f>
        <v/>
      </c>
      <c r="AP113" s="64" t="str">
        <f>IF(AK94&lt;5,"",IF(AK93&lt;10,"",IF(AC109=5,AC115-AE115,IF(AE109=5,AE115-AC115,""))))</f>
        <v/>
      </c>
      <c r="AQ113" s="59">
        <f>SUM(AG113:AP113)</f>
        <v>-82</v>
      </c>
    </row>
    <row r="114" spans="1:49" ht="15" x14ac:dyDescent="0.2">
      <c r="A114" s="3" t="str">
        <f>IF(AK92&gt;4,"Game 5","")</f>
        <v/>
      </c>
      <c r="B114" s="65"/>
      <c r="C114" s="66" t="s">
        <v>74</v>
      </c>
      <c r="D114" s="67"/>
      <c r="E114" s="65"/>
      <c r="F114" s="66" t="str">
        <f>IF(AK93&gt;1,IF(AK92&gt;4,"/",""),"")</f>
        <v/>
      </c>
      <c r="G114" s="67"/>
      <c r="H114" s="65"/>
      <c r="I114" s="66" t="str">
        <f>IF(AK93&gt;2,IF(AK92&gt;4,"/",""),"")</f>
        <v/>
      </c>
      <c r="J114" s="67"/>
      <c r="K114" s="65"/>
      <c r="L114" s="66" t="str">
        <f>IF(AK93&gt;3,IF(AK92&gt;4,"/",""),"")</f>
        <v/>
      </c>
      <c r="M114" s="67"/>
      <c r="N114" s="65"/>
      <c r="O114" s="66" t="str">
        <f>IF(AK93&gt;4,IF(AK92&gt;4,"/",""),"")</f>
        <v/>
      </c>
      <c r="P114" s="67"/>
      <c r="Q114" s="65"/>
      <c r="R114" s="66" t="str">
        <f>IF(AK93&gt;5,IF(AK92&gt;4,"/",""),"")</f>
        <v/>
      </c>
      <c r="S114" s="67"/>
      <c r="T114" s="65"/>
      <c r="U114" s="66" t="str">
        <f>IF(AK93&gt;6,IF(AK92&gt;4,"/",""),"")</f>
        <v/>
      </c>
      <c r="V114" s="67"/>
      <c r="W114" s="65"/>
      <c r="X114" s="66" t="str">
        <f>IF(AK93&gt;7,IF(AK92&gt;4,"/",""),"")</f>
        <v/>
      </c>
      <c r="Y114" s="67"/>
      <c r="Z114" s="65"/>
      <c r="AA114" s="66" t="str">
        <f>IF(AK93&gt;8,IF(AK92&gt;4,"/",""),"")</f>
        <v/>
      </c>
      <c r="AB114" s="67"/>
      <c r="AC114" s="65"/>
      <c r="AD114" s="66" t="str">
        <f>IF(AK93&gt;9,IF(AK92&gt;4,"/",""),"")</f>
        <v/>
      </c>
      <c r="AE114" s="67"/>
      <c r="AF114" s="8"/>
      <c r="AG114" s="8"/>
      <c r="AH114" s="8"/>
      <c r="AI114" s="8"/>
      <c r="AJ114" s="8"/>
      <c r="AK114" s="8"/>
      <c r="AL114" s="8"/>
      <c r="AM114" s="8"/>
      <c r="AN114" s="8"/>
      <c r="AO114" s="8"/>
      <c r="AP114" s="8"/>
      <c r="AQ114" s="8"/>
    </row>
    <row r="115" spans="1:49" hidden="1" x14ac:dyDescent="0.2">
      <c r="A115" s="69"/>
      <c r="B115" s="69">
        <f>IF($AK92=5,SUM(B110:B114),IF($AK92=4,SUM(B110:B113),IF($AK92=3,SUM(B110:B112),IF($AK92=2,SUM(B110:B111),B110))))</f>
        <v>50</v>
      </c>
      <c r="C115" s="69"/>
      <c r="D115" s="69">
        <f>IF($AK92=5,SUM(D110:D114),IF($AK92=4,SUM(D110:D113),IF($AK92=3,SUM(D110:D112),IF($AK92=2,SUM(D110:D111),D110))))</f>
        <v>31</v>
      </c>
      <c r="E115" s="69">
        <f>IF($AK92=5,SUM(E110:E114),IF($AK92=4,SUM(E110:E113),IF($AK92=3,SUM(E110:E112),IF($AK92=2,SUM(E110:E111),E110))))</f>
        <v>50</v>
      </c>
      <c r="F115" s="69"/>
      <c r="G115" s="69">
        <f>IF($AK92=5,SUM(G110:G114),IF($AK92=4,SUM(G110:G113),IF($AK92=3,SUM(G110:G112),IF($AK92=2,SUM(G110:G111),G110))))</f>
        <v>31</v>
      </c>
      <c r="H115" s="69">
        <f>IF($AK92=5,SUM(H110:H114),IF($AK92=4,SUM(H110:H113),IF($AK92=3,SUM(H110:H112),IF($AK92=2,SUM(H110:H111),H110))))</f>
        <v>50</v>
      </c>
      <c r="I115" s="69"/>
      <c r="J115" s="69">
        <f>IF($AK92=5,SUM(J110:J114),IF($AK92=4,SUM(J110:J113),IF($AK92=3,SUM(J110:J112),IF($AK92=2,SUM(J110:J111),J110))))</f>
        <v>33</v>
      </c>
      <c r="K115" s="69">
        <f>IF($AK92=5,SUM(K110:K114),IF($AK92=4,SUM(K110:K113),IF($AK92=3,SUM(K110:K112),IF($AK92=2,SUM(K110:K111),K110))))</f>
        <v>50</v>
      </c>
      <c r="L115" s="69"/>
      <c r="M115" s="69">
        <f>IF($AK92=5,SUM(M110:M114),IF($AK92=4,SUM(M110:M113),IF($AK92=3,SUM(M110:M112),IF($AK92=2,SUM(M110:M111),M110))))</f>
        <v>38</v>
      </c>
      <c r="N115" s="69">
        <f>IF($AK92=5,SUM(N110:N114),IF($AK92=4,SUM(N110:N113),IF($AK92=3,SUM(N110:N112),IF($AK92=2,SUM(N110:N111),N110))))</f>
        <v>50</v>
      </c>
      <c r="O115" s="69"/>
      <c r="P115" s="69">
        <f>IF($AK92=5,SUM(P110:P114),IF($AK92=4,SUM(P110:P113),IF($AK92=3,SUM(P110:P112),IF($AK92=2,SUM(P110:P111),P110))))</f>
        <v>35</v>
      </c>
      <c r="Q115" s="69">
        <f>IF($AK92=5,SUM(Q110:Q114),IF($AK92=4,SUM(Q110:Q113),IF($AK92=3,SUM(Q110:Q112),IF($AK92=2,SUM(Q110:Q111),Q110))))</f>
        <v>50</v>
      </c>
      <c r="R115" s="69"/>
      <c r="S115" s="69">
        <f>IF($AK92=5,SUM(S110:S114),IF($AK92=4,SUM(S110:S113),IF($AK92=3,SUM(S110:S112),IF($AK92=2,SUM(S110:S111),S110))))</f>
        <v>29</v>
      </c>
      <c r="T115" s="69">
        <f>IF($AK92=5,SUM(T110:T114),IF($AK92=4,SUM(T110:T113),IF($AK92=3,SUM(T110:T112),IF($AK92=2,SUM(T110:T111),T110))))</f>
        <v>41</v>
      </c>
      <c r="U115" s="69"/>
      <c r="V115" s="69">
        <f>IF($AK92=5,SUM(V110:V114),IF($AK92=4,SUM(V110:V113),IF($AK92=3,SUM(V110:V112),IF($AK92=2,SUM(V110:V111),V110))))</f>
        <v>51</v>
      </c>
      <c r="W115" s="69">
        <f>IF($AK92=5,SUM(W110:W114),IF($AK92=4,SUM(W110:W113),IF($AK92=3,SUM(W110:W112),IF($AK92=2,SUM(W110:W111),W110))))</f>
        <v>50</v>
      </c>
      <c r="X115" s="69"/>
      <c r="Y115" s="69">
        <f>IF($AK92=5,SUM(Y110:Y114),IF($AK92=4,SUM(Y110:Y113),IF($AK92=3,SUM(Y110:Y112),IF($AK92=2,SUM(Y110:Y111),Y110))))</f>
        <v>25</v>
      </c>
      <c r="Z115" s="69">
        <f>IF($AK92=5,SUM(Z110:Z114),IF($AK92=4,SUM(Z110:Z113),IF($AK92=3,SUM(Z110:Z112),IF($AK92=2,SUM(Z110:Z111),Z110))))</f>
        <v>50</v>
      </c>
      <c r="AA115" s="69"/>
      <c r="AB115" s="69">
        <f>IF($AK92=5,SUM(AB110:AB114),IF($AK92=4,SUM(AB110:AB113),IF($AK92=3,SUM(AB110:AB112),IF($AK92=2,SUM(AB110:AB111),AB110))))</f>
        <v>25</v>
      </c>
      <c r="AC115" s="69">
        <f>IF($AK92=5,SUM(AC110:AC114),IF($AK92=4,SUM(AC110:AC113),IF($AK92=3,SUM(AC110:AC112),IF($AK92=2,SUM(AC110:AC111),AC110))))</f>
        <v>47</v>
      </c>
      <c r="AD115" s="69"/>
      <c r="AE115" s="69">
        <f>IF($AK92=5,SUM(AE110:AE114),IF($AK92=4,SUM(AE110:AE113),IF($AK92=3,SUM(AE110:AE112),IF($AK92=2,SUM(AE110:AE111),AE110))))</f>
        <v>43</v>
      </c>
      <c r="AF115" s="8"/>
      <c r="AG115" s="8"/>
      <c r="AH115" s="8"/>
      <c r="AI115" s="8"/>
      <c r="AJ115" s="8"/>
      <c r="AK115" s="8"/>
      <c r="AL115" s="8"/>
      <c r="AM115" s="8"/>
      <c r="AN115" s="8"/>
      <c r="AO115" s="8"/>
      <c r="AP115" s="8"/>
      <c r="AQ115" s="8"/>
      <c r="AT115" s="70"/>
      <c r="AU115" s="70"/>
      <c r="AV115" s="70"/>
    </row>
    <row r="116" spans="1:49" s="70" customFormat="1" ht="12.75" hidden="1" customHeight="1" x14ac:dyDescent="0.2">
      <c r="A116" s="70" t="s">
        <v>75</v>
      </c>
      <c r="B116" s="71">
        <f>IF(AND(B110&gt;D110,$AK93&gt;0,ISNUMBER(B110),ISNUMBER(D110)),1,0)</f>
        <v>1</v>
      </c>
      <c r="C116" s="71"/>
      <c r="D116" s="72">
        <f>IF(AND(D110&gt;B110,$AK93&gt;0,ISNUMBER(B110),ISNUMBER(D110)),1,0)</f>
        <v>0</v>
      </c>
      <c r="E116" s="71">
        <f>IF(AND(E110&gt;G110,$AK93&gt;1,ISNUMBER(E110),ISNUMBER(G110)),1,0)</f>
        <v>1</v>
      </c>
      <c r="F116" s="71"/>
      <c r="G116" s="72">
        <f>IF(AND(G110&gt;E110,$AK93&gt;1,ISNUMBER(E110),ISNUMBER(G110)),1,0)</f>
        <v>0</v>
      </c>
      <c r="H116" s="71">
        <f>IF(AND(H110&gt;J110,$AK93&gt;2,ISNUMBER(H110),ISNUMBER(J110)),1,0)</f>
        <v>1</v>
      </c>
      <c r="I116" s="71"/>
      <c r="J116" s="72">
        <f>IF(AND(J110&gt;H110,$AK93&gt;2,ISNUMBER(H110),ISNUMBER(J110)),1,0)</f>
        <v>0</v>
      </c>
      <c r="K116" s="71">
        <f>IF(AND(K110&gt;M110,$AK93&gt;3,ISNUMBER(K110),ISNUMBER(M110)),1,0)</f>
        <v>1</v>
      </c>
      <c r="L116" s="71"/>
      <c r="M116" s="72">
        <f>IF(AND(M110&gt;K110,$AK93&gt;3,ISNUMBER(K110),ISNUMBER(M110)),1,0)</f>
        <v>0</v>
      </c>
      <c r="N116" s="71">
        <f>IF(AND(N110&gt;P110,$AK93&gt;4,ISNUMBER(N110),ISNUMBER(P110)),1,0)</f>
        <v>1</v>
      </c>
      <c r="O116" s="71"/>
      <c r="P116" s="72">
        <f>IF(AND(P110&gt;N110,$AK93&gt;4,ISNUMBER(N110),ISNUMBER(P110)),1,0)</f>
        <v>0</v>
      </c>
      <c r="Q116" s="71">
        <f>IF(AND(Q110&gt;S110,$AK93&gt;5,ISNUMBER(Q110),ISNUMBER(S110)),1,0)</f>
        <v>1</v>
      </c>
      <c r="R116" s="71"/>
      <c r="S116" s="72">
        <f>IF(AND(S110&gt;Q110,$AK93&gt;5,ISNUMBER(Q110),ISNUMBER(S110)),1,0)</f>
        <v>0</v>
      </c>
      <c r="T116" s="71">
        <f>IF(AND(T110&gt;V110,$AK93&gt;6,ISNUMBER(T110),ISNUMBER(V110)),1,0)</f>
        <v>1</v>
      </c>
      <c r="U116" s="71"/>
      <c r="V116" s="72">
        <f>IF(AND(V110&gt;T110,$AK93&gt;6,ISNUMBER(T110),ISNUMBER(V110)),1,0)</f>
        <v>0</v>
      </c>
      <c r="W116" s="71">
        <f>IF(AND(W110&gt;Y110,$AK93&gt;7,ISNUMBER(W110),ISNUMBER(Y110)),1,0)</f>
        <v>1</v>
      </c>
      <c r="X116" s="71"/>
      <c r="Y116" s="72">
        <f>IF(AND(Y110&gt;W110,$AK93&gt;7,ISNUMBER(W110),ISNUMBER(Y110)),1,0)</f>
        <v>0</v>
      </c>
      <c r="Z116" s="71">
        <f>IF(AND(Z110&gt;AB110,$AK93&gt;8,ISNUMBER(Z110),ISNUMBER(AB110)),1,0)</f>
        <v>1</v>
      </c>
      <c r="AA116" s="71"/>
      <c r="AB116" s="72">
        <f>IF(AND(AB110&gt;Z110,$AK93&gt;8,ISNUMBER(Z110),ISNUMBER(AB110)),1,0)</f>
        <v>0</v>
      </c>
      <c r="AC116" s="71">
        <f>IF(AND(AC110&gt;AE110,$AK93&gt;9,ISNUMBER(AC110),ISNUMBER(AE110)),1,0)</f>
        <v>1</v>
      </c>
      <c r="AD116" s="71"/>
      <c r="AE116" s="72">
        <f>IF(AND(AE110&gt;AC110,$AK93&gt;9,ISNUMBER(AC110),ISNUMBER(AE110)),1,0)</f>
        <v>0</v>
      </c>
      <c r="AW116" s="154"/>
    </row>
    <row r="117" spans="1:49" s="70" customFormat="1" ht="12.75" hidden="1" customHeight="1" x14ac:dyDescent="0.2">
      <c r="A117" s="70" t="s">
        <v>76</v>
      </c>
      <c r="B117" s="71">
        <f>IF(AND(B111&gt;D111,$AK93&gt;0,$AK92&gt;1,ISNUMBER(B111),ISNUMBER(D111)),1,0)</f>
        <v>1</v>
      </c>
      <c r="C117" s="71"/>
      <c r="D117" s="72">
        <f>IF(AND(D111&gt;B111,$AK93&gt;0,$AK92&gt;1,ISNUMBER(B111),ISNUMBER(D111)),1,0)</f>
        <v>0</v>
      </c>
      <c r="E117" s="71">
        <f>IF(AND(E111&gt;G111,$AK93&gt;1,$AK92&gt;1,ISNUMBER(E111),ISNUMBER(G111)),1,0)</f>
        <v>1</v>
      </c>
      <c r="F117" s="71"/>
      <c r="G117" s="72">
        <f>IF(AND(G111&gt;E111,$AK93&gt;1,$AK92&gt;1,ISNUMBER(E111),ISNUMBER(G111)),1,0)</f>
        <v>0</v>
      </c>
      <c r="H117" s="71">
        <f>IF(AND(H111&gt;J111,$AK93&gt;2,$AK92&gt;1,ISNUMBER(H111),ISNUMBER(J111)),1,0)</f>
        <v>1</v>
      </c>
      <c r="I117" s="71"/>
      <c r="J117" s="72">
        <f>IF(AND(J111&gt;H111,$AK93&gt;2,$AK92&gt;1,ISNUMBER(H111),ISNUMBER(J111)),1,0)</f>
        <v>0</v>
      </c>
      <c r="K117" s="71">
        <f>IF(AND(K111&gt;M111,$AK93&gt;3,$AK92&gt;1,ISNUMBER(K111),ISNUMBER(M111)),1,0)</f>
        <v>1</v>
      </c>
      <c r="L117" s="71"/>
      <c r="M117" s="72">
        <f>IF(AND(M111&gt;K111,$AK93&gt;3,$AK92&gt;1,ISNUMBER(K111),ISNUMBER(M111)),1,0)</f>
        <v>0</v>
      </c>
      <c r="N117" s="71">
        <f>IF(AND(N111&gt;P111,$AK93&gt;4,$AK92&gt;1,ISNUMBER(N111),ISNUMBER(P111)),1,0)</f>
        <v>1</v>
      </c>
      <c r="O117" s="71"/>
      <c r="P117" s="72">
        <f>IF(AND(P111&gt;N111,$AK93&gt;4,$AK92&gt;1,ISNUMBER(N111),ISNUMBER(P111)),1,0)</f>
        <v>0</v>
      </c>
      <c r="Q117" s="71">
        <f>IF(AND(Q111&gt;S111,$AK93&gt;5,$AK92&gt;1,ISNUMBER(Q111),ISNUMBER(S111)),1,0)</f>
        <v>1</v>
      </c>
      <c r="R117" s="71"/>
      <c r="S117" s="72">
        <f>IF(AND(S111&gt;Q111,$AK93&gt;5,$AK92&gt;1,ISNUMBER(Q111),ISNUMBER(S111)),1,0)</f>
        <v>0</v>
      </c>
      <c r="T117" s="71">
        <f>IF(AND(T111&gt;V111,$AK93&gt;6,$AK92&gt;1,ISNUMBER(T111),ISNUMBER(V111)),1,0)</f>
        <v>0</v>
      </c>
      <c r="U117" s="71"/>
      <c r="V117" s="72">
        <f>IF(AND(V111&gt;T111,$AK93&gt;6,$AK92&gt;1,ISNUMBER(T111),ISNUMBER(V111)),1,0)</f>
        <v>1</v>
      </c>
      <c r="W117" s="71">
        <f>IF(AND(W111&gt;Y111,$AK93&gt;7,$AK92&gt;1,ISNUMBER(W111),ISNUMBER(Y111)),1,0)</f>
        <v>1</v>
      </c>
      <c r="X117" s="71"/>
      <c r="Y117" s="72">
        <f>IF(AND(Y111&gt;W111,$AK93&gt;7,$AK92&gt;1,ISNUMBER(W111),ISNUMBER(Y111)),1,0)</f>
        <v>0</v>
      </c>
      <c r="Z117" s="71">
        <f>IF(AND(Z111&gt;AB111,$AK93&gt;8,$AK92&gt;1,ISNUMBER(Z111),ISNUMBER(AB111)),1,0)</f>
        <v>1</v>
      </c>
      <c r="AA117" s="71"/>
      <c r="AB117" s="72">
        <f>IF(AND(AB111&gt;Z111,$AK93&gt;8,$AK92&gt;1,ISNUMBER(Z111),ISNUMBER(AB111)),1,0)</f>
        <v>0</v>
      </c>
      <c r="AC117" s="71">
        <f>IF(AND(AC111&gt;AE111,$AK93&gt;9,$AK92&gt;1,ISNUMBER(AC111),ISNUMBER(AE111)),1,0)</f>
        <v>0</v>
      </c>
      <c r="AD117" s="71"/>
      <c r="AE117" s="72">
        <f>IF(AND(AE111&gt;AC111,$AK93&gt;9,$AK92&gt;1,ISNUMBER(AC111),ISNUMBER(AE111)),1,0)</f>
        <v>1</v>
      </c>
      <c r="AW117" s="154"/>
    </row>
    <row r="118" spans="1:49" s="70" customFormat="1" ht="12.75" hidden="1" customHeight="1" x14ac:dyDescent="0.2">
      <c r="A118" s="70" t="s">
        <v>77</v>
      </c>
      <c r="B118" s="71">
        <f>IF(AND(B112&gt;D112,$AK93&gt;0,$AK92&gt;2,ISNUMBER(B112),ISNUMBER(D112)),1,0)</f>
        <v>0</v>
      </c>
      <c r="C118" s="71"/>
      <c r="D118" s="72">
        <f>IF(AND(D112&gt;B112,$AK93&gt;0,$AK92&gt;2,ISNUMBER(B112),ISNUMBER(D112)),1,0)</f>
        <v>0</v>
      </c>
      <c r="E118" s="71">
        <f>IF(AND(E112&gt;G112,$AK93&gt;1,$AK92&gt;2,ISNUMBER(E112),ISNUMBER(G112)),1,0)</f>
        <v>0</v>
      </c>
      <c r="F118" s="71"/>
      <c r="G118" s="72">
        <f>IF(AND(G112&gt;E112,$AK93&gt;1,$AK92&gt;2,ISNUMBER(E112),ISNUMBER(G112)),1,0)</f>
        <v>0</v>
      </c>
      <c r="H118" s="71">
        <f>IF(AND(H112&gt;J112,$AK93&gt;2,$AK92&gt;2,ISNUMBER(H112),ISNUMBER(J112)),1,0)</f>
        <v>0</v>
      </c>
      <c r="I118" s="71"/>
      <c r="J118" s="72">
        <f>IF(AND(J112&gt;H112,$AK93&gt;2,$AK92&gt;2,ISNUMBER(H112),ISNUMBER(J112)),1,0)</f>
        <v>0</v>
      </c>
      <c r="K118" s="71">
        <f>IF(AND(K112&gt;M112,$AK93&gt;3,$AK92&gt;2,ISNUMBER(K112),ISNUMBER(M112)),1,0)</f>
        <v>0</v>
      </c>
      <c r="L118" s="71"/>
      <c r="M118" s="72">
        <f>IF(AND(M112&gt;K112,$AK93&gt;3,$AK92&gt;2,ISNUMBER(K112),ISNUMBER(M112)),1,0)</f>
        <v>0</v>
      </c>
      <c r="N118" s="71">
        <f>IF(AND(N112&gt;P112,$AK93&gt;4,$AK92&gt;2,ISNUMBER(N112),ISNUMBER(P112)),1,0)</f>
        <v>0</v>
      </c>
      <c r="O118" s="71"/>
      <c r="P118" s="72">
        <f>IF(AND(P112&gt;N112,$AK93&gt;4,$AK92&gt;2,ISNUMBER(N112),ISNUMBER(P112)),1,0)</f>
        <v>0</v>
      </c>
      <c r="Q118" s="71">
        <f>IF(AND(Q112&gt;S112,$AK93&gt;5,$AK92&gt;2,ISNUMBER(Q112),ISNUMBER(S112)),1,0)</f>
        <v>0</v>
      </c>
      <c r="R118" s="71"/>
      <c r="S118" s="72">
        <f>IF(AND(S112&gt;Q112,$AK93&gt;5,$AK92&gt;2,ISNUMBER(Q112),ISNUMBER(S112)),1,0)</f>
        <v>0</v>
      </c>
      <c r="T118" s="71">
        <f>IF(AND(T112&gt;V112,$AK93&gt;6,$AK92&gt;2,ISNUMBER(T112),ISNUMBER(V112)),1,0)</f>
        <v>0</v>
      </c>
      <c r="U118" s="71"/>
      <c r="V118" s="72">
        <f>IF(AND(V112&gt;T112,$AK93&gt;6,$AK92&gt;2,ISNUMBER(T112),ISNUMBER(V112)),1,0)</f>
        <v>0</v>
      </c>
      <c r="W118" s="71">
        <f>IF(AND(W112&gt;Y112,$AK93&gt;7,$AK92&gt;2,ISNUMBER(W112),ISNUMBER(Y112)),1,0)</f>
        <v>0</v>
      </c>
      <c r="X118" s="71"/>
      <c r="Y118" s="72">
        <f>IF(AND(Y112&gt;W112,$AK93&gt;7,$AK92&gt;2,ISNUMBER(W112),ISNUMBER(Y112)),1,0)</f>
        <v>0</v>
      </c>
      <c r="Z118" s="71">
        <f>IF(AND(Z112&gt;AB112,$AK93&gt;8,$AK92&gt;2,ISNUMBER(Z112),ISNUMBER(AB112)),1,0)</f>
        <v>0</v>
      </c>
      <c r="AA118" s="71"/>
      <c r="AB118" s="72">
        <f>IF(AND(AB112&gt;Z112,$AK93&gt;8,$AK92&gt;2,ISNUMBER(Z112),ISNUMBER(AB112)),1,0)</f>
        <v>0</v>
      </c>
      <c r="AC118" s="71">
        <f>IF(AND(AC112&gt;AE112,$AK93&gt;9,$AK92&gt;2,ISNUMBER(AC112),ISNUMBER(AE112)),1,0)</f>
        <v>0</v>
      </c>
      <c r="AD118" s="71"/>
      <c r="AE118" s="72">
        <f>IF(AND(AE112&gt;AC112,$AK93&gt;9,$AK92&gt;2,ISNUMBER(AC112),ISNUMBER(AE112)),1,0)</f>
        <v>0</v>
      </c>
      <c r="AW118" s="154"/>
    </row>
    <row r="119" spans="1:49" s="70" customFormat="1" ht="12.75" hidden="1" customHeight="1" x14ac:dyDescent="0.2">
      <c r="A119" s="70" t="s">
        <v>78</v>
      </c>
      <c r="B119" s="71">
        <f>IF(AND(B113&gt;D113,$AK93&gt;0,$AK92&gt;3,ISNUMBER(B113),ISNUMBER(D113)),1,0)</f>
        <v>0</v>
      </c>
      <c r="C119" s="71"/>
      <c r="D119" s="72">
        <f>IF(AND(D113&gt;B113,$AK93&gt;0,$AK92&gt;3,ISNUMBER(B113),ISNUMBER(D113)),1,0)</f>
        <v>0</v>
      </c>
      <c r="E119" s="71">
        <f>IF(AND(E113&gt;G113,$AK93&gt;1,$AK92&gt;3,ISNUMBER(E113),ISNUMBER(G113)),1,0)</f>
        <v>0</v>
      </c>
      <c r="F119" s="71"/>
      <c r="G119" s="72">
        <f>IF(AND(G113&gt;E113,$AK93&gt;1,$AK92&gt;3,ISNUMBER(E113),ISNUMBER(G113)),1,0)</f>
        <v>0</v>
      </c>
      <c r="H119" s="71">
        <f>IF(AND(H113&gt;J113,$AK93&gt;2,$AK92&gt;3,ISNUMBER(H113),ISNUMBER(J113)),1,0)</f>
        <v>0</v>
      </c>
      <c r="I119" s="71"/>
      <c r="J119" s="72">
        <f>IF(AND(J113&gt;H113,$AK93&gt;2,$AK92&gt;3,ISNUMBER(H113),ISNUMBER(J113)),1,0)</f>
        <v>0</v>
      </c>
      <c r="K119" s="71">
        <f>IF(AND(K113&gt;M113,$AK93&gt;3,$AK92&gt;3,ISNUMBER(K113),ISNUMBER(M113)),1,0)</f>
        <v>0</v>
      </c>
      <c r="L119" s="71"/>
      <c r="M119" s="72">
        <f>IF(AND(M113&gt;K113,$AK93&gt;3,$AK92&gt;3,ISNUMBER(K113),ISNUMBER(M113)),1,0)</f>
        <v>0</v>
      </c>
      <c r="N119" s="71">
        <f>IF(AND(N113&gt;P113,$AK93&gt;4,$AK92&gt;3,ISNUMBER(N113),ISNUMBER(P113)),1,0)</f>
        <v>0</v>
      </c>
      <c r="O119" s="71"/>
      <c r="P119" s="72">
        <f>IF(AND(P113&gt;N113,$AK93&gt;4,$AK92&gt;3,ISNUMBER(N113),ISNUMBER(P113)),1,0)</f>
        <v>0</v>
      </c>
      <c r="Q119" s="71">
        <f>IF(AND(Q113&gt;S113,$AK93&gt;5,$AK92&gt;3,ISNUMBER(Q113),ISNUMBER(S113)),1,0)</f>
        <v>0</v>
      </c>
      <c r="R119" s="71"/>
      <c r="S119" s="72">
        <f>IF(AND(S113&gt;Q113,$AK93&gt;5,$AK92&gt;3,ISNUMBER(Q113),ISNUMBER(S113)),1,0)</f>
        <v>0</v>
      </c>
      <c r="T119" s="71">
        <f>IF(AND(T113&gt;V113,$AK93&gt;6,$AK92&gt;3,ISNUMBER(T113),ISNUMBER(V113)),1,0)</f>
        <v>0</v>
      </c>
      <c r="U119" s="71"/>
      <c r="V119" s="72">
        <f>IF(AND(V113&gt;T113,$AK93&gt;6,$AK92&gt;3,ISNUMBER(T113),ISNUMBER(V113)),1,0)</f>
        <v>0</v>
      </c>
      <c r="W119" s="71">
        <f>IF(AND(W113&gt;Y113,$AK93&gt;7,$AK92&gt;3,ISNUMBER(W113),ISNUMBER(Y113)),1,0)</f>
        <v>0</v>
      </c>
      <c r="X119" s="71"/>
      <c r="Y119" s="72">
        <f>IF(AND(Y113&gt;W113,$AK93&gt;7,$AK92&gt;3,ISNUMBER(W113),ISNUMBER(Y113)),1,0)</f>
        <v>0</v>
      </c>
      <c r="Z119" s="71">
        <f>IF(AND(Z113&gt;AB113,$AK93&gt;8,$AK92&gt;3,ISNUMBER(Z113),ISNUMBER(AB113)),1,0)</f>
        <v>0</v>
      </c>
      <c r="AA119" s="71"/>
      <c r="AB119" s="72">
        <f>IF(AND(AB113&gt;Z113,$AK93&gt;8,$AK92&gt;3,ISNUMBER(Z113),ISNUMBER(AB113)),1,0)</f>
        <v>0</v>
      </c>
      <c r="AC119" s="71">
        <f>IF(AND(AC113&gt;AE113,$AK93&gt;9,$AK92&gt;3,ISNUMBER(AC113),ISNUMBER(AE113)),1,0)</f>
        <v>0</v>
      </c>
      <c r="AD119" s="71"/>
      <c r="AE119" s="72">
        <f>IF(AND(AE113&gt;AC113,$AK93&gt;9,$AK92&gt;3,ISNUMBER(AC113),ISNUMBER(AE113)),1,0)</f>
        <v>0</v>
      </c>
      <c r="AW119" s="154"/>
    </row>
    <row r="120" spans="1:49" s="70" customFormat="1" ht="12.75" hidden="1" customHeight="1" x14ac:dyDescent="0.2">
      <c r="A120" s="70" t="s">
        <v>79</v>
      </c>
      <c r="B120" s="71">
        <f>IF(AND(B114&gt;D114,$AK93&gt;0,$AK92&gt;4,ISNUMBER(B114),ISNUMBER(D114)),1,0)</f>
        <v>0</v>
      </c>
      <c r="C120" s="71"/>
      <c r="D120" s="72">
        <f>IF(AND(D114&gt;B114,$AK93&gt;0,$AK92&gt;4,ISNUMBER(B114),ISNUMBER(D114)),1,0)</f>
        <v>0</v>
      </c>
      <c r="E120" s="71">
        <f>IF(AND(E114&gt;G114,$AK93&gt;1,$AK92&gt;4,ISNUMBER(E114),ISNUMBER(G114)),1,0)</f>
        <v>0</v>
      </c>
      <c r="F120" s="71"/>
      <c r="G120" s="72">
        <f>IF(AND(G114&gt;E114,$AK93&gt;1,$AK92&gt;4,ISNUMBER(E114),ISNUMBER(G114)),1,0)</f>
        <v>0</v>
      </c>
      <c r="H120" s="71">
        <f>IF(AND(H114&gt;J114,$AK93&gt;2,$AK92&gt;4,ISNUMBER(H114),ISNUMBER(J114)),1,0)</f>
        <v>0</v>
      </c>
      <c r="I120" s="71"/>
      <c r="J120" s="72">
        <f>IF(AND(J114&gt;H114,$AK93&gt;2,$AK92&gt;4,ISNUMBER(H114),ISNUMBER(J114)),1,0)</f>
        <v>0</v>
      </c>
      <c r="K120" s="71">
        <f>IF(AND(K114&gt;M114,$AK93&gt;3,$AK92&gt;4,ISNUMBER(K114),ISNUMBER(M114)),1,0)</f>
        <v>0</v>
      </c>
      <c r="L120" s="71"/>
      <c r="M120" s="72">
        <f>IF(AND(M114&gt;K114,$AK93&gt;3,$AK92&gt;4,ISNUMBER(K114),ISNUMBER(M114)),1,0)</f>
        <v>0</v>
      </c>
      <c r="N120" s="71">
        <f>IF(AND(N114&gt;P114,$AK93&gt;4,$AK92&gt;4,ISNUMBER(N114),ISNUMBER(P114)),1,0)</f>
        <v>0</v>
      </c>
      <c r="O120" s="71"/>
      <c r="P120" s="72">
        <f>IF(AND(P114&gt;N114,$AK93&gt;4,$AK92&gt;4,ISNUMBER(N114),ISNUMBER(P114)),1,0)</f>
        <v>0</v>
      </c>
      <c r="Q120" s="71">
        <f>IF(AND(Q114&gt;S114,$AK93&gt;5,$AK92&gt;4,ISNUMBER(Q114),ISNUMBER(S114)),1,0)</f>
        <v>0</v>
      </c>
      <c r="R120" s="71"/>
      <c r="S120" s="72">
        <f>IF(AND(S114&gt;Q114,$AK93&gt;5,$AK92&gt;4,ISNUMBER(Q114),ISNUMBER(S114)),1,0)</f>
        <v>0</v>
      </c>
      <c r="T120" s="71">
        <f>IF(AND(T114&gt;V114,$AK93&gt;6,$AK92&gt;4,ISNUMBER(T114),ISNUMBER(V114)),1,0)</f>
        <v>0</v>
      </c>
      <c r="U120" s="71"/>
      <c r="V120" s="72">
        <f>IF(AND(V114&gt;T114,$AK93&gt;6,$AK92&gt;4,ISNUMBER(T114),ISNUMBER(V114)),1,0)</f>
        <v>0</v>
      </c>
      <c r="W120" s="71">
        <f>IF(AND(W114&gt;Y114,$AK93&gt;7,$AK92&gt;4,ISNUMBER(W114),ISNUMBER(Y114)),1,0)</f>
        <v>0</v>
      </c>
      <c r="X120" s="71"/>
      <c r="Y120" s="72">
        <f>IF(AND(Y114&gt;W114,$AK93&gt;7,$AK92&gt;4,ISNUMBER(W114),ISNUMBER(Y114)),1,0)</f>
        <v>0</v>
      </c>
      <c r="Z120" s="71">
        <f>IF(AND(Z114&gt;AB114,$AK93&gt;8,$AK92&gt;4,ISNUMBER(Z114),ISNUMBER(AB114)),1,0)</f>
        <v>0</v>
      </c>
      <c r="AA120" s="71"/>
      <c r="AB120" s="72">
        <f>IF(AND(AB114&gt;Z114,$AK93&gt;8,$AK92&gt;4,ISNUMBER(Z114),ISNUMBER(AB114)),1,0)</f>
        <v>0</v>
      </c>
      <c r="AC120" s="71">
        <f>IF(AND(AC114&gt;AE114,$AK93&gt;9,$AK92&gt;4,ISNUMBER(AC114),ISNUMBER(AE114)),1,0)</f>
        <v>0</v>
      </c>
      <c r="AD120" s="71"/>
      <c r="AE120" s="72">
        <f>IF(AND(AE114&gt;AC114,$AK93&gt;9,$AK92&gt;4,ISNUMBER(AC114),ISNUMBER(AE114)),1,0)</f>
        <v>0</v>
      </c>
      <c r="AW120" s="154"/>
    </row>
    <row r="121" spans="1:49" s="70" customFormat="1" ht="38.25" hidden="1" customHeight="1" x14ac:dyDescent="0.2">
      <c r="A121" s="73" t="s">
        <v>80</v>
      </c>
      <c r="B121" s="70">
        <f>SUM(B116:B120)</f>
        <v>2</v>
      </c>
      <c r="D121" s="74">
        <f>SUM(D116:D120)</f>
        <v>0</v>
      </c>
      <c r="E121" s="70">
        <f>SUM(E116:E120)</f>
        <v>2</v>
      </c>
      <c r="G121" s="74">
        <f>SUM(G116:G120)</f>
        <v>0</v>
      </c>
      <c r="H121" s="70">
        <f>SUM(H116:H120)</f>
        <v>2</v>
      </c>
      <c r="J121" s="74">
        <f>SUM(J116:J120)</f>
        <v>0</v>
      </c>
      <c r="K121" s="70">
        <f>SUM(K116:K120)</f>
        <v>2</v>
      </c>
      <c r="M121" s="74">
        <f>SUM(M116:M120)</f>
        <v>0</v>
      </c>
      <c r="N121" s="70">
        <f>SUM(N116:N120)</f>
        <v>2</v>
      </c>
      <c r="P121" s="74">
        <f>SUM(P116:P120)</f>
        <v>0</v>
      </c>
      <c r="Q121" s="70">
        <f>SUM(Q116:Q120)</f>
        <v>2</v>
      </c>
      <c r="S121" s="74">
        <f>SUM(S116:S120)</f>
        <v>0</v>
      </c>
      <c r="T121" s="70">
        <f>SUM(T116:T120)</f>
        <v>1</v>
      </c>
      <c r="V121" s="74">
        <f>SUM(V116:V120)</f>
        <v>1</v>
      </c>
      <c r="W121" s="70">
        <f>SUM(W116:W120)</f>
        <v>2</v>
      </c>
      <c r="Y121" s="74">
        <f>SUM(Y116:Y120)</f>
        <v>0</v>
      </c>
      <c r="Z121" s="70">
        <f>SUM(Z116:Z120)</f>
        <v>2</v>
      </c>
      <c r="AB121" s="74">
        <f>SUM(AB116:AB120)</f>
        <v>0</v>
      </c>
      <c r="AC121" s="70">
        <f>SUM(AC116:AC120)</f>
        <v>1</v>
      </c>
      <c r="AE121" s="74">
        <f>SUM(AE116:AE120)</f>
        <v>1</v>
      </c>
      <c r="AW121" s="154"/>
    </row>
    <row r="122" spans="1:49" s="70" customFormat="1" ht="25.5" hidden="1" customHeight="1" x14ac:dyDescent="0.2">
      <c r="A122" s="73" t="s">
        <v>81</v>
      </c>
      <c r="B122" s="70">
        <f>IF(B121&gt;D121,IF(C156=AK92,1,IF(C156=AK92-1,1,0)),0)</f>
        <v>1</v>
      </c>
      <c r="C122" s="70">
        <f>B122+D122</f>
        <v>1</v>
      </c>
      <c r="D122" s="74">
        <f>IF(D121&gt;B121,IF(C156=AK92,1,IF(C156=AK92-1,1,0)),0)</f>
        <v>0</v>
      </c>
      <c r="E122" s="70">
        <f>IF(E121&gt;G121,IF(F156=AK92,1,IF(F156=AK92-1,1,0)),0)</f>
        <v>1</v>
      </c>
      <c r="F122" s="70">
        <f>E122+G122</f>
        <v>1</v>
      </c>
      <c r="G122" s="74">
        <f>IF(G121&gt;E121,IF(F156=AK92,1,IF(F156=AK92-1,1,0)),0)</f>
        <v>0</v>
      </c>
      <c r="H122" s="70">
        <f>IF(H121&gt;J121,IF(I156=AK92,1,IF(I156=AK92-1,1,0)),0)</f>
        <v>1</v>
      </c>
      <c r="I122" s="70">
        <f>H122+J122</f>
        <v>1</v>
      </c>
      <c r="J122" s="74">
        <f>IF(J121&gt;H121,IF(I156=AK92,1,IF(I156=AK92-1,1,0)),0)</f>
        <v>0</v>
      </c>
      <c r="K122" s="70">
        <f>IF(K121&gt;M121,IF(L156=AK92,1,IF(L156=AK92-1,1,0)),0)</f>
        <v>1</v>
      </c>
      <c r="L122" s="70">
        <f>K122+M122</f>
        <v>1</v>
      </c>
      <c r="M122" s="74">
        <f>IF(M121&gt;K121,IF(L156=AK92,1,IF(L156=AK92-1,1,0)),0)</f>
        <v>0</v>
      </c>
      <c r="N122" s="70">
        <f>IF(N121&gt;P121,IF(O156=AK92,1,IF(O156=AK92-1,1,0)),0)</f>
        <v>1</v>
      </c>
      <c r="O122" s="70">
        <f>N122+P122</f>
        <v>1</v>
      </c>
      <c r="P122" s="74">
        <f>IF(P121&gt;N121,IF(O156=AK92,1,IF(O156=AK92-1,1,0)),0)</f>
        <v>0</v>
      </c>
      <c r="Q122" s="70">
        <f>IF(Q121&gt;S121,IF(R156=AK92,1,IF(R156=AK92-1,1,0)),0)</f>
        <v>1</v>
      </c>
      <c r="R122" s="70">
        <f>Q122+S122</f>
        <v>1</v>
      </c>
      <c r="S122" s="74">
        <f>IF(S121&gt;Q121,IF(R156=AK92,1,IF(R156=AK92-1,1,0)),0)</f>
        <v>0</v>
      </c>
      <c r="T122" s="70">
        <f>IF(T121&gt;V121,IF(U156=AK92,1,IF(U156=AK92-1,1,0)),0)</f>
        <v>0</v>
      </c>
      <c r="U122" s="70">
        <f>T122+V122</f>
        <v>0</v>
      </c>
      <c r="V122" s="74">
        <f>IF(V121&gt;T121,IF(U156=AK92,1,IF(U156=AK92-1,1,0)),0)</f>
        <v>0</v>
      </c>
      <c r="W122" s="70">
        <f>IF(W121&gt;Y121,IF(X156=AK92,1,IF(X156=AK92-1,1,0)),0)</f>
        <v>1</v>
      </c>
      <c r="X122" s="70">
        <f>W122+Y122</f>
        <v>1</v>
      </c>
      <c r="Y122" s="74">
        <f>IF(Y121&gt;W121,IF(X156=AK92,1,IF(X156=AK92-1,1,0)),0)</f>
        <v>0</v>
      </c>
      <c r="Z122" s="70">
        <f>IF(Z121&gt;AB121,IF(AA156=AK92,1,IF(AA156=AK92-1,1,0)),0)</f>
        <v>1</v>
      </c>
      <c r="AA122" s="70">
        <f>Z122+AB122</f>
        <v>1</v>
      </c>
      <c r="AB122" s="74">
        <f>IF(AB121&gt;Z121,IF(AA156=AK92,1,IF(AA156=AK92-1,1,0)),0)</f>
        <v>0</v>
      </c>
      <c r="AC122" s="70">
        <f>IF(AC121&gt;AE121,IF(AD156=AK92,1,IF(AD156=AK92-1,1,0)),0)</f>
        <v>0</v>
      </c>
      <c r="AD122" s="70">
        <f>AC122+AE122</f>
        <v>0</v>
      </c>
      <c r="AE122" s="74">
        <f>IF(AE121&gt;AC121,IF(AD156=AK92,1,IF(AD156=AK92-1,1,0)),0)</f>
        <v>0</v>
      </c>
      <c r="AW122" s="154"/>
    </row>
    <row r="123" spans="1:49" s="70" customFormat="1" ht="25.5" hidden="1" customHeight="1" x14ac:dyDescent="0.2">
      <c r="A123" s="73"/>
      <c r="D123" s="74"/>
      <c r="G123" s="74"/>
      <c r="J123" s="74"/>
      <c r="M123" s="74"/>
      <c r="P123" s="74"/>
      <c r="S123" s="74"/>
      <c r="V123" s="74"/>
      <c r="Y123" s="74"/>
      <c r="AB123" s="74"/>
      <c r="AE123" s="74"/>
      <c r="AW123" s="154"/>
    </row>
    <row r="124" spans="1:49" s="70" customFormat="1" ht="12.75" hidden="1" customHeight="1" x14ac:dyDescent="0.2">
      <c r="A124" s="70" t="s">
        <v>82</v>
      </c>
      <c r="B124" s="70">
        <f>IF(B116=1,B110,0)</f>
        <v>25</v>
      </c>
      <c r="D124" s="74">
        <f t="shared" ref="D124:E128" si="11">IF(D116=1,D110,0)</f>
        <v>0</v>
      </c>
      <c r="E124" s="70">
        <f t="shared" si="11"/>
        <v>25</v>
      </c>
      <c r="G124" s="74">
        <f t="shared" ref="G124:H128" si="12">IF(G116=1,G110,0)</f>
        <v>0</v>
      </c>
      <c r="H124" s="70">
        <f t="shared" si="12"/>
        <v>25</v>
      </c>
      <c r="J124" s="74">
        <f t="shared" ref="J124:K128" si="13">IF(J116=1,J110,0)</f>
        <v>0</v>
      </c>
      <c r="K124" s="70">
        <f t="shared" si="13"/>
        <v>25</v>
      </c>
      <c r="M124" s="74">
        <f t="shared" ref="M124:N128" si="14">IF(M116=1,M110,0)</f>
        <v>0</v>
      </c>
      <c r="N124" s="70">
        <f t="shared" si="14"/>
        <v>25</v>
      </c>
      <c r="P124" s="74">
        <f t="shared" ref="P124:Q128" si="15">IF(P116=1,P110,0)</f>
        <v>0</v>
      </c>
      <c r="Q124" s="70">
        <f t="shared" si="15"/>
        <v>25</v>
      </c>
      <c r="S124" s="74">
        <f t="shared" ref="S124:T128" si="16">IF(S116=1,S110,0)</f>
        <v>0</v>
      </c>
      <c r="T124" s="70">
        <f t="shared" si="16"/>
        <v>27</v>
      </c>
      <c r="V124" s="74">
        <f t="shared" ref="V124:W128" si="17">IF(V116=1,V110,0)</f>
        <v>0</v>
      </c>
      <c r="W124" s="70">
        <f t="shared" si="17"/>
        <v>25</v>
      </c>
      <c r="Y124" s="74">
        <f t="shared" ref="Y124:Z128" si="18">IF(Y116=1,Y110,0)</f>
        <v>0</v>
      </c>
      <c r="Z124" s="70">
        <f t="shared" si="18"/>
        <v>25</v>
      </c>
      <c r="AB124" s="74">
        <f t="shared" ref="AB124:AC128" si="19">IF(AB116=1,AB110,0)</f>
        <v>0</v>
      </c>
      <c r="AC124" s="70">
        <f t="shared" si="19"/>
        <v>25</v>
      </c>
      <c r="AE124" s="74">
        <f>IF(AE116=1,AE110,0)</f>
        <v>0</v>
      </c>
      <c r="AW124" s="154"/>
    </row>
    <row r="125" spans="1:49" s="70" customFormat="1" ht="12.75" hidden="1" customHeight="1" x14ac:dyDescent="0.2">
      <c r="A125" s="70" t="s">
        <v>83</v>
      </c>
      <c r="B125" s="70">
        <f>IF(B117=1,B111,0)</f>
        <v>25</v>
      </c>
      <c r="D125" s="74">
        <f t="shared" si="11"/>
        <v>0</v>
      </c>
      <c r="E125" s="70">
        <f t="shared" si="11"/>
        <v>25</v>
      </c>
      <c r="G125" s="74">
        <f t="shared" si="12"/>
        <v>0</v>
      </c>
      <c r="H125" s="70">
        <f t="shared" si="12"/>
        <v>25</v>
      </c>
      <c r="J125" s="74">
        <f t="shared" si="13"/>
        <v>0</v>
      </c>
      <c r="K125" s="70">
        <f t="shared" si="13"/>
        <v>25</v>
      </c>
      <c r="M125" s="74">
        <f t="shared" si="14"/>
        <v>0</v>
      </c>
      <c r="N125" s="70">
        <f t="shared" si="14"/>
        <v>25</v>
      </c>
      <c r="P125" s="74">
        <f t="shared" si="15"/>
        <v>0</v>
      </c>
      <c r="Q125" s="70">
        <f t="shared" si="15"/>
        <v>25</v>
      </c>
      <c r="S125" s="74">
        <f t="shared" si="16"/>
        <v>0</v>
      </c>
      <c r="T125" s="70">
        <f t="shared" si="16"/>
        <v>0</v>
      </c>
      <c r="V125" s="74">
        <f t="shared" si="17"/>
        <v>25</v>
      </c>
      <c r="W125" s="70">
        <f t="shared" si="17"/>
        <v>25</v>
      </c>
      <c r="Y125" s="74">
        <f t="shared" si="18"/>
        <v>0</v>
      </c>
      <c r="Z125" s="70">
        <f t="shared" si="18"/>
        <v>25</v>
      </c>
      <c r="AB125" s="74">
        <f t="shared" si="19"/>
        <v>0</v>
      </c>
      <c r="AC125" s="70">
        <f t="shared" si="19"/>
        <v>0</v>
      </c>
      <c r="AE125" s="74">
        <f>IF(AE117=1,AE111,0)</f>
        <v>25</v>
      </c>
      <c r="AW125" s="154"/>
    </row>
    <row r="126" spans="1:49" s="70" customFormat="1" ht="12.75" hidden="1" customHeight="1" x14ac:dyDescent="0.2">
      <c r="A126" s="70" t="s">
        <v>84</v>
      </c>
      <c r="B126" s="70">
        <f>IF(B118=1,B112,0)</f>
        <v>0</v>
      </c>
      <c r="D126" s="74">
        <f t="shared" si="11"/>
        <v>0</v>
      </c>
      <c r="E126" s="70">
        <f t="shared" si="11"/>
        <v>0</v>
      </c>
      <c r="G126" s="74">
        <f t="shared" si="12"/>
        <v>0</v>
      </c>
      <c r="H126" s="70">
        <f t="shared" si="12"/>
        <v>0</v>
      </c>
      <c r="J126" s="74">
        <f t="shared" si="13"/>
        <v>0</v>
      </c>
      <c r="K126" s="70">
        <f t="shared" si="13"/>
        <v>0</v>
      </c>
      <c r="M126" s="74">
        <f t="shared" si="14"/>
        <v>0</v>
      </c>
      <c r="N126" s="70">
        <f t="shared" si="14"/>
        <v>0</v>
      </c>
      <c r="P126" s="74">
        <f t="shared" si="15"/>
        <v>0</v>
      </c>
      <c r="Q126" s="70">
        <f t="shared" si="15"/>
        <v>0</v>
      </c>
      <c r="S126" s="74">
        <f t="shared" si="16"/>
        <v>0</v>
      </c>
      <c r="T126" s="70">
        <f t="shared" si="16"/>
        <v>0</v>
      </c>
      <c r="V126" s="74">
        <f t="shared" si="17"/>
        <v>0</v>
      </c>
      <c r="W126" s="70">
        <f t="shared" si="17"/>
        <v>0</v>
      </c>
      <c r="Y126" s="74">
        <f t="shared" si="18"/>
        <v>0</v>
      </c>
      <c r="Z126" s="70">
        <f t="shared" si="18"/>
        <v>0</v>
      </c>
      <c r="AB126" s="74">
        <f t="shared" si="19"/>
        <v>0</v>
      </c>
      <c r="AC126" s="70">
        <f t="shared" si="19"/>
        <v>0</v>
      </c>
      <c r="AE126" s="74">
        <f>IF(AE118=1,AE112,0)</f>
        <v>0</v>
      </c>
      <c r="AW126" s="154"/>
    </row>
    <row r="127" spans="1:49" s="70" customFormat="1" ht="12.75" hidden="1" customHeight="1" x14ac:dyDescent="0.2">
      <c r="A127" s="70" t="s">
        <v>85</v>
      </c>
      <c r="B127" s="70">
        <f>IF(B119=1,B113,0)</f>
        <v>0</v>
      </c>
      <c r="D127" s="74">
        <f t="shared" si="11"/>
        <v>0</v>
      </c>
      <c r="E127" s="70">
        <f t="shared" si="11"/>
        <v>0</v>
      </c>
      <c r="G127" s="74">
        <f t="shared" si="12"/>
        <v>0</v>
      </c>
      <c r="H127" s="70">
        <f t="shared" si="12"/>
        <v>0</v>
      </c>
      <c r="J127" s="74">
        <f t="shared" si="13"/>
        <v>0</v>
      </c>
      <c r="K127" s="70">
        <f t="shared" si="13"/>
        <v>0</v>
      </c>
      <c r="M127" s="74">
        <f t="shared" si="14"/>
        <v>0</v>
      </c>
      <c r="N127" s="70">
        <f t="shared" si="14"/>
        <v>0</v>
      </c>
      <c r="P127" s="74">
        <f t="shared" si="15"/>
        <v>0</v>
      </c>
      <c r="Q127" s="70">
        <f t="shared" si="15"/>
        <v>0</v>
      </c>
      <c r="S127" s="74">
        <f t="shared" si="16"/>
        <v>0</v>
      </c>
      <c r="T127" s="70">
        <f t="shared" si="16"/>
        <v>0</v>
      </c>
      <c r="V127" s="74">
        <f t="shared" si="17"/>
        <v>0</v>
      </c>
      <c r="W127" s="70">
        <f t="shared" si="17"/>
        <v>0</v>
      </c>
      <c r="Y127" s="74">
        <f t="shared" si="18"/>
        <v>0</v>
      </c>
      <c r="Z127" s="70">
        <f t="shared" si="18"/>
        <v>0</v>
      </c>
      <c r="AB127" s="74">
        <f t="shared" si="19"/>
        <v>0</v>
      </c>
      <c r="AC127" s="70">
        <f t="shared" si="19"/>
        <v>0</v>
      </c>
      <c r="AE127" s="74">
        <f>IF(AE119=1,AE113,0)</f>
        <v>0</v>
      </c>
      <c r="AW127" s="154"/>
    </row>
    <row r="128" spans="1:49" s="70" customFormat="1" ht="12.75" hidden="1" customHeight="1" x14ac:dyDescent="0.2">
      <c r="A128" s="70" t="s">
        <v>86</v>
      </c>
      <c r="B128" s="70">
        <f>IF(B120=1,B114,0)</f>
        <v>0</v>
      </c>
      <c r="D128" s="74">
        <f t="shared" si="11"/>
        <v>0</v>
      </c>
      <c r="E128" s="70">
        <f t="shared" si="11"/>
        <v>0</v>
      </c>
      <c r="G128" s="74">
        <f t="shared" si="12"/>
        <v>0</v>
      </c>
      <c r="H128" s="70">
        <f t="shared" si="12"/>
        <v>0</v>
      </c>
      <c r="J128" s="74">
        <f t="shared" si="13"/>
        <v>0</v>
      </c>
      <c r="K128" s="70">
        <f t="shared" si="13"/>
        <v>0</v>
      </c>
      <c r="M128" s="74">
        <f t="shared" si="14"/>
        <v>0</v>
      </c>
      <c r="N128" s="70">
        <f t="shared" si="14"/>
        <v>0</v>
      </c>
      <c r="P128" s="74">
        <f t="shared" si="15"/>
        <v>0</v>
      </c>
      <c r="Q128" s="70">
        <f t="shared" si="15"/>
        <v>0</v>
      </c>
      <c r="S128" s="74">
        <f t="shared" si="16"/>
        <v>0</v>
      </c>
      <c r="T128" s="70">
        <f t="shared" si="16"/>
        <v>0</v>
      </c>
      <c r="V128" s="74">
        <f t="shared" si="17"/>
        <v>0</v>
      </c>
      <c r="W128" s="70">
        <f t="shared" si="17"/>
        <v>0</v>
      </c>
      <c r="Y128" s="74">
        <f t="shared" si="18"/>
        <v>0</v>
      </c>
      <c r="Z128" s="70">
        <f t="shared" si="18"/>
        <v>0</v>
      </c>
      <c r="AB128" s="74">
        <f t="shared" si="19"/>
        <v>0</v>
      </c>
      <c r="AC128" s="70">
        <f t="shared" si="19"/>
        <v>0</v>
      </c>
      <c r="AE128" s="74">
        <f>IF(AE120=1,AE114,0)</f>
        <v>0</v>
      </c>
      <c r="AW128" s="154"/>
    </row>
    <row r="129" spans="1:49" s="70" customFormat="1" ht="38.25" hidden="1" customHeight="1" x14ac:dyDescent="0.2">
      <c r="A129" s="73" t="s">
        <v>87</v>
      </c>
      <c r="B129" s="70">
        <f>SUM(B124:D128)</f>
        <v>50</v>
      </c>
      <c r="D129" s="74"/>
      <c r="E129" s="70">
        <f>SUM(E124:G128)</f>
        <v>50</v>
      </c>
      <c r="G129" s="74"/>
      <c r="H129" s="70">
        <f>SUM(H124:J128)</f>
        <v>50</v>
      </c>
      <c r="J129" s="74"/>
      <c r="K129" s="70">
        <f>SUM(K124:M128)</f>
        <v>50</v>
      </c>
      <c r="M129" s="74"/>
      <c r="N129" s="70">
        <f>SUM(N124:P128)</f>
        <v>50</v>
      </c>
      <c r="P129" s="74"/>
      <c r="Q129" s="70">
        <f>SUM(Q124:S128)</f>
        <v>50</v>
      </c>
      <c r="S129" s="74"/>
      <c r="T129" s="70">
        <f>SUM(T124:V128)</f>
        <v>52</v>
      </c>
      <c r="V129" s="74"/>
      <c r="W129" s="70">
        <f>SUM(W124:Y128)</f>
        <v>50</v>
      </c>
      <c r="Y129" s="74"/>
      <c r="Z129" s="70">
        <f>SUM(Z124:AB128)</f>
        <v>50</v>
      </c>
      <c r="AB129" s="74"/>
      <c r="AC129" s="70">
        <f>SUM(AC124:AE128)</f>
        <v>50</v>
      </c>
      <c r="AE129" s="74"/>
      <c r="AW129" s="154"/>
    </row>
    <row r="130" spans="1:49" s="70" customFormat="1" ht="38.25" hidden="1" customHeight="1" x14ac:dyDescent="0.2">
      <c r="A130" s="70" t="s">
        <v>88</v>
      </c>
      <c r="D130" s="74"/>
      <c r="G130" s="74"/>
      <c r="J130" s="74"/>
      <c r="M130" s="74"/>
      <c r="P130" s="74"/>
      <c r="S130" s="74"/>
      <c r="V130" s="74"/>
      <c r="Y130" s="74"/>
      <c r="AB130" s="74"/>
      <c r="AE130" s="74"/>
      <c r="AF130" s="73" t="s">
        <v>89</v>
      </c>
      <c r="AG130" s="70" t="s">
        <v>90</v>
      </c>
      <c r="AW130" s="154"/>
    </row>
    <row r="131" spans="1:49" s="70" customFormat="1" ht="12.75" hidden="1" customHeight="1" x14ac:dyDescent="0.2">
      <c r="A131" s="70" t="s">
        <v>91</v>
      </c>
      <c r="B131" s="70">
        <f>IF(B109=1,IF(B122=1,1,0),0)</f>
        <v>0</v>
      </c>
      <c r="D131" s="74">
        <f>IF(D109=1,IF(D122=1,1,0),0)</f>
        <v>0</v>
      </c>
      <c r="E131" s="70">
        <f>IF(E109=1,IF(E122=1,1,0),0)</f>
        <v>1</v>
      </c>
      <c r="G131" s="74">
        <f>IF(G109=1,IF(G122=1,1,0),0)</f>
        <v>0</v>
      </c>
      <c r="H131" s="70">
        <f>IF(H109=1,IF(H122=1,1,0),0)</f>
        <v>0</v>
      </c>
      <c r="J131" s="74">
        <f>IF(J109=1,IF(J122=1,1,0),0)</f>
        <v>0</v>
      </c>
      <c r="K131" s="70">
        <f>IF(K109=1,IF(K122=1,1,0),0)</f>
        <v>0</v>
      </c>
      <c r="M131" s="74">
        <f>IF(M109=1,IF(M122=1,1,0),0)</f>
        <v>0</v>
      </c>
      <c r="N131" s="70">
        <f>IF(N109=1,IF(N122=1,1,0),0)</f>
        <v>1</v>
      </c>
      <c r="P131" s="74">
        <f>IF(P109=1,IF(P122=1,1,0),0)</f>
        <v>0</v>
      </c>
      <c r="Q131" s="70">
        <f>IF(Q109=1,IF(Q122=1,1,0),0)</f>
        <v>0</v>
      </c>
      <c r="S131" s="74">
        <f>IF(S109=1,IF(S122=1,1,0),0)</f>
        <v>0</v>
      </c>
      <c r="T131" s="70">
        <f>IF(T109=1,IF(T122=1,1,0),0)</f>
        <v>0</v>
      </c>
      <c r="V131" s="74">
        <f>IF(V109=1,IF(V122=1,1,0),0)</f>
        <v>0</v>
      </c>
      <c r="W131" s="70">
        <f>IF(W109=1,IF(W122=1,1,0),0)</f>
        <v>1</v>
      </c>
      <c r="Y131" s="74">
        <f>IF(Y109=1,IF(Y122=1,1,0),0)</f>
        <v>0</v>
      </c>
      <c r="Z131" s="70">
        <f>IF(Z109=1,IF(Z122=1,1,0),0)</f>
        <v>0</v>
      </c>
      <c r="AB131" s="74">
        <f>IF(AB109=1,IF(AB122=1,1,0),0)</f>
        <v>0</v>
      </c>
      <c r="AC131" s="70">
        <f>IF(AC109=1,IF(AC122=1,1,0),0)</f>
        <v>0</v>
      </c>
      <c r="AE131" s="74">
        <f>IF(AE109=1,IF(AE122=1,1,0),0)</f>
        <v>0</v>
      </c>
      <c r="AF131" s="70">
        <f>SUM(B131:AE131)</f>
        <v>3</v>
      </c>
      <c r="AG131" s="70">
        <f>AF137-AF131</f>
        <v>0</v>
      </c>
      <c r="AW131" s="154"/>
    </row>
    <row r="132" spans="1:49" s="70" customFormat="1" ht="12.75" hidden="1" customHeight="1" x14ac:dyDescent="0.2">
      <c r="A132" s="70" t="s">
        <v>92</v>
      </c>
      <c r="B132" s="70">
        <f>IF(B109=2,IF(B122=1,1,0),0)</f>
        <v>1</v>
      </c>
      <c r="D132" s="74">
        <f>IF(D109=2,IF(D122=1,1,0),0)</f>
        <v>0</v>
      </c>
      <c r="E132" s="70">
        <f>IF(E109=2,IF(E122=1,1,0),0)</f>
        <v>0</v>
      </c>
      <c r="G132" s="74">
        <f>IF(G109=2,IF(G122=1,1,0),0)</f>
        <v>0</v>
      </c>
      <c r="H132" s="70">
        <f>IF(H109=2,IF(H122=1,1,0),0)</f>
        <v>0</v>
      </c>
      <c r="J132" s="74">
        <f>IF(J109=2,IF(J122=1,1,0),0)</f>
        <v>0</v>
      </c>
      <c r="K132" s="70">
        <f>IF(K109=2,IF(K122=1,1,0),0)</f>
        <v>1</v>
      </c>
      <c r="M132" s="74">
        <f>IF(M109=2,IF(M122=1,1,0),0)</f>
        <v>0</v>
      </c>
      <c r="N132" s="70">
        <f>IF(N109=2,IF(N122=1,1,0),0)</f>
        <v>0</v>
      </c>
      <c r="P132" s="74">
        <f>IF(P109=2,IF(P122=1,1,0),0)</f>
        <v>0</v>
      </c>
      <c r="Q132" s="70">
        <f>IF(Q109=2,IF(Q122=1,1,0),0)</f>
        <v>0</v>
      </c>
      <c r="S132" s="74">
        <f>IF(S109=2,IF(S122=1,1,0),0)</f>
        <v>0</v>
      </c>
      <c r="T132" s="70">
        <f>IF(T109=2,IF(T122=1,1,0),0)</f>
        <v>0</v>
      </c>
      <c r="V132" s="74">
        <f>IF(V109=2,IF(V122=1,1,0),0)</f>
        <v>0</v>
      </c>
      <c r="W132" s="70">
        <f>IF(W109=2,IF(W122=1,1,0),0)</f>
        <v>0</v>
      </c>
      <c r="Y132" s="74">
        <f>IF(Y109=2,IF(Y122=1,1,0),0)</f>
        <v>0</v>
      </c>
      <c r="Z132" s="70">
        <f>IF(Z109=2,IF(Z122=1,1,0),0)</f>
        <v>0</v>
      </c>
      <c r="AB132" s="74">
        <f>IF(AB109=2,IF(AB122=1,1,0),0)</f>
        <v>0</v>
      </c>
      <c r="AC132" s="70">
        <f>IF(AC109=2,IF(AC122=1,1,0),0)</f>
        <v>0</v>
      </c>
      <c r="AE132" s="74">
        <f>IF(AE109=2,IF(AE122=1,1,0),0)</f>
        <v>0</v>
      </c>
      <c r="AF132" s="70">
        <f>SUM(B132:AE132)</f>
        <v>2</v>
      </c>
      <c r="AG132" s="70">
        <f>AF138-AF132</f>
        <v>0</v>
      </c>
      <c r="AW132" s="154"/>
    </row>
    <row r="133" spans="1:49" s="70" customFormat="1" ht="12.75" hidden="1" customHeight="1" x14ac:dyDescent="0.2">
      <c r="A133" s="70" t="s">
        <v>93</v>
      </c>
      <c r="B133" s="70">
        <f>IF(B109=3,IF(B122=1,1,0),0)</f>
        <v>0</v>
      </c>
      <c r="D133" s="74">
        <f>IF(D109=3,IF(D122=1,1,0),0)</f>
        <v>0</v>
      </c>
      <c r="E133" s="70">
        <f>IF(E109=3,IF(E122=1,1,0),0)</f>
        <v>0</v>
      </c>
      <c r="G133" s="74">
        <f>IF(G109=3,IF(G122=1,1,0),0)</f>
        <v>0</v>
      </c>
      <c r="H133" s="70">
        <f>IF(H109=3,IF(H122=1,1,0),0)</f>
        <v>1</v>
      </c>
      <c r="J133" s="74">
        <f>IF(J109=3,IF(J122=1,1,0),0)</f>
        <v>0</v>
      </c>
      <c r="K133" s="70">
        <f>IF(K109=3,IF(K122=1,1,0),0)</f>
        <v>0</v>
      </c>
      <c r="M133" s="74">
        <f>IF(M109=3,IF(M122=1,1,0),0)</f>
        <v>0</v>
      </c>
      <c r="N133" s="70">
        <f>IF(N109=3,IF(N122=1,1,0),0)</f>
        <v>0</v>
      </c>
      <c r="P133" s="74">
        <f>IF(P109=3,IF(P122=1,1,0),0)</f>
        <v>0</v>
      </c>
      <c r="Q133" s="70">
        <f>IF(Q109=3,IF(Q122=1,1,0),0)</f>
        <v>0</v>
      </c>
      <c r="S133" s="74">
        <f>IF(S109=3,IF(S122=1,1,0),0)</f>
        <v>0</v>
      </c>
      <c r="T133" s="70">
        <f>IF(T109=3,IF(T122=1,1,0),0)</f>
        <v>0</v>
      </c>
      <c r="V133" s="74">
        <f>IF(V109=3,IF(V122=1,1,0),0)</f>
        <v>0</v>
      </c>
      <c r="W133" s="70">
        <f>IF(W109=3,IF(W122=1,1,0),0)</f>
        <v>0</v>
      </c>
      <c r="Y133" s="74">
        <f>IF(Y109=3,IF(Y122=1,1,0),0)</f>
        <v>0</v>
      </c>
      <c r="Z133" s="70">
        <f>IF(Z109=3,IF(Z122=1,1,0),0)</f>
        <v>1</v>
      </c>
      <c r="AB133" s="74">
        <f>IF(AB109=3,IF(AB122=1,1,0),0)</f>
        <v>0</v>
      </c>
      <c r="AC133" s="70">
        <f>IF(AC109=3,IF(AC122=1,1,0),0)</f>
        <v>0</v>
      </c>
      <c r="AE133" s="74">
        <f>IF(AE109=3,IF(AE122=1,1,0),0)</f>
        <v>0</v>
      </c>
      <c r="AF133" s="70">
        <f>SUM(B133:AE133)</f>
        <v>2</v>
      </c>
      <c r="AG133" s="70">
        <f>AF139-AF133</f>
        <v>1</v>
      </c>
      <c r="AW133" s="154"/>
    </row>
    <row r="134" spans="1:49" s="70" customFormat="1" ht="12.75" hidden="1" customHeight="1" x14ac:dyDescent="0.2">
      <c r="A134" s="70" t="s">
        <v>94</v>
      </c>
      <c r="B134" s="70">
        <f>IF(B109=4,IF(B122=1,1,0),0)</f>
        <v>0</v>
      </c>
      <c r="D134" s="74">
        <f>IF(D109=4,IF(D122=1,1,0),0)</f>
        <v>0</v>
      </c>
      <c r="E134" s="70">
        <f>IF(E109=4,IF(E122=1,1,0),0)</f>
        <v>0</v>
      </c>
      <c r="G134" s="74">
        <f>IF(G109=4,IF(G122=1,1,0),0)</f>
        <v>0</v>
      </c>
      <c r="H134" s="70">
        <f>IF(H109=4,IF(H122=1,1,0),0)</f>
        <v>0</v>
      </c>
      <c r="J134" s="74">
        <f>IF(J109=4,IF(J122=1,1,0),0)</f>
        <v>0</v>
      </c>
      <c r="K134" s="70">
        <f>IF(K109=4,IF(K122=1,1,0),0)</f>
        <v>0</v>
      </c>
      <c r="M134" s="74">
        <f>IF(M109=4,IF(M122=1,1,0),0)</f>
        <v>0</v>
      </c>
      <c r="N134" s="70">
        <f>IF(N109=4,IF(N122=1,1,0),0)</f>
        <v>0</v>
      </c>
      <c r="P134" s="74">
        <f>IF(P109=4,IF(P122=1,1,0),0)</f>
        <v>0</v>
      </c>
      <c r="Q134" s="70">
        <f>IF(Q109=4,IF(Q122=1,1,0),0)</f>
        <v>1</v>
      </c>
      <c r="S134" s="74">
        <f>IF(S109=4,IF(S122=1,1,0),0)</f>
        <v>0</v>
      </c>
      <c r="T134" s="70">
        <f>IF(T109=4,IF(T122=1,1,0),0)</f>
        <v>0</v>
      </c>
      <c r="V134" s="74">
        <f>IF(V109=4,IF(V122=1,1,0),0)</f>
        <v>0</v>
      </c>
      <c r="W134" s="70">
        <f>IF(W109=4,IF(W122=1,1,0),0)</f>
        <v>0</v>
      </c>
      <c r="Y134" s="74">
        <f>IF(Y109=4,IF(Y122=1,1,0),0)</f>
        <v>0</v>
      </c>
      <c r="Z134" s="70">
        <f>IF(Z109=4,IF(Z122=1,1,0),0)</f>
        <v>0</v>
      </c>
      <c r="AB134" s="74">
        <f>IF(AB109=4,IF(AB122=1,1,0),0)</f>
        <v>0</v>
      </c>
      <c r="AC134" s="70">
        <f>IF(AC109=4,IF(AC122=1,1,0),0)</f>
        <v>0</v>
      </c>
      <c r="AE134" s="74">
        <f>IF(AE109=4,IF(AE122=1,1,0),0)</f>
        <v>0</v>
      </c>
      <c r="AF134" s="70">
        <f>SUM(B134:AE134)</f>
        <v>1</v>
      </c>
      <c r="AG134" s="70">
        <f>AF140-AF134</f>
        <v>3</v>
      </c>
      <c r="AW134" s="154"/>
    </row>
    <row r="135" spans="1:49" s="70" customFormat="1" ht="12.75" hidden="1" customHeight="1" x14ac:dyDescent="0.2">
      <c r="A135" s="70" t="s">
        <v>95</v>
      </c>
      <c r="B135" s="70">
        <f>IF(B109=5,IF(B122=1,1,0),0)</f>
        <v>0</v>
      </c>
      <c r="D135" s="74">
        <f>IF(D109=5,IF(D122=1,1,0),0)</f>
        <v>0</v>
      </c>
      <c r="E135" s="70">
        <f>IF(E109=5,IF(E122=1,1,0),0)</f>
        <v>0</v>
      </c>
      <c r="G135" s="74">
        <f>IF(G109=5,IF(G122=1,1,0),0)</f>
        <v>0</v>
      </c>
      <c r="H135" s="70">
        <f>IF(H109=5,IF(H122=1,1,0),0)</f>
        <v>0</v>
      </c>
      <c r="J135" s="74">
        <f>IF(J109=5,IF(J122=1,1,0),0)</f>
        <v>0</v>
      </c>
      <c r="K135" s="70">
        <f>IF(K109=5,IF(K122=1,1,0),0)</f>
        <v>0</v>
      </c>
      <c r="M135" s="74">
        <f>IF(M109=5,IF(M122=1,1,0),0)</f>
        <v>0</v>
      </c>
      <c r="N135" s="70">
        <f>IF(N109=5,IF(N122=1,1,0),0)</f>
        <v>0</v>
      </c>
      <c r="P135" s="74">
        <f>IF(P109=5,IF(P122=1,1,0),0)</f>
        <v>0</v>
      </c>
      <c r="Q135" s="70">
        <f>IF(Q109=5,IF(Q122=1,1,0),0)</f>
        <v>0</v>
      </c>
      <c r="S135" s="74">
        <f>IF(S109=5,IF(S122=1,1,0),0)</f>
        <v>0</v>
      </c>
      <c r="T135" s="70">
        <f>IF(T109=5,IF(T122=1,1,0),0)</f>
        <v>0</v>
      </c>
      <c r="V135" s="74">
        <f>IF(V109=5,IF(V122=1,1,0),0)</f>
        <v>0</v>
      </c>
      <c r="W135" s="70">
        <f>IF(W109=5,IF(W122=1,1,0),0)</f>
        <v>0</v>
      </c>
      <c r="Y135" s="74">
        <f>IF(Y109=5,IF(Y122=1,1,0),0)</f>
        <v>0</v>
      </c>
      <c r="Z135" s="70">
        <f>IF(Z109=5,IF(Z122=1,1,0),0)</f>
        <v>0</v>
      </c>
      <c r="AB135" s="74">
        <f>IF(AB109=5,IF(AB122=1,1,0),0)</f>
        <v>0</v>
      </c>
      <c r="AC135" s="70">
        <f>IF(AC109=5,IF(AC122=1,1,0),0)</f>
        <v>0</v>
      </c>
      <c r="AE135" s="74">
        <f>IF(AE109=5,IF(AE122=1,1,0),0)</f>
        <v>0</v>
      </c>
      <c r="AF135" s="70">
        <f>SUM(B135:AE135)</f>
        <v>0</v>
      </c>
      <c r="AG135" s="70">
        <f>AF141-AF135</f>
        <v>4</v>
      </c>
      <c r="AW135" s="154"/>
    </row>
    <row r="136" spans="1:49" s="70" customFormat="1" ht="38.25" hidden="1" customHeight="1" x14ac:dyDescent="0.2">
      <c r="A136" s="73"/>
      <c r="D136" s="74"/>
      <c r="G136" s="74"/>
      <c r="J136" s="74"/>
      <c r="M136" s="74"/>
      <c r="P136" s="74"/>
      <c r="S136" s="74"/>
      <c r="V136" s="74"/>
      <c r="Y136" s="74"/>
      <c r="AB136" s="74"/>
      <c r="AE136" s="74"/>
      <c r="AF136" s="73" t="s">
        <v>96</v>
      </c>
      <c r="AW136" s="154"/>
    </row>
    <row r="137" spans="1:49" s="70" customFormat="1" ht="12.75" hidden="1" customHeight="1" x14ac:dyDescent="0.2">
      <c r="A137" s="70" t="s">
        <v>97</v>
      </c>
      <c r="B137" s="70">
        <f>IF(B109=1,IF(C122=1,1,0),0)</f>
        <v>0</v>
      </c>
      <c r="D137" s="74">
        <f>IF(D109=1,IF(C122=1,1,0),0)</f>
        <v>0</v>
      </c>
      <c r="E137" s="70">
        <f>IF(E109=1,IF(F122=1,1,0),0)</f>
        <v>1</v>
      </c>
      <c r="G137" s="74">
        <f>IF(G109=1,IF(F122=1,1,0),0)</f>
        <v>0</v>
      </c>
      <c r="H137" s="70">
        <f>IF(H109=1,IF(I122=1,1,0),0)</f>
        <v>0</v>
      </c>
      <c r="J137" s="74">
        <f>IF(J109=1,IF(I122=1,1,0),0)</f>
        <v>0</v>
      </c>
      <c r="K137" s="70">
        <f>IF(K109=1,IF(L122=1,1,0),0)</f>
        <v>0</v>
      </c>
      <c r="M137" s="74">
        <f>IF(M109=1,IF(L122=1,1,0),0)</f>
        <v>0</v>
      </c>
      <c r="N137" s="70">
        <f>IF(N109=1,IF(O122=1,1,0),0)</f>
        <v>1</v>
      </c>
      <c r="P137" s="74">
        <f>IF(P109=1,IF(O122=1,1,0),0)</f>
        <v>0</v>
      </c>
      <c r="Q137" s="70">
        <f>IF(Q109=1,IF(R122=1,1,0),0)</f>
        <v>0</v>
      </c>
      <c r="S137" s="74">
        <f>IF(S109=1,IF(R122=1,1,0),0)</f>
        <v>0</v>
      </c>
      <c r="T137" s="70">
        <f>IF(T109=1,IF(U122=1,1,0),0)</f>
        <v>0</v>
      </c>
      <c r="V137" s="74">
        <f>IF(V109=1,IF(U122=1,1,0),0)</f>
        <v>0</v>
      </c>
      <c r="W137" s="70">
        <f>IF(W109=1,IF(X122=1,1,0),0)</f>
        <v>1</v>
      </c>
      <c r="Y137" s="74">
        <f>IF(Y109=1,IF(X122=1,1,0),0)</f>
        <v>0</v>
      </c>
      <c r="Z137" s="70">
        <f>IF(Z109=1,IF(AA122=1,1,0),0)</f>
        <v>0</v>
      </c>
      <c r="AB137" s="74">
        <f>IF(AB109=1,IF(AA122=1,1,0),0)</f>
        <v>0</v>
      </c>
      <c r="AC137" s="70">
        <f>IF(AC109=1,IF(AD122=1,1,0),0)</f>
        <v>0</v>
      </c>
      <c r="AE137" s="74">
        <f>IF(AE109=1,IF(AD122=1,1,0),0)</f>
        <v>0</v>
      </c>
      <c r="AF137" s="70">
        <f>SUM(B137:AE137)</f>
        <v>3</v>
      </c>
      <c r="AW137" s="154"/>
    </row>
    <row r="138" spans="1:49" s="70" customFormat="1" ht="12.75" hidden="1" customHeight="1" x14ac:dyDescent="0.2">
      <c r="A138" s="70" t="s">
        <v>98</v>
      </c>
      <c r="B138" s="70">
        <f>IF(B109=2,IF(C122=1,1,0),0)</f>
        <v>1</v>
      </c>
      <c r="D138" s="74">
        <f>IF(D109=2,IF(C122=1,1,0),0)</f>
        <v>0</v>
      </c>
      <c r="E138" s="70">
        <f>IF(E109=2,IF(F122=1,1,0),0)</f>
        <v>0</v>
      </c>
      <c r="G138" s="74">
        <f>IF(G109=2,IF(F122=1,1,0),0)</f>
        <v>0</v>
      </c>
      <c r="H138" s="70">
        <f>IF(H109=2,IF(I122=1,1,0),0)</f>
        <v>0</v>
      </c>
      <c r="J138" s="74">
        <f>IF(J109=2,IF(I122=1,1,0),0)</f>
        <v>0</v>
      </c>
      <c r="K138" s="70">
        <f>IF(K109=2,IF(L122=1,1,0),0)</f>
        <v>1</v>
      </c>
      <c r="M138" s="74">
        <f>IF(M109=2,IF(L122=1,1,0),0)</f>
        <v>0</v>
      </c>
      <c r="N138" s="70">
        <f>IF(N109=2,IF(O122=1,1,0),0)</f>
        <v>0</v>
      </c>
      <c r="P138" s="74">
        <f>IF(P109=2,IF(O122=1,1,0),0)</f>
        <v>0</v>
      </c>
      <c r="Q138" s="70">
        <f>IF(Q109=2,IF(R122=1,1,0),0)</f>
        <v>0</v>
      </c>
      <c r="S138" s="74">
        <f>IF(S109=2,IF(R122=1,1,0),0)</f>
        <v>0</v>
      </c>
      <c r="T138" s="70">
        <f>IF(T109=2,IF(U122=1,1,0),0)</f>
        <v>0</v>
      </c>
      <c r="V138" s="74">
        <f>IF(V109=2,IF(U122=1,1,0),0)</f>
        <v>0</v>
      </c>
      <c r="W138" s="70">
        <f>IF(W109=2,IF(X122=1,1,0),0)</f>
        <v>0</v>
      </c>
      <c r="Y138" s="74">
        <f>IF(Y109=2,IF(X122=1,1,0),0)</f>
        <v>0</v>
      </c>
      <c r="Z138" s="70">
        <f>IF(Z109=2,IF(AA122=1,1,0),0)</f>
        <v>0</v>
      </c>
      <c r="AB138" s="74">
        <f>IF(AB109=2,IF(AA122=1,1,0),0)</f>
        <v>0</v>
      </c>
      <c r="AC138" s="70">
        <f>IF(AC109=2,IF(AD122=1,1,0),0)</f>
        <v>0</v>
      </c>
      <c r="AE138" s="74">
        <f>IF(AE109=2,IF(AD122=1,1,0),0)</f>
        <v>0</v>
      </c>
      <c r="AF138" s="70">
        <f>SUM(B138:AE138)</f>
        <v>2</v>
      </c>
      <c r="AW138" s="154"/>
    </row>
    <row r="139" spans="1:49" s="70" customFormat="1" ht="12.75" hidden="1" customHeight="1" x14ac:dyDescent="0.2">
      <c r="A139" s="70" t="s">
        <v>99</v>
      </c>
      <c r="B139" s="70">
        <f>IF(B109=3,IF(C122=1,1,0),0)</f>
        <v>0</v>
      </c>
      <c r="D139" s="74">
        <f>IF(D109=3,IF(C122=1,1,0),0)</f>
        <v>0</v>
      </c>
      <c r="E139" s="70">
        <f>IF(E109=3,IF(F122=1,1,0),0)</f>
        <v>0</v>
      </c>
      <c r="G139" s="74">
        <f>IF(G109=3,IF(F122=1,1,0),0)</f>
        <v>0</v>
      </c>
      <c r="H139" s="70">
        <f>IF(H109=3,IF(I122=1,1,0),0)</f>
        <v>1</v>
      </c>
      <c r="J139" s="74">
        <f>IF(J109=3,IF(I122=1,1,0),0)</f>
        <v>0</v>
      </c>
      <c r="K139" s="70">
        <f>IF(K109=3,IF(L122=1,1,0),0)</f>
        <v>0</v>
      </c>
      <c r="M139" s="74">
        <f>IF(M109=3,IF(L122=1,1,0),0)</f>
        <v>0</v>
      </c>
      <c r="N139" s="70">
        <f>IF(N109=3,IF(O122=1,1,0),0)</f>
        <v>0</v>
      </c>
      <c r="P139" s="74">
        <f>IF(P109=3,IF(O122=1,1,0),0)</f>
        <v>1</v>
      </c>
      <c r="Q139" s="70">
        <f>IF(Q109=3,IF(R122=1,1,0),0)</f>
        <v>0</v>
      </c>
      <c r="S139" s="74">
        <f>IF(S109=3,IF(R122=1,1,0),0)</f>
        <v>0</v>
      </c>
      <c r="T139" s="70">
        <f>IF(T109=3,IF(U122=1,1,0),0)</f>
        <v>0</v>
      </c>
      <c r="V139" s="74">
        <f>IF(V109=3,IF(U122=1,1,0),0)</f>
        <v>0</v>
      </c>
      <c r="W139" s="70">
        <f>IF(W109=3,IF(X122=1,1,0),0)</f>
        <v>0</v>
      </c>
      <c r="Y139" s="74">
        <f>IF(Y109=3,IF(X122=1,1,0),0)</f>
        <v>0</v>
      </c>
      <c r="Z139" s="70">
        <f>IF(Z109=3,IF(AA122=1,1,0),0)</f>
        <v>1</v>
      </c>
      <c r="AB139" s="74">
        <f>IF(AB109=3,IF(AA122=1,1,0),0)</f>
        <v>0</v>
      </c>
      <c r="AC139" s="70">
        <f>IF(AC109=3,IF(AD122=1,1,0),0)</f>
        <v>0</v>
      </c>
      <c r="AE139" s="74">
        <f>IF(AE109=3,IF(AD122=1,1,0),0)</f>
        <v>0</v>
      </c>
      <c r="AF139" s="70">
        <f>SUM(B139:AE139)</f>
        <v>3</v>
      </c>
      <c r="AW139" s="154"/>
    </row>
    <row r="140" spans="1:49" s="70" customFormat="1" ht="12.75" hidden="1" customHeight="1" x14ac:dyDescent="0.2">
      <c r="A140" s="70" t="s">
        <v>100</v>
      </c>
      <c r="B140" s="70">
        <f>IF(B109=4,IF(C122=1,1,0),0)</f>
        <v>0</v>
      </c>
      <c r="D140" s="74">
        <f>IF(D109=4,IF(C122=1,1,0),0)</f>
        <v>0</v>
      </c>
      <c r="E140" s="70">
        <f>IF(E109=4,IF(F122=1,1,0),0)</f>
        <v>0</v>
      </c>
      <c r="G140" s="74">
        <f>IF(G109=4,IF(F122=1,1,0),0)</f>
        <v>1</v>
      </c>
      <c r="H140" s="70">
        <f>IF(H109=4,IF(I122=1,1,0),0)</f>
        <v>0</v>
      </c>
      <c r="J140" s="74">
        <f>IF(J109=4,IF(I122=1,1,0),0)</f>
        <v>0</v>
      </c>
      <c r="K140" s="70">
        <f>IF(K109=4,IF(L122=1,1,0),0)</f>
        <v>0</v>
      </c>
      <c r="M140" s="74">
        <f>IF(M109=4,IF(L122=1,1,0),0)</f>
        <v>1</v>
      </c>
      <c r="N140" s="70">
        <f>IF(N109=4,IF(O122=1,1,0),0)</f>
        <v>0</v>
      </c>
      <c r="P140" s="74">
        <f>IF(P109=4,IF(O122=1,1,0),0)</f>
        <v>0</v>
      </c>
      <c r="Q140" s="70">
        <f>IF(Q109=4,IF(R122=1,1,0),0)</f>
        <v>1</v>
      </c>
      <c r="S140" s="74">
        <f>IF(S109=4,IF(R122=1,1,0),0)</f>
        <v>0</v>
      </c>
      <c r="T140" s="70">
        <f>IF(T109=4,IF(U122=1,1,0),0)</f>
        <v>0</v>
      </c>
      <c r="V140" s="74">
        <f>IF(V109=4,IF(U122=1,1,0),0)</f>
        <v>0</v>
      </c>
      <c r="W140" s="70">
        <f>IF(W109=4,IF(X122=1,1,0),0)</f>
        <v>0</v>
      </c>
      <c r="Y140" s="74">
        <f>IF(Y109=4,IF(X122=1,1,0),0)</f>
        <v>0</v>
      </c>
      <c r="Z140" s="70">
        <f>IF(Z109=4,IF(AA122=1,1,0),0)</f>
        <v>0</v>
      </c>
      <c r="AB140" s="74">
        <f>IF(AB109=4,IF(AA122=1,1,0),0)</f>
        <v>1</v>
      </c>
      <c r="AC140" s="70">
        <f>IF(AC109=4,IF(AD122=1,1,0),0)</f>
        <v>0</v>
      </c>
      <c r="AE140" s="74">
        <f>IF(AE109=4,IF(AD122=1,1,0),0)</f>
        <v>0</v>
      </c>
      <c r="AF140" s="70">
        <f>SUM(B140:AE140)</f>
        <v>4</v>
      </c>
      <c r="AW140" s="154"/>
    </row>
    <row r="141" spans="1:49" s="70" customFormat="1" ht="12.75" hidden="1" customHeight="1" x14ac:dyDescent="0.2">
      <c r="A141" s="70" t="s">
        <v>101</v>
      </c>
      <c r="B141" s="70">
        <f>IF(B109=5,IF(C122=1,1,0),0)</f>
        <v>0</v>
      </c>
      <c r="D141" s="74">
        <f>IF(D109=5,IF(C122=1,1,0),0)</f>
        <v>1</v>
      </c>
      <c r="E141" s="70">
        <f>IF(E109=5,IF(F122=1,1,0),0)</f>
        <v>0</v>
      </c>
      <c r="G141" s="74">
        <f>IF(G109=5,IF(F122=1,1,0),0)</f>
        <v>0</v>
      </c>
      <c r="H141" s="70">
        <f>IF(H109=5,IF(I122=1,1,0),0)</f>
        <v>0</v>
      </c>
      <c r="J141" s="74">
        <f>IF(J109=5,IF(I122=1,1,0),0)</f>
        <v>1</v>
      </c>
      <c r="K141" s="70">
        <f>IF(K109=5,IF(L122=1,1,0),0)</f>
        <v>0</v>
      </c>
      <c r="M141" s="74">
        <f>IF(M109=5,IF(L122=1,1,0),0)</f>
        <v>0</v>
      </c>
      <c r="N141" s="70">
        <f>IF(N109=5,IF(O122=1,1,0),0)</f>
        <v>0</v>
      </c>
      <c r="P141" s="74">
        <f>IF(P109=5,IF(O122=1,1,0),0)</f>
        <v>0</v>
      </c>
      <c r="Q141" s="70">
        <f>IF(Q109=5,IF(R122=1,1,0),0)</f>
        <v>0</v>
      </c>
      <c r="S141" s="74">
        <f>IF(S109=5,IF(R122=1,1,0),0)</f>
        <v>1</v>
      </c>
      <c r="T141" s="70">
        <f>IF(T109=5,IF(U122=1,1,0),0)</f>
        <v>0</v>
      </c>
      <c r="V141" s="74">
        <f>IF(V109=5,IF(U122=1,1,0),0)</f>
        <v>0</v>
      </c>
      <c r="W141" s="70">
        <f>IF(W109=5,IF(X122=1,1,0),0)</f>
        <v>0</v>
      </c>
      <c r="Y141" s="74">
        <f>IF(Y109=5,IF(X122=1,1,0),0)</f>
        <v>1</v>
      </c>
      <c r="Z141" s="70">
        <f>IF(Z109=5,IF(AA122=1,1,0),0)</f>
        <v>0</v>
      </c>
      <c r="AB141" s="74">
        <f>IF(AB109=5,IF(AA122=1,1,0),0)</f>
        <v>0</v>
      </c>
      <c r="AC141" s="70">
        <f>IF(AC109=5,IF(AD122=1,1,0),0)</f>
        <v>0</v>
      </c>
      <c r="AE141" s="74">
        <f>IF(AE109=5,IF(AD122=1,1,0),0)</f>
        <v>0</v>
      </c>
      <c r="AF141" s="70">
        <f>SUM(B141:AE141)</f>
        <v>4</v>
      </c>
      <c r="AW141" s="154"/>
    </row>
    <row r="142" spans="1:49" s="70" customFormat="1" ht="38.25" hidden="1" customHeight="1" x14ac:dyDescent="0.2">
      <c r="A142" s="73"/>
      <c r="D142" s="74"/>
      <c r="G142" s="74"/>
      <c r="J142" s="74"/>
      <c r="M142" s="74"/>
      <c r="P142" s="74"/>
      <c r="S142" s="74"/>
      <c r="V142" s="74"/>
      <c r="Y142" s="74"/>
      <c r="AB142" s="74"/>
      <c r="AE142" s="74"/>
      <c r="AF142" s="73" t="s">
        <v>102</v>
      </c>
      <c r="AG142" s="280"/>
      <c r="AH142" s="280"/>
      <c r="AI142" s="280"/>
      <c r="AJ142" s="280"/>
      <c r="AK142" s="280"/>
      <c r="AW142" s="154"/>
    </row>
    <row r="143" spans="1:49" s="70" customFormat="1" ht="12.75" hidden="1" customHeight="1" x14ac:dyDescent="0.2">
      <c r="A143" s="70" t="s">
        <v>97</v>
      </c>
      <c r="B143" s="70">
        <f>IF(B109=1,B129,0)</f>
        <v>0</v>
      </c>
      <c r="D143" s="74">
        <f>IF(D109=1,B129,0)</f>
        <v>0</v>
      </c>
      <c r="E143" s="70">
        <f>IF(E109=1,E129,0)</f>
        <v>50</v>
      </c>
      <c r="G143" s="74">
        <f>IF(G109=1,E129,0)</f>
        <v>0</v>
      </c>
      <c r="H143" s="70">
        <f>IF(H109=1,H129,0)</f>
        <v>0</v>
      </c>
      <c r="J143" s="74">
        <f>IF(J109=1,H129,0)</f>
        <v>0</v>
      </c>
      <c r="K143" s="70">
        <f>IF(K109=1,K129,0)</f>
        <v>0</v>
      </c>
      <c r="M143" s="74">
        <f>IF(M109=1,K129,0)</f>
        <v>0</v>
      </c>
      <c r="N143" s="70">
        <f>IF(N109=1,N129,0)</f>
        <v>50</v>
      </c>
      <c r="P143" s="74">
        <f>IF(P109=1,N129,0)</f>
        <v>0</v>
      </c>
      <c r="Q143" s="70">
        <f>IF(Q109=1,Q129,0)</f>
        <v>0</v>
      </c>
      <c r="S143" s="74">
        <f>IF(S109=1,Q129,0)</f>
        <v>0</v>
      </c>
      <c r="T143" s="70">
        <f>IF(T109=1,T129,0)</f>
        <v>0</v>
      </c>
      <c r="V143" s="74">
        <f>IF(V109=1,T129,0)</f>
        <v>0</v>
      </c>
      <c r="W143" s="70">
        <f>IF(W109=1,W129,0)</f>
        <v>50</v>
      </c>
      <c r="Y143" s="74">
        <f>IF(Y109=1,W129,0)</f>
        <v>0</v>
      </c>
      <c r="Z143" s="70">
        <f>IF(Z109=1,Z129,0)</f>
        <v>0</v>
      </c>
      <c r="AB143" s="74">
        <f>IF(AB109=1,Z129,0)</f>
        <v>0</v>
      </c>
      <c r="AC143" s="70">
        <f>IF(AC109=1,AC129,0)</f>
        <v>50</v>
      </c>
      <c r="AE143" s="74">
        <f>IF(AE109=1,AC129,0)</f>
        <v>0</v>
      </c>
      <c r="AF143" s="70">
        <f>SUM(B143:AE143)</f>
        <v>200</v>
      </c>
      <c r="AW143" s="154"/>
    </row>
    <row r="144" spans="1:49" s="70" customFormat="1" ht="12.75" hidden="1" customHeight="1" x14ac:dyDescent="0.2">
      <c r="A144" s="70" t="s">
        <v>98</v>
      </c>
      <c r="B144" s="70">
        <f>IF(B109=2,B129,0)</f>
        <v>50</v>
      </c>
      <c r="D144" s="74">
        <f>IF(D109=2,B129,0)</f>
        <v>0</v>
      </c>
      <c r="E144" s="70">
        <f>IF(E109=2,E129,0)</f>
        <v>0</v>
      </c>
      <c r="G144" s="74">
        <f>IF(G109=2,E129,0)</f>
        <v>0</v>
      </c>
      <c r="H144" s="70">
        <f>IF(H109=2,H129,0)</f>
        <v>0</v>
      </c>
      <c r="J144" s="74">
        <f>IF(J109=2,H129,0)</f>
        <v>0</v>
      </c>
      <c r="K144" s="70">
        <f>IF(K109=2,K129,0)</f>
        <v>50</v>
      </c>
      <c r="M144" s="74">
        <f>IF(M109=2,K129,0)</f>
        <v>0</v>
      </c>
      <c r="N144" s="70">
        <f>IF(N109=2,N129,0)</f>
        <v>0</v>
      </c>
      <c r="P144" s="74">
        <f>IF(P109=2,N129,0)</f>
        <v>0</v>
      </c>
      <c r="Q144" s="70">
        <f>IF(Q109=2,Q129,0)</f>
        <v>0</v>
      </c>
      <c r="S144" s="74">
        <f>IF(S109=2,Q129,0)</f>
        <v>0</v>
      </c>
      <c r="T144" s="70">
        <f>IF(T109=2,T129,0)</f>
        <v>52</v>
      </c>
      <c r="V144" s="74">
        <f>IF(V109=2,T129,0)</f>
        <v>0</v>
      </c>
      <c r="W144" s="70">
        <f>IF(W109=2,W129,0)</f>
        <v>0</v>
      </c>
      <c r="Y144" s="74">
        <f>IF(Y109=2,W129,0)</f>
        <v>0</v>
      </c>
      <c r="Z144" s="70">
        <f>IF(Z109=2,Z129,0)</f>
        <v>0</v>
      </c>
      <c r="AB144" s="74">
        <f>IF(AB109=2,Z129,0)</f>
        <v>0</v>
      </c>
      <c r="AC144" s="70">
        <f>IF(AC109=2,AC129,0)</f>
        <v>0</v>
      </c>
      <c r="AE144" s="74">
        <f>IF(AE109=2,AC129,0)</f>
        <v>50</v>
      </c>
      <c r="AF144" s="70">
        <f>SUM(B144:AE144)</f>
        <v>202</v>
      </c>
      <c r="AW144" s="154"/>
    </row>
    <row r="145" spans="1:49" s="70" customFormat="1" ht="12.75" hidden="1" customHeight="1" x14ac:dyDescent="0.2">
      <c r="A145" s="70" t="s">
        <v>99</v>
      </c>
      <c r="B145" s="70">
        <f>IF(B109=3,B129,0)</f>
        <v>0</v>
      </c>
      <c r="D145" s="74">
        <f>IF(D109=3,B129,0)</f>
        <v>0</v>
      </c>
      <c r="E145" s="70">
        <f>IF(E109=3,E129,0)</f>
        <v>0</v>
      </c>
      <c r="G145" s="74">
        <f>IF(G109=3,E129,0)</f>
        <v>0</v>
      </c>
      <c r="H145" s="70">
        <f>IF(H109=3,H129,0)</f>
        <v>50</v>
      </c>
      <c r="J145" s="74">
        <f>IF(J109=3,H129,0)</f>
        <v>0</v>
      </c>
      <c r="K145" s="70">
        <f>IF(K109=3,K129,0)</f>
        <v>0</v>
      </c>
      <c r="M145" s="74">
        <f>IF(M109=3,K129,0)</f>
        <v>0</v>
      </c>
      <c r="N145" s="70">
        <f>IF(N109=3,N129,0)</f>
        <v>0</v>
      </c>
      <c r="P145" s="74">
        <f>IF(P109=3,N129,0)</f>
        <v>50</v>
      </c>
      <c r="Q145" s="70">
        <f>IF(Q109=3,Q129,0)</f>
        <v>0</v>
      </c>
      <c r="S145" s="74">
        <f>IF(S109=3,Q129,0)</f>
        <v>0</v>
      </c>
      <c r="T145" s="70">
        <f>IF(T109=3,T129,0)</f>
        <v>0</v>
      </c>
      <c r="V145" s="74">
        <f>IF(V109=3,T129,0)</f>
        <v>52</v>
      </c>
      <c r="W145" s="70">
        <f>IF(W109=3,W129,0)</f>
        <v>0</v>
      </c>
      <c r="Y145" s="74">
        <f>IF(Y109=3,W129,0)</f>
        <v>0</v>
      </c>
      <c r="Z145" s="70">
        <f>IF(Z109=3,Z129,0)</f>
        <v>50</v>
      </c>
      <c r="AB145" s="74">
        <f>IF(AB109=3,Z129,0)</f>
        <v>0</v>
      </c>
      <c r="AC145" s="70">
        <f>IF(AC109=3,AC129,0)</f>
        <v>0</v>
      </c>
      <c r="AE145" s="74">
        <f>IF(AE109=3,AC129,0)</f>
        <v>0</v>
      </c>
      <c r="AF145" s="70">
        <f>SUM(B145:AE145)</f>
        <v>202</v>
      </c>
      <c r="AW145" s="154"/>
    </row>
    <row r="146" spans="1:49" s="70" customFormat="1" ht="12.75" hidden="1" customHeight="1" x14ac:dyDescent="0.2">
      <c r="A146" s="70" t="s">
        <v>100</v>
      </c>
      <c r="B146" s="70">
        <f>IF(B109=4,B129,0)</f>
        <v>0</v>
      </c>
      <c r="D146" s="74">
        <f>IF(D109=4,B129,0)</f>
        <v>0</v>
      </c>
      <c r="E146" s="70">
        <f>IF(E109=4,E129,0)</f>
        <v>0</v>
      </c>
      <c r="G146" s="74">
        <f>IF(G109=4,E129,0)</f>
        <v>50</v>
      </c>
      <c r="H146" s="70">
        <f>IF(H109=4,H129,0)</f>
        <v>0</v>
      </c>
      <c r="J146" s="74">
        <f>IF(J109=4,H129,0)</f>
        <v>0</v>
      </c>
      <c r="K146" s="70">
        <f>IF(K109=4,K129,0)</f>
        <v>0</v>
      </c>
      <c r="M146" s="74">
        <f>IF(M109=4,K129,0)</f>
        <v>50</v>
      </c>
      <c r="N146" s="70">
        <f>IF(N109=4,N129,0)</f>
        <v>0</v>
      </c>
      <c r="P146" s="74">
        <f>IF(P109=4,N129,0)</f>
        <v>0</v>
      </c>
      <c r="Q146" s="70">
        <f>IF(Q109=4,Q129,0)</f>
        <v>50</v>
      </c>
      <c r="S146" s="74">
        <f>IF(S109=4,Q129,0)</f>
        <v>0</v>
      </c>
      <c r="T146" s="70">
        <f>IF(T109=4,T129,0)</f>
        <v>0</v>
      </c>
      <c r="V146" s="74">
        <f>IF(V109=4,T129,0)</f>
        <v>0</v>
      </c>
      <c r="W146" s="70">
        <f>IF(W109=4,W129,0)</f>
        <v>0</v>
      </c>
      <c r="Y146" s="74">
        <f>IF(Y109=4,W129,0)</f>
        <v>0</v>
      </c>
      <c r="Z146" s="70">
        <f>IF(Z109=4,Z129,0)</f>
        <v>0</v>
      </c>
      <c r="AB146" s="74">
        <f>IF(AB109=4,Z129,0)</f>
        <v>50</v>
      </c>
      <c r="AC146" s="70">
        <f>IF(AC109=4,AC129,0)</f>
        <v>0</v>
      </c>
      <c r="AE146" s="74">
        <f>IF(AE109=4,AC129,0)</f>
        <v>0</v>
      </c>
      <c r="AF146" s="70">
        <f>SUM(B146:AE146)</f>
        <v>200</v>
      </c>
      <c r="AW146" s="154"/>
    </row>
    <row r="147" spans="1:49" s="70" customFormat="1" ht="12.75" hidden="1" customHeight="1" x14ac:dyDescent="0.2">
      <c r="A147" s="70" t="s">
        <v>101</v>
      </c>
      <c r="B147" s="70">
        <f>IF(B109=5,B129,0)</f>
        <v>0</v>
      </c>
      <c r="D147" s="74">
        <f>IF(D109=5,B129,0)</f>
        <v>50</v>
      </c>
      <c r="E147" s="70">
        <f>IF(E109=5,E129,0)</f>
        <v>0</v>
      </c>
      <c r="G147" s="74">
        <f>IF(G109=5,E129,0)</f>
        <v>0</v>
      </c>
      <c r="H147" s="70">
        <f>IF(H109=5,H129,0)</f>
        <v>0</v>
      </c>
      <c r="J147" s="74">
        <f>IF(J109=5,H129,0)</f>
        <v>50</v>
      </c>
      <c r="K147" s="70">
        <f>IF(K109=5,K129,0)</f>
        <v>0</v>
      </c>
      <c r="M147" s="74">
        <f>IF(M109=5,K129,0)</f>
        <v>0</v>
      </c>
      <c r="N147" s="70">
        <f>IF(N109=5,N129,0)</f>
        <v>0</v>
      </c>
      <c r="P147" s="74">
        <f>IF(P109=5,N129,0)</f>
        <v>0</v>
      </c>
      <c r="Q147" s="70">
        <f>IF(Q109=5,Q129,0)</f>
        <v>0</v>
      </c>
      <c r="S147" s="74">
        <f>IF(S109=5,Q129,0)</f>
        <v>50</v>
      </c>
      <c r="T147" s="70">
        <f>IF(T109=5,T129,0)</f>
        <v>0</v>
      </c>
      <c r="V147" s="74">
        <f>IF(V109=5,T129,0)</f>
        <v>0</v>
      </c>
      <c r="W147" s="70">
        <f>IF(W109=5,W129,0)</f>
        <v>0</v>
      </c>
      <c r="Y147" s="74">
        <f>IF(Y109=5,W129,0)</f>
        <v>50</v>
      </c>
      <c r="Z147" s="70">
        <f>IF(Z109=5,Z129,0)</f>
        <v>0</v>
      </c>
      <c r="AB147" s="74">
        <f>IF(AB109=5,Z129,0)</f>
        <v>0</v>
      </c>
      <c r="AC147" s="70">
        <f>IF(AC109=5,AC129,0)</f>
        <v>0</v>
      </c>
      <c r="AE147" s="74">
        <f>IF(AE109=5,AC129,0)</f>
        <v>0</v>
      </c>
      <c r="AF147" s="70">
        <f>SUM(B147:AE147)</f>
        <v>200</v>
      </c>
      <c r="AW147" s="154"/>
    </row>
    <row r="148" spans="1:49" s="70" customFormat="1" ht="38.25" hidden="1" customHeight="1" x14ac:dyDescent="0.2">
      <c r="A148" s="70" t="s">
        <v>103</v>
      </c>
      <c r="D148" s="74"/>
      <c r="G148" s="74"/>
      <c r="J148" s="74"/>
      <c r="M148" s="74"/>
      <c r="P148" s="74"/>
      <c r="S148" s="74"/>
      <c r="V148" s="74"/>
      <c r="Y148" s="74"/>
      <c r="AB148" s="74"/>
      <c r="AE148" s="74"/>
      <c r="AF148" s="73" t="s">
        <v>104</v>
      </c>
      <c r="AG148" s="70" t="s">
        <v>105</v>
      </c>
      <c r="AW148" s="154"/>
    </row>
    <row r="149" spans="1:49" s="70" customFormat="1" ht="12.75" hidden="1" customHeight="1" x14ac:dyDescent="0.2">
      <c r="A149" s="70" t="s">
        <v>91</v>
      </c>
      <c r="B149" s="70">
        <f>IF(B109=1,SUMIF(B116:B120,"&gt;0"),0)</f>
        <v>0</v>
      </c>
      <c r="D149" s="74">
        <f>IF(D109=1,SUMIF(D116:D120,"&gt;0"),0)</f>
        <v>0</v>
      </c>
      <c r="E149" s="70">
        <f>IF(E109=1,SUMIF(E116:E120,"&gt;0"),0)</f>
        <v>2</v>
      </c>
      <c r="G149" s="74">
        <f>IF(G109=1,SUMIF(G116:G120,"&gt;0"),0)</f>
        <v>0</v>
      </c>
      <c r="H149" s="70">
        <f>IF(H109=1,SUMIF(H116:H120,"&gt;0"),0)</f>
        <v>0</v>
      </c>
      <c r="J149" s="74">
        <f>IF(J109=1,SUMIF(J116:J120,"&gt;0"),0)</f>
        <v>0</v>
      </c>
      <c r="K149" s="70">
        <f>IF(K109=1,SUMIF(K116:K120,"&gt;0"),0)</f>
        <v>0</v>
      </c>
      <c r="M149" s="74">
        <f>IF(M109=1,SUMIF(M116:M120,"&gt;0"),0)</f>
        <v>0</v>
      </c>
      <c r="N149" s="70">
        <f>IF(N109=1,SUMIF(N116:N120,"&gt;0"),0)</f>
        <v>2</v>
      </c>
      <c r="P149" s="74">
        <f>IF(P109=1,SUMIF(P116:P120,"&gt;0"),0)</f>
        <v>0</v>
      </c>
      <c r="Q149" s="70">
        <f>IF(Q109=1,SUMIF(Q116:Q120,"&gt;0"),0)</f>
        <v>0</v>
      </c>
      <c r="S149" s="74">
        <f>IF(S109=1,SUMIF(S116:S120,"&gt;0"),0)</f>
        <v>0</v>
      </c>
      <c r="T149" s="70">
        <f>IF(T109=1,SUMIF(T116:T120,"&gt;0"),0)</f>
        <v>0</v>
      </c>
      <c r="V149" s="74">
        <f>IF(V109=1,SUMIF(V116:V120,"&gt;0"),0)</f>
        <v>0</v>
      </c>
      <c r="W149" s="70">
        <f>IF(W109=1,SUMIF(W116:W120,"&gt;0"),0)</f>
        <v>2</v>
      </c>
      <c r="Y149" s="74">
        <f>IF(Y109=1,SUMIF(Y116:Y120,"&gt;0"),0)</f>
        <v>0</v>
      </c>
      <c r="Z149" s="70">
        <f>IF(Z109=1,SUMIF(Z116:Z120,"&gt;0"),0)</f>
        <v>0</v>
      </c>
      <c r="AB149" s="74">
        <f>IF(AB109=1,SUMIF(AB116:AB120,"&gt;0"),0)</f>
        <v>0</v>
      </c>
      <c r="AC149" s="70">
        <f>IF(AC109=1,SUMIF(AC116:AC120,"&gt;0"),0)</f>
        <v>1</v>
      </c>
      <c r="AE149" s="74">
        <f>IF(AE109=1,SUMIF(AE116:AE120,"&gt;0"),0)</f>
        <v>0</v>
      </c>
      <c r="AF149" s="70">
        <f>SUM(B149:AE149)</f>
        <v>7</v>
      </c>
      <c r="AG149" s="70">
        <f>AF157-AF149</f>
        <v>1</v>
      </c>
      <c r="AW149" s="154"/>
    </row>
    <row r="150" spans="1:49" s="70" customFormat="1" ht="12.75" hidden="1" customHeight="1" x14ac:dyDescent="0.2">
      <c r="A150" s="70" t="s">
        <v>92</v>
      </c>
      <c r="B150" s="70">
        <f>IF(B109=2,SUMIF(B116:B120,"&gt;0"),0)</f>
        <v>2</v>
      </c>
      <c r="D150" s="74">
        <f>IF(D109=2,SUMIF(D116:D120,"&gt;0"),0)</f>
        <v>0</v>
      </c>
      <c r="E150" s="70">
        <f>IF(E109=2,SUMIF(E116:E120,"&gt;0"),0)</f>
        <v>0</v>
      </c>
      <c r="G150" s="74">
        <f>IF(G109=2,SUMIF(G116:G120,"&gt;0"),0)</f>
        <v>0</v>
      </c>
      <c r="H150" s="70">
        <f>IF(H109=2,SUMIF(H116:H120,"&gt;0"),0)</f>
        <v>0</v>
      </c>
      <c r="J150" s="74">
        <f>IF(J109=2,SUMIF(J116:J120,"&gt;0"),0)</f>
        <v>0</v>
      </c>
      <c r="K150" s="70">
        <f>IF(K109=2,SUMIF(K116:K120,"&gt;0"),0)</f>
        <v>2</v>
      </c>
      <c r="M150" s="74">
        <f>IF(M109=2,SUMIF(M116:M120,"&gt;0"),0)</f>
        <v>0</v>
      </c>
      <c r="N150" s="70">
        <f>IF(N109=2,SUMIF(N116:N120,"&gt;0"),0)</f>
        <v>0</v>
      </c>
      <c r="P150" s="74">
        <f>IF(P109=2,SUMIF(P116:P120,"&gt;0"),0)</f>
        <v>0</v>
      </c>
      <c r="Q150" s="70">
        <f>IF(Q109=2,SUMIF(Q116:Q120,"&gt;0"),0)</f>
        <v>0</v>
      </c>
      <c r="S150" s="74">
        <f>IF(S109=2,SUMIF(S116:S120,"&gt;0"),0)</f>
        <v>0</v>
      </c>
      <c r="T150" s="70">
        <f>IF(T109=2,SUMIF(T116:T120,"&gt;0"),0)</f>
        <v>1</v>
      </c>
      <c r="V150" s="74">
        <f>IF(V109=2,SUMIF(V116:V120,"&gt;0"),0)</f>
        <v>0</v>
      </c>
      <c r="W150" s="70">
        <f>IF(W109=2,SUMIF(W116:W120,"&gt;0"),0)</f>
        <v>0</v>
      </c>
      <c r="Y150" s="74">
        <f>IF(Y109=2,SUMIF(Y116:Y120,"&gt;0"),0)</f>
        <v>0</v>
      </c>
      <c r="Z150" s="70">
        <f>IF(Z109=2,SUMIF(Z116:Z120,"&gt;0"),0)</f>
        <v>0</v>
      </c>
      <c r="AB150" s="74">
        <f>IF(AB109=2,SUMIF(AB116:AB120,"&gt;0"),0)</f>
        <v>0</v>
      </c>
      <c r="AC150" s="70">
        <f>IF(AC109=2,SUMIF(AC116:AC120,"&gt;0"),0)</f>
        <v>0</v>
      </c>
      <c r="AE150" s="74">
        <f>IF(AE109=2,SUMIF(AE116:AE120,"&gt;0"),0)</f>
        <v>1</v>
      </c>
      <c r="AF150" s="70">
        <f>SUM(B150:AE150)</f>
        <v>6</v>
      </c>
      <c r="AG150" s="70">
        <f>AF158-AF150</f>
        <v>2</v>
      </c>
      <c r="AW150" s="154"/>
    </row>
    <row r="151" spans="1:49" s="70" customFormat="1" ht="12.75" hidden="1" customHeight="1" x14ac:dyDescent="0.2">
      <c r="A151" s="70" t="s">
        <v>93</v>
      </c>
      <c r="B151" s="70">
        <f>IF(B109=3,SUMIF(B116:B120,"&gt;0"),0)</f>
        <v>0</v>
      </c>
      <c r="D151" s="74">
        <f>IF(D109=3,SUMIF(D116:D120,"&gt;0"),0)</f>
        <v>0</v>
      </c>
      <c r="E151" s="70">
        <f>IF(E109=3,SUMIF(E116:E120,"&gt;0"),0)</f>
        <v>0</v>
      </c>
      <c r="G151" s="74">
        <f>IF(G109=3,SUMIF(G116:G120,"&gt;0"),0)</f>
        <v>0</v>
      </c>
      <c r="H151" s="70">
        <f>IF(H109=3,SUMIF(H116:H120,"&gt;0"),0)</f>
        <v>2</v>
      </c>
      <c r="J151" s="74">
        <f>IF(J109=3,SUMIF(J116:J120,"&gt;0"),0)</f>
        <v>0</v>
      </c>
      <c r="K151" s="70">
        <f>IF(K109=3,SUMIF(K116:K120,"&gt;0"),0)</f>
        <v>0</v>
      </c>
      <c r="M151" s="74">
        <f>IF(M109=3,SUMIF(M116:M120,"&gt;0"),0)</f>
        <v>0</v>
      </c>
      <c r="N151" s="70">
        <f>IF(N109=3,SUMIF(N116:N120,"&gt;0"),0)</f>
        <v>0</v>
      </c>
      <c r="P151" s="74">
        <f>IF(P109=3,SUMIF(P116:P120,"&gt;0"),0)</f>
        <v>0</v>
      </c>
      <c r="Q151" s="70">
        <f>IF(Q109=3,SUMIF(Q116:Q120,"&gt;0"),0)</f>
        <v>0</v>
      </c>
      <c r="S151" s="74">
        <f>IF(S109=3,SUMIF(S116:S120,"&gt;0"),0)</f>
        <v>0</v>
      </c>
      <c r="T151" s="70">
        <f>IF(T109=3,SUMIF(T116:T120,"&gt;0"),0)</f>
        <v>0</v>
      </c>
      <c r="V151" s="74">
        <f>IF(V109=3,SUMIF(V116:V120,"&gt;0"),0)</f>
        <v>1</v>
      </c>
      <c r="W151" s="70">
        <f>IF(W109=3,SUMIF(W116:W120,"&gt;0"),0)</f>
        <v>0</v>
      </c>
      <c r="Y151" s="74">
        <f>IF(Y109=3,SUMIF(Y116:Y120,"&gt;0"),0)</f>
        <v>0</v>
      </c>
      <c r="Z151" s="70">
        <f>IF(Z109=3,SUMIF(Z116:Z120,"&gt;0"),0)</f>
        <v>2</v>
      </c>
      <c r="AB151" s="74">
        <f>IF(AB109=3,SUMIF(AB116:AB120,"&gt;0"),0)</f>
        <v>0</v>
      </c>
      <c r="AC151" s="70">
        <f>IF(AC109=3,SUMIF(AC116:AC120,"&gt;0"),0)</f>
        <v>0</v>
      </c>
      <c r="AE151" s="74">
        <f>IF(AE109=3,SUMIF(AE116:AE120,"&gt;0"),0)</f>
        <v>0</v>
      </c>
      <c r="AF151" s="70">
        <f>SUM(B151:AE151)</f>
        <v>5</v>
      </c>
      <c r="AG151" s="70">
        <f>AF159-AF151</f>
        <v>3</v>
      </c>
      <c r="AW151" s="154"/>
    </row>
    <row r="152" spans="1:49" s="70" customFormat="1" ht="12.75" hidden="1" customHeight="1" x14ac:dyDescent="0.2">
      <c r="A152" s="70" t="s">
        <v>94</v>
      </c>
      <c r="B152" s="70">
        <f>IF(B109=4,SUMIF(B116:B120,"&gt;0"),0)</f>
        <v>0</v>
      </c>
      <c r="D152" s="74">
        <f>IF(D109=4,SUMIF(D116:D120,"&gt;0"),0)</f>
        <v>0</v>
      </c>
      <c r="E152" s="70">
        <f>IF(E109=4,SUMIF(E116:E120,"&gt;0"),0)</f>
        <v>0</v>
      </c>
      <c r="G152" s="74">
        <f>IF(G109=4,SUMIF(G116:G120,"&gt;0"),0)</f>
        <v>0</v>
      </c>
      <c r="H152" s="70">
        <f>IF(H109=4,SUMIF(H116:H120,"&gt;0"),0)</f>
        <v>0</v>
      </c>
      <c r="J152" s="74">
        <f>IF(J109=4,SUMIF(J116:J120,"&gt;0"),0)</f>
        <v>0</v>
      </c>
      <c r="K152" s="70">
        <f>IF(K109=4,SUMIF(K116:K120,"&gt;0"),0)</f>
        <v>0</v>
      </c>
      <c r="M152" s="74">
        <f>IF(M109=4,SUMIF(M116:M120,"&gt;0"),0)</f>
        <v>0</v>
      </c>
      <c r="N152" s="70">
        <f>IF(N109=4,SUMIF(N116:N120,"&gt;0"),0)</f>
        <v>0</v>
      </c>
      <c r="P152" s="74">
        <f>IF(P109=4,SUMIF(P116:P120,"&gt;0"),0)</f>
        <v>0</v>
      </c>
      <c r="Q152" s="70">
        <f>IF(Q109=4,SUMIF(Q116:Q120,"&gt;0"),0)</f>
        <v>2</v>
      </c>
      <c r="S152" s="74">
        <f>IF(S109=4,SUMIF(S116:S120,"&gt;0"),0)</f>
        <v>0</v>
      </c>
      <c r="T152" s="70">
        <f>IF(T109=4,SUMIF(T116:T120,"&gt;0"),0)</f>
        <v>0</v>
      </c>
      <c r="V152" s="74">
        <f>IF(V109=4,SUMIF(V116:V120,"&gt;0"),0)</f>
        <v>0</v>
      </c>
      <c r="W152" s="70">
        <f>IF(W109=4,SUMIF(W116:W120,"&gt;0"),0)</f>
        <v>0</v>
      </c>
      <c r="Y152" s="74">
        <f>IF(Y109=4,SUMIF(Y116:Y120,"&gt;0"),0)</f>
        <v>0</v>
      </c>
      <c r="Z152" s="70">
        <f>IF(Z109=4,SUMIF(Z116:Z120,"&gt;0"),0)</f>
        <v>0</v>
      </c>
      <c r="AB152" s="74">
        <f>IF(AB109=4,SUMIF(AB116:AB120,"&gt;0"),0)</f>
        <v>0</v>
      </c>
      <c r="AC152" s="70">
        <f>IF(AC109=4,SUMIF(AC116:AC120,"&gt;0"),0)</f>
        <v>0</v>
      </c>
      <c r="AE152" s="74">
        <f>IF(AE109=4,SUMIF(AE116:AE120,"&gt;0"),0)</f>
        <v>0</v>
      </c>
      <c r="AF152" s="70">
        <f>SUM(B152:AE152)</f>
        <v>2</v>
      </c>
      <c r="AG152" s="70">
        <f>AF160-AF152</f>
        <v>6</v>
      </c>
      <c r="AW152" s="154"/>
    </row>
    <row r="153" spans="1:49" s="70" customFormat="1" ht="12.75" hidden="1" customHeight="1" x14ac:dyDescent="0.2">
      <c r="A153" s="70" t="s">
        <v>95</v>
      </c>
      <c r="B153" s="70">
        <f>IF(B109=5,SUMIF(B116:B120,"&gt;0"),0)</f>
        <v>0</v>
      </c>
      <c r="D153" s="74">
        <f>IF(D109=5,SUMIF(D116:D120,"&gt;0"),0)</f>
        <v>0</v>
      </c>
      <c r="E153" s="70">
        <f>IF(E109=5,SUMIF(E116:E120,"&gt;0"),0)</f>
        <v>0</v>
      </c>
      <c r="G153" s="74">
        <f>IF(G109=5,SUMIF(G116:G120,"&gt;0"),0)</f>
        <v>0</v>
      </c>
      <c r="H153" s="70">
        <f>IF(H109=5,SUMIF(H116:H120,"&gt;0"),0)</f>
        <v>0</v>
      </c>
      <c r="J153" s="74">
        <f>IF(J109=5,SUMIF(J116:J120,"&gt;0"),0)</f>
        <v>0</v>
      </c>
      <c r="K153" s="70">
        <f>IF(K109=5,SUMIF(K116:K120,"&gt;0"),0)</f>
        <v>0</v>
      </c>
      <c r="M153" s="74">
        <f>IF(M109=5,SUMIF(M116:M120,"&gt;0"),0)</f>
        <v>0</v>
      </c>
      <c r="N153" s="70">
        <f>IF(N109=5,SUMIF(N116:N120,"&gt;0"),0)</f>
        <v>0</v>
      </c>
      <c r="P153" s="74">
        <f>IF(P109=5,SUMIF(P116:P120,"&gt;0"),0)</f>
        <v>0</v>
      </c>
      <c r="Q153" s="70">
        <f>IF(Q109=5,SUMIF(Q116:Q120,"&gt;0"),0)</f>
        <v>0</v>
      </c>
      <c r="S153" s="74">
        <f>IF(S109=5,SUMIF(S116:S120,"&gt;0"),0)</f>
        <v>0</v>
      </c>
      <c r="T153" s="70">
        <f>IF(T109=5,SUMIF(T116:T120,"&gt;0"),0)</f>
        <v>0</v>
      </c>
      <c r="V153" s="74">
        <f>IF(V109=5,SUMIF(V116:V120,"&gt;0"),0)</f>
        <v>0</v>
      </c>
      <c r="W153" s="70">
        <f>IF(W109=5,SUMIF(W116:W120,"&gt;0"),0)</f>
        <v>0</v>
      </c>
      <c r="Y153" s="74">
        <f>IF(Y109=5,SUMIF(Y116:Y120,"&gt;0"),0)</f>
        <v>0</v>
      </c>
      <c r="Z153" s="70">
        <f>IF(Z109=5,SUMIF(Z116:Z120,"&gt;0"),0)</f>
        <v>0</v>
      </c>
      <c r="AB153" s="74">
        <f>IF(AB109=5,SUMIF(AB116:AB120,"&gt;0"),0)</f>
        <v>0</v>
      </c>
      <c r="AC153" s="70">
        <f>IF(AC109=5,SUMIF(AC116:AC120,"&gt;0"),0)</f>
        <v>0</v>
      </c>
      <c r="AE153" s="74">
        <f>IF(AE109=5,SUMIF(AE116:AE120,"&gt;0"),0)</f>
        <v>0</v>
      </c>
      <c r="AF153" s="70">
        <f>SUM(B153:AE153)</f>
        <v>0</v>
      </c>
      <c r="AG153" s="70">
        <f>AF161-AF153</f>
        <v>8</v>
      </c>
      <c r="AW153" s="154"/>
    </row>
    <row r="154" spans="1:49" s="70" customFormat="1" ht="12.75" hidden="1" customHeight="1" x14ac:dyDescent="0.2">
      <c r="D154" s="74"/>
      <c r="G154" s="74"/>
      <c r="J154" s="74"/>
      <c r="M154" s="74"/>
      <c r="P154" s="74"/>
      <c r="S154" s="74"/>
      <c r="V154" s="74"/>
      <c r="Y154" s="74"/>
      <c r="AB154" s="74"/>
      <c r="AE154" s="74"/>
      <c r="AW154" s="154"/>
    </row>
    <row r="155" spans="1:49" s="70" customFormat="1" ht="12.75" hidden="1" customHeight="1" x14ac:dyDescent="0.2">
      <c r="D155" s="74"/>
      <c r="G155" s="74"/>
      <c r="J155" s="74"/>
      <c r="M155" s="74"/>
      <c r="P155" s="74"/>
      <c r="S155" s="74"/>
      <c r="V155" s="74"/>
      <c r="Y155" s="74"/>
      <c r="AB155" s="74"/>
      <c r="AE155" s="74"/>
      <c r="AW155" s="154"/>
    </row>
    <row r="156" spans="1:49" s="70" customFormat="1" ht="51" hidden="1" customHeight="1" x14ac:dyDescent="0.2">
      <c r="A156" s="73" t="s">
        <v>106</v>
      </c>
      <c r="C156" s="70">
        <f>SUMIF(B149:D153,"&gt;0")</f>
        <v>2</v>
      </c>
      <c r="D156" s="74"/>
      <c r="F156" s="70">
        <f>SUMIF(E149:G153,"&gt;0")</f>
        <v>2</v>
      </c>
      <c r="G156" s="74"/>
      <c r="I156" s="70">
        <f>SUMIF(H149:J153,"&gt;0")</f>
        <v>2</v>
      </c>
      <c r="J156" s="74"/>
      <c r="L156" s="70">
        <f>SUMIF(K149:M153,"&gt;0")</f>
        <v>2</v>
      </c>
      <c r="M156" s="74"/>
      <c r="O156" s="70">
        <f>SUMIF(N149:P153,"&gt;0")</f>
        <v>2</v>
      </c>
      <c r="P156" s="74"/>
      <c r="R156" s="70">
        <f>SUMIF(Q149:S153,"&gt;0")</f>
        <v>2</v>
      </c>
      <c r="S156" s="74"/>
      <c r="U156" s="70">
        <f>SUMIF(T149:V153,"&gt;0")</f>
        <v>2</v>
      </c>
      <c r="V156" s="74"/>
      <c r="X156" s="70">
        <f>SUMIF(W149:Y153,"&gt;0")</f>
        <v>2</v>
      </c>
      <c r="Y156" s="74"/>
      <c r="AA156" s="70">
        <f>SUMIF(Z149:AB153,"&gt;0")</f>
        <v>2</v>
      </c>
      <c r="AB156" s="74"/>
      <c r="AD156" s="70">
        <f>SUMIF(AC149:AE153,"&gt;0")</f>
        <v>2</v>
      </c>
      <c r="AE156" s="74"/>
      <c r="AF156" s="73" t="s">
        <v>107</v>
      </c>
      <c r="AW156" s="154"/>
    </row>
    <row r="157" spans="1:49" s="70" customFormat="1" ht="12.75" hidden="1" customHeight="1" x14ac:dyDescent="0.2">
      <c r="A157" s="70" t="s">
        <v>97</v>
      </c>
      <c r="B157" s="70">
        <f>IF(B109=1,C156,0)</f>
        <v>0</v>
      </c>
      <c r="D157" s="74">
        <f>IF(D109=1,C156,0)</f>
        <v>0</v>
      </c>
      <c r="E157" s="70">
        <f>IF(E109=1,F156,0)</f>
        <v>2</v>
      </c>
      <c r="G157" s="74">
        <f>IF(G109=1,F156,0)</f>
        <v>0</v>
      </c>
      <c r="H157" s="70">
        <f>IF(H109=1,I156,0)</f>
        <v>0</v>
      </c>
      <c r="J157" s="74">
        <f>IF(J109=1,I156,0)</f>
        <v>0</v>
      </c>
      <c r="K157" s="70">
        <f>IF(K109=1,L156,0)</f>
        <v>0</v>
      </c>
      <c r="M157" s="74">
        <f>IF(M109=1,L156,0)</f>
        <v>0</v>
      </c>
      <c r="N157" s="70">
        <f>IF(N109=1,O156,0)</f>
        <v>2</v>
      </c>
      <c r="P157" s="74">
        <f>IF(P109=1,O156,0)</f>
        <v>0</v>
      </c>
      <c r="Q157" s="70">
        <f>IF(Q109=1,R156,0)</f>
        <v>0</v>
      </c>
      <c r="S157" s="74">
        <f>IF(S109=1,R156,0)</f>
        <v>0</v>
      </c>
      <c r="T157" s="70">
        <f>IF(T109=1,U156,0)</f>
        <v>0</v>
      </c>
      <c r="V157" s="74">
        <f>IF(V109=1,U156,0)</f>
        <v>0</v>
      </c>
      <c r="W157" s="70">
        <f>IF(W109=1,X156,0)</f>
        <v>2</v>
      </c>
      <c r="Y157" s="74">
        <f>IF(Y109=1,X156,0)</f>
        <v>0</v>
      </c>
      <c r="Z157" s="70">
        <f>IF(Z109=1,AA156,0)</f>
        <v>0</v>
      </c>
      <c r="AB157" s="74">
        <f>IF(AB109=1,AA156,0)</f>
        <v>0</v>
      </c>
      <c r="AC157" s="70">
        <f>IF(AC109=1,AD156,0)</f>
        <v>2</v>
      </c>
      <c r="AE157" s="74">
        <f>IF(AE109=1,AD156,0)</f>
        <v>0</v>
      </c>
      <c r="AF157" s="70">
        <f>SUM(B157:AE157)</f>
        <v>8</v>
      </c>
      <c r="AW157" s="154"/>
    </row>
    <row r="158" spans="1:49" s="70" customFormat="1" ht="12.75" hidden="1" customHeight="1" x14ac:dyDescent="0.2">
      <c r="A158" s="70" t="s">
        <v>98</v>
      </c>
      <c r="B158" s="70">
        <f>IF(B109=2,C156,0)</f>
        <v>2</v>
      </c>
      <c r="D158" s="74">
        <f>IF(D109=2,C156,0)</f>
        <v>0</v>
      </c>
      <c r="E158" s="70">
        <f>IF(E109=2,F156,0)</f>
        <v>0</v>
      </c>
      <c r="G158" s="74">
        <f>IF(G109=2,F156,0)</f>
        <v>0</v>
      </c>
      <c r="H158" s="70">
        <f>IF(H109=2,I156,0)</f>
        <v>0</v>
      </c>
      <c r="J158" s="74">
        <f>IF(J109=2,I156,0)</f>
        <v>0</v>
      </c>
      <c r="K158" s="70">
        <f>IF(K109=2,L156,0)</f>
        <v>2</v>
      </c>
      <c r="M158" s="74">
        <f>IF(M109=2,L156,0)</f>
        <v>0</v>
      </c>
      <c r="N158" s="70">
        <f>IF(N109=2,O156,0)</f>
        <v>0</v>
      </c>
      <c r="P158" s="74">
        <f>IF(P109=2,O156,0)</f>
        <v>0</v>
      </c>
      <c r="Q158" s="70">
        <f>IF(Q109=2,R156,0)</f>
        <v>0</v>
      </c>
      <c r="S158" s="74">
        <f>IF(S109=2,R156,0)</f>
        <v>0</v>
      </c>
      <c r="T158" s="70">
        <f>IF(T109=2,U156,0)</f>
        <v>2</v>
      </c>
      <c r="V158" s="74">
        <f>IF(V109=2,U156,0)</f>
        <v>0</v>
      </c>
      <c r="W158" s="70">
        <f>IF(W109=2,X156,0)</f>
        <v>0</v>
      </c>
      <c r="Y158" s="74">
        <f>IF(Y109=2,X156,0)</f>
        <v>0</v>
      </c>
      <c r="Z158" s="70">
        <f>IF(Z109=2,AA156,0)</f>
        <v>0</v>
      </c>
      <c r="AB158" s="74">
        <f>IF(AB109=2,AA156,0)</f>
        <v>0</v>
      </c>
      <c r="AC158" s="70">
        <f>IF(AC109=2,AD156,0)</f>
        <v>0</v>
      </c>
      <c r="AE158" s="74">
        <f>IF(AE109=2,AD156,0)</f>
        <v>2</v>
      </c>
      <c r="AF158" s="70">
        <f>SUM(B158:AE158)</f>
        <v>8</v>
      </c>
      <c r="AW158" s="154"/>
    </row>
    <row r="159" spans="1:49" s="70" customFormat="1" ht="12.75" hidden="1" customHeight="1" x14ac:dyDescent="0.2">
      <c r="A159" s="70" t="s">
        <v>99</v>
      </c>
      <c r="B159" s="70">
        <f>IF(B109=3,C156,0)</f>
        <v>0</v>
      </c>
      <c r="D159" s="74">
        <f>IF(D109=3,C156,0)</f>
        <v>0</v>
      </c>
      <c r="E159" s="70">
        <f>IF(E109=3,F156,0)</f>
        <v>0</v>
      </c>
      <c r="G159" s="74">
        <f>IF(G109=3,F156,0)</f>
        <v>0</v>
      </c>
      <c r="H159" s="70">
        <f>IF(H109=3,I156,0)</f>
        <v>2</v>
      </c>
      <c r="J159" s="74">
        <f>IF(J109=3,I156,0)</f>
        <v>0</v>
      </c>
      <c r="K159" s="70">
        <f>IF(K109=3,L156,0)</f>
        <v>0</v>
      </c>
      <c r="M159" s="74">
        <f>IF(M109=3,L156,0)</f>
        <v>0</v>
      </c>
      <c r="N159" s="70">
        <f>IF(N109=3,O156,0)</f>
        <v>0</v>
      </c>
      <c r="P159" s="74">
        <f>IF(P109=3,O156,0)</f>
        <v>2</v>
      </c>
      <c r="Q159" s="70">
        <f>IF(Q109=3,R156,0)</f>
        <v>0</v>
      </c>
      <c r="S159" s="74">
        <f>IF(S109=3,R156,0)</f>
        <v>0</v>
      </c>
      <c r="T159" s="70">
        <f>IF(T109=3,U156,0)</f>
        <v>0</v>
      </c>
      <c r="V159" s="74">
        <f>IF(V109=3,U156,0)</f>
        <v>2</v>
      </c>
      <c r="W159" s="70">
        <f>IF(W109=3,X156,0)</f>
        <v>0</v>
      </c>
      <c r="Y159" s="74">
        <f>IF(Y109=3,X156,0)</f>
        <v>0</v>
      </c>
      <c r="Z159" s="70">
        <f>IF(Z109=3,AA156,0)</f>
        <v>2</v>
      </c>
      <c r="AB159" s="74">
        <f>IF(AB109=3,AA156,0)</f>
        <v>0</v>
      </c>
      <c r="AC159" s="70">
        <f>IF(AC109=3,AD156,0)</f>
        <v>0</v>
      </c>
      <c r="AE159" s="74">
        <f>IF(AE109=3,AD156,0)</f>
        <v>0</v>
      </c>
      <c r="AF159" s="70">
        <f>SUM(B159:AE159)</f>
        <v>8</v>
      </c>
      <c r="AW159" s="154"/>
    </row>
    <row r="160" spans="1:49" s="70" customFormat="1" ht="12.75" hidden="1" customHeight="1" x14ac:dyDescent="0.2">
      <c r="A160" s="70" t="s">
        <v>100</v>
      </c>
      <c r="B160" s="70">
        <f>IF(B109=4,C156,0)</f>
        <v>0</v>
      </c>
      <c r="D160" s="74">
        <f>IF(D109=4,C156,0)</f>
        <v>0</v>
      </c>
      <c r="E160" s="70">
        <f>IF(E109=4,F156,0)</f>
        <v>0</v>
      </c>
      <c r="G160" s="74">
        <f>IF(G109=4,F156,0)</f>
        <v>2</v>
      </c>
      <c r="H160" s="70">
        <f>IF(H109=4,I156,0)</f>
        <v>0</v>
      </c>
      <c r="J160" s="74">
        <f>IF(J109=4,I156,0)</f>
        <v>0</v>
      </c>
      <c r="K160" s="70">
        <f>IF(K109=4,L156,0)</f>
        <v>0</v>
      </c>
      <c r="M160" s="74">
        <f>IF(M109=4,L156,0)</f>
        <v>2</v>
      </c>
      <c r="N160" s="70">
        <f>IF(N109=4,O156,0)</f>
        <v>0</v>
      </c>
      <c r="P160" s="74">
        <f>IF(P109=4,O156,0)</f>
        <v>0</v>
      </c>
      <c r="Q160" s="70">
        <f>IF(Q109=4,R156,0)</f>
        <v>2</v>
      </c>
      <c r="S160" s="74">
        <f>IF(S109=4,R156,0)</f>
        <v>0</v>
      </c>
      <c r="T160" s="70">
        <f>IF(T109=4,U156,0)</f>
        <v>0</v>
      </c>
      <c r="V160" s="74">
        <f>IF(V109=4,U156,0)</f>
        <v>0</v>
      </c>
      <c r="W160" s="70">
        <f>IF(W109=4,X156,0)</f>
        <v>0</v>
      </c>
      <c r="Y160" s="74">
        <f>IF(Y109=4,X156,0)</f>
        <v>0</v>
      </c>
      <c r="Z160" s="70">
        <f>IF(Z109=4,AA156,0)</f>
        <v>0</v>
      </c>
      <c r="AB160" s="74">
        <f>IF(AB109=4,AA156,0)</f>
        <v>2</v>
      </c>
      <c r="AC160" s="70">
        <f>IF(AC109=4,AD156,0)</f>
        <v>0</v>
      </c>
      <c r="AE160" s="74">
        <f>IF(AE109=4,AD156,0)</f>
        <v>0</v>
      </c>
      <c r="AF160" s="70">
        <f>SUM(B160:AE160)</f>
        <v>8</v>
      </c>
      <c r="AW160" s="154"/>
    </row>
    <row r="161" spans="1:54" s="70" customFormat="1" ht="12.75" hidden="1" customHeight="1" x14ac:dyDescent="0.2">
      <c r="A161" s="70" t="s">
        <v>101</v>
      </c>
      <c r="B161" s="70">
        <f>IF(B109=5,C156,0)</f>
        <v>0</v>
      </c>
      <c r="D161" s="74">
        <f>IF(D109=5,C156,0)</f>
        <v>2</v>
      </c>
      <c r="E161" s="70">
        <f>IF(E109=5,F156,0)</f>
        <v>0</v>
      </c>
      <c r="G161" s="74">
        <f>IF(G109=5,F156,0)</f>
        <v>0</v>
      </c>
      <c r="H161" s="70">
        <f>IF(H109=5,I156,0)</f>
        <v>0</v>
      </c>
      <c r="J161" s="74">
        <f>IF(J109=5,I156,0)</f>
        <v>2</v>
      </c>
      <c r="K161" s="70">
        <f>IF(K109=5,L156,0)</f>
        <v>0</v>
      </c>
      <c r="M161" s="74">
        <f>IF(M109=5,L156,0)</f>
        <v>0</v>
      </c>
      <c r="N161" s="70">
        <f>IF(N109=5,O156,0)</f>
        <v>0</v>
      </c>
      <c r="P161" s="74">
        <f>IF(P109=5,O156,0)</f>
        <v>0</v>
      </c>
      <c r="Q161" s="70">
        <f>IF(Q109=5,R156,0)</f>
        <v>0</v>
      </c>
      <c r="S161" s="74">
        <f>IF(S109=5,R156,0)</f>
        <v>2</v>
      </c>
      <c r="T161" s="70">
        <f>IF(T109=5,U156,0)</f>
        <v>0</v>
      </c>
      <c r="V161" s="74">
        <f>IF(V109=5,U156,0)</f>
        <v>0</v>
      </c>
      <c r="W161" s="70">
        <f>IF(W109=5,X156,0)</f>
        <v>0</v>
      </c>
      <c r="Y161" s="74">
        <f>IF(Y109=5,X156,0)</f>
        <v>2</v>
      </c>
      <c r="Z161" s="70">
        <f>IF(Z109=5,AA156,0)</f>
        <v>0</v>
      </c>
      <c r="AB161" s="74">
        <f>IF(AB109=5,AA156,0)</f>
        <v>0</v>
      </c>
      <c r="AC161" s="70">
        <f>IF(AC109=5,AD156,0)</f>
        <v>0</v>
      </c>
      <c r="AE161" s="74">
        <f>IF(AE109=5,AD156,0)</f>
        <v>0</v>
      </c>
      <c r="AF161" s="70">
        <f>SUM(B161:AE161)</f>
        <v>8</v>
      </c>
      <c r="AT161" s="77"/>
      <c r="AU161" s="77"/>
      <c r="AV161" s="77"/>
      <c r="AW161" s="154"/>
    </row>
    <row r="162" spans="1:54" hidden="1" x14ac:dyDescent="0.2">
      <c r="A162" s="95"/>
      <c r="B162" s="95"/>
      <c r="C162" s="95"/>
      <c r="D162" s="95"/>
      <c r="E162" s="95"/>
      <c r="F162" s="95"/>
      <c r="G162" s="95"/>
      <c r="H162" s="95"/>
      <c r="I162" s="95"/>
      <c r="J162" s="95"/>
      <c r="K162" s="95"/>
      <c r="L162" s="95"/>
      <c r="M162" s="95"/>
      <c r="N162" s="95"/>
      <c r="O162" s="95"/>
      <c r="P162" s="95"/>
      <c r="Q162" s="95"/>
      <c r="R162" s="95"/>
      <c r="S162" s="95"/>
      <c r="T162" s="95"/>
      <c r="U162" s="95"/>
      <c r="V162" s="95"/>
      <c r="W162" s="95"/>
      <c r="X162" s="95"/>
      <c r="Y162" s="95"/>
      <c r="Z162" s="95"/>
      <c r="AA162" s="95"/>
      <c r="AB162" s="95"/>
      <c r="AC162" s="95"/>
      <c r="AD162" s="95"/>
      <c r="AE162" s="95"/>
      <c r="AF162" s="95"/>
      <c r="AG162" s="95"/>
      <c r="AH162" s="95"/>
      <c r="AI162" s="95"/>
      <c r="AJ162" s="95"/>
      <c r="AK162" s="95"/>
      <c r="AL162" s="95"/>
      <c r="AM162" s="95"/>
      <c r="AN162" s="96"/>
      <c r="AO162" s="96"/>
      <c r="AP162" s="96"/>
      <c r="AQ162" s="96"/>
      <c r="AR162" s="77"/>
      <c r="AS162" s="77"/>
      <c r="AT162" s="77"/>
      <c r="AU162" s="77"/>
      <c r="AV162" s="77"/>
      <c r="BB162" s="156"/>
    </row>
    <row r="163" spans="1:54" s="77" customFormat="1" hidden="1" x14ac:dyDescent="0.2">
      <c r="A163" s="79"/>
      <c r="B163" s="79"/>
      <c r="C163" s="79" t="s">
        <v>108</v>
      </c>
      <c r="D163" s="79">
        <v>1</v>
      </c>
      <c r="E163" s="79"/>
      <c r="F163" s="79"/>
      <c r="G163" s="79">
        <v>2</v>
      </c>
      <c r="H163" s="79"/>
      <c r="I163" s="79"/>
      <c r="J163" s="79">
        <v>3</v>
      </c>
      <c r="K163" s="79"/>
      <c r="L163" s="79"/>
      <c r="M163" s="79">
        <v>4</v>
      </c>
      <c r="N163" s="79"/>
      <c r="O163" s="79"/>
      <c r="P163" s="79">
        <v>5</v>
      </c>
      <c r="Q163" s="79"/>
      <c r="R163" s="79"/>
      <c r="S163" s="79">
        <v>6</v>
      </c>
      <c r="T163" s="79"/>
      <c r="U163" s="79"/>
      <c r="V163" s="79">
        <v>7</v>
      </c>
      <c r="W163" s="79"/>
      <c r="X163" s="79"/>
      <c r="Y163" s="79">
        <v>8</v>
      </c>
      <c r="Z163" s="79"/>
      <c r="AA163" s="79"/>
      <c r="AB163" s="79">
        <v>9</v>
      </c>
      <c r="AC163" s="79"/>
      <c r="AD163" s="79"/>
      <c r="AE163" s="79">
        <v>10</v>
      </c>
      <c r="AF163" s="4"/>
      <c r="AG163" s="79"/>
      <c r="AI163" s="80"/>
      <c r="AJ163" s="4"/>
      <c r="AK163" s="4"/>
      <c r="AL163" s="4"/>
      <c r="AM163" s="4"/>
      <c r="AN163" s="4"/>
      <c r="AO163" s="4"/>
      <c r="AT163" s="80" t="s">
        <v>109</v>
      </c>
      <c r="AW163" s="81"/>
      <c r="BB163" s="81"/>
    </row>
    <row r="164" spans="1:54" s="77" customFormat="1" hidden="1" x14ac:dyDescent="0.2">
      <c r="A164" s="82">
        <v>1</v>
      </c>
      <c r="B164" s="82" t="str">
        <f>E93</f>
        <v>Magnum 14 Elite</v>
      </c>
      <c r="C164" s="82">
        <f>VLOOKUP(B164,AU$3:BB$33,3,FALSE)</f>
        <v>2267.1704673081986</v>
      </c>
      <c r="D164" s="82">
        <f>IF(B157,B172,IF(D157,D172,C164))</f>
        <v>2267.1704673081986</v>
      </c>
      <c r="E164" s="82"/>
      <c r="F164" s="82"/>
      <c r="G164" s="82">
        <f>IF(E157,E172,IF(G157,G172,D164))</f>
        <v>2281.2826622906487</v>
      </c>
      <c r="H164" s="82"/>
      <c r="I164" s="82"/>
      <c r="J164" s="82">
        <f>IF(H157,H172,IF(J157,J172,G164))</f>
        <v>2281.2826622906487</v>
      </c>
      <c r="K164" s="82"/>
      <c r="L164" s="82"/>
      <c r="M164" s="82">
        <f>IF(K157,K172,IF(M157,M172,J164))</f>
        <v>2281.2826622906487</v>
      </c>
      <c r="N164" s="82"/>
      <c r="O164" s="82"/>
      <c r="P164" s="82">
        <f>IF(N157,N172,IF(P157,P172,M164))</f>
        <v>2300.8364641710068</v>
      </c>
      <c r="Q164" s="82"/>
      <c r="R164" s="82"/>
      <c r="S164" s="82">
        <f>IF(Q157,Q172,IF(S157,S172,P164))</f>
        <v>2300.8364641710068</v>
      </c>
      <c r="T164" s="82"/>
      <c r="U164" s="82"/>
      <c r="V164" s="82">
        <f>IF(T157,T172,IF(V157,V172,S164))</f>
        <v>2300.8364641710068</v>
      </c>
      <c r="W164" s="82"/>
      <c r="X164" s="82"/>
      <c r="Y164" s="82">
        <f>IF(W157,W172,IF(Y157,Y172,V164))</f>
        <v>2305.326023488351</v>
      </c>
      <c r="Z164" s="82"/>
      <c r="AA164" s="82"/>
      <c r="AB164" s="82">
        <f>IF(Z157,Z172,IF(AB157,AB172,Y164))</f>
        <v>2305.326023488351</v>
      </c>
      <c r="AC164" s="82"/>
      <c r="AD164" s="82"/>
      <c r="AE164" s="82">
        <f>IF(AC157,AC172,IF(AE157,AE172,AB164))</f>
        <v>2296.2228435311754</v>
      </c>
      <c r="AF164" s="4"/>
      <c r="AG164" s="4"/>
      <c r="AJ164" s="4"/>
      <c r="AK164" s="4"/>
      <c r="AL164" s="4"/>
      <c r="AM164" s="4"/>
      <c r="AN164" s="4"/>
      <c r="AO164" s="4"/>
      <c r="AT164" s="77" t="str">
        <f>B164</f>
        <v>Magnum 14 Elite</v>
      </c>
      <c r="AU164" s="77">
        <f>AE164</f>
        <v>2296.2228435311754</v>
      </c>
      <c r="AW164" s="81"/>
      <c r="BB164" s="81"/>
    </row>
    <row r="165" spans="1:54" s="77" customFormat="1" hidden="1" x14ac:dyDescent="0.2">
      <c r="A165" s="82">
        <v>2</v>
      </c>
      <c r="B165" s="82" t="str">
        <f>E95</f>
        <v>Intense 14 Elite Rock Hil</v>
      </c>
      <c r="C165" s="82">
        <f>VLOOKUP(B165,AU$3:BB$33,3,FALSE)</f>
        <v>2183.6636711289457</v>
      </c>
      <c r="D165" s="82">
        <f>IF(B158,B172,IF(D158,D172,C165))</f>
        <v>2193.8358862161954</v>
      </c>
      <c r="E165" s="82"/>
      <c r="F165" s="82"/>
      <c r="G165" s="82">
        <f>IF(E158,E172,IF(G158,G172,D165))</f>
        <v>2193.8358862161954</v>
      </c>
      <c r="H165" s="82"/>
      <c r="I165" s="82"/>
      <c r="J165" s="82">
        <f>IF(H158,H172,IF(J158,J172,G165))</f>
        <v>2193.8358862161954</v>
      </c>
      <c r="K165" s="82"/>
      <c r="L165" s="82"/>
      <c r="M165" s="82">
        <f>IF(K158,K172,IF(M158,M172,J165))</f>
        <v>2212.049391435361</v>
      </c>
      <c r="N165" s="82"/>
      <c r="O165" s="82"/>
      <c r="P165" s="82">
        <f>IF(N158,N172,IF(P158,P172,M165))</f>
        <v>2212.049391435361</v>
      </c>
      <c r="Q165" s="82"/>
      <c r="R165" s="82"/>
      <c r="S165" s="82">
        <f>IF(Q158,Q172,IF(S158,S172,P165))</f>
        <v>2212.049391435361</v>
      </c>
      <c r="T165" s="82"/>
      <c r="U165" s="82"/>
      <c r="V165" s="82">
        <f>IF(T158,T172,IF(V158,V172,S165))</f>
        <v>2203.6859228291205</v>
      </c>
      <c r="W165" s="82"/>
      <c r="X165" s="82"/>
      <c r="Y165" s="82">
        <f>IF(W158,W172,IF(Y158,Y172,V165))</f>
        <v>2203.6859228291205</v>
      </c>
      <c r="Z165" s="82"/>
      <c r="AA165" s="82"/>
      <c r="AB165" s="82">
        <f>IF(Z158,Z172,IF(AB158,AB172,Y165))</f>
        <v>2203.6859228291205</v>
      </c>
      <c r="AC165" s="82"/>
      <c r="AD165" s="82"/>
      <c r="AE165" s="82">
        <f>IF(AC158,AC172,IF(AE158,AE172,AB165))</f>
        <v>2212.7891027862961</v>
      </c>
      <c r="AF165" s="4"/>
      <c r="AG165" s="4"/>
      <c r="AJ165" s="4"/>
      <c r="AL165" s="4"/>
      <c r="AM165" s="4"/>
      <c r="AN165" s="4"/>
      <c r="AO165" s="4"/>
      <c r="AT165" s="77" t="str">
        <f>B165</f>
        <v>Intense 14 Elite Rock Hil</v>
      </c>
      <c r="AU165" s="77">
        <f>AE165</f>
        <v>2212.7891027862961</v>
      </c>
      <c r="AW165" s="81"/>
      <c r="BB165" s="81"/>
    </row>
    <row r="166" spans="1:54" s="77" customFormat="1" hidden="1" x14ac:dyDescent="0.2">
      <c r="A166" s="82">
        <v>3</v>
      </c>
      <c r="B166" s="82" t="str">
        <f>E97</f>
        <v>Fort Mill 14 Bayley</v>
      </c>
      <c r="C166" s="82">
        <f>VLOOKUP(B166,AU$3:BB$33,3,FALSE)</f>
        <v>2125.9014593645511</v>
      </c>
      <c r="D166" s="82">
        <f>IF(B159,B172,IF(D159,D172,C166))</f>
        <v>2125.9014593645511</v>
      </c>
      <c r="E166" s="82"/>
      <c r="F166" s="82"/>
      <c r="G166" s="82">
        <f>IF(E159,E172,IF(G159,G172,D166))</f>
        <v>2125.9014593645511</v>
      </c>
      <c r="H166" s="82"/>
      <c r="I166" s="82"/>
      <c r="J166" s="82">
        <f>IF(H159,H172,IF(J159,J172,G166))</f>
        <v>2138.6412994023967</v>
      </c>
      <c r="K166" s="82"/>
      <c r="L166" s="82"/>
      <c r="M166" s="82">
        <f>IF(K159,K172,IF(M159,M172,J166))</f>
        <v>2138.6412994023967</v>
      </c>
      <c r="N166" s="82"/>
      <c r="O166" s="82"/>
      <c r="P166" s="82">
        <f>IF(N159,N172,IF(P159,P172,M166))</f>
        <v>2119.0874975220386</v>
      </c>
      <c r="Q166" s="82"/>
      <c r="R166" s="82"/>
      <c r="S166" s="82">
        <f>IF(Q159,Q172,IF(S159,S172,P166))</f>
        <v>2119.0874975220386</v>
      </c>
      <c r="T166" s="82"/>
      <c r="U166" s="82"/>
      <c r="V166" s="82">
        <f>IF(T159,T172,IF(V159,V172,S166))</f>
        <v>2127.4509661282791</v>
      </c>
      <c r="W166" s="82"/>
      <c r="X166" s="82"/>
      <c r="Y166" s="82">
        <f>IF(W159,W172,IF(Y159,Y172,V166))</f>
        <v>2127.4509661282791</v>
      </c>
      <c r="Z166" s="82"/>
      <c r="AA166" s="82"/>
      <c r="AB166" s="82">
        <f>IF(Z159,Z172,IF(AB159,AB172,Y166))</f>
        <v>2151.1244349589101</v>
      </c>
      <c r="AC166" s="82"/>
      <c r="AD166" s="82"/>
      <c r="AE166" s="82">
        <f>IF(AC159,AC172,IF(AE159,AE172,AB166))</f>
        <v>2151.1244349589101</v>
      </c>
      <c r="AF166" s="4"/>
      <c r="AG166" s="4"/>
      <c r="AJ166" s="4"/>
      <c r="AL166" s="4"/>
      <c r="AM166" s="4"/>
      <c r="AN166" s="4"/>
      <c r="AO166" s="4"/>
      <c r="AT166" s="77" t="str">
        <f>B166</f>
        <v>Fort Mill 14 Bayley</v>
      </c>
      <c r="AU166" s="77">
        <f>AE166</f>
        <v>2151.1244349589101</v>
      </c>
      <c r="AW166" s="81"/>
      <c r="BB166" s="81"/>
    </row>
    <row r="167" spans="1:54" s="77" customFormat="1" hidden="1" x14ac:dyDescent="0.2">
      <c r="A167" s="82">
        <v>4</v>
      </c>
      <c r="B167" s="82" t="str">
        <f>E99</f>
        <v>Intense 14 performace</v>
      </c>
      <c r="C167" s="82">
        <f>VLOOKUP(B167,AU$3:BB$33,3,FALSE)</f>
        <v>2047.8105361849766</v>
      </c>
      <c r="D167" s="82">
        <f>IF(B160,B172,IF(D160,D172,C167))</f>
        <v>2047.8105361849766</v>
      </c>
      <c r="E167" s="82"/>
      <c r="F167" s="82"/>
      <c r="G167" s="82">
        <f>IF(E160,E172,IF(G160,G172,D167))</f>
        <v>2033.6983412025265</v>
      </c>
      <c r="H167" s="82"/>
      <c r="I167" s="82"/>
      <c r="J167" s="82">
        <f>IF(H160,H172,IF(J160,J172,G167))</f>
        <v>2033.6983412025265</v>
      </c>
      <c r="K167" s="82"/>
      <c r="L167" s="82"/>
      <c r="M167" s="82">
        <f>IF(K160,K172,IF(M160,M172,J167))</f>
        <v>2015.4848359833611</v>
      </c>
      <c r="N167" s="82"/>
      <c r="O167" s="82"/>
      <c r="P167" s="82">
        <f>IF(N160,N172,IF(P160,P172,M167))</f>
        <v>2015.4848359833611</v>
      </c>
      <c r="Q167" s="82"/>
      <c r="R167" s="82"/>
      <c r="S167" s="82">
        <f>IF(Q160,Q172,IF(S160,S172,P167))</f>
        <v>2034.9193792302167</v>
      </c>
      <c r="T167" s="82"/>
      <c r="U167" s="82"/>
      <c r="V167" s="82">
        <f>IF(T160,T172,IF(V160,V172,S167))</f>
        <v>2034.9193792302167</v>
      </c>
      <c r="W167" s="82"/>
      <c r="X167" s="82"/>
      <c r="Y167" s="82">
        <f>IF(W160,W172,IF(Y160,Y172,V167))</f>
        <v>2034.9193792302167</v>
      </c>
      <c r="Z167" s="82"/>
      <c r="AA167" s="82"/>
      <c r="AB167" s="82">
        <f>IF(Z160,Z172,IF(AB160,AB172,Y167))</f>
        <v>2011.2459103995855</v>
      </c>
      <c r="AC167" s="82"/>
      <c r="AD167" s="82"/>
      <c r="AE167" s="82">
        <f>IF(AC160,AC172,IF(AE160,AE172,AB167))</f>
        <v>2011.2459103995855</v>
      </c>
      <c r="AF167" s="4"/>
      <c r="AG167" s="4"/>
      <c r="AJ167" s="4"/>
      <c r="AL167" s="4"/>
      <c r="AM167" s="4"/>
      <c r="AN167" s="4"/>
      <c r="AO167" s="4"/>
      <c r="AT167" s="77" t="str">
        <f>B167</f>
        <v>Intense 14 performace</v>
      </c>
      <c r="AU167" s="77">
        <f>AE167</f>
        <v>2011.2459103995855</v>
      </c>
      <c r="AW167" s="81"/>
      <c r="BB167" s="81"/>
    </row>
    <row r="168" spans="1:54" s="77" customFormat="1" hidden="1" x14ac:dyDescent="0.2">
      <c r="A168" s="82">
        <v>5</v>
      </c>
      <c r="B168" s="82" t="str">
        <f>E101</f>
        <v>MOTO 14-2 IGNITE</v>
      </c>
      <c r="C168" s="82">
        <f>VLOOKUP(B168,AU$3:BB$33,3,FALSE)</f>
        <v>1894.2272816119016</v>
      </c>
      <c r="D168" s="82">
        <f>IF(B161,B172,IF(D161,D172,C168))</f>
        <v>1884.0550665246521</v>
      </c>
      <c r="E168" s="82"/>
      <c r="F168" s="82"/>
      <c r="G168" s="82">
        <f>IF(E161,E172,IF(G161,G172,D168))</f>
        <v>1884.0550665246521</v>
      </c>
      <c r="H168" s="82"/>
      <c r="I168" s="82"/>
      <c r="J168" s="82">
        <f>IF(H161,H172,IF(J161,J172,G168))</f>
        <v>1871.3152264868065</v>
      </c>
      <c r="K168" s="82"/>
      <c r="L168" s="82"/>
      <c r="M168" s="82">
        <f>IF(K161,K172,IF(M161,M172,J168))</f>
        <v>1871.3152264868065</v>
      </c>
      <c r="N168" s="82"/>
      <c r="O168" s="82"/>
      <c r="P168" s="82">
        <f>IF(N161,N172,IF(P161,P172,M168))</f>
        <v>1871.3152264868065</v>
      </c>
      <c r="Q168" s="82"/>
      <c r="R168" s="82"/>
      <c r="S168" s="82">
        <f>IF(Q161,Q172,IF(S161,S172,P168))</f>
        <v>1851.8806832399509</v>
      </c>
      <c r="T168" s="82"/>
      <c r="U168" s="82"/>
      <c r="V168" s="82">
        <f>IF(T161,T172,IF(V161,V172,S168))</f>
        <v>1851.8806832399509</v>
      </c>
      <c r="W168" s="82"/>
      <c r="X168" s="82"/>
      <c r="Y168" s="82">
        <f>IF(W161,W172,IF(Y161,Y172,V168))</f>
        <v>1847.3911239226065</v>
      </c>
      <c r="Z168" s="82"/>
      <c r="AA168" s="82"/>
      <c r="AB168" s="82">
        <f>IF(Z161,Z172,IF(AB161,AB172,Y168))</f>
        <v>1847.3911239226065</v>
      </c>
      <c r="AC168" s="82"/>
      <c r="AD168" s="82"/>
      <c r="AE168" s="82">
        <f>IF(AC161,AC172,IF(AE161,AE172,AB168))</f>
        <v>1847.3911239226065</v>
      </c>
      <c r="AF168" s="4"/>
      <c r="AG168" s="4"/>
      <c r="AJ168" s="4"/>
      <c r="AL168" s="4"/>
      <c r="AM168" s="4"/>
      <c r="AN168" s="4"/>
      <c r="AO168" s="4"/>
      <c r="AT168" s="77" t="str">
        <f>B168</f>
        <v>MOTO 14-2 IGNITE</v>
      </c>
      <c r="AU168" s="77">
        <f>AE168</f>
        <v>1847.3911239226065</v>
      </c>
      <c r="AW168" s="81"/>
      <c r="BB168" s="81"/>
    </row>
    <row r="169" spans="1:54" s="77" customFormat="1" hidden="1" x14ac:dyDescent="0.2">
      <c r="A169" s="82"/>
      <c r="B169" s="82"/>
      <c r="C169" s="82"/>
      <c r="D169" s="82"/>
      <c r="E169" s="82"/>
      <c r="F169" s="82"/>
      <c r="G169" s="82"/>
      <c r="H169" s="82"/>
      <c r="I169" s="82"/>
      <c r="J169" s="82"/>
      <c r="K169" s="82"/>
      <c r="L169" s="82"/>
      <c r="M169" s="82"/>
      <c r="N169" s="82"/>
      <c r="O169" s="82"/>
      <c r="P169" s="82"/>
      <c r="Q169" s="82"/>
      <c r="R169" s="82"/>
      <c r="S169" s="82"/>
      <c r="T169" s="82"/>
      <c r="U169" s="82"/>
      <c r="V169" s="82"/>
      <c r="W169" s="82"/>
      <c r="X169" s="82"/>
      <c r="Y169" s="82"/>
      <c r="Z169" s="82"/>
      <c r="AA169" s="82"/>
      <c r="AB169" s="82"/>
      <c r="AC169" s="82"/>
      <c r="AD169" s="82"/>
      <c r="AE169" s="82"/>
      <c r="AF169" s="4"/>
      <c r="AG169" s="4"/>
      <c r="AJ169" s="4"/>
      <c r="AL169" s="4"/>
      <c r="AM169" s="4"/>
      <c r="AN169" s="4"/>
      <c r="AO169" s="4"/>
      <c r="AW169" s="81"/>
      <c r="BB169" s="81"/>
    </row>
    <row r="170" spans="1:54" s="77" customFormat="1" hidden="1" x14ac:dyDescent="0.2">
      <c r="A170" s="82" t="s">
        <v>110</v>
      </c>
      <c r="B170" s="82">
        <f>VLOOKUP(B109,$A164:$AE168,3,FALSE)</f>
        <v>2183.6636711289457</v>
      </c>
      <c r="C170" s="82">
        <v>1</v>
      </c>
      <c r="D170" s="82">
        <f>VLOOKUP(D109,$A164:$AE168,3,FALSE)</f>
        <v>1894.2272816119016</v>
      </c>
      <c r="E170" s="82">
        <f>VLOOKUP(E109,$A164:$AE168,4,FALSE)</f>
        <v>2267.1704673081986</v>
      </c>
      <c r="F170" s="82">
        <v>2</v>
      </c>
      <c r="G170" s="82">
        <f>VLOOKUP(G109,$A164:$AE168,4,FALSE)</f>
        <v>2047.8105361849766</v>
      </c>
      <c r="H170" s="82">
        <f>VLOOKUP(H109,$A164:$AE168,7,FALSE)</f>
        <v>2125.9014593645511</v>
      </c>
      <c r="I170" s="82">
        <v>3</v>
      </c>
      <c r="J170" s="82">
        <f>VLOOKUP(J109,$A164:$AE168,7,FALSE)</f>
        <v>1884.0550665246521</v>
      </c>
      <c r="K170" s="82">
        <f>VLOOKUP(K109,$A164:$AE168,10,FALSE)</f>
        <v>2193.8358862161954</v>
      </c>
      <c r="L170" s="82">
        <v>4</v>
      </c>
      <c r="M170" s="82">
        <f>VLOOKUP(M109,$A164:$AE168,10,FALSE)</f>
        <v>2033.6983412025265</v>
      </c>
      <c r="N170" s="82">
        <f>VLOOKUP(N109,$A164:$AE168,13,FALSE)</f>
        <v>2281.2826622906487</v>
      </c>
      <c r="O170" s="82">
        <v>5</v>
      </c>
      <c r="P170" s="82">
        <f>VLOOKUP(P109,$A164:$AE168,13,FALSE)</f>
        <v>2138.6412994023967</v>
      </c>
      <c r="Q170" s="82">
        <f>VLOOKUP(Q109,$A164:$AE168,16,FALSE)</f>
        <v>2015.4848359833611</v>
      </c>
      <c r="R170" s="82">
        <v>6</v>
      </c>
      <c r="S170" s="82">
        <f>VLOOKUP(S109,$A164:$AE168,16,FALSE)</f>
        <v>1871.3152264868065</v>
      </c>
      <c r="T170" s="82">
        <f>VLOOKUP(T109,$A164:$AE168,19,FALSE)</f>
        <v>2212.049391435361</v>
      </c>
      <c r="U170" s="82">
        <v>7</v>
      </c>
      <c r="V170" s="82">
        <f>VLOOKUP(V109,$A164:$AE168,19,FALSE)</f>
        <v>2119.0874975220386</v>
      </c>
      <c r="W170" s="82">
        <f>VLOOKUP(W109,$A164:$AE168,22,FALSE)</f>
        <v>2300.8364641710068</v>
      </c>
      <c r="X170" s="82">
        <v>8</v>
      </c>
      <c r="Y170" s="82">
        <f>VLOOKUP(Y109,$A164:$AE168,22,FALSE)</f>
        <v>1851.8806832399509</v>
      </c>
      <c r="Z170" s="82">
        <f>VLOOKUP(Z109,$A164:$AE168,25,FALSE)</f>
        <v>2127.4509661282791</v>
      </c>
      <c r="AA170" s="82">
        <v>9</v>
      </c>
      <c r="AB170" s="82">
        <f>VLOOKUP(AB109,$A164:$AE168,25,FALSE)</f>
        <v>2034.9193792302167</v>
      </c>
      <c r="AC170" s="82">
        <f>VLOOKUP(AC109,$A164:$AE168,28,FALSE)</f>
        <v>2305.326023488351</v>
      </c>
      <c r="AD170" s="82">
        <v>10</v>
      </c>
      <c r="AE170" s="82">
        <f>VLOOKUP(AE109,$A164:$AE168,28,FALSE)</f>
        <v>2203.6859228291205</v>
      </c>
      <c r="AF170" s="4"/>
      <c r="AG170" s="95"/>
      <c r="AH170" s="95"/>
      <c r="AI170" s="95"/>
      <c r="AJ170" s="95"/>
      <c r="AK170" s="95"/>
      <c r="AL170" s="95"/>
      <c r="AM170" s="95"/>
      <c r="AN170" s="96"/>
      <c r="AO170" s="96"/>
      <c r="AP170" s="96"/>
      <c r="AQ170" s="96"/>
      <c r="AW170" s="81"/>
      <c r="BB170" s="81"/>
    </row>
    <row r="171" spans="1:54" s="87" customFormat="1" hidden="1" x14ac:dyDescent="0.2">
      <c r="A171" s="83" t="s">
        <v>111</v>
      </c>
      <c r="B171" s="83">
        <f>1/(1+(10^-((B170-D170)/400)))*(B121+D121)</f>
        <v>1.6821182785234527</v>
      </c>
      <c r="C171" s="83"/>
      <c r="D171" s="83">
        <f>1/(1+(10^-((D170-B170)/400)))*(B121+D121)</f>
        <v>0.31788172147654709</v>
      </c>
      <c r="E171" s="83">
        <f>1/(1+(10^-((E170-G170)/400)))*(E121+G121)</f>
        <v>1.5589939067984369</v>
      </c>
      <c r="F171" s="83"/>
      <c r="G171" s="83">
        <f>1/(1+(10^-((G170-E170)/400)))*(E121+G121)</f>
        <v>0.4410060932015632</v>
      </c>
      <c r="H171" s="83">
        <f>1/(1+(10^-((H170-J170)/400)))*(H121+J121)</f>
        <v>1.6018799988173278</v>
      </c>
      <c r="I171" s="83"/>
      <c r="J171" s="83">
        <f>1/(1+(10^-((J170-H170)/400)))*(H121+J121)</f>
        <v>0.39812000118267227</v>
      </c>
      <c r="K171" s="83">
        <f>1/(1+(10^-((K170-M170)/400)))*(K121+M121)</f>
        <v>1.4308279619010773</v>
      </c>
      <c r="L171" s="83"/>
      <c r="M171" s="83">
        <f>1/(1+(10^-((M170-K170)/400)))*(K121+M121)</f>
        <v>0.56917203809892269</v>
      </c>
      <c r="N171" s="83">
        <f>1/(1+(10^-((N170-P170)/400)))*(N121+P121)</f>
        <v>1.388943691238804</v>
      </c>
      <c r="O171" s="83"/>
      <c r="P171" s="83">
        <f>1/(1+(10^-((P170-N170)/400)))*(N121+P121)</f>
        <v>0.61105630876119599</v>
      </c>
      <c r="Q171" s="83">
        <f>1/(1+(10^-((Q170-S170)/400)))*(Q121+S121)</f>
        <v>1.3926705235357637</v>
      </c>
      <c r="R171" s="83"/>
      <c r="S171" s="83">
        <f>1/(1+(10^-((S170-Q170)/400)))*(Q121+S121)</f>
        <v>0.60732947646423618</v>
      </c>
      <c r="T171" s="83">
        <f>1/(1+(10^-((T170-V170)/400)))*(T121+V121)</f>
        <v>1.2613583939450224</v>
      </c>
      <c r="U171" s="83"/>
      <c r="V171" s="83">
        <f>1/(1+(10^-((V170-T170)/400)))*(T121+V121)</f>
        <v>0.73864160605497764</v>
      </c>
      <c r="W171" s="83">
        <f>1/(1+(10^-((W170-Y170)/400)))*(W121+Y121)</f>
        <v>1.8597012713329901</v>
      </c>
      <c r="X171" s="83"/>
      <c r="Y171" s="83">
        <f>1/(1+(10^-((Y170-W170)/400)))*(W121+Y121)</f>
        <v>0.14029872866700965</v>
      </c>
      <c r="Z171" s="83">
        <f>1/(1+(10^-((Z170-AB170)/400)))*(Z121+AB121)</f>
        <v>1.260204099042775</v>
      </c>
      <c r="AA171" s="83"/>
      <c r="AB171" s="83">
        <f>1/(1+(10^-((AB170-Z170)/400)))*(Z121+AB121)</f>
        <v>0.73979590095722503</v>
      </c>
      <c r="AC171" s="83">
        <f>1/(1+(10^-((AC170-AE170)/400)))*(AC121+AE121)</f>
        <v>1.2844743736617361</v>
      </c>
      <c r="AD171" s="83"/>
      <c r="AE171" s="83">
        <f>1/(1+(10^-((AE170-AC170)/400)))*(AC121+AE121)</f>
        <v>0.715525626338264</v>
      </c>
      <c r="AF171" s="84"/>
      <c r="AG171" s="85"/>
      <c r="AH171" s="85"/>
      <c r="AI171" s="85"/>
      <c r="AJ171" s="85"/>
      <c r="AK171" s="85"/>
      <c r="AL171" s="85"/>
      <c r="AM171" s="85"/>
      <c r="AN171" s="86"/>
      <c r="AO171" s="86"/>
      <c r="AP171" s="86"/>
      <c r="AQ171" s="86"/>
      <c r="AW171" s="88"/>
      <c r="BB171" s="88"/>
    </row>
    <row r="172" spans="1:54" s="93" customFormat="1" hidden="1" x14ac:dyDescent="0.2">
      <c r="A172" s="89" t="s">
        <v>112</v>
      </c>
      <c r="B172" s="89">
        <f>B170+(B121-B171)*$BA$1</f>
        <v>2193.8358862161954</v>
      </c>
      <c r="C172" s="89"/>
      <c r="D172" s="89">
        <f>D170+(D121-D171)*$BA$1</f>
        <v>1884.0550665246521</v>
      </c>
      <c r="E172" s="89">
        <f>E170+(E121-E171)*$BA$1</f>
        <v>2281.2826622906487</v>
      </c>
      <c r="F172" s="89"/>
      <c r="G172" s="89">
        <f>G170+(G121-G171)*$BA$1</f>
        <v>2033.6983412025265</v>
      </c>
      <c r="H172" s="89">
        <f>H170+(H121-H171)*$BA$1</f>
        <v>2138.6412994023967</v>
      </c>
      <c r="I172" s="89"/>
      <c r="J172" s="89">
        <f>J170+(J121-J171)*$BA$1</f>
        <v>1871.3152264868065</v>
      </c>
      <c r="K172" s="89">
        <f>K170+(K121-K171)*$BA$1</f>
        <v>2212.049391435361</v>
      </c>
      <c r="L172" s="89"/>
      <c r="M172" s="89">
        <f>M170+(M121-M171)*$BA$1</f>
        <v>2015.4848359833611</v>
      </c>
      <c r="N172" s="89">
        <f>N170+(N121-N171)*$BA$1</f>
        <v>2300.8364641710068</v>
      </c>
      <c r="O172" s="89"/>
      <c r="P172" s="89">
        <f>P170+(P121-P171)*$BA$1</f>
        <v>2119.0874975220386</v>
      </c>
      <c r="Q172" s="89">
        <f>Q170+(Q121-Q171)*$BA$1</f>
        <v>2034.9193792302167</v>
      </c>
      <c r="R172" s="89"/>
      <c r="S172" s="89">
        <f>S170+(S121-S171)*$BA$1</f>
        <v>1851.8806832399509</v>
      </c>
      <c r="T172" s="89">
        <f>T170+(T121-T171)*$BA$1</f>
        <v>2203.6859228291205</v>
      </c>
      <c r="U172" s="89"/>
      <c r="V172" s="89">
        <f>V170+(V121-V171)*$BA$1</f>
        <v>2127.4509661282791</v>
      </c>
      <c r="W172" s="89">
        <f>W170+(W121-W171)*$BA$1</f>
        <v>2305.326023488351</v>
      </c>
      <c r="X172" s="89"/>
      <c r="Y172" s="89">
        <f>Y170+(Y121-Y171)*$BA$1</f>
        <v>1847.3911239226065</v>
      </c>
      <c r="Z172" s="89">
        <f>Z170+(Z121-Z171)*$BA$1</f>
        <v>2151.1244349589101</v>
      </c>
      <c r="AA172" s="89"/>
      <c r="AB172" s="89">
        <f>AB170+(AB121-AB171)*$BA$1</f>
        <v>2011.2459103995855</v>
      </c>
      <c r="AC172" s="89">
        <f>AC170+(AC121-AC171)*$BA$1</f>
        <v>2296.2228435311754</v>
      </c>
      <c r="AD172" s="89"/>
      <c r="AE172" s="89">
        <f>AE170+(AE121-AE171)*$BA$1</f>
        <v>2212.7891027862961</v>
      </c>
      <c r="AF172" s="90"/>
      <c r="AG172" s="91"/>
      <c r="AH172" s="91"/>
      <c r="AI172" s="91"/>
      <c r="AJ172" s="91"/>
      <c r="AK172" s="91"/>
      <c r="AL172" s="91"/>
      <c r="AM172" s="91"/>
      <c r="AN172" s="92"/>
      <c r="AO172" s="92"/>
      <c r="AP172" s="92"/>
      <c r="AQ172" s="92"/>
      <c r="AW172" s="94"/>
      <c r="BB172" s="94"/>
    </row>
    <row r="173" spans="1:54" s="93" customFormat="1" hidden="1" x14ac:dyDescent="0.2">
      <c r="A173" s="89"/>
      <c r="B173" s="89"/>
      <c r="C173" s="89"/>
      <c r="D173" s="89"/>
      <c r="E173" s="89"/>
      <c r="F173" s="89"/>
      <c r="G173" s="89"/>
      <c r="H173" s="89"/>
      <c r="I173" s="89"/>
      <c r="J173" s="89"/>
      <c r="K173" s="89"/>
      <c r="L173" s="89"/>
      <c r="M173" s="89"/>
      <c r="N173" s="89"/>
      <c r="O173" s="89"/>
      <c r="P173" s="89"/>
      <c r="Q173" s="89"/>
      <c r="R173" s="89"/>
      <c r="S173" s="89"/>
      <c r="T173" s="89"/>
      <c r="U173" s="89"/>
      <c r="V173" s="89"/>
      <c r="W173" s="89"/>
      <c r="X173" s="89"/>
      <c r="Y173" s="89"/>
      <c r="Z173" s="89"/>
      <c r="AA173" s="89"/>
      <c r="AB173" s="89"/>
      <c r="AC173" s="89"/>
      <c r="AD173" s="89"/>
      <c r="AE173" s="89"/>
      <c r="AF173" s="90"/>
      <c r="AG173" s="91"/>
      <c r="AH173" s="91"/>
      <c r="AI173" s="91"/>
      <c r="AJ173" s="91"/>
      <c r="AK173" s="91"/>
      <c r="AL173" s="91"/>
      <c r="AM173" s="91"/>
      <c r="AN173" s="92"/>
      <c r="AO173" s="92"/>
      <c r="AP173" s="92"/>
      <c r="AQ173" s="92"/>
      <c r="AW173" s="94"/>
      <c r="BB173" s="94"/>
    </row>
    <row r="174" spans="1:54" s="77" customFormat="1" x14ac:dyDescent="0.2">
      <c r="A174" s="281" t="str">
        <f>IF($AK95=1,"Pool Tiereaker : 1) Matches Won vs Lost (if 3 way tie then #4)  2) Head to Head  3) Game Win %  4) Total Pool Net Points  5) Flip a Coin","Pool Tiebreaker : 1) Games Won vs Lost (if 3 way tie then #5)  2) Head to Head  3) Head to Head Net Points  4) Game Win %  5) Total Pool Net Points  6) Flip a Coin")</f>
        <v>Pool Tiebreaker : 1) Games Won vs Lost (if 3 way tie then #5)  2) Head to Head  3) Head to Head Net Points  4) Game Win %  5) Total Pool Net Points  6) Flip a Coin</v>
      </c>
      <c r="B174" s="281"/>
      <c r="C174" s="281"/>
      <c r="D174" s="281"/>
      <c r="E174" s="281"/>
      <c r="F174" s="281"/>
      <c r="G174" s="281"/>
      <c r="H174" s="281"/>
      <c r="I174" s="281"/>
      <c r="J174" s="281"/>
      <c r="K174" s="281"/>
      <c r="L174" s="281"/>
      <c r="M174" s="281"/>
      <c r="N174" s="281"/>
      <c r="O174" s="281"/>
      <c r="P174" s="281"/>
      <c r="Q174" s="281"/>
      <c r="R174" s="281"/>
      <c r="S174" s="281"/>
      <c r="T174" s="281"/>
      <c r="U174" s="281"/>
      <c r="V174" s="281"/>
      <c r="W174" s="281"/>
      <c r="X174" s="281"/>
      <c r="Y174" s="281"/>
      <c r="Z174" s="281"/>
      <c r="AA174" s="281"/>
      <c r="AB174" s="281"/>
      <c r="AC174" s="281"/>
      <c r="AD174" s="281"/>
      <c r="AE174" s="281"/>
      <c r="AF174" s="281"/>
      <c r="AG174" s="281"/>
      <c r="AH174" s="281"/>
      <c r="AI174" s="281"/>
      <c r="AJ174" s="281"/>
      <c r="AK174" s="281"/>
      <c r="AL174" s="281"/>
      <c r="AM174" s="281"/>
      <c r="AN174" s="259"/>
      <c r="AO174" s="259"/>
      <c r="AP174" s="259"/>
      <c r="AQ174" s="259"/>
      <c r="AW174" s="81"/>
    </row>
    <row r="175" spans="1:54" s="77" customFormat="1" ht="13.5" thickBot="1" x14ac:dyDescent="0.25">
      <c r="A175" s="282">
        <v>2</v>
      </c>
      <c r="B175" s="282"/>
      <c r="C175" s="282"/>
      <c r="D175" s="282"/>
      <c r="E175" s="282"/>
      <c r="F175" s="282"/>
      <c r="G175" s="282"/>
      <c r="H175" s="282"/>
      <c r="I175" s="282"/>
      <c r="J175" s="282"/>
      <c r="K175" s="282"/>
      <c r="L175" s="282"/>
      <c r="M175" s="282"/>
      <c r="N175" s="282"/>
      <c r="O175" s="282"/>
      <c r="P175" s="282"/>
      <c r="Q175" s="282"/>
      <c r="R175" s="282"/>
      <c r="S175" s="282"/>
      <c r="T175" s="282"/>
      <c r="U175" s="282"/>
      <c r="V175" s="282"/>
      <c r="W175" s="282"/>
      <c r="X175" s="282"/>
      <c r="Y175" s="282"/>
      <c r="Z175" s="282"/>
      <c r="AA175" s="282"/>
      <c r="AB175" s="282"/>
      <c r="AC175" s="282"/>
      <c r="AD175" s="282"/>
      <c r="AE175" s="282"/>
      <c r="AF175" s="282"/>
      <c r="AG175" s="282"/>
      <c r="AH175" s="282"/>
      <c r="AI175" s="282"/>
      <c r="AJ175" s="282"/>
      <c r="AK175" s="282"/>
      <c r="AL175" s="282"/>
      <c r="AM175" s="282"/>
      <c r="AN175" s="282"/>
      <c r="AO175" s="282"/>
      <c r="AP175" s="282"/>
      <c r="AQ175" s="282"/>
      <c r="AT175" s="4"/>
      <c r="AU175" s="4"/>
      <c r="AV175" s="4"/>
      <c r="AW175" s="81"/>
    </row>
    <row r="176" spans="1:54" ht="24" customHeight="1" thickBot="1" x14ac:dyDescent="0.25">
      <c r="A176" s="27" t="s">
        <v>34</v>
      </c>
      <c r="B176" s="28" t="s">
        <v>205</v>
      </c>
      <c r="C176" s="353" t="s">
        <v>36</v>
      </c>
      <c r="D176" s="354"/>
      <c r="E176" s="354"/>
      <c r="F176" s="354"/>
      <c r="G176" s="354"/>
      <c r="H176" s="355"/>
      <c r="I176" s="356">
        <v>3</v>
      </c>
      <c r="J176" s="357"/>
      <c r="K176" s="358" t="str">
        <f>"Pool "&amp;B176&amp;" - Round 1 - Court "&amp;I176</f>
        <v>Pool C - Round 1 - Court 3</v>
      </c>
      <c r="L176" s="359"/>
      <c r="M176" s="359"/>
      <c r="N176" s="359"/>
      <c r="O176" s="359"/>
      <c r="P176" s="359"/>
      <c r="Q176" s="359"/>
      <c r="R176" s="359"/>
      <c r="S176" s="359"/>
      <c r="T176" s="359"/>
      <c r="U176" s="359"/>
      <c r="V176" s="359"/>
      <c r="W176" s="359"/>
      <c r="X176" s="359"/>
      <c r="Y176" s="359"/>
      <c r="Z176" s="359"/>
      <c r="AA176" s="359"/>
      <c r="AB176" s="359"/>
      <c r="AC176" s="359"/>
      <c r="AD176" s="359"/>
      <c r="AE176" s="359"/>
      <c r="AF176" s="359"/>
      <c r="AG176" s="359"/>
      <c r="AH176" s="359"/>
      <c r="AI176" s="360"/>
      <c r="AJ176" s="8"/>
      <c r="AK176" s="8"/>
      <c r="AL176" s="8"/>
      <c r="AM176" s="8"/>
      <c r="AN176" s="8"/>
      <c r="AO176" s="8"/>
      <c r="AP176" s="8"/>
      <c r="AQ176" s="8"/>
    </row>
    <row r="177" spans="1:44" ht="27" customHeight="1" thickBot="1" x14ac:dyDescent="0.25">
      <c r="A177" s="29" t="s">
        <v>39</v>
      </c>
      <c r="B177" s="361" t="s">
        <v>10</v>
      </c>
      <c r="C177" s="362"/>
      <c r="D177" s="362"/>
      <c r="E177" s="362"/>
      <c r="F177" s="362"/>
      <c r="G177" s="362"/>
      <c r="H177" s="362"/>
      <c r="I177" s="362"/>
      <c r="J177" s="362"/>
      <c r="K177" s="362"/>
      <c r="L177" s="361" t="str">
        <f>IF($AK180=0,"Games Won","Matches Won")</f>
        <v>Games Won</v>
      </c>
      <c r="M177" s="362"/>
      <c r="N177" s="362"/>
      <c r="O177" s="362"/>
      <c r="P177" s="362"/>
      <c r="Q177" s="363"/>
      <c r="R177" s="361" t="str">
        <f>IF($AK180=0,"Games Lost","Matches Lost")</f>
        <v>Games Lost</v>
      </c>
      <c r="S177" s="364"/>
      <c r="T177" s="364"/>
      <c r="U177" s="364"/>
      <c r="V177" s="365"/>
      <c r="W177" s="366" t="s">
        <v>40</v>
      </c>
      <c r="X177" s="367"/>
      <c r="Y177" s="368"/>
      <c r="Z177" s="366" t="s">
        <v>41</v>
      </c>
      <c r="AA177" s="367"/>
      <c r="AB177" s="368"/>
      <c r="AC177" s="369" t="s">
        <v>42</v>
      </c>
      <c r="AD177" s="370"/>
      <c r="AE177" s="371"/>
      <c r="AF177" s="30" t="s">
        <v>43</v>
      </c>
      <c r="AG177" s="31" t="s">
        <v>9</v>
      </c>
      <c r="AH177" s="351" t="s">
        <v>44</v>
      </c>
      <c r="AI177" s="352"/>
      <c r="AJ177" s="32"/>
      <c r="AK177" s="33">
        <v>2</v>
      </c>
      <c r="AL177" s="34" t="s">
        <v>45</v>
      </c>
      <c r="AM177" s="34"/>
      <c r="AN177" s="34"/>
      <c r="AO177" s="34"/>
      <c r="AP177" s="34"/>
      <c r="AQ177" s="34"/>
      <c r="AR177" s="35"/>
    </row>
    <row r="178" spans="1:44" ht="18.75" customHeight="1" x14ac:dyDescent="0.2">
      <c r="A178" s="320" t="str">
        <f>IF($AK179&gt;0,"1","")</f>
        <v>1</v>
      </c>
      <c r="B178" s="348" t="s">
        <v>10</v>
      </c>
      <c r="C178" s="349"/>
      <c r="D178" s="350"/>
      <c r="E178" s="324" t="str">
        <f>AU5</f>
        <v>Magnum Aiken 14 Green</v>
      </c>
      <c r="F178" s="325"/>
      <c r="G178" s="325"/>
      <c r="H178" s="325"/>
      <c r="I178" s="325"/>
      <c r="J178" s="325"/>
      <c r="K178" s="326"/>
      <c r="L178" s="327">
        <f>IF($AK180=0,AF234,AF216)</f>
        <v>7</v>
      </c>
      <c r="M178" s="328"/>
      <c r="N178" s="328"/>
      <c r="O178" s="328"/>
      <c r="P178" s="328"/>
      <c r="Q178" s="363"/>
      <c r="R178" s="327">
        <f>IF($AK180=0,AG234,AG216)</f>
        <v>1</v>
      </c>
      <c r="S178" s="328"/>
      <c r="T178" s="328"/>
      <c r="U178" s="328"/>
      <c r="V178" s="328"/>
      <c r="W178" s="327">
        <f>AQ194</f>
        <v>63</v>
      </c>
      <c r="X178" s="328"/>
      <c r="Y178" s="328"/>
      <c r="Z178" s="300">
        <f>IF(AF228&gt;0,(AQ194/AF228),0)</f>
        <v>0.315</v>
      </c>
      <c r="AA178" s="301"/>
      <c r="AB178" s="301"/>
      <c r="AC178" s="304">
        <f>IF(AF242=0,0,(AF234/AF242))</f>
        <v>0.875</v>
      </c>
      <c r="AD178" s="305"/>
      <c r="AE178" s="306"/>
      <c r="AF178" s="310">
        <v>1</v>
      </c>
      <c r="AG178" s="310">
        <v>3</v>
      </c>
      <c r="AH178" s="312">
        <v>3</v>
      </c>
      <c r="AI178" s="313"/>
      <c r="AJ178" s="32"/>
      <c r="AK178" s="33">
        <v>10</v>
      </c>
      <c r="AL178" s="34" t="s">
        <v>48</v>
      </c>
      <c r="AM178" s="34"/>
      <c r="AN178" s="34"/>
      <c r="AO178" s="34"/>
      <c r="AP178" s="34"/>
      <c r="AQ178" s="34"/>
      <c r="AR178" s="35"/>
    </row>
    <row r="179" spans="1:44" ht="18.75" customHeight="1" thickBot="1" x14ac:dyDescent="0.25">
      <c r="A179" s="321"/>
      <c r="B179" s="345" t="s">
        <v>11</v>
      </c>
      <c r="C179" s="346"/>
      <c r="D179" s="347"/>
      <c r="E179" s="341" t="str">
        <f>AV5</f>
        <v>fj4magnm3pm</v>
      </c>
      <c r="F179" s="342"/>
      <c r="G179" s="342"/>
      <c r="H179" s="342"/>
      <c r="I179" s="342"/>
      <c r="J179" s="342"/>
      <c r="K179" s="342"/>
      <c r="L179" s="343"/>
      <c r="M179" s="344"/>
      <c r="N179" s="344"/>
      <c r="O179" s="344"/>
      <c r="P179" s="344"/>
      <c r="Q179" s="363"/>
      <c r="R179" s="343"/>
      <c r="S179" s="344"/>
      <c r="T179" s="344"/>
      <c r="U179" s="344"/>
      <c r="V179" s="344"/>
      <c r="W179" s="343"/>
      <c r="X179" s="344"/>
      <c r="Y179" s="344"/>
      <c r="Z179" s="331"/>
      <c r="AA179" s="332"/>
      <c r="AB179" s="332"/>
      <c r="AC179" s="333"/>
      <c r="AD179" s="334"/>
      <c r="AE179" s="335"/>
      <c r="AF179" s="336"/>
      <c r="AG179" s="336"/>
      <c r="AH179" s="337"/>
      <c r="AI179" s="338"/>
      <c r="AJ179" s="32"/>
      <c r="AK179" s="33">
        <v>5</v>
      </c>
      <c r="AL179" s="34" t="s">
        <v>51</v>
      </c>
      <c r="AM179" s="32"/>
      <c r="AN179" s="32"/>
      <c r="AO179" s="32"/>
      <c r="AP179" s="32"/>
      <c r="AQ179" s="32"/>
      <c r="AR179" s="3"/>
    </row>
    <row r="180" spans="1:44" ht="18.75" customHeight="1" x14ac:dyDescent="0.2">
      <c r="A180" s="320" t="str">
        <f>IF($AK179&gt;1,"2","")</f>
        <v>2</v>
      </c>
      <c r="B180" s="348" t="s">
        <v>10</v>
      </c>
      <c r="C180" s="349"/>
      <c r="D180" s="350"/>
      <c r="E180" s="324" t="str">
        <f>AU8</f>
        <v>Intense 14 Elite</v>
      </c>
      <c r="F180" s="325"/>
      <c r="G180" s="325"/>
      <c r="H180" s="325"/>
      <c r="I180" s="325"/>
      <c r="J180" s="325"/>
      <c r="K180" s="326"/>
      <c r="L180" s="327">
        <f>IF($AK180=0,AF235,AF217)</f>
        <v>2</v>
      </c>
      <c r="M180" s="328"/>
      <c r="N180" s="328"/>
      <c r="O180" s="328"/>
      <c r="P180" s="328"/>
      <c r="Q180" s="363"/>
      <c r="R180" s="327">
        <f>IF($AK180=0,AG235,AG217)</f>
        <v>6</v>
      </c>
      <c r="S180" s="328"/>
      <c r="T180" s="328"/>
      <c r="U180" s="328"/>
      <c r="V180" s="328"/>
      <c r="W180" s="327">
        <f>AQ195</f>
        <v>-41</v>
      </c>
      <c r="X180" s="328"/>
      <c r="Y180" s="328"/>
      <c r="Z180" s="300">
        <f>IF(AF229&gt;0,(AQ195/AF229),0)</f>
        <v>-0.20499999999999999</v>
      </c>
      <c r="AA180" s="301"/>
      <c r="AB180" s="301"/>
      <c r="AC180" s="304">
        <f>IF(AF243=0,0,(AF235/AF243))</f>
        <v>0.25</v>
      </c>
      <c r="AD180" s="305"/>
      <c r="AE180" s="306"/>
      <c r="AF180" s="310">
        <v>4</v>
      </c>
      <c r="AG180" s="310">
        <v>1</v>
      </c>
      <c r="AH180" s="312">
        <v>14</v>
      </c>
      <c r="AI180" s="313"/>
      <c r="AJ180" s="32"/>
      <c r="AK180" s="33">
        <v>0</v>
      </c>
      <c r="AL180" s="34" t="s">
        <v>54</v>
      </c>
      <c r="AM180" s="34"/>
      <c r="AN180" s="34"/>
      <c r="AO180" s="34"/>
      <c r="AP180" s="34"/>
      <c r="AQ180" s="34"/>
      <c r="AR180" s="35"/>
    </row>
    <row r="181" spans="1:44" ht="18.75" customHeight="1" thickBot="1" x14ac:dyDescent="0.25">
      <c r="A181" s="321"/>
      <c r="B181" s="339" t="s">
        <v>11</v>
      </c>
      <c r="C181" s="340"/>
      <c r="D181" s="340"/>
      <c r="E181" s="341" t="str">
        <f>AV8</f>
        <v>fj4inten2pm</v>
      </c>
      <c r="F181" s="342"/>
      <c r="G181" s="342"/>
      <c r="H181" s="342"/>
      <c r="I181" s="342"/>
      <c r="J181" s="342"/>
      <c r="K181" s="342"/>
      <c r="L181" s="343"/>
      <c r="M181" s="344"/>
      <c r="N181" s="344"/>
      <c r="O181" s="344"/>
      <c r="P181" s="344"/>
      <c r="Q181" s="363"/>
      <c r="R181" s="343"/>
      <c r="S181" s="344"/>
      <c r="T181" s="344"/>
      <c r="U181" s="344"/>
      <c r="V181" s="344"/>
      <c r="W181" s="343"/>
      <c r="X181" s="344"/>
      <c r="Y181" s="344"/>
      <c r="Z181" s="331"/>
      <c r="AA181" s="332"/>
      <c r="AB181" s="332"/>
      <c r="AC181" s="333"/>
      <c r="AD181" s="334"/>
      <c r="AE181" s="335"/>
      <c r="AF181" s="336"/>
      <c r="AG181" s="336"/>
      <c r="AH181" s="337"/>
      <c r="AI181" s="338"/>
      <c r="AJ181" s="32"/>
      <c r="AK181" s="33">
        <v>1</v>
      </c>
      <c r="AL181" s="34" t="s">
        <v>56</v>
      </c>
      <c r="AM181" s="32"/>
      <c r="AN181" s="32"/>
      <c r="AO181" s="32"/>
      <c r="AP181" s="32"/>
      <c r="AQ181" s="32"/>
      <c r="AR181" s="3"/>
    </row>
    <row r="182" spans="1:44" ht="18.75" customHeight="1" x14ac:dyDescent="0.2">
      <c r="A182" s="320" t="str">
        <f>IF($AK179&gt;2,"3","")</f>
        <v>3</v>
      </c>
      <c r="B182" s="322" t="s">
        <v>10</v>
      </c>
      <c r="C182" s="323"/>
      <c r="D182" s="323"/>
      <c r="E182" s="324" t="str">
        <f>AU13</f>
        <v>Chas Jrs 14 Red</v>
      </c>
      <c r="F182" s="325"/>
      <c r="G182" s="325"/>
      <c r="H182" s="325"/>
      <c r="I182" s="325"/>
      <c r="J182" s="325"/>
      <c r="K182" s="326"/>
      <c r="L182" s="327">
        <f>IF($AK180=0,AF236,AF218)</f>
        <v>7</v>
      </c>
      <c r="M182" s="328"/>
      <c r="N182" s="328"/>
      <c r="O182" s="328"/>
      <c r="P182" s="328"/>
      <c r="Q182" s="363"/>
      <c r="R182" s="327">
        <f>IF($AK180=0,AG236,AG218)</f>
        <v>1</v>
      </c>
      <c r="S182" s="328"/>
      <c r="T182" s="328"/>
      <c r="U182" s="328"/>
      <c r="V182" s="328"/>
      <c r="W182" s="327">
        <f>AQ196</f>
        <v>44</v>
      </c>
      <c r="X182" s="328"/>
      <c r="Y182" s="328"/>
      <c r="Z182" s="300">
        <f>IF(AF230&gt;0,(AQ196/AF230),0)</f>
        <v>0.22</v>
      </c>
      <c r="AA182" s="301"/>
      <c r="AB182" s="301"/>
      <c r="AC182" s="304">
        <f>IF(AF244=0,0,(AF236/AF244))</f>
        <v>0.875</v>
      </c>
      <c r="AD182" s="305"/>
      <c r="AE182" s="306"/>
      <c r="AF182" s="310">
        <v>2</v>
      </c>
      <c r="AG182" s="310">
        <v>3</v>
      </c>
      <c r="AH182" s="312">
        <v>7</v>
      </c>
      <c r="AI182" s="313"/>
      <c r="AJ182" s="43"/>
      <c r="AK182" s="33">
        <v>8</v>
      </c>
      <c r="AL182" s="44" t="s">
        <v>57</v>
      </c>
      <c r="AM182" s="34"/>
      <c r="AN182" s="34"/>
      <c r="AO182" s="34"/>
      <c r="AP182" s="34"/>
      <c r="AQ182" s="34"/>
      <c r="AR182" s="35"/>
    </row>
    <row r="183" spans="1:44" ht="18.75" customHeight="1" thickBot="1" x14ac:dyDescent="0.25">
      <c r="A183" s="321"/>
      <c r="B183" s="339" t="s">
        <v>11</v>
      </c>
      <c r="C183" s="340"/>
      <c r="D183" s="340"/>
      <c r="E183" s="341" t="str">
        <f>AV13</f>
        <v>fj4charl1pm</v>
      </c>
      <c r="F183" s="342"/>
      <c r="G183" s="342"/>
      <c r="H183" s="342"/>
      <c r="I183" s="342"/>
      <c r="J183" s="342"/>
      <c r="K183" s="342"/>
      <c r="L183" s="343"/>
      <c r="M183" s="344"/>
      <c r="N183" s="344"/>
      <c r="O183" s="344"/>
      <c r="P183" s="344"/>
      <c r="Q183" s="363"/>
      <c r="R183" s="343"/>
      <c r="S183" s="344"/>
      <c r="T183" s="344"/>
      <c r="U183" s="344"/>
      <c r="V183" s="344"/>
      <c r="W183" s="343"/>
      <c r="X183" s="344"/>
      <c r="Y183" s="344"/>
      <c r="Z183" s="331"/>
      <c r="AA183" s="332"/>
      <c r="AB183" s="332"/>
      <c r="AC183" s="333"/>
      <c r="AD183" s="334"/>
      <c r="AE183" s="335"/>
      <c r="AF183" s="336"/>
      <c r="AG183" s="336"/>
      <c r="AH183" s="337"/>
      <c r="AI183" s="338"/>
      <c r="AJ183" s="43"/>
      <c r="AK183" s="51"/>
      <c r="AL183" s="52"/>
      <c r="AM183" s="52"/>
      <c r="AN183" s="52"/>
      <c r="AO183" s="52"/>
      <c r="AP183" s="52"/>
      <c r="AQ183" s="32"/>
      <c r="AR183" s="3"/>
    </row>
    <row r="184" spans="1:44" ht="18.75" customHeight="1" x14ac:dyDescent="0.2">
      <c r="A184" s="320" t="str">
        <f>IF($AK179&gt;3,"4","")</f>
        <v>4</v>
      </c>
      <c r="B184" s="322" t="s">
        <v>10</v>
      </c>
      <c r="C184" s="323"/>
      <c r="D184" s="323"/>
      <c r="E184" s="324" t="str">
        <f>AU16</f>
        <v>MOTO 14-1 IGNITE</v>
      </c>
      <c r="F184" s="325"/>
      <c r="G184" s="325"/>
      <c r="H184" s="325"/>
      <c r="I184" s="325"/>
      <c r="J184" s="325"/>
      <c r="K184" s="326"/>
      <c r="L184" s="327">
        <f>IF($AK180=0,AF237,AF219)</f>
        <v>4</v>
      </c>
      <c r="M184" s="328"/>
      <c r="N184" s="328"/>
      <c r="O184" s="328"/>
      <c r="P184" s="328"/>
      <c r="Q184" s="363"/>
      <c r="R184" s="327">
        <f>IF($AK180=0,AG237,AG219)</f>
        <v>4</v>
      </c>
      <c r="S184" s="328"/>
      <c r="T184" s="328"/>
      <c r="U184" s="328"/>
      <c r="V184" s="328"/>
      <c r="W184" s="327">
        <f>AQ197</f>
        <v>-2</v>
      </c>
      <c r="X184" s="328"/>
      <c r="Y184" s="328"/>
      <c r="Z184" s="300">
        <f>IF(AF231&gt;0,(AQ197/AF231),0)</f>
        <v>-0.01</v>
      </c>
      <c r="AA184" s="301"/>
      <c r="AB184" s="301"/>
      <c r="AC184" s="304">
        <f>IF(AF245=0,0,(AF237/AF245))</f>
        <v>0.5</v>
      </c>
      <c r="AD184" s="305"/>
      <c r="AE184" s="306"/>
      <c r="AF184" s="310">
        <v>3</v>
      </c>
      <c r="AG184" s="310">
        <v>1</v>
      </c>
      <c r="AH184" s="312">
        <v>10</v>
      </c>
      <c r="AI184" s="313"/>
      <c r="AJ184" s="8"/>
      <c r="AK184" s="52"/>
      <c r="AL184" s="52"/>
      <c r="AM184" s="52"/>
      <c r="AN184" s="52"/>
      <c r="AO184" s="52"/>
      <c r="AP184" s="52"/>
      <c r="AQ184" s="34"/>
      <c r="AR184" s="35"/>
    </row>
    <row r="185" spans="1:44" ht="18.75" customHeight="1" thickBot="1" x14ac:dyDescent="0.25">
      <c r="A185" s="321"/>
      <c r="B185" s="339" t="s">
        <v>11</v>
      </c>
      <c r="C185" s="340"/>
      <c r="D185" s="340"/>
      <c r="E185" s="341" t="str">
        <f>AV16</f>
        <v>fj4motoj1pm</v>
      </c>
      <c r="F185" s="342"/>
      <c r="G185" s="342"/>
      <c r="H185" s="342"/>
      <c r="I185" s="342"/>
      <c r="J185" s="342"/>
      <c r="K185" s="342"/>
      <c r="L185" s="343"/>
      <c r="M185" s="344"/>
      <c r="N185" s="344"/>
      <c r="O185" s="344"/>
      <c r="P185" s="344"/>
      <c r="Q185" s="363"/>
      <c r="R185" s="343"/>
      <c r="S185" s="344"/>
      <c r="T185" s="344"/>
      <c r="U185" s="344"/>
      <c r="V185" s="344"/>
      <c r="W185" s="343"/>
      <c r="X185" s="344"/>
      <c r="Y185" s="344"/>
      <c r="Z185" s="331"/>
      <c r="AA185" s="332"/>
      <c r="AB185" s="332"/>
      <c r="AC185" s="333"/>
      <c r="AD185" s="334"/>
      <c r="AE185" s="335"/>
      <c r="AF185" s="336"/>
      <c r="AG185" s="336"/>
      <c r="AH185" s="337"/>
      <c r="AI185" s="338"/>
      <c r="AJ185" s="8"/>
      <c r="AK185" s="52"/>
      <c r="AL185" s="52"/>
      <c r="AM185" s="52"/>
      <c r="AN185" s="52"/>
      <c r="AO185" s="52"/>
      <c r="AP185" s="52"/>
      <c r="AQ185" s="8"/>
      <c r="AR185" s="3"/>
    </row>
    <row r="186" spans="1:44" ht="18.75" customHeight="1" x14ac:dyDescent="0.2">
      <c r="A186" s="320" t="str">
        <f>IF($AK179&gt;4,"5","")</f>
        <v>5</v>
      </c>
      <c r="B186" s="322" t="s">
        <v>10</v>
      </c>
      <c r="C186" s="323"/>
      <c r="D186" s="323"/>
      <c r="E186" s="324" t="str">
        <f>AU21</f>
        <v>Columbia SC Starlings 14</v>
      </c>
      <c r="F186" s="325"/>
      <c r="G186" s="325"/>
      <c r="H186" s="325"/>
      <c r="I186" s="325"/>
      <c r="J186" s="325"/>
      <c r="K186" s="326"/>
      <c r="L186" s="327">
        <f>IF($AK180=0,AF238,AF220)</f>
        <v>0</v>
      </c>
      <c r="M186" s="328"/>
      <c r="N186" s="328"/>
      <c r="O186" s="328"/>
      <c r="P186" s="328"/>
      <c r="Q186" s="363"/>
      <c r="R186" s="327">
        <f>IF($AK180=0,AG238,AG220)</f>
        <v>8</v>
      </c>
      <c r="S186" s="328"/>
      <c r="T186" s="328"/>
      <c r="U186" s="328"/>
      <c r="V186" s="328"/>
      <c r="W186" s="327">
        <f>AQ198</f>
        <v>-64</v>
      </c>
      <c r="X186" s="328"/>
      <c r="Y186" s="328"/>
      <c r="Z186" s="300">
        <f>IF(AF232&gt;0,(AQ198/AF232),0)</f>
        <v>-0.32</v>
      </c>
      <c r="AA186" s="301"/>
      <c r="AB186" s="301"/>
      <c r="AC186" s="304">
        <f>IF(AF246=0,0,(AF238/AF246))</f>
        <v>0</v>
      </c>
      <c r="AD186" s="305"/>
      <c r="AE186" s="306"/>
      <c r="AF186" s="310">
        <v>5</v>
      </c>
      <c r="AG186" s="310">
        <v>1</v>
      </c>
      <c r="AH186" s="312">
        <v>16</v>
      </c>
      <c r="AI186" s="313"/>
      <c r="AJ186" s="8"/>
      <c r="AK186" s="52"/>
      <c r="AL186" s="52"/>
      <c r="AM186" s="52"/>
      <c r="AN186" s="52"/>
      <c r="AO186" s="52"/>
      <c r="AP186" s="52"/>
      <c r="AQ186" s="8"/>
      <c r="AR186" s="3"/>
    </row>
    <row r="187" spans="1:44" ht="18.75" customHeight="1" thickBot="1" x14ac:dyDescent="0.25">
      <c r="A187" s="321"/>
      <c r="B187" s="316" t="s">
        <v>11</v>
      </c>
      <c r="C187" s="317"/>
      <c r="D187" s="317"/>
      <c r="E187" s="318" t="str">
        <f>AV21</f>
        <v>fj4starl1pm</v>
      </c>
      <c r="F187" s="319"/>
      <c r="G187" s="319"/>
      <c r="H187" s="319"/>
      <c r="I187" s="319"/>
      <c r="J187" s="319"/>
      <c r="K187" s="319"/>
      <c r="L187" s="329"/>
      <c r="M187" s="330"/>
      <c r="N187" s="330"/>
      <c r="O187" s="330"/>
      <c r="P187" s="330"/>
      <c r="Q187" s="363"/>
      <c r="R187" s="329"/>
      <c r="S187" s="330"/>
      <c r="T187" s="330"/>
      <c r="U187" s="330"/>
      <c r="V187" s="330"/>
      <c r="W187" s="329"/>
      <c r="X187" s="330"/>
      <c r="Y187" s="330"/>
      <c r="Z187" s="302"/>
      <c r="AA187" s="303"/>
      <c r="AB187" s="303"/>
      <c r="AC187" s="307"/>
      <c r="AD187" s="308"/>
      <c r="AE187" s="309"/>
      <c r="AF187" s="311"/>
      <c r="AG187" s="311"/>
      <c r="AH187" s="314"/>
      <c r="AI187" s="315"/>
      <c r="AJ187" s="8"/>
      <c r="AK187" s="52"/>
      <c r="AL187" s="52"/>
      <c r="AM187" s="52"/>
      <c r="AN187" s="52"/>
      <c r="AO187" s="52"/>
      <c r="AP187" s="52"/>
      <c r="AQ187" s="8"/>
      <c r="AR187" s="3"/>
    </row>
    <row r="188" spans="1:44" ht="21" customHeight="1" thickTop="1" thickBot="1" x14ac:dyDescent="0.25">
      <c r="A188" s="55"/>
      <c r="B188" s="297" t="s">
        <v>195</v>
      </c>
      <c r="C188" s="298"/>
      <c r="D188" s="298"/>
      <c r="E188" s="298"/>
      <c r="F188" s="298"/>
      <c r="G188" s="298"/>
      <c r="H188" s="298"/>
      <c r="I188" s="298"/>
      <c r="J188" s="298"/>
      <c r="K188" s="298"/>
      <c r="L188" s="298"/>
      <c r="M188" s="298"/>
      <c r="N188" s="298"/>
      <c r="O188" s="298"/>
      <c r="P188" s="298"/>
      <c r="Q188" s="298"/>
      <c r="R188" s="298"/>
      <c r="S188" s="298"/>
      <c r="T188" s="298"/>
      <c r="U188" s="298"/>
      <c r="V188" s="298"/>
      <c r="W188" s="298"/>
      <c r="X188" s="298"/>
      <c r="Y188" s="298"/>
      <c r="Z188" s="298"/>
      <c r="AA188" s="298"/>
      <c r="AB188" s="298"/>
      <c r="AC188" s="298"/>
      <c r="AD188" s="298"/>
      <c r="AE188" s="298"/>
      <c r="AF188" s="298"/>
      <c r="AG188" s="298"/>
      <c r="AH188" s="298"/>
      <c r="AI188" s="299"/>
      <c r="AJ188" s="8"/>
      <c r="AK188" s="52"/>
      <c r="AL188" s="52"/>
      <c r="AM188" s="52"/>
      <c r="AN188" s="52"/>
      <c r="AO188" s="52"/>
      <c r="AP188" s="52"/>
      <c r="AQ188" s="8"/>
      <c r="AR188" s="3"/>
    </row>
    <row r="189" spans="1:44" ht="13.5" thickTop="1" x14ac:dyDescent="0.2">
      <c r="A189" s="4" t="s">
        <v>60</v>
      </c>
      <c r="B189" s="286">
        <v>0.35416666666666669</v>
      </c>
      <c r="C189" s="287"/>
      <c r="D189" s="288"/>
      <c r="E189" s="286">
        <v>0.38194444444444442</v>
      </c>
      <c r="F189" s="287"/>
      <c r="G189" s="288"/>
      <c r="H189" s="286">
        <v>0.40972222222222227</v>
      </c>
      <c r="I189" s="287"/>
      <c r="J189" s="288"/>
      <c r="K189" s="286">
        <v>0.4375</v>
      </c>
      <c r="L189" s="287"/>
      <c r="M189" s="288"/>
      <c r="N189" s="286">
        <v>0.46527777777777773</v>
      </c>
      <c r="O189" s="287"/>
      <c r="P189" s="288"/>
      <c r="Q189" s="286">
        <v>0.49305555555555558</v>
      </c>
      <c r="R189" s="287"/>
      <c r="S189" s="288"/>
      <c r="T189" s="286">
        <v>0.52083333333333337</v>
      </c>
      <c r="U189" s="287"/>
      <c r="V189" s="288"/>
      <c r="W189" s="286">
        <v>4.8611111111111112E-2</v>
      </c>
      <c r="X189" s="287"/>
      <c r="Y189" s="288"/>
      <c r="Z189" s="286">
        <v>7.6388888888888895E-2</v>
      </c>
      <c r="AA189" s="287"/>
      <c r="AB189" s="288"/>
      <c r="AC189" s="286">
        <v>0.10416666666666667</v>
      </c>
      <c r="AD189" s="287"/>
      <c r="AE189" s="288"/>
      <c r="AF189" s="289" t="s">
        <v>61</v>
      </c>
      <c r="AG189" s="290"/>
      <c r="AH189" s="290"/>
      <c r="AI189" s="290"/>
      <c r="AJ189" s="291"/>
      <c r="AK189" s="291"/>
      <c r="AL189" s="291"/>
      <c r="AM189" s="291"/>
      <c r="AN189" s="291"/>
      <c r="AO189" s="291"/>
      <c r="AP189" s="291"/>
      <c r="AQ189" s="292"/>
    </row>
    <row r="190" spans="1:44" x14ac:dyDescent="0.2">
      <c r="A190" s="56" t="s">
        <v>62</v>
      </c>
      <c r="B190" s="283">
        <v>0.35416666666666669</v>
      </c>
      <c r="C190" s="284"/>
      <c r="D190" s="285"/>
      <c r="E190" s="283">
        <v>0.3888888888888889</v>
      </c>
      <c r="F190" s="284"/>
      <c r="G190" s="285"/>
      <c r="H190" s="283">
        <v>0.4284722222222222</v>
      </c>
      <c r="I190" s="284"/>
      <c r="J190" s="285"/>
      <c r="K190" s="283">
        <v>0.46111111111111108</v>
      </c>
      <c r="L190" s="284"/>
      <c r="M190" s="285"/>
      <c r="N190" s="283">
        <v>0.49305555555555558</v>
      </c>
      <c r="O190" s="284"/>
      <c r="P190" s="285"/>
      <c r="Q190" s="283">
        <v>0.53402777777777777</v>
      </c>
      <c r="R190" s="284"/>
      <c r="S190" s="285"/>
      <c r="T190" s="283">
        <v>6.5972222222222224E-2</v>
      </c>
      <c r="U190" s="284"/>
      <c r="V190" s="285"/>
      <c r="W190" s="283">
        <v>0.10069444444444443</v>
      </c>
      <c r="X190" s="284"/>
      <c r="Y190" s="285"/>
      <c r="Z190" s="283">
        <v>0.1277777777777778</v>
      </c>
      <c r="AA190" s="284"/>
      <c r="AB190" s="285"/>
      <c r="AC190" s="283">
        <v>0.14097222222222222</v>
      </c>
      <c r="AD190" s="284"/>
      <c r="AE190" s="285"/>
      <c r="AF190" s="289"/>
      <c r="AG190" s="290"/>
      <c r="AH190" s="290"/>
      <c r="AI190" s="290"/>
      <c r="AJ190" s="290"/>
      <c r="AK190" s="290"/>
      <c r="AL190" s="290"/>
      <c r="AM190" s="290"/>
      <c r="AN190" s="290"/>
      <c r="AO190" s="290"/>
      <c r="AP190" s="290"/>
      <c r="AQ190" s="293"/>
    </row>
    <row r="191" spans="1:44" x14ac:dyDescent="0.2">
      <c r="A191" s="56" t="s">
        <v>63</v>
      </c>
      <c r="B191" s="283">
        <v>0.38194444444444442</v>
      </c>
      <c r="C191" s="284"/>
      <c r="D191" s="285"/>
      <c r="E191" s="283">
        <v>0.41666666666666669</v>
      </c>
      <c r="F191" s="284"/>
      <c r="G191" s="285"/>
      <c r="H191" s="283">
        <v>0.4513888888888889</v>
      </c>
      <c r="I191" s="284"/>
      <c r="J191" s="285"/>
      <c r="K191" s="283">
        <v>0.4861111111111111</v>
      </c>
      <c r="L191" s="284"/>
      <c r="M191" s="285"/>
      <c r="N191" s="283">
        <v>0.52430555555555558</v>
      </c>
      <c r="O191" s="284"/>
      <c r="P191" s="285"/>
      <c r="Q191" s="283">
        <v>5.5555555555555552E-2</v>
      </c>
      <c r="R191" s="284"/>
      <c r="S191" s="285"/>
      <c r="T191" s="283">
        <v>9.0277777777777776E-2</v>
      </c>
      <c r="U191" s="284"/>
      <c r="V191" s="285"/>
      <c r="W191" s="283">
        <v>0.11805555555555557</v>
      </c>
      <c r="X191" s="284"/>
      <c r="Y191" s="285"/>
      <c r="Z191" s="283">
        <v>0.15138888888888888</v>
      </c>
      <c r="AA191" s="284"/>
      <c r="AB191" s="285"/>
      <c r="AC191" s="283">
        <v>0.16041666666666668</v>
      </c>
      <c r="AD191" s="284"/>
      <c r="AE191" s="285"/>
      <c r="AF191" s="289"/>
      <c r="AG191" s="290"/>
      <c r="AH191" s="290"/>
      <c r="AI191" s="290"/>
      <c r="AJ191" s="290"/>
      <c r="AK191" s="290"/>
      <c r="AL191" s="290"/>
      <c r="AM191" s="290"/>
      <c r="AN191" s="290"/>
      <c r="AO191" s="290"/>
      <c r="AP191" s="290"/>
      <c r="AQ191" s="293"/>
    </row>
    <row r="192" spans="1:44" ht="13.5" thickBot="1" x14ac:dyDescent="0.25">
      <c r="A192" s="8"/>
      <c r="B192" s="173" t="s">
        <v>64</v>
      </c>
      <c r="C192" s="174"/>
      <c r="D192" s="180"/>
      <c r="E192" s="173" t="str">
        <f>IF(AK178&gt;1,"Match 2","")</f>
        <v>Match 2</v>
      </c>
      <c r="F192" s="174"/>
      <c r="G192" s="180"/>
      <c r="H192" s="173" t="str">
        <f>IF(AK178&gt;2,"Match 3","")</f>
        <v>Match 3</v>
      </c>
      <c r="I192" s="174"/>
      <c r="J192" s="180"/>
      <c r="K192" s="173" t="str">
        <f>IF(AK178&gt;3,"Match 4","")</f>
        <v>Match 4</v>
      </c>
      <c r="L192" s="174"/>
      <c r="M192" s="180"/>
      <c r="N192" s="173" t="str">
        <f>IF(AK178&gt;4,"Match 5","")</f>
        <v>Match 5</v>
      </c>
      <c r="O192" s="174"/>
      <c r="P192" s="180"/>
      <c r="Q192" s="173" t="str">
        <f>IF(AK178&gt;5,"Match 6","")</f>
        <v>Match 6</v>
      </c>
      <c r="R192" s="174"/>
      <c r="S192" s="180"/>
      <c r="T192" s="173" t="str">
        <f>IF(AK178&gt;6,"Match 7","")</f>
        <v>Match 7</v>
      </c>
      <c r="U192" s="174"/>
      <c r="V192" s="180"/>
      <c r="W192" s="173" t="str">
        <f>IF(AK178&gt;7,"Match 8","")</f>
        <v>Match 8</v>
      </c>
      <c r="X192" s="174"/>
      <c r="Y192" s="180"/>
      <c r="Z192" s="173" t="str">
        <f>IF(AK178&gt;8,"Match 9","")</f>
        <v>Match 9</v>
      </c>
      <c r="AA192" s="174"/>
      <c r="AB192" s="180"/>
      <c r="AC192" s="173" t="str">
        <f>IF(AK178&gt;9,"Match 10","")</f>
        <v>Match 10</v>
      </c>
      <c r="AD192" s="174"/>
      <c r="AE192" s="180"/>
      <c r="AF192" s="294"/>
      <c r="AG192" s="295"/>
      <c r="AH192" s="295"/>
      <c r="AI192" s="295"/>
      <c r="AJ192" s="295"/>
      <c r="AK192" s="295"/>
      <c r="AL192" s="295"/>
      <c r="AM192" s="295"/>
      <c r="AN192" s="295"/>
      <c r="AO192" s="295"/>
      <c r="AP192" s="295"/>
      <c r="AQ192" s="296"/>
    </row>
    <row r="193" spans="1:49" ht="15.75" x14ac:dyDescent="0.25">
      <c r="A193" s="8"/>
      <c r="B193" s="277" t="s">
        <v>68</v>
      </c>
      <c r="C193" s="278"/>
      <c r="D193" s="279"/>
      <c r="E193" s="277" t="s">
        <v>67</v>
      </c>
      <c r="F193" s="278"/>
      <c r="G193" s="279"/>
      <c r="H193" s="277" t="s">
        <v>65</v>
      </c>
      <c r="I193" s="278"/>
      <c r="J193" s="279"/>
      <c r="K193" s="277" t="s">
        <v>204</v>
      </c>
      <c r="L193" s="278"/>
      <c r="M193" s="279"/>
      <c r="N193" s="277" t="s">
        <v>66</v>
      </c>
      <c r="O193" s="278"/>
      <c r="P193" s="279"/>
      <c r="Q193" s="277" t="s">
        <v>65</v>
      </c>
      <c r="R193" s="278"/>
      <c r="S193" s="279"/>
      <c r="T193" s="277" t="s">
        <v>68</v>
      </c>
      <c r="U193" s="278"/>
      <c r="V193" s="279"/>
      <c r="W193" s="277" t="s">
        <v>66</v>
      </c>
      <c r="X193" s="278"/>
      <c r="Y193" s="279"/>
      <c r="Z193" s="277" t="s">
        <v>204</v>
      </c>
      <c r="AA193" s="278"/>
      <c r="AB193" s="279"/>
      <c r="AC193" s="277" t="s">
        <v>67</v>
      </c>
      <c r="AD193" s="278"/>
      <c r="AE193" s="279"/>
      <c r="AF193" s="57" t="s">
        <v>70</v>
      </c>
      <c r="AG193" s="58">
        <v>1</v>
      </c>
      <c r="AH193" s="58">
        <v>2</v>
      </c>
      <c r="AI193" s="58">
        <v>3</v>
      </c>
      <c r="AJ193" s="58">
        <v>4</v>
      </c>
      <c r="AK193" s="58">
        <v>5</v>
      </c>
      <c r="AL193" s="58">
        <v>6</v>
      </c>
      <c r="AM193" s="58">
        <v>7</v>
      </c>
      <c r="AN193" s="58">
        <v>8</v>
      </c>
      <c r="AO193" s="58">
        <v>9</v>
      </c>
      <c r="AP193" s="58">
        <v>10</v>
      </c>
      <c r="AQ193" s="59" t="s">
        <v>71</v>
      </c>
    </row>
    <row r="194" spans="1:49" ht="15.75" x14ac:dyDescent="0.25">
      <c r="A194" s="8"/>
      <c r="B194" s="61">
        <v>2</v>
      </c>
      <c r="C194" s="62" t="s">
        <v>72</v>
      </c>
      <c r="D194" s="63">
        <v>5</v>
      </c>
      <c r="E194" s="61">
        <v>1</v>
      </c>
      <c r="F194" s="62" t="str">
        <f>IF(AK178&gt;1,"v","")</f>
        <v>v</v>
      </c>
      <c r="G194" s="63">
        <v>4</v>
      </c>
      <c r="H194" s="61">
        <v>3</v>
      </c>
      <c r="I194" s="62" t="str">
        <f>IF(AK178&gt;2,"v","")</f>
        <v>v</v>
      </c>
      <c r="J194" s="63">
        <v>5</v>
      </c>
      <c r="K194" s="61">
        <v>2</v>
      </c>
      <c r="L194" s="62" t="str">
        <f>IF(AK178&gt;3,"v","")</f>
        <v>v</v>
      </c>
      <c r="M194" s="63">
        <v>4</v>
      </c>
      <c r="N194" s="61">
        <v>1</v>
      </c>
      <c r="O194" s="62" t="str">
        <f>IF(AK178&gt;4,"v","")</f>
        <v>v</v>
      </c>
      <c r="P194" s="63">
        <v>3</v>
      </c>
      <c r="Q194" s="61">
        <v>4</v>
      </c>
      <c r="R194" s="62" t="str">
        <f>IF(AK178&gt;5,"v","")</f>
        <v>v</v>
      </c>
      <c r="S194" s="63">
        <v>5</v>
      </c>
      <c r="T194" s="61">
        <v>2</v>
      </c>
      <c r="U194" s="62" t="str">
        <f>IF(AK178&gt;6,"v","")</f>
        <v>v</v>
      </c>
      <c r="V194" s="63">
        <v>3</v>
      </c>
      <c r="W194" s="61">
        <v>1</v>
      </c>
      <c r="X194" s="62" t="str">
        <f>IF(AK178&gt;7,"v","")</f>
        <v>v</v>
      </c>
      <c r="Y194" s="63">
        <v>5</v>
      </c>
      <c r="Z194" s="61">
        <v>3</v>
      </c>
      <c r="AA194" s="62" t="str">
        <f>IF(AK178&gt;8,"v","")</f>
        <v>v</v>
      </c>
      <c r="AB194" s="63">
        <v>4</v>
      </c>
      <c r="AC194" s="61">
        <v>1</v>
      </c>
      <c r="AD194" s="62" t="str">
        <f>IF(AK178&gt;9,"v","")</f>
        <v>v</v>
      </c>
      <c r="AE194" s="63">
        <v>2</v>
      </c>
      <c r="AF194" s="57" t="str">
        <f>IF(AK179&gt;0,"Team 1","")</f>
        <v>Team 1</v>
      </c>
      <c r="AG194" s="64" t="str">
        <f>IF(AK179&lt;1,"",IF(AK178&lt;1,"",IF(B194=1,B200-D200,IF(D194=1,D200-B200,""))))</f>
        <v/>
      </c>
      <c r="AH194" s="64">
        <f>IF(AK179&lt;1,"",IF(AK178&lt;2,"",IF(E194=1,E200-G200,IF(G194=1,G200-E200,""))))</f>
        <v>10</v>
      </c>
      <c r="AI194" s="64" t="str">
        <f>IF(AK179&lt;1,"",IF(AK178&lt;3,"",IF(H194=1,H200-J200,IF(J194=1,J200-H200,""))))</f>
        <v/>
      </c>
      <c r="AJ194" s="64" t="str">
        <f>IF(AK179&lt;1,"",IF(AK178&lt;4,"",IF(K194=1,K200-M200,IF(M194=1,M200-K200,""))))</f>
        <v/>
      </c>
      <c r="AK194" s="64">
        <f>IF(AK179&lt;1,"",IF(AK178&lt;5,"",IF(N194=1,N200-P200,IF(P194=1,P200-N200,""))))</f>
        <v>2</v>
      </c>
      <c r="AL194" s="64" t="str">
        <f>IF(AK179&lt;1,"",IF(AK178&lt;6,"",IF(Q194=1,Q200-S200,IF(S194=1,S200-Q200,""))))</f>
        <v/>
      </c>
      <c r="AM194" s="64" t="str">
        <f>IF(AK179&lt;1,"",IF(AK178&lt;7,"",IF(T194=1,T200-V200,IF(V194=1,V200-T200,""))))</f>
        <v/>
      </c>
      <c r="AN194" s="64">
        <f>IF(AK179&lt;1,"",IF(AK178&lt;8,"",IF(W194=1,W200-Y200,IF(Y194=1,Y200-W200,""))))</f>
        <v>28</v>
      </c>
      <c r="AO194" s="64" t="str">
        <f>IF(AK179&lt;1,"",IF(AK178&lt;9,"",IF(Z194=1,Z200-AB200,IF(AB194=1,AB200-Z200,""))))</f>
        <v/>
      </c>
      <c r="AP194" s="64">
        <f>IF(AK179&lt;1,"",IF(AK178&lt;10,"",IF(AC194=1,AC200-AE200,IF(AE194=1,AE200-AC200,""))))</f>
        <v>23</v>
      </c>
      <c r="AQ194" s="59">
        <f>SUM(AG194:AP194)</f>
        <v>63</v>
      </c>
    </row>
    <row r="195" spans="1:49" ht="15" x14ac:dyDescent="0.2">
      <c r="A195" s="4" t="s">
        <v>73</v>
      </c>
      <c r="B195" s="65">
        <v>25</v>
      </c>
      <c r="C195" s="66" t="s">
        <v>74</v>
      </c>
      <c r="D195" s="67">
        <v>22</v>
      </c>
      <c r="E195" s="65">
        <v>25</v>
      </c>
      <c r="F195" s="66" t="str">
        <f>IF(AK178&gt;1,"/","")</f>
        <v>/</v>
      </c>
      <c r="G195" s="67">
        <v>23</v>
      </c>
      <c r="H195" s="65">
        <v>25</v>
      </c>
      <c r="I195" s="66" t="str">
        <f>IF(AK178&gt;2,"/","")</f>
        <v>/</v>
      </c>
      <c r="J195" s="67">
        <v>15</v>
      </c>
      <c r="K195" s="65">
        <v>19</v>
      </c>
      <c r="L195" s="66" t="str">
        <f>IF(AK178&gt;3,"/","")</f>
        <v>/</v>
      </c>
      <c r="M195" s="67">
        <v>25</v>
      </c>
      <c r="N195" s="65">
        <v>25</v>
      </c>
      <c r="O195" s="66" t="str">
        <f>IF(AK178&gt;4,"/","")</f>
        <v>/</v>
      </c>
      <c r="P195" s="67">
        <v>21</v>
      </c>
      <c r="Q195" s="65">
        <v>25</v>
      </c>
      <c r="R195" s="66" t="str">
        <f>IF(AK178&gt;5,"/","")</f>
        <v>/</v>
      </c>
      <c r="S195" s="67">
        <v>17</v>
      </c>
      <c r="T195" s="65">
        <v>17</v>
      </c>
      <c r="U195" s="66" t="str">
        <f>IF(AK178&gt;6,"/","")</f>
        <v>/</v>
      </c>
      <c r="V195" s="67">
        <v>25</v>
      </c>
      <c r="W195" s="65">
        <v>25</v>
      </c>
      <c r="X195" s="66" t="str">
        <f>IF(AK178&gt;7,"/","")</f>
        <v>/</v>
      </c>
      <c r="Y195" s="67">
        <v>13</v>
      </c>
      <c r="Z195" s="65">
        <v>25</v>
      </c>
      <c r="AA195" s="66" t="str">
        <f>IF(AK178&gt;8,"/","")</f>
        <v>/</v>
      </c>
      <c r="AB195" s="67">
        <v>10</v>
      </c>
      <c r="AC195" s="65">
        <v>25</v>
      </c>
      <c r="AD195" s="66" t="str">
        <f>IF(AK178&gt;9,"/","")</f>
        <v>/</v>
      </c>
      <c r="AE195" s="67">
        <v>14</v>
      </c>
      <c r="AF195" s="57" t="str">
        <f>IF(AK179&gt;1,"Team 2","")</f>
        <v>Team 2</v>
      </c>
      <c r="AG195" s="64">
        <f>IF(AK179&lt;2,"",IF(AK178&lt;1,"",IF(B194=2,B200-D200,IF(D194=2,D200-B200,""))))</f>
        <v>5</v>
      </c>
      <c r="AH195" s="64" t="str">
        <f>IF(AK179&lt;2,"",IF(AK178&lt;2,"",IF(E194=2,E200-G200,IF(G194=2,G200-E200,""))))</f>
        <v/>
      </c>
      <c r="AI195" s="64" t="str">
        <f>IF(AK179&lt;2,"",IF(AK178&lt;3,"",IF(H194=2,H200-J200,IF(J194=2,J200-H200,""))))</f>
        <v/>
      </c>
      <c r="AJ195" s="64">
        <f>IF(AK179&lt;2,"",IF(AK178&lt;4,"",IF(K194=2,K200-M200,IF(M194=2,M200-K200,""))))</f>
        <v>-9</v>
      </c>
      <c r="AK195" s="64" t="str">
        <f>IF(AK179&lt;2,"",IF(AK178&lt;5,"",IF(N194=2,N200-P200,IF(P194=2,P200-N200,""))))</f>
        <v/>
      </c>
      <c r="AL195" s="64" t="str">
        <f>IF(AK179&lt;2,"",IF(AK178&lt;6,"",IF(Q194=2,Q200-S200,IF(S194=2,S200-Q200,""))))</f>
        <v/>
      </c>
      <c r="AM195" s="64">
        <f>IF(AK179&lt;2,"",IF(AK178&lt;7,"",IF(T194=2,T200-V200,IF(V194=2,V200-T200,""))))</f>
        <v>-14</v>
      </c>
      <c r="AN195" s="64" t="str">
        <f>IF(AK179&lt;2,"",IF(AK178&lt;8,"",IF(W194=2,W200-Y200,IF(Y194=2,Y200-W200,""))))</f>
        <v/>
      </c>
      <c r="AO195" s="64" t="str">
        <f>IF(AK179&lt;2,"",IF(AK178&lt;9,"",IF(Z194=2,Z200-AB200,IF(AB194=2,AB200-Z200,""))))</f>
        <v/>
      </c>
      <c r="AP195" s="64">
        <f>IF(AK179&lt;2,"",IF(AK178&lt;10,"",IF(AC194=2,AC200-AE200,IF(AE194=2,AE200-AC200,""))))</f>
        <v>-23</v>
      </c>
      <c r="AQ195" s="59">
        <f>SUM(AG195:AP195)</f>
        <v>-41</v>
      </c>
    </row>
    <row r="196" spans="1:49" ht="15" x14ac:dyDescent="0.2">
      <c r="A196" s="3" t="str">
        <f>IF(AK177&gt;1,"Game 2","")</f>
        <v>Game 2</v>
      </c>
      <c r="B196" s="65">
        <v>25</v>
      </c>
      <c r="C196" s="66" t="s">
        <v>74</v>
      </c>
      <c r="D196" s="67">
        <v>23</v>
      </c>
      <c r="E196" s="65">
        <v>25</v>
      </c>
      <c r="F196" s="66" t="str">
        <f>IF(AK178&gt;1,IF(AK177&gt;1,"/",""),"")</f>
        <v>/</v>
      </c>
      <c r="G196" s="67">
        <v>17</v>
      </c>
      <c r="H196" s="65">
        <v>25</v>
      </c>
      <c r="I196" s="66" t="str">
        <f>IF(AK178&gt;2,IF(AK177&gt;1,"/",""),"")</f>
        <v>/</v>
      </c>
      <c r="J196" s="67">
        <v>22</v>
      </c>
      <c r="K196" s="65">
        <v>22</v>
      </c>
      <c r="L196" s="66" t="str">
        <f>IF(AK178&gt;3,IF(AK177&gt;1,"/",""),"")</f>
        <v>/</v>
      </c>
      <c r="M196" s="67">
        <v>25</v>
      </c>
      <c r="N196" s="65">
        <v>23</v>
      </c>
      <c r="O196" s="66" t="str">
        <f>IF(AK178&gt;4,IF(AK177&gt;1,"/",""),"")</f>
        <v>/</v>
      </c>
      <c r="P196" s="67">
        <v>25</v>
      </c>
      <c r="Q196" s="65">
        <v>25</v>
      </c>
      <c r="R196" s="66" t="str">
        <f>IF(AK178&gt;5,IF(AK177&gt;1,"/",""),"")</f>
        <v>/</v>
      </c>
      <c r="S196" s="67">
        <v>15</v>
      </c>
      <c r="T196" s="65">
        <v>19</v>
      </c>
      <c r="U196" s="66" t="str">
        <f>IF(AK178&gt;6,IF(AK177&gt;1,"/",""),"")</f>
        <v>/</v>
      </c>
      <c r="V196" s="67">
        <v>25</v>
      </c>
      <c r="W196" s="65">
        <v>25</v>
      </c>
      <c r="X196" s="66" t="str">
        <f>IF(AK178&gt;7,IF(AK177&gt;1,"/",""),"")</f>
        <v>/</v>
      </c>
      <c r="Y196" s="67">
        <v>9</v>
      </c>
      <c r="Z196" s="65">
        <v>25</v>
      </c>
      <c r="AA196" s="66" t="str">
        <f>IF(AK178&gt;8,IF(AK177&gt;1,"/",""),"")</f>
        <v>/</v>
      </c>
      <c r="AB196" s="67">
        <v>21</v>
      </c>
      <c r="AC196" s="65">
        <v>25</v>
      </c>
      <c r="AD196" s="66" t="str">
        <f>IF(AK178&gt;9,IF(AK177&gt;1,"/",""),"")</f>
        <v>/</v>
      </c>
      <c r="AE196" s="67">
        <v>13</v>
      </c>
      <c r="AF196" s="57" t="str">
        <f>IF(AK179&gt;2,"Team 3","")</f>
        <v>Team 3</v>
      </c>
      <c r="AG196" s="64" t="str">
        <f>IF(AK179&lt;3,"",IF(AK178&lt;1,"",IF(B194=3,B200-D200,IF(D194=3,D200-B200,""))))</f>
        <v/>
      </c>
      <c r="AH196" s="64" t="str">
        <f>IF(AK179&lt;3,"",IF(AK178&lt;2,"",IF(E194=3,E200-G200,IF(G194=3,G200-E200,""))))</f>
        <v/>
      </c>
      <c r="AI196" s="64">
        <f>IF(AK179&lt;3,"",IF(AK178&lt;3,"",IF(H194=3,H200-J200,IF(J194=3,J200-H200,""))))</f>
        <v>13</v>
      </c>
      <c r="AJ196" s="64" t="str">
        <f>IF(AK179&lt;3,"",IF(AK178&lt;4,"",IF(K194=3,K200-M200,IF(M194=3,M200-K200,""))))</f>
        <v/>
      </c>
      <c r="AK196" s="64">
        <f>IF(AK179&lt;3,"",IF(AK178&lt;5,"",IF(N194=3,N200-P200,IF(P194=3,P200-N200,""))))</f>
        <v>-2</v>
      </c>
      <c r="AL196" s="64" t="str">
        <f>IF(AK179&lt;3,"",IF(AK178&lt;6,"",IF(Q194=3,Q200-S200,IF(S194=3,S200-Q200,""))))</f>
        <v/>
      </c>
      <c r="AM196" s="64">
        <f>IF(AK179&lt;3,"",IF(AK178&lt;7,"",IF(T194=3,T200-V200,IF(V194=3,V200-T200,""))))</f>
        <v>14</v>
      </c>
      <c r="AN196" s="64" t="str">
        <f>IF(AK179&lt;3,"",IF(AK178&lt;8,"",IF(W194=3,W200-Y200,IF(Y194=3,Y200-W200,""))))</f>
        <v/>
      </c>
      <c r="AO196" s="64">
        <f>IF(AK179&lt;3,"",IF(AK178&lt;9,"",IF(Z194=3,Z200-AB200,IF(AB194=3,AB200-Z200,""))))</f>
        <v>19</v>
      </c>
      <c r="AP196" s="64" t="str">
        <f>IF(AK179&lt;3,"",IF(AK178&lt;9,"",IF(AC194=3,AC200-AE200,IF(AE194=3,AE200-AC200,""))))</f>
        <v/>
      </c>
      <c r="AQ196" s="59">
        <f>SUM(AG196:AP196)</f>
        <v>44</v>
      </c>
    </row>
    <row r="197" spans="1:49" ht="15" x14ac:dyDescent="0.2">
      <c r="A197" s="3" t="str">
        <f>IF(AK177&gt;2,"Game 3","")</f>
        <v/>
      </c>
      <c r="B197" s="65"/>
      <c r="C197" s="66" t="s">
        <v>74</v>
      </c>
      <c r="D197" s="67"/>
      <c r="E197" s="65"/>
      <c r="F197" s="66" t="str">
        <f>IF(AK178&gt;1,IF(AK177&gt;2,"/",""),"")</f>
        <v/>
      </c>
      <c r="G197" s="67"/>
      <c r="H197" s="65"/>
      <c r="I197" s="66" t="str">
        <f>IF(AK178&gt;2,IF(AK177&gt;2,"/",""),"")</f>
        <v/>
      </c>
      <c r="J197" s="67"/>
      <c r="K197" s="65"/>
      <c r="L197" s="66" t="str">
        <f>IF(AK178&gt;3,IF(AK177&gt;2,"/",""),"")</f>
        <v/>
      </c>
      <c r="M197" s="67"/>
      <c r="N197" s="65"/>
      <c r="O197" s="66" t="str">
        <f>IF(AK178&gt;4,IF(AK177&gt;2,"/",""),"")</f>
        <v/>
      </c>
      <c r="P197" s="67"/>
      <c r="Q197" s="65"/>
      <c r="R197" s="66" t="str">
        <f>IF(AK178&gt;5,IF(AK177&gt;2,"/",""),"")</f>
        <v/>
      </c>
      <c r="S197" s="67"/>
      <c r="T197" s="65"/>
      <c r="U197" s="66" t="str">
        <f>IF(AK178&gt;6,IF(AK177&gt;2,"/",""),"")</f>
        <v/>
      </c>
      <c r="V197" s="67"/>
      <c r="W197" s="65"/>
      <c r="X197" s="66" t="str">
        <f>IF(AK178&gt;7,IF(AK177&gt;2,"/",""),"")</f>
        <v/>
      </c>
      <c r="Y197" s="67"/>
      <c r="Z197" s="65"/>
      <c r="AA197" s="66" t="str">
        <f>IF(AK178&gt;8,IF(AK177&gt;2,"/",""),"")</f>
        <v/>
      </c>
      <c r="AB197" s="67"/>
      <c r="AC197" s="65"/>
      <c r="AD197" s="66" t="str">
        <f>IF(AK178&gt;9,IF(AK177&gt;2,"/",""),"")</f>
        <v/>
      </c>
      <c r="AE197" s="67"/>
      <c r="AF197" s="57" t="str">
        <f>IF(AK179&gt;3,"Team 4","")</f>
        <v>Team 4</v>
      </c>
      <c r="AG197" s="64" t="str">
        <f>IF(AK179&lt;4,"",IF(AK178&lt;1,"",IF(B194=4,B200-D200,IF(D194=4,D200-B200,""))))</f>
        <v/>
      </c>
      <c r="AH197" s="64">
        <f>IF(AK179&lt;4,"",IF(AK178&lt;2,"",IF(E194=4,E200-G200,IF(G194=4,G200-E200,""))))</f>
        <v>-10</v>
      </c>
      <c r="AI197" s="64" t="str">
        <f>IF(AK179&lt;4,"",IF(AK178&lt;3,"",IF(H194=4,H200-J200,IF(J194=4,J200-H200,""))))</f>
        <v/>
      </c>
      <c r="AJ197" s="64">
        <f>IF(AK179&lt;4,"",IF(AK178&lt;4,"",IF(K194=4,K200-M200,IF(M194=4,M200-K200,""))))</f>
        <v>9</v>
      </c>
      <c r="AK197" s="64" t="str">
        <f>IF(AK179&lt;4,"",IF(AK178&lt;5,"",IF(N194=4,N200-P200,IF(P194=4,P200-N200,""))))</f>
        <v/>
      </c>
      <c r="AL197" s="64">
        <f>IF(AK179&lt;4,"",IF(AK178&lt;6,"",IF(Q194=4,Q200-S200,IF(S194=4,S200-Q200,""))))</f>
        <v>18</v>
      </c>
      <c r="AM197" s="64" t="str">
        <f>IF(AK179&lt;4,"",IF(AK178&lt;7,"",IF(T194=4,T200-V200,IF(V194=4,V200-T200,""))))</f>
        <v/>
      </c>
      <c r="AN197" s="64" t="str">
        <f>IF(AK179&lt;4,"",IF(AK178&lt;8,"",IF(W194=4,W200-Y200,IF(Y194=4,Y200-W200,""))))</f>
        <v/>
      </c>
      <c r="AO197" s="64">
        <f>IF(AK179&lt;4,"",IF(AK178&lt;9,"",IF(Z194=4,Z200-AB200,IF(AB194=4,AB200-Z200,""))))</f>
        <v>-19</v>
      </c>
      <c r="AP197" s="64" t="str">
        <f>IF(AK179&lt;4,"",IF(AK178&lt;10,"",IF(AC194=4,AC200-AE200,IF(AE194=4,AE200-AC200,""))))</f>
        <v/>
      </c>
      <c r="AQ197" s="59">
        <f>SUM(AG197:AP197)</f>
        <v>-2</v>
      </c>
    </row>
    <row r="198" spans="1:49" ht="15" x14ac:dyDescent="0.2">
      <c r="A198" s="3" t="str">
        <f>IF(AK177&gt;3,"Game 4","")</f>
        <v/>
      </c>
      <c r="B198" s="65"/>
      <c r="C198" s="66" t="s">
        <v>74</v>
      </c>
      <c r="D198" s="67"/>
      <c r="E198" s="65"/>
      <c r="F198" s="66" t="str">
        <f>IF(AK178&gt;1,IF(AK177&gt;3,"/",""),"")</f>
        <v/>
      </c>
      <c r="G198" s="67"/>
      <c r="H198" s="65"/>
      <c r="I198" s="66" t="str">
        <f>IF(AK178&gt;2,IF(AK177&gt;3,"/",""),"")</f>
        <v/>
      </c>
      <c r="J198" s="67"/>
      <c r="K198" s="65"/>
      <c r="L198" s="66" t="str">
        <f>IF(AK178&gt;3,IF(AK177&gt;3,"/",""),"")</f>
        <v/>
      </c>
      <c r="M198" s="67"/>
      <c r="N198" s="65"/>
      <c r="O198" s="66" t="str">
        <f>IF(AK178&gt;4,IF(AK177&gt;3,"/",""),"")</f>
        <v/>
      </c>
      <c r="P198" s="67"/>
      <c r="Q198" s="65"/>
      <c r="R198" s="66" t="str">
        <f>IF(AK178&gt;5,IF(AK177&gt;3,"/",""),"")</f>
        <v/>
      </c>
      <c r="S198" s="67"/>
      <c r="T198" s="65"/>
      <c r="U198" s="66" t="str">
        <f>IF(AK178&gt;6,IF(AK177&gt;3,"/",""),"")</f>
        <v/>
      </c>
      <c r="V198" s="67"/>
      <c r="W198" s="65"/>
      <c r="X198" s="66" t="str">
        <f>IF(AK178&gt;7,IF(AK177&gt;3,"/",""),"")</f>
        <v/>
      </c>
      <c r="Y198" s="67"/>
      <c r="Z198" s="65"/>
      <c r="AA198" s="66" t="str">
        <f>IF(AK178&gt;8,IF(AK177&gt;3,"/",""),"")</f>
        <v/>
      </c>
      <c r="AB198" s="67"/>
      <c r="AC198" s="65"/>
      <c r="AD198" s="66" t="str">
        <f>IF(AK178&gt;9,IF(AK177&gt;3,"/",""),"")</f>
        <v/>
      </c>
      <c r="AE198" s="67"/>
      <c r="AF198" s="57" t="str">
        <f>IF(AK179&gt;4,"Team 5","")</f>
        <v>Team 5</v>
      </c>
      <c r="AG198" s="68">
        <f>IF(AK179&lt;5,"",IF(AK178&lt;1,"",IF(B194=5,B200-D200,IF(D194=5,D200-B200,""))))</f>
        <v>-5</v>
      </c>
      <c r="AH198" s="64" t="str">
        <f>IF(AK179&lt;5,"",IF(AK178&lt;2,"",IF(E194=5,E200-G200,IF(G194=5,G200-E200,""))))</f>
        <v/>
      </c>
      <c r="AI198" s="64">
        <f>IF(AK179&lt;5,"",IF(AK178&lt;3,"",IF(H194=5,H200-J200,IF(J194=5,J200-H200,""))))</f>
        <v>-13</v>
      </c>
      <c r="AJ198" s="64" t="str">
        <f>IF(AK179&lt;5,"",IF(AK178&lt;4,"",IF(K194=5,K200-M200,IF(M194=5,M200-K200,""))))</f>
        <v/>
      </c>
      <c r="AK198" s="64" t="str">
        <f>IF(AK179&lt;5,"",IF(AK178&lt;5,"",IF(N194=5,N200-P200,IF(P194=5,P200-N200,""))))</f>
        <v/>
      </c>
      <c r="AL198" s="64">
        <f>IF(AK179&lt;5,"",IF(AK178&lt;6,"",IF(Q194=5,Q200-S200,IF(S194=5,S200-Q200,""))))</f>
        <v>-18</v>
      </c>
      <c r="AM198" s="64" t="str">
        <f>IF(AK179&lt;5,"",IF(AK178&lt;7,"",IF(T194=5,T200-V200,IF(V194=5,V200-T200,""))))</f>
        <v/>
      </c>
      <c r="AN198" s="64">
        <f>IF(AK179&lt;5,"",IF(AK178&lt;8,"",IF(W194=5,W200-Y200,IF(Y194=5,Y200-W200,""))))</f>
        <v>-28</v>
      </c>
      <c r="AO198" s="64" t="str">
        <f>IF(AK179&lt;5,"",IF(AK178&lt;9,"",IF(Z194=5,Z200-AB200,IF(AB194=5,AB200-Z200,""))))</f>
        <v/>
      </c>
      <c r="AP198" s="64" t="str">
        <f>IF(AK179&lt;5,"",IF(AK178&lt;10,"",IF(AC194=5,AC200-AE200,IF(AE194=5,AE200-AC200,""))))</f>
        <v/>
      </c>
      <c r="AQ198" s="59">
        <f>SUM(AG198:AP198)</f>
        <v>-64</v>
      </c>
    </row>
    <row r="199" spans="1:49" ht="15" x14ac:dyDescent="0.2">
      <c r="A199" s="3" t="str">
        <f>IF(AK177&gt;4,"Game 5","")</f>
        <v/>
      </c>
      <c r="B199" s="65"/>
      <c r="C199" s="66" t="s">
        <v>74</v>
      </c>
      <c r="D199" s="67"/>
      <c r="E199" s="65"/>
      <c r="F199" s="66" t="str">
        <f>IF(AK178&gt;1,IF(AK177&gt;4,"/",""),"")</f>
        <v/>
      </c>
      <c r="G199" s="67"/>
      <c r="H199" s="65"/>
      <c r="I199" s="66" t="str">
        <f>IF(AK178&gt;2,IF(AK177&gt;4,"/",""),"")</f>
        <v/>
      </c>
      <c r="J199" s="67"/>
      <c r="K199" s="65"/>
      <c r="L199" s="66" t="str">
        <f>IF(AK178&gt;3,IF(AK177&gt;4,"/",""),"")</f>
        <v/>
      </c>
      <c r="M199" s="67"/>
      <c r="N199" s="65"/>
      <c r="O199" s="66" t="str">
        <f>IF(AK178&gt;4,IF(AK177&gt;4,"/",""),"")</f>
        <v/>
      </c>
      <c r="P199" s="67"/>
      <c r="Q199" s="65"/>
      <c r="R199" s="66" t="str">
        <f>IF(AK178&gt;5,IF(AK177&gt;4,"/",""),"")</f>
        <v/>
      </c>
      <c r="S199" s="67"/>
      <c r="T199" s="65"/>
      <c r="U199" s="66" t="str">
        <f>IF(AK178&gt;6,IF(AK177&gt;4,"/",""),"")</f>
        <v/>
      </c>
      <c r="V199" s="67"/>
      <c r="W199" s="65"/>
      <c r="X199" s="66" t="str">
        <f>IF(AK178&gt;7,IF(AK177&gt;4,"/",""),"")</f>
        <v/>
      </c>
      <c r="Y199" s="67"/>
      <c r="Z199" s="65"/>
      <c r="AA199" s="66" t="str">
        <f>IF(AK178&gt;8,IF(AK177&gt;4,"/",""),"")</f>
        <v/>
      </c>
      <c r="AB199" s="67"/>
      <c r="AC199" s="65"/>
      <c r="AD199" s="66" t="str">
        <f>IF(AK178&gt;9,IF(AK177&gt;4,"/",""),"")</f>
        <v/>
      </c>
      <c r="AE199" s="67"/>
      <c r="AF199" s="8"/>
      <c r="AG199" s="8"/>
      <c r="AH199" s="8"/>
      <c r="AI199" s="8"/>
      <c r="AJ199" s="8"/>
      <c r="AK199" s="8"/>
      <c r="AL199" s="8"/>
      <c r="AM199" s="8"/>
      <c r="AN199" s="8"/>
      <c r="AO199" s="8"/>
      <c r="AP199" s="8"/>
      <c r="AQ199" s="8"/>
    </row>
    <row r="200" spans="1:49" hidden="1" x14ac:dyDescent="0.2">
      <c r="A200" s="69"/>
      <c r="B200" s="69">
        <f>IF($AK177=5,SUM(B195:B199),IF($AK177=4,SUM(B195:B198),IF($AK177=3,SUM(B195:B197),IF($AK177=2,SUM(B195:B196),B195))))</f>
        <v>50</v>
      </c>
      <c r="C200" s="69"/>
      <c r="D200" s="69">
        <f>IF($AK177=5,SUM(D195:D199),IF($AK177=4,SUM(D195:D198),IF($AK177=3,SUM(D195:D197),IF($AK177=2,SUM(D195:D196),D195))))</f>
        <v>45</v>
      </c>
      <c r="E200" s="69">
        <f>IF($AK177=5,SUM(E195:E199),IF($AK177=4,SUM(E195:E198),IF($AK177=3,SUM(E195:E197),IF($AK177=2,SUM(E195:E196),E195))))</f>
        <v>50</v>
      </c>
      <c r="F200" s="69"/>
      <c r="G200" s="69">
        <f>IF($AK177=5,SUM(G195:G199),IF($AK177=4,SUM(G195:G198),IF($AK177=3,SUM(G195:G197),IF($AK177=2,SUM(G195:G196),G195))))</f>
        <v>40</v>
      </c>
      <c r="H200" s="69">
        <f>IF($AK177=5,SUM(H195:H199),IF($AK177=4,SUM(H195:H198),IF($AK177=3,SUM(H195:H197),IF($AK177=2,SUM(H195:H196),H195))))</f>
        <v>50</v>
      </c>
      <c r="I200" s="69"/>
      <c r="J200" s="69">
        <f>IF($AK177=5,SUM(J195:J199),IF($AK177=4,SUM(J195:J198),IF($AK177=3,SUM(J195:J197),IF($AK177=2,SUM(J195:J196),J195))))</f>
        <v>37</v>
      </c>
      <c r="K200" s="69">
        <f>IF($AK177=5,SUM(K195:K199),IF($AK177=4,SUM(K195:K198),IF($AK177=3,SUM(K195:K197),IF($AK177=2,SUM(K195:K196),K195))))</f>
        <v>41</v>
      </c>
      <c r="L200" s="69"/>
      <c r="M200" s="69">
        <f>IF($AK177=5,SUM(M195:M199),IF($AK177=4,SUM(M195:M198),IF($AK177=3,SUM(M195:M197),IF($AK177=2,SUM(M195:M196),M195))))</f>
        <v>50</v>
      </c>
      <c r="N200" s="69">
        <f>IF($AK177=5,SUM(N195:N199),IF($AK177=4,SUM(N195:N198),IF($AK177=3,SUM(N195:N197),IF($AK177=2,SUM(N195:N196),N195))))</f>
        <v>48</v>
      </c>
      <c r="O200" s="69"/>
      <c r="P200" s="69">
        <f>IF($AK177=5,SUM(P195:P199),IF($AK177=4,SUM(P195:P198),IF($AK177=3,SUM(P195:P197),IF($AK177=2,SUM(P195:P196),P195))))</f>
        <v>46</v>
      </c>
      <c r="Q200" s="69">
        <f>IF($AK177=5,SUM(Q195:Q199),IF($AK177=4,SUM(Q195:Q198),IF($AK177=3,SUM(Q195:Q197),IF($AK177=2,SUM(Q195:Q196),Q195))))</f>
        <v>50</v>
      </c>
      <c r="R200" s="69"/>
      <c r="S200" s="69">
        <f>IF($AK177=5,SUM(S195:S199),IF($AK177=4,SUM(S195:S198),IF($AK177=3,SUM(S195:S197),IF($AK177=2,SUM(S195:S196),S195))))</f>
        <v>32</v>
      </c>
      <c r="T200" s="69">
        <f>IF($AK177=5,SUM(T195:T199),IF($AK177=4,SUM(T195:T198),IF($AK177=3,SUM(T195:T197),IF($AK177=2,SUM(T195:T196),T195))))</f>
        <v>36</v>
      </c>
      <c r="U200" s="69"/>
      <c r="V200" s="69">
        <f>IF($AK177=5,SUM(V195:V199),IF($AK177=4,SUM(V195:V198),IF($AK177=3,SUM(V195:V197),IF($AK177=2,SUM(V195:V196),V195))))</f>
        <v>50</v>
      </c>
      <c r="W200" s="69">
        <f>IF($AK177=5,SUM(W195:W199),IF($AK177=4,SUM(W195:W198),IF($AK177=3,SUM(W195:W197),IF($AK177=2,SUM(W195:W196),W195))))</f>
        <v>50</v>
      </c>
      <c r="X200" s="69"/>
      <c r="Y200" s="69">
        <f>IF($AK177=5,SUM(Y195:Y199),IF($AK177=4,SUM(Y195:Y198),IF($AK177=3,SUM(Y195:Y197),IF($AK177=2,SUM(Y195:Y196),Y195))))</f>
        <v>22</v>
      </c>
      <c r="Z200" s="69">
        <f>IF($AK177=5,SUM(Z195:Z199),IF($AK177=4,SUM(Z195:Z198),IF($AK177=3,SUM(Z195:Z197),IF($AK177=2,SUM(Z195:Z196),Z195))))</f>
        <v>50</v>
      </c>
      <c r="AA200" s="69"/>
      <c r="AB200" s="69">
        <f>IF($AK177=5,SUM(AB195:AB199),IF($AK177=4,SUM(AB195:AB198),IF($AK177=3,SUM(AB195:AB197),IF($AK177=2,SUM(AB195:AB196),AB195))))</f>
        <v>31</v>
      </c>
      <c r="AC200" s="69">
        <f>IF($AK177=5,SUM(AC195:AC199),IF($AK177=4,SUM(AC195:AC198),IF($AK177=3,SUM(AC195:AC197),IF($AK177=2,SUM(AC195:AC196),AC195))))</f>
        <v>50</v>
      </c>
      <c r="AD200" s="69"/>
      <c r="AE200" s="69">
        <f>IF($AK177=5,SUM(AE195:AE199),IF($AK177=4,SUM(AE195:AE198),IF($AK177=3,SUM(AE195:AE197),IF($AK177=2,SUM(AE195:AE196),AE195))))</f>
        <v>27</v>
      </c>
      <c r="AF200" s="8"/>
      <c r="AG200" s="8"/>
      <c r="AH200" s="8"/>
      <c r="AI200" s="8"/>
      <c r="AJ200" s="8"/>
      <c r="AK200" s="8"/>
      <c r="AL200" s="8"/>
      <c r="AM200" s="8"/>
      <c r="AN200" s="8"/>
      <c r="AO200" s="8"/>
      <c r="AP200" s="8"/>
      <c r="AQ200" s="8"/>
      <c r="AT200" s="70"/>
      <c r="AU200" s="70"/>
      <c r="AV200" s="70"/>
    </row>
    <row r="201" spans="1:49" s="70" customFormat="1" ht="12.75" hidden="1" customHeight="1" x14ac:dyDescent="0.2">
      <c r="A201" s="70" t="s">
        <v>75</v>
      </c>
      <c r="B201" s="71">
        <f>IF(AND(B195&gt;D195,$AK178&gt;0,ISNUMBER(B195),ISNUMBER(D195)),1,0)</f>
        <v>1</v>
      </c>
      <c r="C201" s="71"/>
      <c r="D201" s="72">
        <f>IF(AND(D195&gt;B195,$AK178&gt;0,ISNUMBER(B195),ISNUMBER(D195)),1,0)</f>
        <v>0</v>
      </c>
      <c r="E201" s="71">
        <f>IF(AND(E195&gt;G195,$AK178&gt;1,ISNUMBER(E195),ISNUMBER(G195)),1,0)</f>
        <v>1</v>
      </c>
      <c r="F201" s="71"/>
      <c r="G201" s="72">
        <f>IF(AND(G195&gt;E195,$AK178&gt;1,ISNUMBER(E195),ISNUMBER(G195)),1,0)</f>
        <v>0</v>
      </c>
      <c r="H201" s="71">
        <f>IF(AND(H195&gt;J195,$AK178&gt;2,ISNUMBER(H195),ISNUMBER(J195)),1,0)</f>
        <v>1</v>
      </c>
      <c r="I201" s="71"/>
      <c r="J201" s="72">
        <f>IF(AND(J195&gt;H195,$AK178&gt;2,ISNUMBER(H195),ISNUMBER(J195)),1,0)</f>
        <v>0</v>
      </c>
      <c r="K201" s="71">
        <f>IF(AND(K195&gt;M195,$AK178&gt;3,ISNUMBER(K195),ISNUMBER(M195)),1,0)</f>
        <v>0</v>
      </c>
      <c r="L201" s="71"/>
      <c r="M201" s="72">
        <f>IF(AND(M195&gt;K195,$AK178&gt;3,ISNUMBER(K195),ISNUMBER(M195)),1,0)</f>
        <v>1</v>
      </c>
      <c r="N201" s="71">
        <f>IF(AND(N195&gt;P195,$AK178&gt;4,ISNUMBER(N195),ISNUMBER(P195)),1,0)</f>
        <v>1</v>
      </c>
      <c r="O201" s="71"/>
      <c r="P201" s="72">
        <f>IF(AND(P195&gt;N195,$AK178&gt;4,ISNUMBER(N195),ISNUMBER(P195)),1,0)</f>
        <v>0</v>
      </c>
      <c r="Q201" s="71">
        <f>IF(AND(Q195&gt;S195,$AK178&gt;5,ISNUMBER(Q195),ISNUMBER(S195)),1,0)</f>
        <v>1</v>
      </c>
      <c r="R201" s="71"/>
      <c r="S201" s="72">
        <f>IF(AND(S195&gt;Q195,$AK178&gt;5,ISNUMBER(Q195),ISNUMBER(S195)),1,0)</f>
        <v>0</v>
      </c>
      <c r="T201" s="71">
        <f>IF(AND(T195&gt;V195,$AK178&gt;6,ISNUMBER(T195),ISNUMBER(V195)),1,0)</f>
        <v>0</v>
      </c>
      <c r="U201" s="71"/>
      <c r="V201" s="72">
        <f>IF(AND(V195&gt;T195,$AK178&gt;6,ISNUMBER(T195),ISNUMBER(V195)),1,0)</f>
        <v>1</v>
      </c>
      <c r="W201" s="71">
        <f>IF(AND(W195&gt;Y195,$AK178&gt;7,ISNUMBER(W195),ISNUMBER(Y195)),1,0)</f>
        <v>1</v>
      </c>
      <c r="X201" s="71"/>
      <c r="Y201" s="72">
        <f>IF(AND(Y195&gt;W195,$AK178&gt;7,ISNUMBER(W195),ISNUMBER(Y195)),1,0)</f>
        <v>0</v>
      </c>
      <c r="Z201" s="71">
        <f>IF(AND(Z195&gt;AB195,$AK178&gt;8,ISNUMBER(Z195),ISNUMBER(AB195)),1,0)</f>
        <v>1</v>
      </c>
      <c r="AA201" s="71"/>
      <c r="AB201" s="72">
        <f>IF(AND(AB195&gt;Z195,$AK178&gt;8,ISNUMBER(Z195),ISNUMBER(AB195)),1,0)</f>
        <v>0</v>
      </c>
      <c r="AC201" s="71">
        <f>IF(AND(AC195&gt;AE195,$AK178&gt;9,ISNUMBER(AC195),ISNUMBER(AE195)),1,0)</f>
        <v>1</v>
      </c>
      <c r="AD201" s="71"/>
      <c r="AE201" s="72">
        <f>IF(AND(AE195&gt;AC195,$AK178&gt;9,ISNUMBER(AC195),ISNUMBER(AE195)),1,0)</f>
        <v>0</v>
      </c>
      <c r="AW201" s="154"/>
    </row>
    <row r="202" spans="1:49" s="70" customFormat="1" ht="12.75" hidden="1" customHeight="1" x14ac:dyDescent="0.2">
      <c r="A202" s="70" t="s">
        <v>76</v>
      </c>
      <c r="B202" s="71">
        <f>IF(AND(B196&gt;D196,$AK178&gt;0,$AK177&gt;1,ISNUMBER(B196),ISNUMBER(D196)),1,0)</f>
        <v>1</v>
      </c>
      <c r="C202" s="71"/>
      <c r="D202" s="72">
        <f>IF(AND(D196&gt;B196,$AK178&gt;0,$AK177&gt;1,ISNUMBER(B196),ISNUMBER(D196)),1,0)</f>
        <v>0</v>
      </c>
      <c r="E202" s="71">
        <f>IF(AND(E196&gt;G196,$AK178&gt;1,$AK177&gt;1,ISNUMBER(E196),ISNUMBER(G196)),1,0)</f>
        <v>1</v>
      </c>
      <c r="F202" s="71"/>
      <c r="G202" s="72">
        <f>IF(AND(G196&gt;E196,$AK178&gt;1,$AK177&gt;1,ISNUMBER(E196),ISNUMBER(G196)),1,0)</f>
        <v>0</v>
      </c>
      <c r="H202" s="71">
        <f>IF(AND(H196&gt;J196,$AK178&gt;2,$AK177&gt;1,ISNUMBER(H196),ISNUMBER(J196)),1,0)</f>
        <v>1</v>
      </c>
      <c r="I202" s="71"/>
      <c r="J202" s="72">
        <f>IF(AND(J196&gt;H196,$AK178&gt;2,$AK177&gt;1,ISNUMBER(H196),ISNUMBER(J196)),1,0)</f>
        <v>0</v>
      </c>
      <c r="K202" s="71">
        <f>IF(AND(K196&gt;M196,$AK178&gt;3,$AK177&gt;1,ISNUMBER(K196),ISNUMBER(M196)),1,0)</f>
        <v>0</v>
      </c>
      <c r="L202" s="71"/>
      <c r="M202" s="72">
        <f>IF(AND(M196&gt;K196,$AK178&gt;3,$AK177&gt;1,ISNUMBER(K196),ISNUMBER(M196)),1,0)</f>
        <v>1</v>
      </c>
      <c r="N202" s="71">
        <f>IF(AND(N196&gt;P196,$AK178&gt;4,$AK177&gt;1,ISNUMBER(N196),ISNUMBER(P196)),1,0)</f>
        <v>0</v>
      </c>
      <c r="O202" s="71"/>
      <c r="P202" s="72">
        <f>IF(AND(P196&gt;N196,$AK178&gt;4,$AK177&gt;1,ISNUMBER(N196),ISNUMBER(P196)),1,0)</f>
        <v>1</v>
      </c>
      <c r="Q202" s="71">
        <f>IF(AND(Q196&gt;S196,$AK178&gt;5,$AK177&gt;1,ISNUMBER(Q196),ISNUMBER(S196)),1,0)</f>
        <v>1</v>
      </c>
      <c r="R202" s="71"/>
      <c r="S202" s="72">
        <f>IF(AND(S196&gt;Q196,$AK178&gt;5,$AK177&gt;1,ISNUMBER(Q196),ISNUMBER(S196)),1,0)</f>
        <v>0</v>
      </c>
      <c r="T202" s="71">
        <f>IF(AND(T196&gt;V196,$AK178&gt;6,$AK177&gt;1,ISNUMBER(T196),ISNUMBER(V196)),1,0)</f>
        <v>0</v>
      </c>
      <c r="U202" s="71"/>
      <c r="V202" s="72">
        <f>IF(AND(V196&gt;T196,$AK178&gt;6,$AK177&gt;1,ISNUMBER(T196),ISNUMBER(V196)),1,0)</f>
        <v>1</v>
      </c>
      <c r="W202" s="71">
        <f>IF(AND(W196&gt;Y196,$AK178&gt;7,$AK177&gt;1,ISNUMBER(W196),ISNUMBER(Y196)),1,0)</f>
        <v>1</v>
      </c>
      <c r="X202" s="71"/>
      <c r="Y202" s="72">
        <f>IF(AND(Y196&gt;W196,$AK178&gt;7,$AK177&gt;1,ISNUMBER(W196),ISNUMBER(Y196)),1,0)</f>
        <v>0</v>
      </c>
      <c r="Z202" s="71">
        <f>IF(AND(Z196&gt;AB196,$AK178&gt;8,$AK177&gt;1,ISNUMBER(Z196),ISNUMBER(AB196)),1,0)</f>
        <v>1</v>
      </c>
      <c r="AA202" s="71"/>
      <c r="AB202" s="72">
        <f>IF(AND(AB196&gt;Z196,$AK178&gt;8,$AK177&gt;1,ISNUMBER(Z196),ISNUMBER(AB196)),1,0)</f>
        <v>0</v>
      </c>
      <c r="AC202" s="71">
        <f>IF(AND(AC196&gt;AE196,$AK178&gt;9,$AK177&gt;1,ISNUMBER(AC196),ISNUMBER(AE196)),1,0)</f>
        <v>1</v>
      </c>
      <c r="AD202" s="71"/>
      <c r="AE202" s="72">
        <f>IF(AND(AE196&gt;AC196,$AK178&gt;9,$AK177&gt;1,ISNUMBER(AC196),ISNUMBER(AE196)),1,0)</f>
        <v>0</v>
      </c>
      <c r="AW202" s="154"/>
    </row>
    <row r="203" spans="1:49" s="70" customFormat="1" ht="12.75" hidden="1" customHeight="1" x14ac:dyDescent="0.2">
      <c r="A203" s="70" t="s">
        <v>77</v>
      </c>
      <c r="B203" s="71">
        <f>IF(AND(B197&gt;D197,$AK178&gt;0,$AK177&gt;2,ISNUMBER(B197),ISNUMBER(D197)),1,0)</f>
        <v>0</v>
      </c>
      <c r="C203" s="71"/>
      <c r="D203" s="72">
        <f>IF(AND(D197&gt;B197,$AK178&gt;0,$AK177&gt;2,ISNUMBER(B197),ISNUMBER(D197)),1,0)</f>
        <v>0</v>
      </c>
      <c r="E203" s="71">
        <f>IF(AND(E197&gt;G197,$AK178&gt;1,$AK177&gt;2,ISNUMBER(E197),ISNUMBER(G197)),1,0)</f>
        <v>0</v>
      </c>
      <c r="F203" s="71"/>
      <c r="G203" s="72">
        <f>IF(AND(G197&gt;E197,$AK178&gt;1,$AK177&gt;2,ISNUMBER(E197),ISNUMBER(G197)),1,0)</f>
        <v>0</v>
      </c>
      <c r="H203" s="71">
        <f>IF(AND(H197&gt;J197,$AK178&gt;2,$AK177&gt;2,ISNUMBER(H197),ISNUMBER(J197)),1,0)</f>
        <v>0</v>
      </c>
      <c r="I203" s="71"/>
      <c r="J203" s="72">
        <f>IF(AND(J197&gt;H197,$AK178&gt;2,$AK177&gt;2,ISNUMBER(H197),ISNUMBER(J197)),1,0)</f>
        <v>0</v>
      </c>
      <c r="K203" s="71">
        <f>IF(AND(K197&gt;M197,$AK178&gt;3,$AK177&gt;2,ISNUMBER(K197),ISNUMBER(M197)),1,0)</f>
        <v>0</v>
      </c>
      <c r="L203" s="71"/>
      <c r="M203" s="72">
        <f>IF(AND(M197&gt;K197,$AK178&gt;3,$AK177&gt;2,ISNUMBER(K197),ISNUMBER(M197)),1,0)</f>
        <v>0</v>
      </c>
      <c r="N203" s="71">
        <f>IF(AND(N197&gt;P197,$AK178&gt;4,$AK177&gt;2,ISNUMBER(N197),ISNUMBER(P197)),1,0)</f>
        <v>0</v>
      </c>
      <c r="O203" s="71"/>
      <c r="P203" s="72">
        <f>IF(AND(P197&gt;N197,$AK178&gt;4,$AK177&gt;2,ISNUMBER(N197),ISNUMBER(P197)),1,0)</f>
        <v>0</v>
      </c>
      <c r="Q203" s="71">
        <f>IF(AND(Q197&gt;S197,$AK178&gt;5,$AK177&gt;2,ISNUMBER(Q197),ISNUMBER(S197)),1,0)</f>
        <v>0</v>
      </c>
      <c r="R203" s="71"/>
      <c r="S203" s="72">
        <f>IF(AND(S197&gt;Q197,$AK178&gt;5,$AK177&gt;2,ISNUMBER(Q197),ISNUMBER(S197)),1,0)</f>
        <v>0</v>
      </c>
      <c r="T203" s="71">
        <f>IF(AND(T197&gt;V197,$AK178&gt;6,$AK177&gt;2,ISNUMBER(T197),ISNUMBER(V197)),1,0)</f>
        <v>0</v>
      </c>
      <c r="U203" s="71"/>
      <c r="V203" s="72">
        <f>IF(AND(V197&gt;T197,$AK178&gt;6,$AK177&gt;2,ISNUMBER(T197),ISNUMBER(V197)),1,0)</f>
        <v>0</v>
      </c>
      <c r="W203" s="71">
        <f>IF(AND(W197&gt;Y197,$AK178&gt;7,$AK177&gt;2,ISNUMBER(W197),ISNUMBER(Y197)),1,0)</f>
        <v>0</v>
      </c>
      <c r="X203" s="71"/>
      <c r="Y203" s="72">
        <f>IF(AND(Y197&gt;W197,$AK178&gt;7,$AK177&gt;2,ISNUMBER(W197),ISNUMBER(Y197)),1,0)</f>
        <v>0</v>
      </c>
      <c r="Z203" s="71">
        <f>IF(AND(Z197&gt;AB197,$AK178&gt;8,$AK177&gt;2,ISNUMBER(Z197),ISNUMBER(AB197)),1,0)</f>
        <v>0</v>
      </c>
      <c r="AA203" s="71"/>
      <c r="AB203" s="72">
        <f>IF(AND(AB197&gt;Z197,$AK178&gt;8,$AK177&gt;2,ISNUMBER(Z197),ISNUMBER(AB197)),1,0)</f>
        <v>0</v>
      </c>
      <c r="AC203" s="71">
        <f>IF(AND(AC197&gt;AE197,$AK178&gt;9,$AK177&gt;2,ISNUMBER(AC197),ISNUMBER(AE197)),1,0)</f>
        <v>0</v>
      </c>
      <c r="AD203" s="71"/>
      <c r="AE203" s="72">
        <f>IF(AND(AE197&gt;AC197,$AK178&gt;9,$AK177&gt;2,ISNUMBER(AC197),ISNUMBER(AE197)),1,0)</f>
        <v>0</v>
      </c>
      <c r="AW203" s="154"/>
    </row>
    <row r="204" spans="1:49" s="70" customFormat="1" ht="12.75" hidden="1" customHeight="1" x14ac:dyDescent="0.2">
      <c r="A204" s="70" t="s">
        <v>78</v>
      </c>
      <c r="B204" s="71">
        <f>IF(AND(B198&gt;D198,$AK178&gt;0,$AK177&gt;3,ISNUMBER(B198),ISNUMBER(D198)),1,0)</f>
        <v>0</v>
      </c>
      <c r="C204" s="71"/>
      <c r="D204" s="72">
        <f>IF(AND(D198&gt;B198,$AK178&gt;0,$AK177&gt;3,ISNUMBER(B198),ISNUMBER(D198)),1,0)</f>
        <v>0</v>
      </c>
      <c r="E204" s="71">
        <f>IF(AND(E198&gt;G198,$AK178&gt;1,$AK177&gt;3,ISNUMBER(E198),ISNUMBER(G198)),1,0)</f>
        <v>0</v>
      </c>
      <c r="F204" s="71"/>
      <c r="G204" s="72">
        <f>IF(AND(G198&gt;E198,$AK178&gt;1,$AK177&gt;3,ISNUMBER(E198),ISNUMBER(G198)),1,0)</f>
        <v>0</v>
      </c>
      <c r="H204" s="71">
        <f>IF(AND(H198&gt;J198,$AK178&gt;2,$AK177&gt;3,ISNUMBER(H198),ISNUMBER(J198)),1,0)</f>
        <v>0</v>
      </c>
      <c r="I204" s="71"/>
      <c r="J204" s="72">
        <f>IF(AND(J198&gt;H198,$AK178&gt;2,$AK177&gt;3,ISNUMBER(H198),ISNUMBER(J198)),1,0)</f>
        <v>0</v>
      </c>
      <c r="K204" s="71">
        <f>IF(AND(K198&gt;M198,$AK178&gt;3,$AK177&gt;3,ISNUMBER(K198),ISNUMBER(M198)),1,0)</f>
        <v>0</v>
      </c>
      <c r="L204" s="71"/>
      <c r="M204" s="72">
        <f>IF(AND(M198&gt;K198,$AK178&gt;3,$AK177&gt;3,ISNUMBER(K198),ISNUMBER(M198)),1,0)</f>
        <v>0</v>
      </c>
      <c r="N204" s="71">
        <f>IF(AND(N198&gt;P198,$AK178&gt;4,$AK177&gt;3,ISNUMBER(N198),ISNUMBER(P198)),1,0)</f>
        <v>0</v>
      </c>
      <c r="O204" s="71"/>
      <c r="P204" s="72">
        <f>IF(AND(P198&gt;N198,$AK178&gt;4,$AK177&gt;3,ISNUMBER(N198),ISNUMBER(P198)),1,0)</f>
        <v>0</v>
      </c>
      <c r="Q204" s="71">
        <f>IF(AND(Q198&gt;S198,$AK178&gt;5,$AK177&gt;3,ISNUMBER(Q198),ISNUMBER(S198)),1,0)</f>
        <v>0</v>
      </c>
      <c r="R204" s="71"/>
      <c r="S204" s="72">
        <f>IF(AND(S198&gt;Q198,$AK178&gt;5,$AK177&gt;3,ISNUMBER(Q198),ISNUMBER(S198)),1,0)</f>
        <v>0</v>
      </c>
      <c r="T204" s="71">
        <f>IF(AND(T198&gt;V198,$AK178&gt;6,$AK177&gt;3,ISNUMBER(T198),ISNUMBER(V198)),1,0)</f>
        <v>0</v>
      </c>
      <c r="U204" s="71"/>
      <c r="V204" s="72">
        <f>IF(AND(V198&gt;T198,$AK178&gt;6,$AK177&gt;3,ISNUMBER(T198),ISNUMBER(V198)),1,0)</f>
        <v>0</v>
      </c>
      <c r="W204" s="71">
        <f>IF(AND(W198&gt;Y198,$AK178&gt;7,$AK177&gt;3,ISNUMBER(W198),ISNUMBER(Y198)),1,0)</f>
        <v>0</v>
      </c>
      <c r="X204" s="71"/>
      <c r="Y204" s="72">
        <f>IF(AND(Y198&gt;W198,$AK178&gt;7,$AK177&gt;3,ISNUMBER(W198),ISNUMBER(Y198)),1,0)</f>
        <v>0</v>
      </c>
      <c r="Z204" s="71">
        <f>IF(AND(Z198&gt;AB198,$AK178&gt;8,$AK177&gt;3,ISNUMBER(Z198),ISNUMBER(AB198)),1,0)</f>
        <v>0</v>
      </c>
      <c r="AA204" s="71"/>
      <c r="AB204" s="72">
        <f>IF(AND(AB198&gt;Z198,$AK178&gt;8,$AK177&gt;3,ISNUMBER(Z198),ISNUMBER(AB198)),1,0)</f>
        <v>0</v>
      </c>
      <c r="AC204" s="71">
        <f>IF(AND(AC198&gt;AE198,$AK178&gt;9,$AK177&gt;3,ISNUMBER(AC198),ISNUMBER(AE198)),1,0)</f>
        <v>0</v>
      </c>
      <c r="AD204" s="71"/>
      <c r="AE204" s="72">
        <f>IF(AND(AE198&gt;AC198,$AK178&gt;9,$AK177&gt;3,ISNUMBER(AC198),ISNUMBER(AE198)),1,0)</f>
        <v>0</v>
      </c>
      <c r="AW204" s="154"/>
    </row>
    <row r="205" spans="1:49" s="70" customFormat="1" ht="12.75" hidden="1" customHeight="1" x14ac:dyDescent="0.2">
      <c r="A205" s="70" t="s">
        <v>79</v>
      </c>
      <c r="B205" s="71">
        <f>IF(AND(B199&gt;D199,$AK178&gt;0,$AK177&gt;4,ISNUMBER(B199),ISNUMBER(D199)),1,0)</f>
        <v>0</v>
      </c>
      <c r="C205" s="71"/>
      <c r="D205" s="72">
        <f>IF(AND(D199&gt;B199,$AK178&gt;0,$AK177&gt;4,ISNUMBER(B199),ISNUMBER(D199)),1,0)</f>
        <v>0</v>
      </c>
      <c r="E205" s="71">
        <f>IF(AND(E199&gt;G199,$AK178&gt;1,$AK177&gt;4,ISNUMBER(E199),ISNUMBER(G199)),1,0)</f>
        <v>0</v>
      </c>
      <c r="F205" s="71"/>
      <c r="G205" s="72">
        <f>IF(AND(G199&gt;E199,$AK178&gt;1,$AK177&gt;4,ISNUMBER(E199),ISNUMBER(G199)),1,0)</f>
        <v>0</v>
      </c>
      <c r="H205" s="71">
        <f>IF(AND(H199&gt;J199,$AK178&gt;2,$AK177&gt;4,ISNUMBER(H199),ISNUMBER(J199)),1,0)</f>
        <v>0</v>
      </c>
      <c r="I205" s="71"/>
      <c r="J205" s="72">
        <f>IF(AND(J199&gt;H199,$AK178&gt;2,$AK177&gt;4,ISNUMBER(H199),ISNUMBER(J199)),1,0)</f>
        <v>0</v>
      </c>
      <c r="K205" s="71">
        <f>IF(AND(K199&gt;M199,$AK178&gt;3,$AK177&gt;4,ISNUMBER(K199),ISNUMBER(M199)),1,0)</f>
        <v>0</v>
      </c>
      <c r="L205" s="71"/>
      <c r="M205" s="72">
        <f>IF(AND(M199&gt;K199,$AK178&gt;3,$AK177&gt;4,ISNUMBER(K199),ISNUMBER(M199)),1,0)</f>
        <v>0</v>
      </c>
      <c r="N205" s="71">
        <f>IF(AND(N199&gt;P199,$AK178&gt;4,$AK177&gt;4,ISNUMBER(N199),ISNUMBER(P199)),1,0)</f>
        <v>0</v>
      </c>
      <c r="O205" s="71"/>
      <c r="P205" s="72">
        <f>IF(AND(P199&gt;N199,$AK178&gt;4,$AK177&gt;4,ISNUMBER(N199),ISNUMBER(P199)),1,0)</f>
        <v>0</v>
      </c>
      <c r="Q205" s="71">
        <f>IF(AND(Q199&gt;S199,$AK178&gt;5,$AK177&gt;4,ISNUMBER(Q199),ISNUMBER(S199)),1,0)</f>
        <v>0</v>
      </c>
      <c r="R205" s="71"/>
      <c r="S205" s="72">
        <f>IF(AND(S199&gt;Q199,$AK178&gt;5,$AK177&gt;4,ISNUMBER(Q199),ISNUMBER(S199)),1,0)</f>
        <v>0</v>
      </c>
      <c r="T205" s="71">
        <f>IF(AND(T199&gt;V199,$AK178&gt;6,$AK177&gt;4,ISNUMBER(T199),ISNUMBER(V199)),1,0)</f>
        <v>0</v>
      </c>
      <c r="U205" s="71"/>
      <c r="V205" s="72">
        <f>IF(AND(V199&gt;T199,$AK178&gt;6,$AK177&gt;4,ISNUMBER(T199),ISNUMBER(V199)),1,0)</f>
        <v>0</v>
      </c>
      <c r="W205" s="71">
        <f>IF(AND(W199&gt;Y199,$AK178&gt;7,$AK177&gt;4,ISNUMBER(W199),ISNUMBER(Y199)),1,0)</f>
        <v>0</v>
      </c>
      <c r="X205" s="71"/>
      <c r="Y205" s="72">
        <f>IF(AND(Y199&gt;W199,$AK178&gt;7,$AK177&gt;4,ISNUMBER(W199),ISNUMBER(Y199)),1,0)</f>
        <v>0</v>
      </c>
      <c r="Z205" s="71">
        <f>IF(AND(Z199&gt;AB199,$AK178&gt;8,$AK177&gt;4,ISNUMBER(Z199),ISNUMBER(AB199)),1,0)</f>
        <v>0</v>
      </c>
      <c r="AA205" s="71"/>
      <c r="AB205" s="72">
        <f>IF(AND(AB199&gt;Z199,$AK178&gt;8,$AK177&gt;4,ISNUMBER(Z199),ISNUMBER(AB199)),1,0)</f>
        <v>0</v>
      </c>
      <c r="AC205" s="71">
        <f>IF(AND(AC199&gt;AE199,$AK178&gt;9,$AK177&gt;4,ISNUMBER(AC199),ISNUMBER(AE199)),1,0)</f>
        <v>0</v>
      </c>
      <c r="AD205" s="71"/>
      <c r="AE205" s="72">
        <f>IF(AND(AE199&gt;AC199,$AK178&gt;9,$AK177&gt;4,ISNUMBER(AC199),ISNUMBER(AE199)),1,0)</f>
        <v>0</v>
      </c>
      <c r="AW205" s="154"/>
    </row>
    <row r="206" spans="1:49" s="70" customFormat="1" ht="38.25" hidden="1" customHeight="1" x14ac:dyDescent="0.2">
      <c r="A206" s="73" t="s">
        <v>80</v>
      </c>
      <c r="B206" s="70">
        <f>SUM(B201:B205)</f>
        <v>2</v>
      </c>
      <c r="D206" s="74">
        <f>SUM(D201:D205)</f>
        <v>0</v>
      </c>
      <c r="E206" s="70">
        <f>SUM(E201:E205)</f>
        <v>2</v>
      </c>
      <c r="G206" s="74">
        <f>SUM(G201:G205)</f>
        <v>0</v>
      </c>
      <c r="H206" s="70">
        <f>SUM(H201:H205)</f>
        <v>2</v>
      </c>
      <c r="J206" s="74">
        <f>SUM(J201:J205)</f>
        <v>0</v>
      </c>
      <c r="K206" s="70">
        <f>SUM(K201:K205)</f>
        <v>0</v>
      </c>
      <c r="M206" s="74">
        <f>SUM(M201:M205)</f>
        <v>2</v>
      </c>
      <c r="N206" s="70">
        <f>SUM(N201:N205)</f>
        <v>1</v>
      </c>
      <c r="P206" s="74">
        <f>SUM(P201:P205)</f>
        <v>1</v>
      </c>
      <c r="Q206" s="70">
        <f>SUM(Q201:Q205)</f>
        <v>2</v>
      </c>
      <c r="S206" s="74">
        <f>SUM(S201:S205)</f>
        <v>0</v>
      </c>
      <c r="T206" s="70">
        <f>SUM(T201:T205)</f>
        <v>0</v>
      </c>
      <c r="V206" s="74">
        <f>SUM(V201:V205)</f>
        <v>2</v>
      </c>
      <c r="W206" s="70">
        <f>SUM(W201:W205)</f>
        <v>2</v>
      </c>
      <c r="Y206" s="74">
        <f>SUM(Y201:Y205)</f>
        <v>0</v>
      </c>
      <c r="Z206" s="70">
        <f>SUM(Z201:Z205)</f>
        <v>2</v>
      </c>
      <c r="AB206" s="74">
        <f>SUM(AB201:AB205)</f>
        <v>0</v>
      </c>
      <c r="AC206" s="70">
        <f>SUM(AC201:AC205)</f>
        <v>2</v>
      </c>
      <c r="AE206" s="74">
        <f>SUM(AE201:AE205)</f>
        <v>0</v>
      </c>
      <c r="AW206" s="154"/>
    </row>
    <row r="207" spans="1:49" s="70" customFormat="1" ht="25.5" hidden="1" customHeight="1" x14ac:dyDescent="0.2">
      <c r="A207" s="73" t="s">
        <v>81</v>
      </c>
      <c r="B207" s="70">
        <f>IF(B206&gt;D206,IF(C241=AK177,1,IF(C241=AK177-1,1,0)),0)</f>
        <v>1</v>
      </c>
      <c r="C207" s="70">
        <f>B207+D207</f>
        <v>1</v>
      </c>
      <c r="D207" s="74">
        <f>IF(D206&gt;B206,IF(C241=AK177,1,IF(C241=AK177-1,1,0)),0)</f>
        <v>0</v>
      </c>
      <c r="E207" s="70">
        <f>IF(E206&gt;G206,IF(F241=AK177,1,IF(F241=AK177-1,1,0)),0)</f>
        <v>1</v>
      </c>
      <c r="F207" s="70">
        <f>E207+G207</f>
        <v>1</v>
      </c>
      <c r="G207" s="74">
        <f>IF(G206&gt;E206,IF(F241=AK177,1,IF(F241=AK177-1,1,0)),0)</f>
        <v>0</v>
      </c>
      <c r="H207" s="70">
        <f>IF(H206&gt;J206,IF(I241=AK177,1,IF(I241=AK177-1,1,0)),0)</f>
        <v>1</v>
      </c>
      <c r="I207" s="70">
        <f>H207+J207</f>
        <v>1</v>
      </c>
      <c r="J207" s="74">
        <f>IF(J206&gt;H206,IF(I241=AK177,1,IF(I241=AK177-1,1,0)),0)</f>
        <v>0</v>
      </c>
      <c r="K207" s="70">
        <f>IF(K206&gt;M206,IF(L241=AK177,1,IF(L241=AK177-1,1,0)),0)</f>
        <v>0</v>
      </c>
      <c r="L207" s="70">
        <f>K207+M207</f>
        <v>1</v>
      </c>
      <c r="M207" s="74">
        <f>IF(M206&gt;K206,IF(L241=AK177,1,IF(L241=AK177-1,1,0)),0)</f>
        <v>1</v>
      </c>
      <c r="N207" s="70">
        <f>IF(N206&gt;P206,IF(O241=AK177,1,IF(O241=AK177-1,1,0)),0)</f>
        <v>0</v>
      </c>
      <c r="O207" s="70">
        <f>N207+P207</f>
        <v>0</v>
      </c>
      <c r="P207" s="74">
        <f>IF(P206&gt;N206,IF(O241=AK177,1,IF(O241=AK177-1,1,0)),0)</f>
        <v>0</v>
      </c>
      <c r="Q207" s="70">
        <f>IF(Q206&gt;S206,IF(R241=AK177,1,IF(R241=AK177-1,1,0)),0)</f>
        <v>1</v>
      </c>
      <c r="R207" s="70">
        <f>Q207+S207</f>
        <v>1</v>
      </c>
      <c r="S207" s="74">
        <f>IF(S206&gt;Q206,IF(R241=AK177,1,IF(R241=AK177-1,1,0)),0)</f>
        <v>0</v>
      </c>
      <c r="T207" s="70">
        <f>IF(T206&gt;V206,IF(U241=AK177,1,IF(U241=AK177-1,1,0)),0)</f>
        <v>0</v>
      </c>
      <c r="U207" s="70">
        <f>T207+V207</f>
        <v>1</v>
      </c>
      <c r="V207" s="74">
        <f>IF(V206&gt;T206,IF(U241=AK177,1,IF(U241=AK177-1,1,0)),0)</f>
        <v>1</v>
      </c>
      <c r="W207" s="70">
        <f>IF(W206&gt;Y206,IF(X241=AK177,1,IF(X241=AK177-1,1,0)),0)</f>
        <v>1</v>
      </c>
      <c r="X207" s="70">
        <f>W207+Y207</f>
        <v>1</v>
      </c>
      <c r="Y207" s="74">
        <f>IF(Y206&gt;W206,IF(X241=AK177,1,IF(X241=AK177-1,1,0)),0)</f>
        <v>0</v>
      </c>
      <c r="Z207" s="70">
        <f>IF(Z206&gt;AB206,IF(AA241=AK177,1,IF(AA241=AK177-1,1,0)),0)</f>
        <v>1</v>
      </c>
      <c r="AA207" s="70">
        <f>Z207+AB207</f>
        <v>1</v>
      </c>
      <c r="AB207" s="74">
        <f>IF(AB206&gt;Z206,IF(AA241=AK177,1,IF(AA241=AK177-1,1,0)),0)</f>
        <v>0</v>
      </c>
      <c r="AC207" s="70">
        <f>IF(AC206&gt;AE206,IF(AD241=AK177,1,IF(AD241=AK177-1,1,0)),0)</f>
        <v>1</v>
      </c>
      <c r="AD207" s="70">
        <f>AC207+AE207</f>
        <v>1</v>
      </c>
      <c r="AE207" s="74">
        <f>IF(AE206&gt;AC206,IF(AD241=AK177,1,IF(AD241=AK177-1,1,0)),0)</f>
        <v>0</v>
      </c>
      <c r="AW207" s="154"/>
    </row>
    <row r="208" spans="1:49" s="70" customFormat="1" ht="25.5" hidden="1" customHeight="1" x14ac:dyDescent="0.2">
      <c r="A208" s="73"/>
      <c r="D208" s="74"/>
      <c r="G208" s="74"/>
      <c r="J208" s="74"/>
      <c r="M208" s="74"/>
      <c r="P208" s="74"/>
      <c r="S208" s="74"/>
      <c r="V208" s="74"/>
      <c r="Y208" s="74"/>
      <c r="AB208" s="74"/>
      <c r="AE208" s="74"/>
      <c r="AW208" s="154"/>
    </row>
    <row r="209" spans="1:49" s="70" customFormat="1" ht="12.75" hidden="1" customHeight="1" x14ac:dyDescent="0.2">
      <c r="A209" s="70" t="s">
        <v>82</v>
      </c>
      <c r="B209" s="70">
        <f>IF(B201=1,B195,0)</f>
        <v>25</v>
      </c>
      <c r="D209" s="74">
        <f t="shared" ref="D209:E213" si="20">IF(D201=1,D195,0)</f>
        <v>0</v>
      </c>
      <c r="E209" s="70">
        <f t="shared" si="20"/>
        <v>25</v>
      </c>
      <c r="G209" s="74">
        <f t="shared" ref="G209:H213" si="21">IF(G201=1,G195,0)</f>
        <v>0</v>
      </c>
      <c r="H209" s="70">
        <f t="shared" si="21"/>
        <v>25</v>
      </c>
      <c r="J209" s="74">
        <f t="shared" ref="J209:K213" si="22">IF(J201=1,J195,0)</f>
        <v>0</v>
      </c>
      <c r="K209" s="70">
        <f t="shared" si="22"/>
        <v>0</v>
      </c>
      <c r="M209" s="74">
        <f t="shared" ref="M209:N213" si="23">IF(M201=1,M195,0)</f>
        <v>25</v>
      </c>
      <c r="N209" s="70">
        <f t="shared" si="23"/>
        <v>25</v>
      </c>
      <c r="P209" s="74">
        <f t="shared" ref="P209:Q213" si="24">IF(P201=1,P195,0)</f>
        <v>0</v>
      </c>
      <c r="Q209" s="70">
        <f t="shared" si="24"/>
        <v>25</v>
      </c>
      <c r="S209" s="74">
        <f t="shared" ref="S209:T213" si="25">IF(S201=1,S195,0)</f>
        <v>0</v>
      </c>
      <c r="T209" s="70">
        <f t="shared" si="25"/>
        <v>0</v>
      </c>
      <c r="V209" s="74">
        <f t="shared" ref="V209:W213" si="26">IF(V201=1,V195,0)</f>
        <v>25</v>
      </c>
      <c r="W209" s="70">
        <f t="shared" si="26"/>
        <v>25</v>
      </c>
      <c r="Y209" s="74">
        <f t="shared" ref="Y209:Z213" si="27">IF(Y201=1,Y195,0)</f>
        <v>0</v>
      </c>
      <c r="Z209" s="70">
        <f t="shared" si="27"/>
        <v>25</v>
      </c>
      <c r="AB209" s="74">
        <f t="shared" ref="AB209:AC213" si="28">IF(AB201=1,AB195,0)</f>
        <v>0</v>
      </c>
      <c r="AC209" s="70">
        <f t="shared" si="28"/>
        <v>25</v>
      </c>
      <c r="AE209" s="74">
        <f>IF(AE201=1,AE195,0)</f>
        <v>0</v>
      </c>
      <c r="AW209" s="154"/>
    </row>
    <row r="210" spans="1:49" s="70" customFormat="1" ht="12.75" hidden="1" customHeight="1" x14ac:dyDescent="0.2">
      <c r="A210" s="70" t="s">
        <v>83</v>
      </c>
      <c r="B210" s="70">
        <f>IF(B202=1,B196,0)</f>
        <v>25</v>
      </c>
      <c r="D210" s="74">
        <f t="shared" si="20"/>
        <v>0</v>
      </c>
      <c r="E210" s="70">
        <f t="shared" si="20"/>
        <v>25</v>
      </c>
      <c r="G210" s="74">
        <f t="shared" si="21"/>
        <v>0</v>
      </c>
      <c r="H210" s="70">
        <f t="shared" si="21"/>
        <v>25</v>
      </c>
      <c r="J210" s="74">
        <f t="shared" si="22"/>
        <v>0</v>
      </c>
      <c r="K210" s="70">
        <f t="shared" si="22"/>
        <v>0</v>
      </c>
      <c r="M210" s="74">
        <f t="shared" si="23"/>
        <v>25</v>
      </c>
      <c r="N210" s="70">
        <f t="shared" si="23"/>
        <v>0</v>
      </c>
      <c r="P210" s="74">
        <f t="shared" si="24"/>
        <v>25</v>
      </c>
      <c r="Q210" s="70">
        <f t="shared" si="24"/>
        <v>25</v>
      </c>
      <c r="S210" s="74">
        <f t="shared" si="25"/>
        <v>0</v>
      </c>
      <c r="T210" s="70">
        <f t="shared" si="25"/>
        <v>0</v>
      </c>
      <c r="V210" s="74">
        <f t="shared" si="26"/>
        <v>25</v>
      </c>
      <c r="W210" s="70">
        <f t="shared" si="26"/>
        <v>25</v>
      </c>
      <c r="Y210" s="74">
        <f t="shared" si="27"/>
        <v>0</v>
      </c>
      <c r="Z210" s="70">
        <f t="shared" si="27"/>
        <v>25</v>
      </c>
      <c r="AB210" s="74">
        <f t="shared" si="28"/>
        <v>0</v>
      </c>
      <c r="AC210" s="70">
        <f t="shared" si="28"/>
        <v>25</v>
      </c>
      <c r="AE210" s="74">
        <f>IF(AE202=1,AE196,0)</f>
        <v>0</v>
      </c>
      <c r="AW210" s="154"/>
    </row>
    <row r="211" spans="1:49" s="70" customFormat="1" ht="12.75" hidden="1" customHeight="1" x14ac:dyDescent="0.2">
      <c r="A211" s="70" t="s">
        <v>84</v>
      </c>
      <c r="B211" s="70">
        <f>IF(B203=1,B197,0)</f>
        <v>0</v>
      </c>
      <c r="D211" s="74">
        <f t="shared" si="20"/>
        <v>0</v>
      </c>
      <c r="E211" s="70">
        <f t="shared" si="20"/>
        <v>0</v>
      </c>
      <c r="G211" s="74">
        <f t="shared" si="21"/>
        <v>0</v>
      </c>
      <c r="H211" s="70">
        <f t="shared" si="21"/>
        <v>0</v>
      </c>
      <c r="J211" s="74">
        <f t="shared" si="22"/>
        <v>0</v>
      </c>
      <c r="K211" s="70">
        <f t="shared" si="22"/>
        <v>0</v>
      </c>
      <c r="M211" s="74">
        <f t="shared" si="23"/>
        <v>0</v>
      </c>
      <c r="N211" s="70">
        <f t="shared" si="23"/>
        <v>0</v>
      </c>
      <c r="P211" s="74">
        <f t="shared" si="24"/>
        <v>0</v>
      </c>
      <c r="Q211" s="70">
        <f t="shared" si="24"/>
        <v>0</v>
      </c>
      <c r="S211" s="74">
        <f t="shared" si="25"/>
        <v>0</v>
      </c>
      <c r="T211" s="70">
        <f t="shared" si="25"/>
        <v>0</v>
      </c>
      <c r="V211" s="74">
        <f t="shared" si="26"/>
        <v>0</v>
      </c>
      <c r="W211" s="70">
        <f t="shared" si="26"/>
        <v>0</v>
      </c>
      <c r="Y211" s="74">
        <f t="shared" si="27"/>
        <v>0</v>
      </c>
      <c r="Z211" s="70">
        <f t="shared" si="27"/>
        <v>0</v>
      </c>
      <c r="AB211" s="74">
        <f t="shared" si="28"/>
        <v>0</v>
      </c>
      <c r="AC211" s="70">
        <f t="shared" si="28"/>
        <v>0</v>
      </c>
      <c r="AE211" s="74">
        <f>IF(AE203=1,AE197,0)</f>
        <v>0</v>
      </c>
      <c r="AW211" s="154"/>
    </row>
    <row r="212" spans="1:49" s="70" customFormat="1" ht="12.75" hidden="1" customHeight="1" x14ac:dyDescent="0.2">
      <c r="A212" s="70" t="s">
        <v>85</v>
      </c>
      <c r="B212" s="70">
        <f>IF(B204=1,B198,0)</f>
        <v>0</v>
      </c>
      <c r="D212" s="74">
        <f t="shared" si="20"/>
        <v>0</v>
      </c>
      <c r="E212" s="70">
        <f t="shared" si="20"/>
        <v>0</v>
      </c>
      <c r="G212" s="74">
        <f t="shared" si="21"/>
        <v>0</v>
      </c>
      <c r="H212" s="70">
        <f t="shared" si="21"/>
        <v>0</v>
      </c>
      <c r="J212" s="74">
        <f t="shared" si="22"/>
        <v>0</v>
      </c>
      <c r="K212" s="70">
        <f t="shared" si="22"/>
        <v>0</v>
      </c>
      <c r="M212" s="74">
        <f t="shared" si="23"/>
        <v>0</v>
      </c>
      <c r="N212" s="70">
        <f t="shared" si="23"/>
        <v>0</v>
      </c>
      <c r="P212" s="74">
        <f t="shared" si="24"/>
        <v>0</v>
      </c>
      <c r="Q212" s="70">
        <f t="shared" si="24"/>
        <v>0</v>
      </c>
      <c r="S212" s="74">
        <f t="shared" si="25"/>
        <v>0</v>
      </c>
      <c r="T212" s="70">
        <f t="shared" si="25"/>
        <v>0</v>
      </c>
      <c r="V212" s="74">
        <f t="shared" si="26"/>
        <v>0</v>
      </c>
      <c r="W212" s="70">
        <f t="shared" si="26"/>
        <v>0</v>
      </c>
      <c r="Y212" s="74">
        <f t="shared" si="27"/>
        <v>0</v>
      </c>
      <c r="Z212" s="70">
        <f t="shared" si="27"/>
        <v>0</v>
      </c>
      <c r="AB212" s="74">
        <f t="shared" si="28"/>
        <v>0</v>
      </c>
      <c r="AC212" s="70">
        <f t="shared" si="28"/>
        <v>0</v>
      </c>
      <c r="AE212" s="74">
        <f>IF(AE204=1,AE198,0)</f>
        <v>0</v>
      </c>
      <c r="AW212" s="154"/>
    </row>
    <row r="213" spans="1:49" s="70" customFormat="1" ht="12.75" hidden="1" customHeight="1" x14ac:dyDescent="0.2">
      <c r="A213" s="70" t="s">
        <v>86</v>
      </c>
      <c r="B213" s="70">
        <f>IF(B205=1,B199,0)</f>
        <v>0</v>
      </c>
      <c r="D213" s="74">
        <f t="shared" si="20"/>
        <v>0</v>
      </c>
      <c r="E213" s="70">
        <f t="shared" si="20"/>
        <v>0</v>
      </c>
      <c r="G213" s="74">
        <f t="shared" si="21"/>
        <v>0</v>
      </c>
      <c r="H213" s="70">
        <f t="shared" si="21"/>
        <v>0</v>
      </c>
      <c r="J213" s="74">
        <f t="shared" si="22"/>
        <v>0</v>
      </c>
      <c r="K213" s="70">
        <f t="shared" si="22"/>
        <v>0</v>
      </c>
      <c r="M213" s="74">
        <f t="shared" si="23"/>
        <v>0</v>
      </c>
      <c r="N213" s="70">
        <f t="shared" si="23"/>
        <v>0</v>
      </c>
      <c r="P213" s="74">
        <f t="shared" si="24"/>
        <v>0</v>
      </c>
      <c r="Q213" s="70">
        <f t="shared" si="24"/>
        <v>0</v>
      </c>
      <c r="S213" s="74">
        <f t="shared" si="25"/>
        <v>0</v>
      </c>
      <c r="T213" s="70">
        <f t="shared" si="25"/>
        <v>0</v>
      </c>
      <c r="V213" s="74">
        <f t="shared" si="26"/>
        <v>0</v>
      </c>
      <c r="W213" s="70">
        <f t="shared" si="26"/>
        <v>0</v>
      </c>
      <c r="Y213" s="74">
        <f t="shared" si="27"/>
        <v>0</v>
      </c>
      <c r="Z213" s="70">
        <f t="shared" si="27"/>
        <v>0</v>
      </c>
      <c r="AB213" s="74">
        <f t="shared" si="28"/>
        <v>0</v>
      </c>
      <c r="AC213" s="70">
        <f t="shared" si="28"/>
        <v>0</v>
      </c>
      <c r="AE213" s="74">
        <f>IF(AE205=1,AE199,0)</f>
        <v>0</v>
      </c>
      <c r="AW213" s="154"/>
    </row>
    <row r="214" spans="1:49" s="70" customFormat="1" ht="38.25" hidden="1" customHeight="1" x14ac:dyDescent="0.2">
      <c r="A214" s="73" t="s">
        <v>87</v>
      </c>
      <c r="B214" s="70">
        <f>SUM(B209:D213)</f>
        <v>50</v>
      </c>
      <c r="D214" s="74"/>
      <c r="E214" s="70">
        <f>SUM(E209:G213)</f>
        <v>50</v>
      </c>
      <c r="G214" s="74"/>
      <c r="H214" s="70">
        <f>SUM(H209:J213)</f>
        <v>50</v>
      </c>
      <c r="J214" s="74"/>
      <c r="K214" s="70">
        <f>SUM(K209:M213)</f>
        <v>50</v>
      </c>
      <c r="M214" s="74"/>
      <c r="N214" s="70">
        <f>SUM(N209:P213)</f>
        <v>50</v>
      </c>
      <c r="P214" s="74"/>
      <c r="Q214" s="70">
        <f>SUM(Q209:S213)</f>
        <v>50</v>
      </c>
      <c r="S214" s="74"/>
      <c r="T214" s="70">
        <f>SUM(T209:V213)</f>
        <v>50</v>
      </c>
      <c r="V214" s="74"/>
      <c r="W214" s="70">
        <f>SUM(W209:Y213)</f>
        <v>50</v>
      </c>
      <c r="Y214" s="74"/>
      <c r="Z214" s="70">
        <f>SUM(Z209:AB213)</f>
        <v>50</v>
      </c>
      <c r="AB214" s="74"/>
      <c r="AC214" s="70">
        <f>SUM(AC209:AE213)</f>
        <v>50</v>
      </c>
      <c r="AE214" s="74"/>
      <c r="AW214" s="154"/>
    </row>
    <row r="215" spans="1:49" s="70" customFormat="1" ht="38.25" hidden="1" customHeight="1" x14ac:dyDescent="0.2">
      <c r="A215" s="70" t="s">
        <v>88</v>
      </c>
      <c r="D215" s="74"/>
      <c r="G215" s="74"/>
      <c r="J215" s="74"/>
      <c r="M215" s="74"/>
      <c r="P215" s="74"/>
      <c r="S215" s="74"/>
      <c r="V215" s="74"/>
      <c r="Y215" s="74"/>
      <c r="AB215" s="74"/>
      <c r="AE215" s="74"/>
      <c r="AF215" s="73" t="s">
        <v>89</v>
      </c>
      <c r="AG215" s="70" t="s">
        <v>90</v>
      </c>
      <c r="AW215" s="154"/>
    </row>
    <row r="216" spans="1:49" s="70" customFormat="1" ht="12.75" hidden="1" customHeight="1" x14ac:dyDescent="0.2">
      <c r="A216" s="70" t="s">
        <v>91</v>
      </c>
      <c r="B216" s="70">
        <f>IF(B194=1,IF(B207=1,1,0),0)</f>
        <v>0</v>
      </c>
      <c r="D216" s="74">
        <f>IF(D194=1,IF(D207=1,1,0),0)</f>
        <v>0</v>
      </c>
      <c r="E216" s="70">
        <f>IF(E194=1,IF(E207=1,1,0),0)</f>
        <v>1</v>
      </c>
      <c r="G216" s="74">
        <f>IF(G194=1,IF(G207=1,1,0),0)</f>
        <v>0</v>
      </c>
      <c r="H216" s="70">
        <f>IF(H194=1,IF(H207=1,1,0),0)</f>
        <v>0</v>
      </c>
      <c r="J216" s="74">
        <f>IF(J194=1,IF(J207=1,1,0),0)</f>
        <v>0</v>
      </c>
      <c r="K216" s="70">
        <f>IF(K194=1,IF(K207=1,1,0),0)</f>
        <v>0</v>
      </c>
      <c r="M216" s="74">
        <f>IF(M194=1,IF(M207=1,1,0),0)</f>
        <v>0</v>
      </c>
      <c r="N216" s="70">
        <f>IF(N194=1,IF(N207=1,1,0),0)</f>
        <v>0</v>
      </c>
      <c r="P216" s="74">
        <f>IF(P194=1,IF(P207=1,1,0),0)</f>
        <v>0</v>
      </c>
      <c r="Q216" s="70">
        <f>IF(Q194=1,IF(Q207=1,1,0),0)</f>
        <v>0</v>
      </c>
      <c r="S216" s="74">
        <f>IF(S194=1,IF(S207=1,1,0),0)</f>
        <v>0</v>
      </c>
      <c r="T216" s="70">
        <f>IF(T194=1,IF(T207=1,1,0),0)</f>
        <v>0</v>
      </c>
      <c r="V216" s="74">
        <f>IF(V194=1,IF(V207=1,1,0),0)</f>
        <v>0</v>
      </c>
      <c r="W216" s="70">
        <f>IF(W194=1,IF(W207=1,1,0),0)</f>
        <v>1</v>
      </c>
      <c r="Y216" s="74">
        <f>IF(Y194=1,IF(Y207=1,1,0),0)</f>
        <v>0</v>
      </c>
      <c r="Z216" s="70">
        <f>IF(Z194=1,IF(Z207=1,1,0),0)</f>
        <v>0</v>
      </c>
      <c r="AB216" s="74">
        <f>IF(AB194=1,IF(AB207=1,1,0),0)</f>
        <v>0</v>
      </c>
      <c r="AC216" s="70">
        <f>IF(AC194=1,IF(AC207=1,1,0),0)</f>
        <v>1</v>
      </c>
      <c r="AE216" s="74">
        <f>IF(AE194=1,IF(AE207=1,1,0),0)</f>
        <v>0</v>
      </c>
      <c r="AF216" s="70">
        <f>SUM(B216:AE216)</f>
        <v>3</v>
      </c>
      <c r="AG216" s="70">
        <f>AF222-AF216</f>
        <v>0</v>
      </c>
      <c r="AW216" s="154"/>
    </row>
    <row r="217" spans="1:49" s="70" customFormat="1" ht="12.75" hidden="1" customHeight="1" x14ac:dyDescent="0.2">
      <c r="A217" s="70" t="s">
        <v>92</v>
      </c>
      <c r="B217" s="70">
        <f>IF(B194=2,IF(B207=1,1,0),0)</f>
        <v>1</v>
      </c>
      <c r="D217" s="74">
        <f>IF(D194=2,IF(D207=1,1,0),0)</f>
        <v>0</v>
      </c>
      <c r="E217" s="70">
        <f>IF(E194=2,IF(E207=1,1,0),0)</f>
        <v>0</v>
      </c>
      <c r="G217" s="74">
        <f>IF(G194=2,IF(G207=1,1,0),0)</f>
        <v>0</v>
      </c>
      <c r="H217" s="70">
        <f>IF(H194=2,IF(H207=1,1,0),0)</f>
        <v>0</v>
      </c>
      <c r="J217" s="74">
        <f>IF(J194=2,IF(J207=1,1,0),0)</f>
        <v>0</v>
      </c>
      <c r="K217" s="70">
        <f>IF(K194=2,IF(K207=1,1,0),0)</f>
        <v>0</v>
      </c>
      <c r="M217" s="74">
        <f>IF(M194=2,IF(M207=1,1,0),0)</f>
        <v>0</v>
      </c>
      <c r="N217" s="70">
        <f>IF(N194=2,IF(N207=1,1,0),0)</f>
        <v>0</v>
      </c>
      <c r="P217" s="74">
        <f>IF(P194=2,IF(P207=1,1,0),0)</f>
        <v>0</v>
      </c>
      <c r="Q217" s="70">
        <f>IF(Q194=2,IF(Q207=1,1,0),0)</f>
        <v>0</v>
      </c>
      <c r="S217" s="74">
        <f>IF(S194=2,IF(S207=1,1,0),0)</f>
        <v>0</v>
      </c>
      <c r="T217" s="70">
        <f>IF(T194=2,IF(T207=1,1,0),0)</f>
        <v>0</v>
      </c>
      <c r="V217" s="74">
        <f>IF(V194=2,IF(V207=1,1,0),0)</f>
        <v>0</v>
      </c>
      <c r="W217" s="70">
        <f>IF(W194=2,IF(W207=1,1,0),0)</f>
        <v>0</v>
      </c>
      <c r="Y217" s="74">
        <f>IF(Y194=2,IF(Y207=1,1,0),0)</f>
        <v>0</v>
      </c>
      <c r="Z217" s="70">
        <f>IF(Z194=2,IF(Z207=1,1,0),0)</f>
        <v>0</v>
      </c>
      <c r="AB217" s="74">
        <f>IF(AB194=2,IF(AB207=1,1,0),0)</f>
        <v>0</v>
      </c>
      <c r="AC217" s="70">
        <f>IF(AC194=2,IF(AC207=1,1,0),0)</f>
        <v>0</v>
      </c>
      <c r="AE217" s="74">
        <f>IF(AE194=2,IF(AE207=1,1,0),0)</f>
        <v>0</v>
      </c>
      <c r="AF217" s="70">
        <f>SUM(B217:AE217)</f>
        <v>1</v>
      </c>
      <c r="AG217" s="70">
        <f>AF223-AF217</f>
        <v>3</v>
      </c>
      <c r="AW217" s="154"/>
    </row>
    <row r="218" spans="1:49" s="70" customFormat="1" ht="12.75" hidden="1" customHeight="1" x14ac:dyDescent="0.2">
      <c r="A218" s="70" t="s">
        <v>93</v>
      </c>
      <c r="B218" s="70">
        <f>IF(B194=3,IF(B207=1,1,0),0)</f>
        <v>0</v>
      </c>
      <c r="D218" s="74">
        <f>IF(D194=3,IF(D207=1,1,0),0)</f>
        <v>0</v>
      </c>
      <c r="E218" s="70">
        <f>IF(E194=3,IF(E207=1,1,0),0)</f>
        <v>0</v>
      </c>
      <c r="G218" s="74">
        <f>IF(G194=3,IF(G207=1,1,0),0)</f>
        <v>0</v>
      </c>
      <c r="H218" s="70">
        <f>IF(H194=3,IF(H207=1,1,0),0)</f>
        <v>1</v>
      </c>
      <c r="J218" s="74">
        <f>IF(J194=3,IF(J207=1,1,0),0)</f>
        <v>0</v>
      </c>
      <c r="K218" s="70">
        <f>IF(K194=3,IF(K207=1,1,0),0)</f>
        <v>0</v>
      </c>
      <c r="M218" s="74">
        <f>IF(M194=3,IF(M207=1,1,0),0)</f>
        <v>0</v>
      </c>
      <c r="N218" s="70">
        <f>IF(N194=3,IF(N207=1,1,0),0)</f>
        <v>0</v>
      </c>
      <c r="P218" s="74">
        <f>IF(P194=3,IF(P207=1,1,0),0)</f>
        <v>0</v>
      </c>
      <c r="Q218" s="70">
        <f>IF(Q194=3,IF(Q207=1,1,0),0)</f>
        <v>0</v>
      </c>
      <c r="S218" s="74">
        <f>IF(S194=3,IF(S207=1,1,0),0)</f>
        <v>0</v>
      </c>
      <c r="T218" s="70">
        <f>IF(T194=3,IF(T207=1,1,0),0)</f>
        <v>0</v>
      </c>
      <c r="V218" s="74">
        <f>IF(V194=3,IF(V207=1,1,0),0)</f>
        <v>1</v>
      </c>
      <c r="W218" s="70">
        <f>IF(W194=3,IF(W207=1,1,0),0)</f>
        <v>0</v>
      </c>
      <c r="Y218" s="74">
        <f>IF(Y194=3,IF(Y207=1,1,0),0)</f>
        <v>0</v>
      </c>
      <c r="Z218" s="70">
        <f>IF(Z194=3,IF(Z207=1,1,0),0)</f>
        <v>1</v>
      </c>
      <c r="AB218" s="74">
        <f>IF(AB194=3,IF(AB207=1,1,0),0)</f>
        <v>0</v>
      </c>
      <c r="AC218" s="70">
        <f>IF(AC194=3,IF(AC207=1,1,0),0)</f>
        <v>0</v>
      </c>
      <c r="AE218" s="74">
        <f>IF(AE194=3,IF(AE207=1,1,0),0)</f>
        <v>0</v>
      </c>
      <c r="AF218" s="70">
        <f>SUM(B218:AE218)</f>
        <v>3</v>
      </c>
      <c r="AG218" s="70">
        <f>AF224-AF218</f>
        <v>0</v>
      </c>
      <c r="AW218" s="154"/>
    </row>
    <row r="219" spans="1:49" s="70" customFormat="1" ht="12.75" hidden="1" customHeight="1" x14ac:dyDescent="0.2">
      <c r="A219" s="70" t="s">
        <v>94</v>
      </c>
      <c r="B219" s="70">
        <f>IF(B194=4,IF(B207=1,1,0),0)</f>
        <v>0</v>
      </c>
      <c r="D219" s="74">
        <f>IF(D194=4,IF(D207=1,1,0),0)</f>
        <v>0</v>
      </c>
      <c r="E219" s="70">
        <f>IF(E194=4,IF(E207=1,1,0),0)</f>
        <v>0</v>
      </c>
      <c r="G219" s="74">
        <f>IF(G194=4,IF(G207=1,1,0),0)</f>
        <v>0</v>
      </c>
      <c r="H219" s="70">
        <f>IF(H194=4,IF(H207=1,1,0),0)</f>
        <v>0</v>
      </c>
      <c r="J219" s="74">
        <f>IF(J194=4,IF(J207=1,1,0),0)</f>
        <v>0</v>
      </c>
      <c r="K219" s="70">
        <f>IF(K194=4,IF(K207=1,1,0),0)</f>
        <v>0</v>
      </c>
      <c r="M219" s="74">
        <f>IF(M194=4,IF(M207=1,1,0),0)</f>
        <v>1</v>
      </c>
      <c r="N219" s="70">
        <f>IF(N194=4,IF(N207=1,1,0),0)</f>
        <v>0</v>
      </c>
      <c r="P219" s="74">
        <f>IF(P194=4,IF(P207=1,1,0),0)</f>
        <v>0</v>
      </c>
      <c r="Q219" s="70">
        <f>IF(Q194=4,IF(Q207=1,1,0),0)</f>
        <v>1</v>
      </c>
      <c r="S219" s="74">
        <f>IF(S194=4,IF(S207=1,1,0),0)</f>
        <v>0</v>
      </c>
      <c r="T219" s="70">
        <f>IF(T194=4,IF(T207=1,1,0),0)</f>
        <v>0</v>
      </c>
      <c r="V219" s="74">
        <f>IF(V194=4,IF(V207=1,1,0),0)</f>
        <v>0</v>
      </c>
      <c r="W219" s="70">
        <f>IF(W194=4,IF(W207=1,1,0),0)</f>
        <v>0</v>
      </c>
      <c r="Y219" s="74">
        <f>IF(Y194=4,IF(Y207=1,1,0),0)</f>
        <v>0</v>
      </c>
      <c r="Z219" s="70">
        <f>IF(Z194=4,IF(Z207=1,1,0),0)</f>
        <v>0</v>
      </c>
      <c r="AB219" s="74">
        <f>IF(AB194=4,IF(AB207=1,1,0),0)</f>
        <v>0</v>
      </c>
      <c r="AC219" s="70">
        <f>IF(AC194=4,IF(AC207=1,1,0),0)</f>
        <v>0</v>
      </c>
      <c r="AE219" s="74">
        <f>IF(AE194=4,IF(AE207=1,1,0),0)</f>
        <v>0</v>
      </c>
      <c r="AF219" s="70">
        <f>SUM(B219:AE219)</f>
        <v>2</v>
      </c>
      <c r="AG219" s="70">
        <f>AF225-AF219</f>
        <v>2</v>
      </c>
      <c r="AW219" s="154"/>
    </row>
    <row r="220" spans="1:49" s="70" customFormat="1" ht="12.75" hidden="1" customHeight="1" x14ac:dyDescent="0.2">
      <c r="A220" s="70" t="s">
        <v>95</v>
      </c>
      <c r="B220" s="70">
        <f>IF(B194=5,IF(B207=1,1,0),0)</f>
        <v>0</v>
      </c>
      <c r="D220" s="74">
        <f>IF(D194=5,IF(D207=1,1,0),0)</f>
        <v>0</v>
      </c>
      <c r="E220" s="70">
        <f>IF(E194=5,IF(E207=1,1,0),0)</f>
        <v>0</v>
      </c>
      <c r="G220" s="74">
        <f>IF(G194=5,IF(G207=1,1,0),0)</f>
        <v>0</v>
      </c>
      <c r="H220" s="70">
        <f>IF(H194=5,IF(H207=1,1,0),0)</f>
        <v>0</v>
      </c>
      <c r="J220" s="74">
        <f>IF(J194=5,IF(J207=1,1,0),0)</f>
        <v>0</v>
      </c>
      <c r="K220" s="70">
        <f>IF(K194=5,IF(K207=1,1,0),0)</f>
        <v>0</v>
      </c>
      <c r="M220" s="74">
        <f>IF(M194=5,IF(M207=1,1,0),0)</f>
        <v>0</v>
      </c>
      <c r="N220" s="70">
        <f>IF(N194=5,IF(N207=1,1,0),0)</f>
        <v>0</v>
      </c>
      <c r="P220" s="74">
        <f>IF(P194=5,IF(P207=1,1,0),0)</f>
        <v>0</v>
      </c>
      <c r="Q220" s="70">
        <f>IF(Q194=5,IF(Q207=1,1,0),0)</f>
        <v>0</v>
      </c>
      <c r="S220" s="74">
        <f>IF(S194=5,IF(S207=1,1,0),0)</f>
        <v>0</v>
      </c>
      <c r="T220" s="70">
        <f>IF(T194=5,IF(T207=1,1,0),0)</f>
        <v>0</v>
      </c>
      <c r="V220" s="74">
        <f>IF(V194=5,IF(V207=1,1,0),0)</f>
        <v>0</v>
      </c>
      <c r="W220" s="70">
        <f>IF(W194=5,IF(W207=1,1,0),0)</f>
        <v>0</v>
      </c>
      <c r="Y220" s="74">
        <f>IF(Y194=5,IF(Y207=1,1,0),0)</f>
        <v>0</v>
      </c>
      <c r="Z220" s="70">
        <f>IF(Z194=5,IF(Z207=1,1,0),0)</f>
        <v>0</v>
      </c>
      <c r="AB220" s="74">
        <f>IF(AB194=5,IF(AB207=1,1,0),0)</f>
        <v>0</v>
      </c>
      <c r="AC220" s="70">
        <f>IF(AC194=5,IF(AC207=1,1,0),0)</f>
        <v>0</v>
      </c>
      <c r="AE220" s="74">
        <f>IF(AE194=5,IF(AE207=1,1,0),0)</f>
        <v>0</v>
      </c>
      <c r="AF220" s="70">
        <f>SUM(B220:AE220)</f>
        <v>0</v>
      </c>
      <c r="AG220" s="70">
        <f>AF226-AF220</f>
        <v>4</v>
      </c>
      <c r="AW220" s="154"/>
    </row>
    <row r="221" spans="1:49" s="70" customFormat="1" ht="38.25" hidden="1" customHeight="1" x14ac:dyDescent="0.2">
      <c r="A221" s="73"/>
      <c r="D221" s="74"/>
      <c r="G221" s="74"/>
      <c r="J221" s="74"/>
      <c r="M221" s="74"/>
      <c r="P221" s="74"/>
      <c r="S221" s="74"/>
      <c r="V221" s="74"/>
      <c r="Y221" s="74"/>
      <c r="AB221" s="74"/>
      <c r="AE221" s="74"/>
      <c r="AF221" s="73" t="s">
        <v>96</v>
      </c>
      <c r="AW221" s="154"/>
    </row>
    <row r="222" spans="1:49" s="70" customFormat="1" ht="12.75" hidden="1" customHeight="1" x14ac:dyDescent="0.2">
      <c r="A222" s="70" t="s">
        <v>97</v>
      </c>
      <c r="B222" s="70">
        <f>IF(B194=1,IF(C207=1,1,0),0)</f>
        <v>0</v>
      </c>
      <c r="D222" s="74">
        <f>IF(D194=1,IF(C207=1,1,0),0)</f>
        <v>0</v>
      </c>
      <c r="E222" s="70">
        <f>IF(E194=1,IF(F207=1,1,0),0)</f>
        <v>1</v>
      </c>
      <c r="G222" s="74">
        <f>IF(G194=1,IF(F207=1,1,0),0)</f>
        <v>0</v>
      </c>
      <c r="H222" s="70">
        <f>IF(H194=1,IF(I207=1,1,0),0)</f>
        <v>0</v>
      </c>
      <c r="J222" s="74">
        <f>IF(J194=1,IF(I207=1,1,0),0)</f>
        <v>0</v>
      </c>
      <c r="K222" s="70">
        <f>IF(K194=1,IF(L207=1,1,0),0)</f>
        <v>0</v>
      </c>
      <c r="M222" s="74">
        <f>IF(M194=1,IF(L207=1,1,0),0)</f>
        <v>0</v>
      </c>
      <c r="N222" s="70">
        <f>IF(N194=1,IF(O207=1,1,0),0)</f>
        <v>0</v>
      </c>
      <c r="P222" s="74">
        <f>IF(P194=1,IF(O207=1,1,0),0)</f>
        <v>0</v>
      </c>
      <c r="Q222" s="70">
        <f>IF(Q194=1,IF(R207=1,1,0),0)</f>
        <v>0</v>
      </c>
      <c r="S222" s="74">
        <f>IF(S194=1,IF(R207=1,1,0),0)</f>
        <v>0</v>
      </c>
      <c r="T222" s="70">
        <f>IF(T194=1,IF(U207=1,1,0),0)</f>
        <v>0</v>
      </c>
      <c r="V222" s="74">
        <f>IF(V194=1,IF(U207=1,1,0),0)</f>
        <v>0</v>
      </c>
      <c r="W222" s="70">
        <f>IF(W194=1,IF(X207=1,1,0),0)</f>
        <v>1</v>
      </c>
      <c r="Y222" s="74">
        <f>IF(Y194=1,IF(X207=1,1,0),0)</f>
        <v>0</v>
      </c>
      <c r="Z222" s="70">
        <f>IF(Z194=1,IF(AA207=1,1,0),0)</f>
        <v>0</v>
      </c>
      <c r="AB222" s="74">
        <f>IF(AB194=1,IF(AA207=1,1,0),0)</f>
        <v>0</v>
      </c>
      <c r="AC222" s="70">
        <f>IF(AC194=1,IF(AD207=1,1,0),0)</f>
        <v>1</v>
      </c>
      <c r="AE222" s="74">
        <f>IF(AE194=1,IF(AD207=1,1,0),0)</f>
        <v>0</v>
      </c>
      <c r="AF222" s="70">
        <f>SUM(B222:AE222)</f>
        <v>3</v>
      </c>
      <c r="AW222" s="154"/>
    </row>
    <row r="223" spans="1:49" s="70" customFormat="1" ht="12.75" hidden="1" customHeight="1" x14ac:dyDescent="0.2">
      <c r="A223" s="70" t="s">
        <v>98</v>
      </c>
      <c r="B223" s="70">
        <f>IF(B194=2,IF(C207=1,1,0),0)</f>
        <v>1</v>
      </c>
      <c r="D223" s="74">
        <f>IF(D194=2,IF(C207=1,1,0),0)</f>
        <v>0</v>
      </c>
      <c r="E223" s="70">
        <f>IF(E194=2,IF(F207=1,1,0),0)</f>
        <v>0</v>
      </c>
      <c r="G223" s="74">
        <f>IF(G194=2,IF(F207=1,1,0),0)</f>
        <v>0</v>
      </c>
      <c r="H223" s="70">
        <f>IF(H194=2,IF(I207=1,1,0),0)</f>
        <v>0</v>
      </c>
      <c r="J223" s="74">
        <f>IF(J194=2,IF(I207=1,1,0),0)</f>
        <v>0</v>
      </c>
      <c r="K223" s="70">
        <f>IF(K194=2,IF(L207=1,1,0),0)</f>
        <v>1</v>
      </c>
      <c r="M223" s="74">
        <f>IF(M194=2,IF(L207=1,1,0),0)</f>
        <v>0</v>
      </c>
      <c r="N223" s="70">
        <f>IF(N194=2,IF(O207=1,1,0),0)</f>
        <v>0</v>
      </c>
      <c r="P223" s="74">
        <f>IF(P194=2,IF(O207=1,1,0),0)</f>
        <v>0</v>
      </c>
      <c r="Q223" s="70">
        <f>IF(Q194=2,IF(R207=1,1,0),0)</f>
        <v>0</v>
      </c>
      <c r="S223" s="74">
        <f>IF(S194=2,IF(R207=1,1,0),0)</f>
        <v>0</v>
      </c>
      <c r="T223" s="70">
        <f>IF(T194=2,IF(U207=1,1,0),0)</f>
        <v>1</v>
      </c>
      <c r="V223" s="74">
        <f>IF(V194=2,IF(U207=1,1,0),0)</f>
        <v>0</v>
      </c>
      <c r="W223" s="70">
        <f>IF(W194=2,IF(X207=1,1,0),0)</f>
        <v>0</v>
      </c>
      <c r="Y223" s="74">
        <f>IF(Y194=2,IF(X207=1,1,0),0)</f>
        <v>0</v>
      </c>
      <c r="Z223" s="70">
        <f>IF(Z194=2,IF(AA207=1,1,0),0)</f>
        <v>0</v>
      </c>
      <c r="AB223" s="74">
        <f>IF(AB194=2,IF(AA207=1,1,0),0)</f>
        <v>0</v>
      </c>
      <c r="AC223" s="70">
        <f>IF(AC194=2,IF(AD207=1,1,0),0)</f>
        <v>0</v>
      </c>
      <c r="AE223" s="74">
        <f>IF(AE194=2,IF(AD207=1,1,0),0)</f>
        <v>1</v>
      </c>
      <c r="AF223" s="70">
        <f>SUM(B223:AE223)</f>
        <v>4</v>
      </c>
      <c r="AW223" s="154"/>
    </row>
    <row r="224" spans="1:49" s="70" customFormat="1" ht="12.75" hidden="1" customHeight="1" x14ac:dyDescent="0.2">
      <c r="A224" s="70" t="s">
        <v>99</v>
      </c>
      <c r="B224" s="70">
        <f>IF(B194=3,IF(C207=1,1,0),0)</f>
        <v>0</v>
      </c>
      <c r="D224" s="74">
        <f>IF(D194=3,IF(C207=1,1,0),0)</f>
        <v>0</v>
      </c>
      <c r="E224" s="70">
        <f>IF(E194=3,IF(F207=1,1,0),0)</f>
        <v>0</v>
      </c>
      <c r="G224" s="74">
        <f>IF(G194=3,IF(F207=1,1,0),0)</f>
        <v>0</v>
      </c>
      <c r="H224" s="70">
        <f>IF(H194=3,IF(I207=1,1,0),0)</f>
        <v>1</v>
      </c>
      <c r="J224" s="74">
        <f>IF(J194=3,IF(I207=1,1,0),0)</f>
        <v>0</v>
      </c>
      <c r="K224" s="70">
        <f>IF(K194=3,IF(L207=1,1,0),0)</f>
        <v>0</v>
      </c>
      <c r="M224" s="74">
        <f>IF(M194=3,IF(L207=1,1,0),0)</f>
        <v>0</v>
      </c>
      <c r="N224" s="70">
        <f>IF(N194=3,IF(O207=1,1,0),0)</f>
        <v>0</v>
      </c>
      <c r="P224" s="74">
        <f>IF(P194=3,IF(O207=1,1,0),0)</f>
        <v>0</v>
      </c>
      <c r="Q224" s="70">
        <f>IF(Q194=3,IF(R207=1,1,0),0)</f>
        <v>0</v>
      </c>
      <c r="S224" s="74">
        <f>IF(S194=3,IF(R207=1,1,0),0)</f>
        <v>0</v>
      </c>
      <c r="T224" s="70">
        <f>IF(T194=3,IF(U207=1,1,0),0)</f>
        <v>0</v>
      </c>
      <c r="V224" s="74">
        <f>IF(V194=3,IF(U207=1,1,0),0)</f>
        <v>1</v>
      </c>
      <c r="W224" s="70">
        <f>IF(W194=3,IF(X207=1,1,0),0)</f>
        <v>0</v>
      </c>
      <c r="Y224" s="74">
        <f>IF(Y194=3,IF(X207=1,1,0),0)</f>
        <v>0</v>
      </c>
      <c r="Z224" s="70">
        <f>IF(Z194=3,IF(AA207=1,1,0),0)</f>
        <v>1</v>
      </c>
      <c r="AB224" s="74">
        <f>IF(AB194=3,IF(AA207=1,1,0),0)</f>
        <v>0</v>
      </c>
      <c r="AC224" s="70">
        <f>IF(AC194=3,IF(AD207=1,1,0),0)</f>
        <v>0</v>
      </c>
      <c r="AE224" s="74">
        <f>IF(AE194=3,IF(AD207=1,1,0),0)</f>
        <v>0</v>
      </c>
      <c r="AF224" s="70">
        <f>SUM(B224:AE224)</f>
        <v>3</v>
      </c>
      <c r="AW224" s="154"/>
    </row>
    <row r="225" spans="1:49" s="70" customFormat="1" ht="12.75" hidden="1" customHeight="1" x14ac:dyDescent="0.2">
      <c r="A225" s="70" t="s">
        <v>100</v>
      </c>
      <c r="B225" s="70">
        <f>IF(B194=4,IF(C207=1,1,0),0)</f>
        <v>0</v>
      </c>
      <c r="D225" s="74">
        <f>IF(D194=4,IF(C207=1,1,0),0)</f>
        <v>0</v>
      </c>
      <c r="E225" s="70">
        <f>IF(E194=4,IF(F207=1,1,0),0)</f>
        <v>0</v>
      </c>
      <c r="G225" s="74">
        <f>IF(G194=4,IF(F207=1,1,0),0)</f>
        <v>1</v>
      </c>
      <c r="H225" s="70">
        <f>IF(H194=4,IF(I207=1,1,0),0)</f>
        <v>0</v>
      </c>
      <c r="J225" s="74">
        <f>IF(J194=4,IF(I207=1,1,0),0)</f>
        <v>0</v>
      </c>
      <c r="K225" s="70">
        <f>IF(K194=4,IF(L207=1,1,0),0)</f>
        <v>0</v>
      </c>
      <c r="M225" s="74">
        <f>IF(M194=4,IF(L207=1,1,0),0)</f>
        <v>1</v>
      </c>
      <c r="N225" s="70">
        <f>IF(N194=4,IF(O207=1,1,0),0)</f>
        <v>0</v>
      </c>
      <c r="P225" s="74">
        <f>IF(P194=4,IF(O207=1,1,0),0)</f>
        <v>0</v>
      </c>
      <c r="Q225" s="70">
        <f>IF(Q194=4,IF(R207=1,1,0),0)</f>
        <v>1</v>
      </c>
      <c r="S225" s="74">
        <f>IF(S194=4,IF(R207=1,1,0),0)</f>
        <v>0</v>
      </c>
      <c r="T225" s="70">
        <f>IF(T194=4,IF(U207=1,1,0),0)</f>
        <v>0</v>
      </c>
      <c r="V225" s="74">
        <f>IF(V194=4,IF(U207=1,1,0),0)</f>
        <v>0</v>
      </c>
      <c r="W225" s="70">
        <f>IF(W194=4,IF(X207=1,1,0),0)</f>
        <v>0</v>
      </c>
      <c r="Y225" s="74">
        <f>IF(Y194=4,IF(X207=1,1,0),0)</f>
        <v>0</v>
      </c>
      <c r="Z225" s="70">
        <f>IF(Z194=4,IF(AA207=1,1,0),0)</f>
        <v>0</v>
      </c>
      <c r="AB225" s="74">
        <f>IF(AB194=4,IF(AA207=1,1,0),0)</f>
        <v>1</v>
      </c>
      <c r="AC225" s="70">
        <f>IF(AC194=4,IF(AD207=1,1,0),0)</f>
        <v>0</v>
      </c>
      <c r="AE225" s="74">
        <f>IF(AE194=4,IF(AD207=1,1,0),0)</f>
        <v>0</v>
      </c>
      <c r="AF225" s="70">
        <f>SUM(B225:AE225)</f>
        <v>4</v>
      </c>
      <c r="AW225" s="154"/>
    </row>
    <row r="226" spans="1:49" s="70" customFormat="1" ht="12.75" hidden="1" customHeight="1" x14ac:dyDescent="0.2">
      <c r="A226" s="70" t="s">
        <v>101</v>
      </c>
      <c r="B226" s="70">
        <f>IF(B194=5,IF(C207=1,1,0),0)</f>
        <v>0</v>
      </c>
      <c r="D226" s="74">
        <f>IF(D194=5,IF(C207=1,1,0),0)</f>
        <v>1</v>
      </c>
      <c r="E226" s="70">
        <f>IF(E194=5,IF(F207=1,1,0),0)</f>
        <v>0</v>
      </c>
      <c r="G226" s="74">
        <f>IF(G194=5,IF(F207=1,1,0),0)</f>
        <v>0</v>
      </c>
      <c r="H226" s="70">
        <f>IF(H194=5,IF(I207=1,1,0),0)</f>
        <v>0</v>
      </c>
      <c r="J226" s="74">
        <f>IF(J194=5,IF(I207=1,1,0),0)</f>
        <v>1</v>
      </c>
      <c r="K226" s="70">
        <f>IF(K194=5,IF(L207=1,1,0),0)</f>
        <v>0</v>
      </c>
      <c r="M226" s="74">
        <f>IF(M194=5,IF(L207=1,1,0),0)</f>
        <v>0</v>
      </c>
      <c r="N226" s="70">
        <f>IF(N194=5,IF(O207=1,1,0),0)</f>
        <v>0</v>
      </c>
      <c r="P226" s="74">
        <f>IF(P194=5,IF(O207=1,1,0),0)</f>
        <v>0</v>
      </c>
      <c r="Q226" s="70">
        <f>IF(Q194=5,IF(R207=1,1,0),0)</f>
        <v>0</v>
      </c>
      <c r="S226" s="74">
        <f>IF(S194=5,IF(R207=1,1,0),0)</f>
        <v>1</v>
      </c>
      <c r="T226" s="70">
        <f>IF(T194=5,IF(U207=1,1,0),0)</f>
        <v>0</v>
      </c>
      <c r="V226" s="74">
        <f>IF(V194=5,IF(U207=1,1,0),0)</f>
        <v>0</v>
      </c>
      <c r="W226" s="70">
        <f>IF(W194=5,IF(X207=1,1,0),0)</f>
        <v>0</v>
      </c>
      <c r="Y226" s="74">
        <f>IF(Y194=5,IF(X207=1,1,0),0)</f>
        <v>1</v>
      </c>
      <c r="Z226" s="70">
        <f>IF(Z194=5,IF(AA207=1,1,0),0)</f>
        <v>0</v>
      </c>
      <c r="AB226" s="74">
        <f>IF(AB194=5,IF(AA207=1,1,0),0)</f>
        <v>0</v>
      </c>
      <c r="AC226" s="70">
        <f>IF(AC194=5,IF(AD207=1,1,0),0)</f>
        <v>0</v>
      </c>
      <c r="AE226" s="74">
        <f>IF(AE194=5,IF(AD207=1,1,0),0)</f>
        <v>0</v>
      </c>
      <c r="AF226" s="70">
        <f>SUM(B226:AE226)</f>
        <v>4</v>
      </c>
      <c r="AW226" s="154"/>
    </row>
    <row r="227" spans="1:49" s="70" customFormat="1" ht="38.25" hidden="1" customHeight="1" x14ac:dyDescent="0.2">
      <c r="A227" s="73"/>
      <c r="D227" s="74"/>
      <c r="G227" s="74"/>
      <c r="J227" s="74"/>
      <c r="M227" s="74"/>
      <c r="P227" s="74"/>
      <c r="S227" s="74"/>
      <c r="V227" s="74"/>
      <c r="Y227" s="74"/>
      <c r="AB227" s="74"/>
      <c r="AE227" s="74"/>
      <c r="AF227" s="73" t="s">
        <v>102</v>
      </c>
      <c r="AG227" s="280"/>
      <c r="AH227" s="280"/>
      <c r="AI227" s="280"/>
      <c r="AJ227" s="280"/>
      <c r="AK227" s="280"/>
      <c r="AW227" s="154"/>
    </row>
    <row r="228" spans="1:49" s="70" customFormat="1" ht="12.75" hidden="1" customHeight="1" x14ac:dyDescent="0.2">
      <c r="A228" s="70" t="s">
        <v>97</v>
      </c>
      <c r="B228" s="70">
        <f>IF(B194=1,B214,0)</f>
        <v>0</v>
      </c>
      <c r="D228" s="74">
        <f>IF(D194=1,B214,0)</f>
        <v>0</v>
      </c>
      <c r="E228" s="70">
        <f>IF(E194=1,E214,0)</f>
        <v>50</v>
      </c>
      <c r="G228" s="74">
        <f>IF(G194=1,E214,0)</f>
        <v>0</v>
      </c>
      <c r="H228" s="70">
        <f>IF(H194=1,H214,0)</f>
        <v>0</v>
      </c>
      <c r="J228" s="74">
        <f>IF(J194=1,H214,0)</f>
        <v>0</v>
      </c>
      <c r="K228" s="70">
        <f>IF(K194=1,K214,0)</f>
        <v>0</v>
      </c>
      <c r="M228" s="74">
        <f>IF(M194=1,K214,0)</f>
        <v>0</v>
      </c>
      <c r="N228" s="70">
        <f>IF(N194=1,N214,0)</f>
        <v>50</v>
      </c>
      <c r="P228" s="74">
        <f>IF(P194=1,N214,0)</f>
        <v>0</v>
      </c>
      <c r="Q228" s="70">
        <f>IF(Q194=1,Q214,0)</f>
        <v>0</v>
      </c>
      <c r="S228" s="74">
        <f>IF(S194=1,Q214,0)</f>
        <v>0</v>
      </c>
      <c r="T228" s="70">
        <f>IF(T194=1,T214,0)</f>
        <v>0</v>
      </c>
      <c r="V228" s="74">
        <f>IF(V194=1,T214,0)</f>
        <v>0</v>
      </c>
      <c r="W228" s="70">
        <f>IF(W194=1,W214,0)</f>
        <v>50</v>
      </c>
      <c r="Y228" s="74">
        <f>IF(Y194=1,W214,0)</f>
        <v>0</v>
      </c>
      <c r="Z228" s="70">
        <f>IF(Z194=1,Z214,0)</f>
        <v>0</v>
      </c>
      <c r="AB228" s="74">
        <f>IF(AB194=1,Z214,0)</f>
        <v>0</v>
      </c>
      <c r="AC228" s="70">
        <f>IF(AC194=1,AC214,0)</f>
        <v>50</v>
      </c>
      <c r="AE228" s="74">
        <f>IF(AE194=1,AC214,0)</f>
        <v>0</v>
      </c>
      <c r="AF228" s="70">
        <f>SUM(B228:AE228)</f>
        <v>200</v>
      </c>
      <c r="AW228" s="154"/>
    </row>
    <row r="229" spans="1:49" s="70" customFormat="1" ht="12.75" hidden="1" customHeight="1" x14ac:dyDescent="0.2">
      <c r="A229" s="70" t="s">
        <v>98</v>
      </c>
      <c r="B229" s="70">
        <f>IF(B194=2,B214,0)</f>
        <v>50</v>
      </c>
      <c r="D229" s="74">
        <f>IF(D194=2,B214,0)</f>
        <v>0</v>
      </c>
      <c r="E229" s="70">
        <f>IF(E194=2,E214,0)</f>
        <v>0</v>
      </c>
      <c r="G229" s="74">
        <f>IF(G194=2,E214,0)</f>
        <v>0</v>
      </c>
      <c r="H229" s="70">
        <f>IF(H194=2,H214,0)</f>
        <v>0</v>
      </c>
      <c r="J229" s="74">
        <f>IF(J194=2,H214,0)</f>
        <v>0</v>
      </c>
      <c r="K229" s="70">
        <f>IF(K194=2,K214,0)</f>
        <v>50</v>
      </c>
      <c r="M229" s="74">
        <f>IF(M194=2,K214,0)</f>
        <v>0</v>
      </c>
      <c r="N229" s="70">
        <f>IF(N194=2,N214,0)</f>
        <v>0</v>
      </c>
      <c r="P229" s="74">
        <f>IF(P194=2,N214,0)</f>
        <v>0</v>
      </c>
      <c r="Q229" s="70">
        <f>IF(Q194=2,Q214,0)</f>
        <v>0</v>
      </c>
      <c r="S229" s="74">
        <f>IF(S194=2,Q214,0)</f>
        <v>0</v>
      </c>
      <c r="T229" s="70">
        <f>IF(T194=2,T214,0)</f>
        <v>50</v>
      </c>
      <c r="V229" s="74">
        <f>IF(V194=2,T214,0)</f>
        <v>0</v>
      </c>
      <c r="W229" s="70">
        <f>IF(W194=2,W214,0)</f>
        <v>0</v>
      </c>
      <c r="Y229" s="74">
        <f>IF(Y194=2,W214,0)</f>
        <v>0</v>
      </c>
      <c r="Z229" s="70">
        <f>IF(Z194=2,Z214,0)</f>
        <v>0</v>
      </c>
      <c r="AB229" s="74">
        <f>IF(AB194=2,Z214,0)</f>
        <v>0</v>
      </c>
      <c r="AC229" s="70">
        <f>IF(AC194=2,AC214,0)</f>
        <v>0</v>
      </c>
      <c r="AE229" s="74">
        <f>IF(AE194=2,AC214,0)</f>
        <v>50</v>
      </c>
      <c r="AF229" s="70">
        <f>SUM(B229:AE229)</f>
        <v>200</v>
      </c>
      <c r="AW229" s="154"/>
    </row>
    <row r="230" spans="1:49" s="70" customFormat="1" ht="12.75" hidden="1" customHeight="1" x14ac:dyDescent="0.2">
      <c r="A230" s="70" t="s">
        <v>99</v>
      </c>
      <c r="B230" s="70">
        <f>IF(B194=3,B214,0)</f>
        <v>0</v>
      </c>
      <c r="D230" s="74">
        <f>IF(D194=3,B214,0)</f>
        <v>0</v>
      </c>
      <c r="E230" s="70">
        <f>IF(E194=3,E214,0)</f>
        <v>0</v>
      </c>
      <c r="G230" s="74">
        <f>IF(G194=3,E214,0)</f>
        <v>0</v>
      </c>
      <c r="H230" s="70">
        <f>IF(H194=3,H214,0)</f>
        <v>50</v>
      </c>
      <c r="J230" s="74">
        <f>IF(J194=3,H214,0)</f>
        <v>0</v>
      </c>
      <c r="K230" s="70">
        <f>IF(K194=3,K214,0)</f>
        <v>0</v>
      </c>
      <c r="M230" s="74">
        <f>IF(M194=3,K214,0)</f>
        <v>0</v>
      </c>
      <c r="N230" s="70">
        <f>IF(N194=3,N214,0)</f>
        <v>0</v>
      </c>
      <c r="P230" s="74">
        <f>IF(P194=3,N214,0)</f>
        <v>50</v>
      </c>
      <c r="Q230" s="70">
        <f>IF(Q194=3,Q214,0)</f>
        <v>0</v>
      </c>
      <c r="S230" s="74">
        <f>IF(S194=3,Q214,0)</f>
        <v>0</v>
      </c>
      <c r="T230" s="70">
        <f>IF(T194=3,T214,0)</f>
        <v>0</v>
      </c>
      <c r="V230" s="74">
        <f>IF(V194=3,T214,0)</f>
        <v>50</v>
      </c>
      <c r="W230" s="70">
        <f>IF(W194=3,W214,0)</f>
        <v>0</v>
      </c>
      <c r="Y230" s="74">
        <f>IF(Y194=3,W214,0)</f>
        <v>0</v>
      </c>
      <c r="Z230" s="70">
        <f>IF(Z194=3,Z214,0)</f>
        <v>50</v>
      </c>
      <c r="AB230" s="74">
        <f>IF(AB194=3,Z214,0)</f>
        <v>0</v>
      </c>
      <c r="AC230" s="70">
        <f>IF(AC194=3,AC214,0)</f>
        <v>0</v>
      </c>
      <c r="AE230" s="74">
        <f>IF(AE194=3,AC214,0)</f>
        <v>0</v>
      </c>
      <c r="AF230" s="70">
        <f>SUM(B230:AE230)</f>
        <v>200</v>
      </c>
      <c r="AW230" s="154"/>
    </row>
    <row r="231" spans="1:49" s="70" customFormat="1" ht="12.75" hidden="1" customHeight="1" x14ac:dyDescent="0.2">
      <c r="A231" s="70" t="s">
        <v>100</v>
      </c>
      <c r="B231" s="70">
        <f>IF(B194=4,B214,0)</f>
        <v>0</v>
      </c>
      <c r="D231" s="74">
        <f>IF(D194=4,B214,0)</f>
        <v>0</v>
      </c>
      <c r="E231" s="70">
        <f>IF(E194=4,E214,0)</f>
        <v>0</v>
      </c>
      <c r="G231" s="74">
        <f>IF(G194=4,E214,0)</f>
        <v>50</v>
      </c>
      <c r="H231" s="70">
        <f>IF(H194=4,H214,0)</f>
        <v>0</v>
      </c>
      <c r="J231" s="74">
        <f>IF(J194=4,H214,0)</f>
        <v>0</v>
      </c>
      <c r="K231" s="70">
        <f>IF(K194=4,K214,0)</f>
        <v>0</v>
      </c>
      <c r="M231" s="74">
        <f>IF(M194=4,K214,0)</f>
        <v>50</v>
      </c>
      <c r="N231" s="70">
        <f>IF(N194=4,N214,0)</f>
        <v>0</v>
      </c>
      <c r="P231" s="74">
        <f>IF(P194=4,N214,0)</f>
        <v>0</v>
      </c>
      <c r="Q231" s="70">
        <f>IF(Q194=4,Q214,0)</f>
        <v>50</v>
      </c>
      <c r="S231" s="74">
        <f>IF(S194=4,Q214,0)</f>
        <v>0</v>
      </c>
      <c r="T231" s="70">
        <f>IF(T194=4,T214,0)</f>
        <v>0</v>
      </c>
      <c r="V231" s="74">
        <f>IF(V194=4,T214,0)</f>
        <v>0</v>
      </c>
      <c r="W231" s="70">
        <f>IF(W194=4,W214,0)</f>
        <v>0</v>
      </c>
      <c r="Y231" s="74">
        <f>IF(Y194=4,W214,0)</f>
        <v>0</v>
      </c>
      <c r="Z231" s="70">
        <f>IF(Z194=4,Z214,0)</f>
        <v>0</v>
      </c>
      <c r="AB231" s="74">
        <f>IF(AB194=4,Z214,0)</f>
        <v>50</v>
      </c>
      <c r="AC231" s="70">
        <f>IF(AC194=4,AC214,0)</f>
        <v>0</v>
      </c>
      <c r="AE231" s="74">
        <f>IF(AE194=4,AC214,0)</f>
        <v>0</v>
      </c>
      <c r="AF231" s="70">
        <f>SUM(B231:AE231)</f>
        <v>200</v>
      </c>
      <c r="AW231" s="154"/>
    </row>
    <row r="232" spans="1:49" s="70" customFormat="1" ht="12.75" hidden="1" customHeight="1" x14ac:dyDescent="0.2">
      <c r="A232" s="70" t="s">
        <v>101</v>
      </c>
      <c r="B232" s="70">
        <f>IF(B194=5,B214,0)</f>
        <v>0</v>
      </c>
      <c r="D232" s="74">
        <f>IF(D194=5,B214,0)</f>
        <v>50</v>
      </c>
      <c r="E232" s="70">
        <f>IF(E194=5,E214,0)</f>
        <v>0</v>
      </c>
      <c r="G232" s="74">
        <f>IF(G194=5,E214,0)</f>
        <v>0</v>
      </c>
      <c r="H232" s="70">
        <f>IF(H194=5,H214,0)</f>
        <v>0</v>
      </c>
      <c r="J232" s="74">
        <f>IF(J194=5,H214,0)</f>
        <v>50</v>
      </c>
      <c r="K232" s="70">
        <f>IF(K194=5,K214,0)</f>
        <v>0</v>
      </c>
      <c r="M232" s="74">
        <f>IF(M194=5,K214,0)</f>
        <v>0</v>
      </c>
      <c r="N232" s="70">
        <f>IF(N194=5,N214,0)</f>
        <v>0</v>
      </c>
      <c r="P232" s="74">
        <f>IF(P194=5,N214,0)</f>
        <v>0</v>
      </c>
      <c r="Q232" s="70">
        <f>IF(Q194=5,Q214,0)</f>
        <v>0</v>
      </c>
      <c r="S232" s="74">
        <f>IF(S194=5,Q214,0)</f>
        <v>50</v>
      </c>
      <c r="T232" s="70">
        <f>IF(T194=5,T214,0)</f>
        <v>0</v>
      </c>
      <c r="V232" s="74">
        <f>IF(V194=5,T214,0)</f>
        <v>0</v>
      </c>
      <c r="W232" s="70">
        <f>IF(W194=5,W214,0)</f>
        <v>0</v>
      </c>
      <c r="Y232" s="74">
        <f>IF(Y194=5,W214,0)</f>
        <v>50</v>
      </c>
      <c r="Z232" s="70">
        <f>IF(Z194=5,Z214,0)</f>
        <v>0</v>
      </c>
      <c r="AB232" s="74">
        <f>IF(AB194=5,Z214,0)</f>
        <v>0</v>
      </c>
      <c r="AC232" s="70">
        <f>IF(AC194=5,AC214,0)</f>
        <v>0</v>
      </c>
      <c r="AE232" s="74">
        <f>IF(AE194=5,AC214,0)</f>
        <v>0</v>
      </c>
      <c r="AF232" s="70">
        <f>SUM(B232:AE232)</f>
        <v>200</v>
      </c>
      <c r="AW232" s="154"/>
    </row>
    <row r="233" spans="1:49" s="70" customFormat="1" ht="38.25" hidden="1" customHeight="1" x14ac:dyDescent="0.2">
      <c r="A233" s="70" t="s">
        <v>103</v>
      </c>
      <c r="D233" s="74"/>
      <c r="G233" s="74"/>
      <c r="J233" s="74"/>
      <c r="M233" s="74"/>
      <c r="P233" s="74"/>
      <c r="S233" s="74"/>
      <c r="V233" s="74"/>
      <c r="Y233" s="74"/>
      <c r="AB233" s="74"/>
      <c r="AE233" s="74"/>
      <c r="AF233" s="73" t="s">
        <v>104</v>
      </c>
      <c r="AG233" s="70" t="s">
        <v>105</v>
      </c>
      <c r="AW233" s="154"/>
    </row>
    <row r="234" spans="1:49" s="70" customFormat="1" ht="12.75" hidden="1" customHeight="1" x14ac:dyDescent="0.2">
      <c r="A234" s="70" t="s">
        <v>91</v>
      </c>
      <c r="B234" s="70">
        <f>IF(B194=1,SUMIF(B201:B205,"&gt;0"),0)</f>
        <v>0</v>
      </c>
      <c r="D234" s="74">
        <f>IF(D194=1,SUMIF(D201:D205,"&gt;0"),0)</f>
        <v>0</v>
      </c>
      <c r="E234" s="70">
        <f>IF(E194=1,SUMIF(E201:E205,"&gt;0"),0)</f>
        <v>2</v>
      </c>
      <c r="G234" s="74">
        <f>IF(G194=1,SUMIF(G201:G205,"&gt;0"),0)</f>
        <v>0</v>
      </c>
      <c r="H234" s="70">
        <f>IF(H194=1,SUMIF(H201:H205,"&gt;0"),0)</f>
        <v>0</v>
      </c>
      <c r="J234" s="74">
        <f>IF(J194=1,SUMIF(J201:J205,"&gt;0"),0)</f>
        <v>0</v>
      </c>
      <c r="K234" s="70">
        <f>IF(K194=1,SUMIF(K201:K205,"&gt;0"),0)</f>
        <v>0</v>
      </c>
      <c r="M234" s="74">
        <f>IF(M194=1,SUMIF(M201:M205,"&gt;0"),0)</f>
        <v>0</v>
      </c>
      <c r="N234" s="70">
        <f>IF(N194=1,SUMIF(N201:N205,"&gt;0"),0)</f>
        <v>1</v>
      </c>
      <c r="P234" s="74">
        <f>IF(P194=1,SUMIF(P201:P205,"&gt;0"),0)</f>
        <v>0</v>
      </c>
      <c r="Q234" s="70">
        <f>IF(Q194=1,SUMIF(Q201:Q205,"&gt;0"),0)</f>
        <v>0</v>
      </c>
      <c r="S234" s="74">
        <f>IF(S194=1,SUMIF(S201:S205,"&gt;0"),0)</f>
        <v>0</v>
      </c>
      <c r="T234" s="70">
        <f>IF(T194=1,SUMIF(T201:T205,"&gt;0"),0)</f>
        <v>0</v>
      </c>
      <c r="V234" s="74">
        <f>IF(V194=1,SUMIF(V201:V205,"&gt;0"),0)</f>
        <v>0</v>
      </c>
      <c r="W234" s="70">
        <f>IF(W194=1,SUMIF(W201:W205,"&gt;0"),0)</f>
        <v>2</v>
      </c>
      <c r="Y234" s="74">
        <f>IF(Y194=1,SUMIF(Y201:Y205,"&gt;0"),0)</f>
        <v>0</v>
      </c>
      <c r="Z234" s="70">
        <f>IF(Z194=1,SUMIF(Z201:Z205,"&gt;0"),0)</f>
        <v>0</v>
      </c>
      <c r="AB234" s="74">
        <f>IF(AB194=1,SUMIF(AB201:AB205,"&gt;0"),0)</f>
        <v>0</v>
      </c>
      <c r="AC234" s="70">
        <f>IF(AC194=1,SUMIF(AC201:AC205,"&gt;0"),0)</f>
        <v>2</v>
      </c>
      <c r="AE234" s="74">
        <f>IF(AE194=1,SUMIF(AE201:AE205,"&gt;0"),0)</f>
        <v>0</v>
      </c>
      <c r="AF234" s="70">
        <f>SUM(B234:AE234)</f>
        <v>7</v>
      </c>
      <c r="AG234" s="70">
        <f>AF242-AF234</f>
        <v>1</v>
      </c>
      <c r="AW234" s="154"/>
    </row>
    <row r="235" spans="1:49" s="70" customFormat="1" ht="12.75" hidden="1" customHeight="1" x14ac:dyDescent="0.2">
      <c r="A235" s="70" t="s">
        <v>92</v>
      </c>
      <c r="B235" s="70">
        <f>IF(B194=2,SUMIF(B201:B205,"&gt;0"),0)</f>
        <v>2</v>
      </c>
      <c r="D235" s="74">
        <f>IF(D194=2,SUMIF(D201:D205,"&gt;0"),0)</f>
        <v>0</v>
      </c>
      <c r="E235" s="70">
        <f>IF(E194=2,SUMIF(E201:E205,"&gt;0"),0)</f>
        <v>0</v>
      </c>
      <c r="G235" s="74">
        <f>IF(G194=2,SUMIF(G201:G205,"&gt;0"),0)</f>
        <v>0</v>
      </c>
      <c r="H235" s="70">
        <f>IF(H194=2,SUMIF(H201:H205,"&gt;0"),0)</f>
        <v>0</v>
      </c>
      <c r="J235" s="74">
        <f>IF(J194=2,SUMIF(J201:J205,"&gt;0"),0)</f>
        <v>0</v>
      </c>
      <c r="K235" s="70">
        <f>IF(K194=2,SUMIF(K201:K205,"&gt;0"),0)</f>
        <v>0</v>
      </c>
      <c r="M235" s="74">
        <f>IF(M194=2,SUMIF(M201:M205,"&gt;0"),0)</f>
        <v>0</v>
      </c>
      <c r="N235" s="70">
        <f>IF(N194=2,SUMIF(N201:N205,"&gt;0"),0)</f>
        <v>0</v>
      </c>
      <c r="P235" s="74">
        <f>IF(P194=2,SUMIF(P201:P205,"&gt;0"),0)</f>
        <v>0</v>
      </c>
      <c r="Q235" s="70">
        <f>IF(Q194=2,SUMIF(Q201:Q205,"&gt;0"),0)</f>
        <v>0</v>
      </c>
      <c r="S235" s="74">
        <f>IF(S194=2,SUMIF(S201:S205,"&gt;0"),0)</f>
        <v>0</v>
      </c>
      <c r="T235" s="70">
        <f>IF(T194=2,SUMIF(T201:T205,"&gt;0"),0)</f>
        <v>0</v>
      </c>
      <c r="V235" s="74">
        <f>IF(V194=2,SUMIF(V201:V205,"&gt;0"),0)</f>
        <v>0</v>
      </c>
      <c r="W235" s="70">
        <f>IF(W194=2,SUMIF(W201:W205,"&gt;0"),0)</f>
        <v>0</v>
      </c>
      <c r="Y235" s="74">
        <f>IF(Y194=2,SUMIF(Y201:Y205,"&gt;0"),0)</f>
        <v>0</v>
      </c>
      <c r="Z235" s="70">
        <f>IF(Z194=2,SUMIF(Z201:Z205,"&gt;0"),0)</f>
        <v>0</v>
      </c>
      <c r="AB235" s="74">
        <f>IF(AB194=2,SUMIF(AB201:AB205,"&gt;0"),0)</f>
        <v>0</v>
      </c>
      <c r="AC235" s="70">
        <f>IF(AC194=2,SUMIF(AC201:AC205,"&gt;0"),0)</f>
        <v>0</v>
      </c>
      <c r="AE235" s="74">
        <f>IF(AE194=2,SUMIF(AE201:AE205,"&gt;0"),0)</f>
        <v>0</v>
      </c>
      <c r="AF235" s="70">
        <f>SUM(B235:AE235)</f>
        <v>2</v>
      </c>
      <c r="AG235" s="70">
        <f>AF243-AF235</f>
        <v>6</v>
      </c>
      <c r="AW235" s="154"/>
    </row>
    <row r="236" spans="1:49" s="70" customFormat="1" ht="12.75" hidden="1" customHeight="1" x14ac:dyDescent="0.2">
      <c r="A236" s="70" t="s">
        <v>93</v>
      </c>
      <c r="B236" s="70">
        <f>IF(B194=3,SUMIF(B201:B205,"&gt;0"),0)</f>
        <v>0</v>
      </c>
      <c r="D236" s="74">
        <f>IF(D194=3,SUMIF(D201:D205,"&gt;0"),0)</f>
        <v>0</v>
      </c>
      <c r="E236" s="70">
        <f>IF(E194=3,SUMIF(E201:E205,"&gt;0"),0)</f>
        <v>0</v>
      </c>
      <c r="G236" s="74">
        <f>IF(G194=3,SUMIF(G201:G205,"&gt;0"),0)</f>
        <v>0</v>
      </c>
      <c r="H236" s="70">
        <f>IF(H194=3,SUMIF(H201:H205,"&gt;0"),0)</f>
        <v>2</v>
      </c>
      <c r="J236" s="74">
        <f>IF(J194=3,SUMIF(J201:J205,"&gt;0"),0)</f>
        <v>0</v>
      </c>
      <c r="K236" s="70">
        <f>IF(K194=3,SUMIF(K201:K205,"&gt;0"),0)</f>
        <v>0</v>
      </c>
      <c r="M236" s="74">
        <f>IF(M194=3,SUMIF(M201:M205,"&gt;0"),0)</f>
        <v>0</v>
      </c>
      <c r="N236" s="70">
        <f>IF(N194=3,SUMIF(N201:N205,"&gt;0"),0)</f>
        <v>0</v>
      </c>
      <c r="P236" s="74">
        <f>IF(P194=3,SUMIF(P201:P205,"&gt;0"),0)</f>
        <v>1</v>
      </c>
      <c r="Q236" s="70">
        <f>IF(Q194=3,SUMIF(Q201:Q205,"&gt;0"),0)</f>
        <v>0</v>
      </c>
      <c r="S236" s="74">
        <f>IF(S194=3,SUMIF(S201:S205,"&gt;0"),0)</f>
        <v>0</v>
      </c>
      <c r="T236" s="70">
        <f>IF(T194=3,SUMIF(T201:T205,"&gt;0"),0)</f>
        <v>0</v>
      </c>
      <c r="V236" s="74">
        <f>IF(V194=3,SUMIF(V201:V205,"&gt;0"),0)</f>
        <v>2</v>
      </c>
      <c r="W236" s="70">
        <f>IF(W194=3,SUMIF(W201:W205,"&gt;0"),0)</f>
        <v>0</v>
      </c>
      <c r="Y236" s="74">
        <f>IF(Y194=3,SUMIF(Y201:Y205,"&gt;0"),0)</f>
        <v>0</v>
      </c>
      <c r="Z236" s="70">
        <f>IF(Z194=3,SUMIF(Z201:Z205,"&gt;0"),0)</f>
        <v>2</v>
      </c>
      <c r="AB236" s="74">
        <f>IF(AB194=3,SUMIF(AB201:AB205,"&gt;0"),0)</f>
        <v>0</v>
      </c>
      <c r="AC236" s="70">
        <f>IF(AC194=3,SUMIF(AC201:AC205,"&gt;0"),0)</f>
        <v>0</v>
      </c>
      <c r="AE236" s="74">
        <f>IF(AE194=3,SUMIF(AE201:AE205,"&gt;0"),0)</f>
        <v>0</v>
      </c>
      <c r="AF236" s="70">
        <f>SUM(B236:AE236)</f>
        <v>7</v>
      </c>
      <c r="AG236" s="70">
        <f>AF244-AF236</f>
        <v>1</v>
      </c>
      <c r="AW236" s="154"/>
    </row>
    <row r="237" spans="1:49" s="70" customFormat="1" ht="12.75" hidden="1" customHeight="1" x14ac:dyDescent="0.2">
      <c r="A237" s="70" t="s">
        <v>94</v>
      </c>
      <c r="B237" s="70">
        <f>IF(B194=4,SUMIF(B201:B205,"&gt;0"),0)</f>
        <v>0</v>
      </c>
      <c r="D237" s="74">
        <f>IF(D194=4,SUMIF(D201:D205,"&gt;0"),0)</f>
        <v>0</v>
      </c>
      <c r="E237" s="70">
        <f>IF(E194=4,SUMIF(E201:E205,"&gt;0"),0)</f>
        <v>0</v>
      </c>
      <c r="G237" s="74">
        <f>IF(G194=4,SUMIF(G201:G205,"&gt;0"),0)</f>
        <v>0</v>
      </c>
      <c r="H237" s="70">
        <f>IF(H194=4,SUMIF(H201:H205,"&gt;0"),0)</f>
        <v>0</v>
      </c>
      <c r="J237" s="74">
        <f>IF(J194=4,SUMIF(J201:J205,"&gt;0"),0)</f>
        <v>0</v>
      </c>
      <c r="K237" s="70">
        <f>IF(K194=4,SUMIF(K201:K205,"&gt;0"),0)</f>
        <v>0</v>
      </c>
      <c r="M237" s="74">
        <f>IF(M194=4,SUMIF(M201:M205,"&gt;0"),0)</f>
        <v>2</v>
      </c>
      <c r="N237" s="70">
        <f>IF(N194=4,SUMIF(N201:N205,"&gt;0"),0)</f>
        <v>0</v>
      </c>
      <c r="P237" s="74">
        <f>IF(P194=4,SUMIF(P201:P205,"&gt;0"),0)</f>
        <v>0</v>
      </c>
      <c r="Q237" s="70">
        <f>IF(Q194=4,SUMIF(Q201:Q205,"&gt;0"),0)</f>
        <v>2</v>
      </c>
      <c r="S237" s="74">
        <f>IF(S194=4,SUMIF(S201:S205,"&gt;0"),0)</f>
        <v>0</v>
      </c>
      <c r="T237" s="70">
        <f>IF(T194=4,SUMIF(T201:T205,"&gt;0"),0)</f>
        <v>0</v>
      </c>
      <c r="V237" s="74">
        <f>IF(V194=4,SUMIF(V201:V205,"&gt;0"),0)</f>
        <v>0</v>
      </c>
      <c r="W237" s="70">
        <f>IF(W194=4,SUMIF(W201:W205,"&gt;0"),0)</f>
        <v>0</v>
      </c>
      <c r="Y237" s="74">
        <f>IF(Y194=4,SUMIF(Y201:Y205,"&gt;0"),0)</f>
        <v>0</v>
      </c>
      <c r="Z237" s="70">
        <f>IF(Z194=4,SUMIF(Z201:Z205,"&gt;0"),0)</f>
        <v>0</v>
      </c>
      <c r="AB237" s="74">
        <f>IF(AB194=4,SUMIF(AB201:AB205,"&gt;0"),0)</f>
        <v>0</v>
      </c>
      <c r="AC237" s="70">
        <f>IF(AC194=4,SUMIF(AC201:AC205,"&gt;0"),0)</f>
        <v>0</v>
      </c>
      <c r="AE237" s="74">
        <f>IF(AE194=4,SUMIF(AE201:AE205,"&gt;0"),0)</f>
        <v>0</v>
      </c>
      <c r="AF237" s="70">
        <f>SUM(B237:AE237)</f>
        <v>4</v>
      </c>
      <c r="AG237" s="70">
        <f>AF245-AF237</f>
        <v>4</v>
      </c>
      <c r="AW237" s="154"/>
    </row>
    <row r="238" spans="1:49" s="70" customFormat="1" ht="12.75" hidden="1" customHeight="1" x14ac:dyDescent="0.2">
      <c r="A238" s="70" t="s">
        <v>95</v>
      </c>
      <c r="B238" s="70">
        <f>IF(B194=5,SUMIF(B201:B205,"&gt;0"),0)</f>
        <v>0</v>
      </c>
      <c r="D238" s="74">
        <f>IF(D194=5,SUMIF(D201:D205,"&gt;0"),0)</f>
        <v>0</v>
      </c>
      <c r="E238" s="70">
        <f>IF(E194=5,SUMIF(E201:E205,"&gt;0"),0)</f>
        <v>0</v>
      </c>
      <c r="G238" s="74">
        <f>IF(G194=5,SUMIF(G201:G205,"&gt;0"),0)</f>
        <v>0</v>
      </c>
      <c r="H238" s="70">
        <f>IF(H194=5,SUMIF(H201:H205,"&gt;0"),0)</f>
        <v>0</v>
      </c>
      <c r="J238" s="74">
        <f>IF(J194=5,SUMIF(J201:J205,"&gt;0"),0)</f>
        <v>0</v>
      </c>
      <c r="K238" s="70">
        <f>IF(K194=5,SUMIF(K201:K205,"&gt;0"),0)</f>
        <v>0</v>
      </c>
      <c r="M238" s="74">
        <f>IF(M194=5,SUMIF(M201:M205,"&gt;0"),0)</f>
        <v>0</v>
      </c>
      <c r="N238" s="70">
        <f>IF(N194=5,SUMIF(N201:N205,"&gt;0"),0)</f>
        <v>0</v>
      </c>
      <c r="P238" s="74">
        <f>IF(P194=5,SUMIF(P201:P205,"&gt;0"),0)</f>
        <v>0</v>
      </c>
      <c r="Q238" s="70">
        <f>IF(Q194=5,SUMIF(Q201:Q205,"&gt;0"),0)</f>
        <v>0</v>
      </c>
      <c r="S238" s="74">
        <f>IF(S194=5,SUMIF(S201:S205,"&gt;0"),0)</f>
        <v>0</v>
      </c>
      <c r="T238" s="70">
        <f>IF(T194=5,SUMIF(T201:T205,"&gt;0"),0)</f>
        <v>0</v>
      </c>
      <c r="V238" s="74">
        <f>IF(V194=5,SUMIF(V201:V205,"&gt;0"),0)</f>
        <v>0</v>
      </c>
      <c r="W238" s="70">
        <f>IF(W194=5,SUMIF(W201:W205,"&gt;0"),0)</f>
        <v>0</v>
      </c>
      <c r="Y238" s="74">
        <f>IF(Y194=5,SUMIF(Y201:Y205,"&gt;0"),0)</f>
        <v>0</v>
      </c>
      <c r="Z238" s="70">
        <f>IF(Z194=5,SUMIF(Z201:Z205,"&gt;0"),0)</f>
        <v>0</v>
      </c>
      <c r="AB238" s="74">
        <f>IF(AB194=5,SUMIF(AB201:AB205,"&gt;0"),0)</f>
        <v>0</v>
      </c>
      <c r="AC238" s="70">
        <f>IF(AC194=5,SUMIF(AC201:AC205,"&gt;0"),0)</f>
        <v>0</v>
      </c>
      <c r="AE238" s="74">
        <f>IF(AE194=5,SUMIF(AE201:AE205,"&gt;0"),0)</f>
        <v>0</v>
      </c>
      <c r="AF238" s="70">
        <f>SUM(B238:AE238)</f>
        <v>0</v>
      </c>
      <c r="AG238" s="70">
        <f>AF246-AF238</f>
        <v>8</v>
      </c>
      <c r="AW238" s="154"/>
    </row>
    <row r="239" spans="1:49" s="70" customFormat="1" ht="12.75" hidden="1" customHeight="1" x14ac:dyDescent="0.2">
      <c r="D239" s="74"/>
      <c r="G239" s="74"/>
      <c r="J239" s="74"/>
      <c r="M239" s="74"/>
      <c r="P239" s="74"/>
      <c r="S239" s="74"/>
      <c r="V239" s="74"/>
      <c r="Y239" s="74"/>
      <c r="AB239" s="74"/>
      <c r="AE239" s="74"/>
      <c r="AW239" s="154"/>
    </row>
    <row r="240" spans="1:49" s="70" customFormat="1" ht="12.75" hidden="1" customHeight="1" x14ac:dyDescent="0.2">
      <c r="D240" s="74"/>
      <c r="G240" s="74"/>
      <c r="J240" s="74"/>
      <c r="M240" s="74"/>
      <c r="P240" s="74"/>
      <c r="S240" s="74"/>
      <c r="V240" s="74"/>
      <c r="Y240" s="74"/>
      <c r="AB240" s="74"/>
      <c r="AE240" s="74"/>
      <c r="AW240" s="154"/>
    </row>
    <row r="241" spans="1:54" s="70" customFormat="1" ht="51" hidden="1" customHeight="1" x14ac:dyDescent="0.2">
      <c r="A241" s="73" t="s">
        <v>106</v>
      </c>
      <c r="C241" s="70">
        <f>SUMIF(B234:D238,"&gt;0")</f>
        <v>2</v>
      </c>
      <c r="D241" s="74"/>
      <c r="F241" s="70">
        <f>SUMIF(E234:G238,"&gt;0")</f>
        <v>2</v>
      </c>
      <c r="G241" s="74"/>
      <c r="I241" s="70">
        <f>SUMIF(H234:J238,"&gt;0")</f>
        <v>2</v>
      </c>
      <c r="J241" s="74"/>
      <c r="L241" s="70">
        <f>SUMIF(K234:M238,"&gt;0")</f>
        <v>2</v>
      </c>
      <c r="M241" s="74"/>
      <c r="O241" s="70">
        <f>SUMIF(N234:P238,"&gt;0")</f>
        <v>2</v>
      </c>
      <c r="P241" s="74"/>
      <c r="R241" s="70">
        <f>SUMIF(Q234:S238,"&gt;0")</f>
        <v>2</v>
      </c>
      <c r="S241" s="74"/>
      <c r="U241" s="70">
        <f>SUMIF(T234:V238,"&gt;0")</f>
        <v>2</v>
      </c>
      <c r="V241" s="74"/>
      <c r="X241" s="70">
        <f>SUMIF(W234:Y238,"&gt;0")</f>
        <v>2</v>
      </c>
      <c r="Y241" s="74"/>
      <c r="AA241" s="70">
        <f>SUMIF(Z234:AB238,"&gt;0")</f>
        <v>2</v>
      </c>
      <c r="AB241" s="74"/>
      <c r="AD241" s="70">
        <f>SUMIF(AC234:AE238,"&gt;0")</f>
        <v>2</v>
      </c>
      <c r="AE241" s="74"/>
      <c r="AF241" s="73" t="s">
        <v>107</v>
      </c>
      <c r="AW241" s="154"/>
    </row>
    <row r="242" spans="1:54" s="70" customFormat="1" ht="12.75" hidden="1" customHeight="1" x14ac:dyDescent="0.2">
      <c r="A242" s="70" t="s">
        <v>97</v>
      </c>
      <c r="B242" s="70">
        <f>IF(B194=1,C241,0)</f>
        <v>0</v>
      </c>
      <c r="D242" s="74">
        <f>IF(D194=1,C241,0)</f>
        <v>0</v>
      </c>
      <c r="E242" s="70">
        <f>IF(E194=1,F241,0)</f>
        <v>2</v>
      </c>
      <c r="G242" s="74">
        <f>IF(G194=1,F241,0)</f>
        <v>0</v>
      </c>
      <c r="H242" s="70">
        <f>IF(H194=1,I241,0)</f>
        <v>0</v>
      </c>
      <c r="J242" s="74">
        <f>IF(J194=1,I241,0)</f>
        <v>0</v>
      </c>
      <c r="K242" s="70">
        <f>IF(K194=1,L241,0)</f>
        <v>0</v>
      </c>
      <c r="M242" s="74">
        <f>IF(M194=1,L241,0)</f>
        <v>0</v>
      </c>
      <c r="N242" s="70">
        <f>IF(N194=1,O241,0)</f>
        <v>2</v>
      </c>
      <c r="P242" s="74">
        <f>IF(P194=1,O241,0)</f>
        <v>0</v>
      </c>
      <c r="Q242" s="70">
        <f>IF(Q194=1,R241,0)</f>
        <v>0</v>
      </c>
      <c r="S242" s="74">
        <f>IF(S194=1,R241,0)</f>
        <v>0</v>
      </c>
      <c r="T242" s="70">
        <f>IF(T194=1,U241,0)</f>
        <v>0</v>
      </c>
      <c r="V242" s="74">
        <f>IF(V194=1,U241,0)</f>
        <v>0</v>
      </c>
      <c r="W242" s="70">
        <f>IF(W194=1,X241,0)</f>
        <v>2</v>
      </c>
      <c r="Y242" s="74">
        <f>IF(Y194=1,X241,0)</f>
        <v>0</v>
      </c>
      <c r="Z242" s="70">
        <f>IF(Z194=1,AA241,0)</f>
        <v>0</v>
      </c>
      <c r="AB242" s="74">
        <f>IF(AB194=1,AA241,0)</f>
        <v>0</v>
      </c>
      <c r="AC242" s="70">
        <f>IF(AC194=1,AD241,0)</f>
        <v>2</v>
      </c>
      <c r="AE242" s="74">
        <f>IF(AE194=1,AD241,0)</f>
        <v>0</v>
      </c>
      <c r="AF242" s="70">
        <f>SUM(B242:AE242)</f>
        <v>8</v>
      </c>
      <c r="AW242" s="154"/>
    </row>
    <row r="243" spans="1:54" s="70" customFormat="1" ht="12.75" hidden="1" customHeight="1" x14ac:dyDescent="0.2">
      <c r="A243" s="70" t="s">
        <v>98</v>
      </c>
      <c r="B243" s="70">
        <f>IF(B194=2,C241,0)</f>
        <v>2</v>
      </c>
      <c r="D243" s="74">
        <f>IF(D194=2,C241,0)</f>
        <v>0</v>
      </c>
      <c r="E243" s="70">
        <f>IF(E194=2,F241,0)</f>
        <v>0</v>
      </c>
      <c r="G243" s="74">
        <f>IF(G194=2,F241,0)</f>
        <v>0</v>
      </c>
      <c r="H243" s="70">
        <f>IF(H194=2,I241,0)</f>
        <v>0</v>
      </c>
      <c r="J243" s="74">
        <f>IF(J194=2,I241,0)</f>
        <v>0</v>
      </c>
      <c r="K243" s="70">
        <f>IF(K194=2,L241,0)</f>
        <v>2</v>
      </c>
      <c r="M243" s="74">
        <f>IF(M194=2,L241,0)</f>
        <v>0</v>
      </c>
      <c r="N243" s="70">
        <f>IF(N194=2,O241,0)</f>
        <v>0</v>
      </c>
      <c r="P243" s="74">
        <f>IF(P194=2,O241,0)</f>
        <v>0</v>
      </c>
      <c r="Q243" s="70">
        <f>IF(Q194=2,R241,0)</f>
        <v>0</v>
      </c>
      <c r="S243" s="74">
        <f>IF(S194=2,R241,0)</f>
        <v>0</v>
      </c>
      <c r="T243" s="70">
        <f>IF(T194=2,U241,0)</f>
        <v>2</v>
      </c>
      <c r="V243" s="74">
        <f>IF(V194=2,U241,0)</f>
        <v>0</v>
      </c>
      <c r="W243" s="70">
        <f>IF(W194=2,X241,0)</f>
        <v>0</v>
      </c>
      <c r="Y243" s="74">
        <f>IF(Y194=2,X241,0)</f>
        <v>0</v>
      </c>
      <c r="Z243" s="70">
        <f>IF(Z194=2,AA241,0)</f>
        <v>0</v>
      </c>
      <c r="AB243" s="74">
        <f>IF(AB194=2,AA241,0)</f>
        <v>0</v>
      </c>
      <c r="AC243" s="70">
        <f>IF(AC194=2,AD241,0)</f>
        <v>0</v>
      </c>
      <c r="AE243" s="74">
        <f>IF(AE194=2,AD241,0)</f>
        <v>2</v>
      </c>
      <c r="AF243" s="70">
        <f>SUM(B243:AE243)</f>
        <v>8</v>
      </c>
      <c r="AW243" s="154"/>
    </row>
    <row r="244" spans="1:54" s="70" customFormat="1" ht="12.75" hidden="1" customHeight="1" x14ac:dyDescent="0.2">
      <c r="A244" s="70" t="s">
        <v>99</v>
      </c>
      <c r="B244" s="70">
        <f>IF(B194=3,C241,0)</f>
        <v>0</v>
      </c>
      <c r="D244" s="74">
        <f>IF(D194=3,C241,0)</f>
        <v>0</v>
      </c>
      <c r="E244" s="70">
        <f>IF(E194=3,F241,0)</f>
        <v>0</v>
      </c>
      <c r="G244" s="74">
        <f>IF(G194=3,F241,0)</f>
        <v>0</v>
      </c>
      <c r="H244" s="70">
        <f>IF(H194=3,I241,0)</f>
        <v>2</v>
      </c>
      <c r="J244" s="74">
        <f>IF(J194=3,I241,0)</f>
        <v>0</v>
      </c>
      <c r="K244" s="70">
        <f>IF(K194=3,L241,0)</f>
        <v>0</v>
      </c>
      <c r="M244" s="74">
        <f>IF(M194=3,L241,0)</f>
        <v>0</v>
      </c>
      <c r="N244" s="70">
        <f>IF(N194=3,O241,0)</f>
        <v>0</v>
      </c>
      <c r="P244" s="74">
        <f>IF(P194=3,O241,0)</f>
        <v>2</v>
      </c>
      <c r="Q244" s="70">
        <f>IF(Q194=3,R241,0)</f>
        <v>0</v>
      </c>
      <c r="S244" s="74">
        <f>IF(S194=3,R241,0)</f>
        <v>0</v>
      </c>
      <c r="T244" s="70">
        <f>IF(T194=3,U241,0)</f>
        <v>0</v>
      </c>
      <c r="V244" s="74">
        <f>IF(V194=3,U241,0)</f>
        <v>2</v>
      </c>
      <c r="W244" s="70">
        <f>IF(W194=3,X241,0)</f>
        <v>0</v>
      </c>
      <c r="Y244" s="74">
        <f>IF(Y194=3,X241,0)</f>
        <v>0</v>
      </c>
      <c r="Z244" s="70">
        <f>IF(Z194=3,AA241,0)</f>
        <v>2</v>
      </c>
      <c r="AB244" s="74">
        <f>IF(AB194=3,AA241,0)</f>
        <v>0</v>
      </c>
      <c r="AC244" s="70">
        <f>IF(AC194=3,AD241,0)</f>
        <v>0</v>
      </c>
      <c r="AE244" s="74">
        <f>IF(AE194=3,AD241,0)</f>
        <v>0</v>
      </c>
      <c r="AF244" s="70">
        <f>SUM(B244:AE244)</f>
        <v>8</v>
      </c>
      <c r="AW244" s="154"/>
    </row>
    <row r="245" spans="1:54" s="70" customFormat="1" ht="12.75" hidden="1" customHeight="1" x14ac:dyDescent="0.2">
      <c r="A245" s="70" t="s">
        <v>100</v>
      </c>
      <c r="B245" s="70">
        <f>IF(B194=4,C241,0)</f>
        <v>0</v>
      </c>
      <c r="D245" s="74">
        <f>IF(D194=4,C241,0)</f>
        <v>0</v>
      </c>
      <c r="E245" s="70">
        <f>IF(E194=4,F241,0)</f>
        <v>0</v>
      </c>
      <c r="G245" s="74">
        <f>IF(G194=4,F241,0)</f>
        <v>2</v>
      </c>
      <c r="H245" s="70">
        <f>IF(H194=4,I241,0)</f>
        <v>0</v>
      </c>
      <c r="J245" s="74">
        <f>IF(J194=4,I241,0)</f>
        <v>0</v>
      </c>
      <c r="K245" s="70">
        <f>IF(K194=4,L241,0)</f>
        <v>0</v>
      </c>
      <c r="M245" s="74">
        <f>IF(M194=4,L241,0)</f>
        <v>2</v>
      </c>
      <c r="N245" s="70">
        <f>IF(N194=4,O241,0)</f>
        <v>0</v>
      </c>
      <c r="P245" s="74">
        <f>IF(P194=4,O241,0)</f>
        <v>0</v>
      </c>
      <c r="Q245" s="70">
        <f>IF(Q194=4,R241,0)</f>
        <v>2</v>
      </c>
      <c r="S245" s="74">
        <f>IF(S194=4,R241,0)</f>
        <v>0</v>
      </c>
      <c r="T245" s="70">
        <f>IF(T194=4,U241,0)</f>
        <v>0</v>
      </c>
      <c r="V245" s="74">
        <f>IF(V194=4,U241,0)</f>
        <v>0</v>
      </c>
      <c r="W245" s="70">
        <f>IF(W194=4,X241,0)</f>
        <v>0</v>
      </c>
      <c r="Y245" s="74">
        <f>IF(Y194=4,X241,0)</f>
        <v>0</v>
      </c>
      <c r="Z245" s="70">
        <f>IF(Z194=4,AA241,0)</f>
        <v>0</v>
      </c>
      <c r="AB245" s="74">
        <f>IF(AB194=4,AA241,0)</f>
        <v>2</v>
      </c>
      <c r="AC245" s="70">
        <f>IF(AC194=4,AD241,0)</f>
        <v>0</v>
      </c>
      <c r="AE245" s="74">
        <f>IF(AE194=4,AD241,0)</f>
        <v>0</v>
      </c>
      <c r="AF245" s="70">
        <f>SUM(B245:AE245)</f>
        <v>8</v>
      </c>
      <c r="AW245" s="154"/>
    </row>
    <row r="246" spans="1:54" s="70" customFormat="1" ht="12.75" hidden="1" customHeight="1" x14ac:dyDescent="0.2">
      <c r="A246" s="70" t="s">
        <v>101</v>
      </c>
      <c r="B246" s="70">
        <f>IF(B194=5,C241,0)</f>
        <v>0</v>
      </c>
      <c r="D246" s="74">
        <f>IF(D194=5,C241,0)</f>
        <v>2</v>
      </c>
      <c r="E246" s="70">
        <f>IF(E194=5,F241,0)</f>
        <v>0</v>
      </c>
      <c r="G246" s="74">
        <f>IF(G194=5,F241,0)</f>
        <v>0</v>
      </c>
      <c r="H246" s="70">
        <f>IF(H194=5,I241,0)</f>
        <v>0</v>
      </c>
      <c r="J246" s="74">
        <f>IF(J194=5,I241,0)</f>
        <v>2</v>
      </c>
      <c r="K246" s="70">
        <f>IF(K194=5,L241,0)</f>
        <v>0</v>
      </c>
      <c r="M246" s="74">
        <f>IF(M194=5,L241,0)</f>
        <v>0</v>
      </c>
      <c r="N246" s="70">
        <f>IF(N194=5,O241,0)</f>
        <v>0</v>
      </c>
      <c r="P246" s="74">
        <f>IF(P194=5,O241,0)</f>
        <v>0</v>
      </c>
      <c r="Q246" s="70">
        <f>IF(Q194=5,R241,0)</f>
        <v>0</v>
      </c>
      <c r="S246" s="74">
        <f>IF(S194=5,R241,0)</f>
        <v>2</v>
      </c>
      <c r="T246" s="70">
        <f>IF(T194=5,U241,0)</f>
        <v>0</v>
      </c>
      <c r="V246" s="74">
        <f>IF(V194=5,U241,0)</f>
        <v>0</v>
      </c>
      <c r="W246" s="70">
        <f>IF(W194=5,X241,0)</f>
        <v>0</v>
      </c>
      <c r="Y246" s="74">
        <f>IF(Y194=5,X241,0)</f>
        <v>2</v>
      </c>
      <c r="Z246" s="70">
        <f>IF(Z194=5,AA241,0)</f>
        <v>0</v>
      </c>
      <c r="AB246" s="74">
        <f>IF(AB194=5,AA241,0)</f>
        <v>0</v>
      </c>
      <c r="AC246" s="70">
        <f>IF(AC194=5,AD241,0)</f>
        <v>0</v>
      </c>
      <c r="AE246" s="74">
        <f>IF(AE194=5,AD241,0)</f>
        <v>0</v>
      </c>
      <c r="AF246" s="70">
        <f>SUM(B246:AE246)</f>
        <v>8</v>
      </c>
      <c r="AT246" s="77"/>
      <c r="AU246" s="77"/>
      <c r="AV246" s="77"/>
      <c r="AW246" s="154"/>
    </row>
    <row r="247" spans="1:54" hidden="1" x14ac:dyDescent="0.2">
      <c r="A247" s="95"/>
      <c r="B247" s="95"/>
      <c r="C247" s="95"/>
      <c r="D247" s="95"/>
      <c r="E247" s="95"/>
      <c r="F247" s="95"/>
      <c r="G247" s="95"/>
      <c r="H247" s="95"/>
      <c r="I247" s="95"/>
      <c r="J247" s="95"/>
      <c r="K247" s="95"/>
      <c r="L247" s="95"/>
      <c r="M247" s="95"/>
      <c r="N247" s="95"/>
      <c r="O247" s="95"/>
      <c r="P247" s="95"/>
      <c r="Q247" s="95"/>
      <c r="R247" s="95"/>
      <c r="S247" s="95"/>
      <c r="T247" s="95"/>
      <c r="U247" s="95"/>
      <c r="V247" s="95"/>
      <c r="W247" s="95"/>
      <c r="X247" s="95"/>
      <c r="Y247" s="95"/>
      <c r="Z247" s="95"/>
      <c r="AA247" s="95"/>
      <c r="AB247" s="95"/>
      <c r="AC247" s="95"/>
      <c r="AD247" s="95"/>
      <c r="AE247" s="95"/>
      <c r="AF247" s="95"/>
      <c r="AG247" s="95"/>
      <c r="AH247" s="95"/>
      <c r="AI247" s="95"/>
      <c r="AJ247" s="95"/>
      <c r="AK247" s="95"/>
      <c r="AL247" s="95"/>
      <c r="AM247" s="95"/>
      <c r="AN247" s="96"/>
      <c r="AO247" s="96"/>
      <c r="AP247" s="96"/>
      <c r="AQ247" s="96"/>
      <c r="AR247" s="77"/>
      <c r="AS247" s="77"/>
      <c r="AT247" s="77"/>
      <c r="AU247" s="77"/>
      <c r="AV247" s="77"/>
      <c r="BB247" s="156"/>
    </row>
    <row r="248" spans="1:54" s="77" customFormat="1" hidden="1" x14ac:dyDescent="0.2">
      <c r="A248" s="79"/>
      <c r="B248" s="79"/>
      <c r="C248" s="79" t="s">
        <v>108</v>
      </c>
      <c r="D248" s="79">
        <v>1</v>
      </c>
      <c r="E248" s="79"/>
      <c r="F248" s="79"/>
      <c r="G248" s="79">
        <v>2</v>
      </c>
      <c r="H248" s="79"/>
      <c r="I248" s="79"/>
      <c r="J248" s="79">
        <v>3</v>
      </c>
      <c r="K248" s="79"/>
      <c r="L248" s="79"/>
      <c r="M248" s="79">
        <v>4</v>
      </c>
      <c r="N248" s="79"/>
      <c r="O248" s="79"/>
      <c r="P248" s="79">
        <v>5</v>
      </c>
      <c r="Q248" s="79"/>
      <c r="R248" s="79"/>
      <c r="S248" s="79">
        <v>6</v>
      </c>
      <c r="T248" s="79"/>
      <c r="U248" s="79"/>
      <c r="V248" s="79">
        <v>7</v>
      </c>
      <c r="W248" s="79"/>
      <c r="X248" s="79"/>
      <c r="Y248" s="79">
        <v>8</v>
      </c>
      <c r="Z248" s="79"/>
      <c r="AA248" s="79"/>
      <c r="AB248" s="79">
        <v>9</v>
      </c>
      <c r="AC248" s="79"/>
      <c r="AD248" s="79"/>
      <c r="AE248" s="79">
        <v>10</v>
      </c>
      <c r="AF248" s="4"/>
      <c r="AG248" s="79"/>
      <c r="AI248" s="80"/>
      <c r="AJ248" s="4"/>
      <c r="AK248" s="4"/>
      <c r="AL248" s="4"/>
      <c r="AM248" s="4"/>
      <c r="AN248" s="4"/>
      <c r="AO248" s="4"/>
      <c r="AT248" s="80" t="s">
        <v>109</v>
      </c>
      <c r="AW248" s="81"/>
      <c r="BB248" s="81"/>
    </row>
    <row r="249" spans="1:54" s="77" customFormat="1" hidden="1" x14ac:dyDescent="0.2">
      <c r="A249" s="82">
        <v>1</v>
      </c>
      <c r="B249" s="82" t="str">
        <f>E178</f>
        <v>Magnum Aiken 14 Green</v>
      </c>
      <c r="C249" s="82">
        <f>VLOOKUP(B249,AU$3:BB$33,3,FALSE)</f>
        <v>2220.2025999969192</v>
      </c>
      <c r="D249" s="82">
        <f>IF(B242,B257,IF(D242,D257,C249))</f>
        <v>2220.2025999969192</v>
      </c>
      <c r="E249" s="82"/>
      <c r="F249" s="82"/>
      <c r="G249" s="82">
        <f>IF(E242,E257,IF(G242,G257,D249))</f>
        <v>2238.8336062299145</v>
      </c>
      <c r="H249" s="82"/>
      <c r="I249" s="82"/>
      <c r="J249" s="82">
        <f>IF(H242,H257,IF(J242,J257,G249))</f>
        <v>2238.8336062299145</v>
      </c>
      <c r="K249" s="82"/>
      <c r="L249" s="82"/>
      <c r="M249" s="82">
        <f>IF(K242,K257,IF(M242,M257,J249))</f>
        <v>2238.8336062299145</v>
      </c>
      <c r="N249" s="82"/>
      <c r="O249" s="82"/>
      <c r="P249" s="82">
        <f>IF(N242,N257,IF(P242,P257,M249))</f>
        <v>2229.6021149274279</v>
      </c>
      <c r="Q249" s="82"/>
      <c r="R249" s="82"/>
      <c r="S249" s="82">
        <f>IF(Q242,Q257,IF(S242,S257,P249))</f>
        <v>2229.6021149274279</v>
      </c>
      <c r="T249" s="82"/>
      <c r="U249" s="82"/>
      <c r="V249" s="82">
        <f>IF(T242,T257,IF(V242,V257,S249))</f>
        <v>2229.6021149274279</v>
      </c>
      <c r="W249" s="82"/>
      <c r="X249" s="82"/>
      <c r="Y249" s="82">
        <f>IF(W242,W257,IF(Y242,Y257,V249))</f>
        <v>2237.3919650026123</v>
      </c>
      <c r="Z249" s="82"/>
      <c r="AA249" s="82"/>
      <c r="AB249" s="82">
        <f>IF(Z242,Z257,IF(AB242,AB257,Y249))</f>
        <v>2237.3919650026123</v>
      </c>
      <c r="AC249" s="82"/>
      <c r="AD249" s="82"/>
      <c r="AE249" s="82">
        <f>IF(AC242,AC257,IF(AE242,AE257,AB249))</f>
        <v>2259.0339325423315</v>
      </c>
      <c r="AF249" s="4"/>
      <c r="AG249" s="4"/>
      <c r="AJ249" s="4"/>
      <c r="AK249" s="4"/>
      <c r="AL249" s="4"/>
      <c r="AM249" s="4"/>
      <c r="AN249" s="4"/>
      <c r="AO249" s="4"/>
      <c r="AT249" s="77" t="str">
        <f>B249</f>
        <v>Magnum Aiken 14 Green</v>
      </c>
      <c r="AU249" s="77">
        <f>AE249</f>
        <v>2259.0339325423315</v>
      </c>
      <c r="AW249" s="81"/>
      <c r="BB249" s="81"/>
    </row>
    <row r="250" spans="1:54" s="77" customFormat="1" hidden="1" x14ac:dyDescent="0.2">
      <c r="A250" s="82">
        <v>2</v>
      </c>
      <c r="B250" s="82" t="str">
        <f>E180</f>
        <v>Intense 14 Elite</v>
      </c>
      <c r="C250" s="82">
        <f>VLOOKUP(B250,AU$3:BB$33,3,FALSE)</f>
        <v>2186.8300605333634</v>
      </c>
      <c r="D250" s="82">
        <f>IF(B243,B257,IF(D243,D257,C250))</f>
        <v>2198.6786936397707</v>
      </c>
      <c r="E250" s="82"/>
      <c r="F250" s="82"/>
      <c r="G250" s="82">
        <f>IF(E243,E257,IF(G243,G257,D250))</f>
        <v>2198.6786936397707</v>
      </c>
      <c r="H250" s="82"/>
      <c r="I250" s="82"/>
      <c r="J250" s="82">
        <f>IF(H243,H257,IF(J243,J257,G250))</f>
        <v>2198.6786936397707</v>
      </c>
      <c r="K250" s="82"/>
      <c r="L250" s="82"/>
      <c r="M250" s="82">
        <f>IF(K243,K257,IF(M243,M257,J250))</f>
        <v>2153.5304027184411</v>
      </c>
      <c r="N250" s="82"/>
      <c r="O250" s="82"/>
      <c r="P250" s="82">
        <f>IF(N243,N257,IF(P243,P257,M250))</f>
        <v>2153.5304027184411</v>
      </c>
      <c r="Q250" s="82"/>
      <c r="R250" s="82"/>
      <c r="S250" s="82">
        <f>IF(Q243,Q257,IF(S243,S257,P250))</f>
        <v>2153.5304027184411</v>
      </c>
      <c r="T250" s="82"/>
      <c r="U250" s="82"/>
      <c r="V250" s="82">
        <f>IF(T243,T257,IF(V243,V257,S250))</f>
        <v>2120.7363499956141</v>
      </c>
      <c r="W250" s="82"/>
      <c r="X250" s="82"/>
      <c r="Y250" s="82">
        <f>IF(W243,W257,IF(Y243,Y257,V250))</f>
        <v>2120.7363499956141</v>
      </c>
      <c r="Z250" s="82"/>
      <c r="AA250" s="82"/>
      <c r="AB250" s="82">
        <f>IF(Z243,Z257,IF(AB243,AB257,Y250))</f>
        <v>2120.7363499956141</v>
      </c>
      <c r="AC250" s="82"/>
      <c r="AD250" s="82"/>
      <c r="AE250" s="82">
        <f>IF(AC243,AC257,IF(AE243,AE257,AB250))</f>
        <v>2099.0943824558949</v>
      </c>
      <c r="AF250" s="4"/>
      <c r="AG250" s="4"/>
      <c r="AJ250" s="4"/>
      <c r="AL250" s="4"/>
      <c r="AM250" s="4"/>
      <c r="AN250" s="4"/>
      <c r="AO250" s="4"/>
      <c r="AT250" s="77" t="str">
        <f>B250</f>
        <v>Intense 14 Elite</v>
      </c>
      <c r="AU250" s="77">
        <f>AE250</f>
        <v>2099.0943824558949</v>
      </c>
      <c r="AW250" s="81"/>
      <c r="BB250" s="81"/>
    </row>
    <row r="251" spans="1:54" s="77" customFormat="1" hidden="1" x14ac:dyDescent="0.2">
      <c r="A251" s="82">
        <v>3</v>
      </c>
      <c r="B251" s="82" t="str">
        <f>E182</f>
        <v>Chas Jrs 14 Red</v>
      </c>
      <c r="C251" s="82">
        <f>VLOOKUP(B251,AU$3:BB$33,3,FALSE)</f>
        <v>2120.4974639095253</v>
      </c>
      <c r="D251" s="82">
        <f>IF(B244,B257,IF(D244,D257,C251))</f>
        <v>2120.4974639095253</v>
      </c>
      <c r="E251" s="82"/>
      <c r="F251" s="82"/>
      <c r="G251" s="82">
        <f>IF(E244,E257,IF(G244,G257,D251))</f>
        <v>2120.4974639095253</v>
      </c>
      <c r="H251" s="82"/>
      <c r="I251" s="82"/>
      <c r="J251" s="82">
        <f>IF(H244,H257,IF(J244,J257,G251))</f>
        <v>2135.6758233630521</v>
      </c>
      <c r="K251" s="82"/>
      <c r="L251" s="82"/>
      <c r="M251" s="82">
        <f>IF(K244,K257,IF(M244,M257,J251))</f>
        <v>2135.6758233630521</v>
      </c>
      <c r="N251" s="82"/>
      <c r="O251" s="82"/>
      <c r="P251" s="82">
        <f>IF(N244,N257,IF(P244,P257,M251))</f>
        <v>2144.9073146655387</v>
      </c>
      <c r="Q251" s="82"/>
      <c r="R251" s="82"/>
      <c r="S251" s="82">
        <f>IF(Q244,Q257,IF(S244,S257,P251))</f>
        <v>2144.9073146655387</v>
      </c>
      <c r="T251" s="82"/>
      <c r="U251" s="82"/>
      <c r="V251" s="82">
        <f>IF(T244,T257,IF(V244,V257,S251))</f>
        <v>2177.7013673883657</v>
      </c>
      <c r="W251" s="82"/>
      <c r="X251" s="82"/>
      <c r="Y251" s="82">
        <f>IF(W244,W257,IF(Y244,Y257,V251))</f>
        <v>2177.7013673883657</v>
      </c>
      <c r="Z251" s="82"/>
      <c r="AA251" s="82"/>
      <c r="AB251" s="82">
        <f>IF(Z244,Z257,IF(AB244,AB257,Y251))</f>
        <v>2203.3829436435667</v>
      </c>
      <c r="AC251" s="82"/>
      <c r="AD251" s="82"/>
      <c r="AE251" s="82">
        <f>IF(AC244,AC257,IF(AE244,AE257,AB251))</f>
        <v>2203.3829436435667</v>
      </c>
      <c r="AF251" s="4"/>
      <c r="AG251" s="4"/>
      <c r="AJ251" s="4"/>
      <c r="AL251" s="4"/>
      <c r="AM251" s="4"/>
      <c r="AN251" s="4"/>
      <c r="AO251" s="4"/>
      <c r="AT251" s="77" t="str">
        <f>B251</f>
        <v>Chas Jrs 14 Red</v>
      </c>
      <c r="AU251" s="77">
        <f>AE251</f>
        <v>2203.3829436435667</v>
      </c>
      <c r="AW251" s="81"/>
      <c r="BB251" s="81"/>
    </row>
    <row r="252" spans="1:54" s="77" customFormat="1" hidden="1" x14ac:dyDescent="0.2">
      <c r="A252" s="82">
        <v>4</v>
      </c>
      <c r="B252" s="82" t="str">
        <f>E184</f>
        <v>MOTO 14-1 IGNITE</v>
      </c>
      <c r="C252" s="82">
        <f>VLOOKUP(B252,AU$3:BB$33,3,FALSE)</f>
        <v>2065.5934655640858</v>
      </c>
      <c r="D252" s="82">
        <f>IF(B245,B257,IF(D245,D257,C252))</f>
        <v>2065.5934655640858</v>
      </c>
      <c r="E252" s="82"/>
      <c r="F252" s="82"/>
      <c r="G252" s="82">
        <f>IF(E245,E257,IF(G245,G257,D252))</f>
        <v>2046.9624593310905</v>
      </c>
      <c r="H252" s="82"/>
      <c r="I252" s="82"/>
      <c r="J252" s="82">
        <f>IF(H245,H257,IF(J245,J257,G252))</f>
        <v>2046.9624593310905</v>
      </c>
      <c r="K252" s="82"/>
      <c r="L252" s="82"/>
      <c r="M252" s="82">
        <f>IF(K245,K257,IF(M245,M257,J252))</f>
        <v>2092.1107502524201</v>
      </c>
      <c r="N252" s="82"/>
      <c r="O252" s="82"/>
      <c r="P252" s="82">
        <f>IF(N245,N257,IF(P245,P257,M252))</f>
        <v>2092.1107502524201</v>
      </c>
      <c r="Q252" s="82"/>
      <c r="R252" s="82"/>
      <c r="S252" s="82">
        <f>IF(Q245,Q257,IF(S245,S257,P252))</f>
        <v>2108.1869834251397</v>
      </c>
      <c r="T252" s="82"/>
      <c r="U252" s="82"/>
      <c r="V252" s="82">
        <f>IF(T245,T257,IF(V245,V257,S252))</f>
        <v>2108.1869834251397</v>
      </c>
      <c r="W252" s="82"/>
      <c r="X252" s="82"/>
      <c r="Y252" s="82">
        <f>IF(W245,W257,IF(Y245,Y257,V252))</f>
        <v>2108.1869834251397</v>
      </c>
      <c r="Z252" s="82"/>
      <c r="AA252" s="82"/>
      <c r="AB252" s="82">
        <f>IF(Z245,Z257,IF(AB245,AB257,Y252))</f>
        <v>2082.5054071699387</v>
      </c>
      <c r="AC252" s="82"/>
      <c r="AD252" s="82"/>
      <c r="AE252" s="82">
        <f>IF(AC245,AC257,IF(AE245,AE257,AB252))</f>
        <v>2082.5054071699387</v>
      </c>
      <c r="AF252" s="4"/>
      <c r="AG252" s="4"/>
      <c r="AJ252" s="4"/>
      <c r="AL252" s="4"/>
      <c r="AM252" s="4"/>
      <c r="AN252" s="4"/>
      <c r="AO252" s="4"/>
      <c r="AT252" s="77" t="str">
        <f>B252</f>
        <v>MOTO 14-1 IGNITE</v>
      </c>
      <c r="AU252" s="77">
        <f>AE252</f>
        <v>2082.5054071699387</v>
      </c>
      <c r="AW252" s="81"/>
      <c r="BB252" s="81"/>
    </row>
    <row r="253" spans="1:54" s="77" customFormat="1" hidden="1" x14ac:dyDescent="0.2">
      <c r="A253" s="82">
        <v>5</v>
      </c>
      <c r="B253" s="82" t="str">
        <f>E186</f>
        <v>Columbia SC Starlings 14</v>
      </c>
      <c r="C253" s="82">
        <f>VLOOKUP(B253,AU$3:BB$33,3,FALSE)</f>
        <v>1929.3910828969913</v>
      </c>
      <c r="D253" s="82">
        <f>IF(B246,B257,IF(D246,D257,C253))</f>
        <v>1917.542449790584</v>
      </c>
      <c r="E253" s="82"/>
      <c r="F253" s="82"/>
      <c r="G253" s="82">
        <f>IF(E246,E257,IF(G246,G257,D253))</f>
        <v>1917.542449790584</v>
      </c>
      <c r="H253" s="82"/>
      <c r="I253" s="82"/>
      <c r="J253" s="82">
        <f>IF(H246,H257,IF(J246,J257,G253))</f>
        <v>1902.364090337057</v>
      </c>
      <c r="K253" s="82"/>
      <c r="L253" s="82"/>
      <c r="M253" s="82">
        <f>IF(K246,K257,IF(M246,M257,J253))</f>
        <v>1902.364090337057</v>
      </c>
      <c r="N253" s="82"/>
      <c r="O253" s="82"/>
      <c r="P253" s="82">
        <f>IF(N246,N257,IF(P246,P257,M253))</f>
        <v>1902.364090337057</v>
      </c>
      <c r="Q253" s="82"/>
      <c r="R253" s="82"/>
      <c r="S253" s="82">
        <f>IF(Q246,Q257,IF(S246,S257,P253))</f>
        <v>1886.2878571643373</v>
      </c>
      <c r="T253" s="82"/>
      <c r="U253" s="82"/>
      <c r="V253" s="82">
        <f>IF(T246,T257,IF(V246,V257,S253))</f>
        <v>1886.2878571643373</v>
      </c>
      <c r="W253" s="82"/>
      <c r="X253" s="82"/>
      <c r="Y253" s="82">
        <f>IF(W246,W257,IF(Y246,Y257,V253))</f>
        <v>1878.4980070891529</v>
      </c>
      <c r="Z253" s="82"/>
      <c r="AA253" s="82"/>
      <c r="AB253" s="82">
        <f>IF(Z246,Z257,IF(AB246,AB257,Y253))</f>
        <v>1878.4980070891529</v>
      </c>
      <c r="AC253" s="82"/>
      <c r="AD253" s="82"/>
      <c r="AE253" s="82">
        <f>IF(AC246,AC257,IF(AE246,AE257,AB253))</f>
        <v>1878.4980070891529</v>
      </c>
      <c r="AF253" s="4"/>
      <c r="AG253" s="4"/>
      <c r="AJ253" s="4"/>
      <c r="AL253" s="4"/>
      <c r="AM253" s="4"/>
      <c r="AN253" s="4"/>
      <c r="AO253" s="4"/>
      <c r="AT253" s="77" t="str">
        <f>B253</f>
        <v>Columbia SC Starlings 14</v>
      </c>
      <c r="AU253" s="77">
        <f>AE253</f>
        <v>1878.4980070891529</v>
      </c>
      <c r="AW253" s="81"/>
      <c r="BB253" s="81"/>
    </row>
    <row r="254" spans="1:54" s="77" customFormat="1" hidden="1" x14ac:dyDescent="0.2">
      <c r="A254" s="82"/>
      <c r="B254" s="82"/>
      <c r="C254" s="82"/>
      <c r="D254" s="82"/>
      <c r="E254" s="82"/>
      <c r="F254" s="82"/>
      <c r="G254" s="82"/>
      <c r="H254" s="82"/>
      <c r="I254" s="82"/>
      <c r="J254" s="82"/>
      <c r="K254" s="82"/>
      <c r="L254" s="82"/>
      <c r="M254" s="82"/>
      <c r="N254" s="82"/>
      <c r="O254" s="82"/>
      <c r="P254" s="82"/>
      <c r="Q254" s="82"/>
      <c r="R254" s="82"/>
      <c r="S254" s="82"/>
      <c r="T254" s="82"/>
      <c r="U254" s="82"/>
      <c r="V254" s="82"/>
      <c r="W254" s="82"/>
      <c r="X254" s="82"/>
      <c r="Y254" s="82"/>
      <c r="Z254" s="82"/>
      <c r="AA254" s="82"/>
      <c r="AB254" s="82"/>
      <c r="AC254" s="82"/>
      <c r="AD254" s="82"/>
      <c r="AE254" s="82"/>
      <c r="AF254" s="4"/>
      <c r="AG254" s="4"/>
      <c r="AJ254" s="4"/>
      <c r="AL254" s="4"/>
      <c r="AM254" s="4"/>
      <c r="AN254" s="4"/>
      <c r="AO254" s="4"/>
      <c r="AW254" s="81"/>
      <c r="BB254" s="81"/>
    </row>
    <row r="255" spans="1:54" s="77" customFormat="1" hidden="1" x14ac:dyDescent="0.2">
      <c r="A255" s="82" t="s">
        <v>110</v>
      </c>
      <c r="B255" s="82">
        <f>VLOOKUP(B194,$A249:$AE253,3,FALSE)</f>
        <v>2186.8300605333634</v>
      </c>
      <c r="C255" s="82">
        <v>1</v>
      </c>
      <c r="D255" s="82">
        <f>VLOOKUP(D194,$A249:$AE253,3,FALSE)</f>
        <v>1929.3910828969913</v>
      </c>
      <c r="E255" s="82">
        <f>VLOOKUP(E194,$A249:$AE253,4,FALSE)</f>
        <v>2220.2025999969192</v>
      </c>
      <c r="F255" s="82">
        <v>2</v>
      </c>
      <c r="G255" s="82">
        <f>VLOOKUP(G194,$A249:$AE253,4,FALSE)</f>
        <v>2065.5934655640858</v>
      </c>
      <c r="H255" s="82">
        <f>VLOOKUP(H194,$A249:$AE253,7,FALSE)</f>
        <v>2120.4974639095253</v>
      </c>
      <c r="I255" s="82">
        <v>3</v>
      </c>
      <c r="J255" s="82">
        <f>VLOOKUP(J194,$A249:$AE253,7,FALSE)</f>
        <v>1917.542449790584</v>
      </c>
      <c r="K255" s="82">
        <f>VLOOKUP(K194,$A249:$AE253,10,FALSE)</f>
        <v>2198.6786936397707</v>
      </c>
      <c r="L255" s="82">
        <v>4</v>
      </c>
      <c r="M255" s="82">
        <f>VLOOKUP(M194,$A249:$AE253,10,FALSE)</f>
        <v>2046.9624593310905</v>
      </c>
      <c r="N255" s="82">
        <f>VLOOKUP(N194,$A249:$AE253,13,FALSE)</f>
        <v>2238.8336062299145</v>
      </c>
      <c r="O255" s="82">
        <v>5</v>
      </c>
      <c r="P255" s="82">
        <f>VLOOKUP(P194,$A249:$AE253,13,FALSE)</f>
        <v>2135.6758233630521</v>
      </c>
      <c r="Q255" s="82">
        <f>VLOOKUP(Q194,$A249:$AE253,16,FALSE)</f>
        <v>2092.1107502524201</v>
      </c>
      <c r="R255" s="82">
        <v>6</v>
      </c>
      <c r="S255" s="82">
        <f>VLOOKUP(S194,$A249:$AE253,16,FALSE)</f>
        <v>1902.364090337057</v>
      </c>
      <c r="T255" s="82">
        <f>VLOOKUP(T194,$A249:$AE253,19,FALSE)</f>
        <v>2153.5304027184411</v>
      </c>
      <c r="U255" s="82">
        <v>7</v>
      </c>
      <c r="V255" s="82">
        <f>VLOOKUP(V194,$A249:$AE253,19,FALSE)</f>
        <v>2144.9073146655387</v>
      </c>
      <c r="W255" s="82">
        <f>VLOOKUP(W194,$A249:$AE253,22,FALSE)</f>
        <v>2229.6021149274279</v>
      </c>
      <c r="X255" s="82">
        <v>8</v>
      </c>
      <c r="Y255" s="82">
        <f>VLOOKUP(Y194,$A249:$AE253,22,FALSE)</f>
        <v>1886.2878571643373</v>
      </c>
      <c r="Z255" s="82">
        <f>VLOOKUP(Z194,$A249:$AE253,25,FALSE)</f>
        <v>2177.7013673883657</v>
      </c>
      <c r="AA255" s="82">
        <v>9</v>
      </c>
      <c r="AB255" s="82">
        <f>VLOOKUP(AB194,$A249:$AE253,25,FALSE)</f>
        <v>2108.1869834251397</v>
      </c>
      <c r="AC255" s="82">
        <f>VLOOKUP(AC194,$A249:$AE253,28,FALSE)</f>
        <v>2237.3919650026123</v>
      </c>
      <c r="AD255" s="82">
        <v>10</v>
      </c>
      <c r="AE255" s="82">
        <f>VLOOKUP(AE194,$A249:$AE253,28,FALSE)</f>
        <v>2120.7363499956141</v>
      </c>
      <c r="AF255" s="4"/>
      <c r="AG255" s="95"/>
      <c r="AH255" s="95"/>
      <c r="AI255" s="95"/>
      <c r="AJ255" s="95"/>
      <c r="AK255" s="95"/>
      <c r="AL255" s="95"/>
      <c r="AM255" s="95"/>
      <c r="AN255" s="96"/>
      <c r="AO255" s="96"/>
      <c r="AP255" s="96"/>
      <c r="AQ255" s="96"/>
      <c r="AW255" s="81"/>
      <c r="BB255" s="81"/>
    </row>
    <row r="256" spans="1:54" s="87" customFormat="1" hidden="1" x14ac:dyDescent="0.2">
      <c r="A256" s="83" t="s">
        <v>111</v>
      </c>
      <c r="B256" s="83">
        <f>1/(1+(10^-((B255-D255)/400)))*(B206+D206)</f>
        <v>1.6297302154247717</v>
      </c>
      <c r="C256" s="83"/>
      <c r="D256" s="83">
        <f>1/(1+(10^-((D255-B255)/400)))*(B206+D206)</f>
        <v>0.3702697845752283</v>
      </c>
      <c r="E256" s="83">
        <f>1/(1+(10^-((E255-G255)/400)))*(E206+G206)</f>
        <v>1.4177810552188923</v>
      </c>
      <c r="F256" s="83"/>
      <c r="G256" s="83">
        <f>1/(1+(10^-((G255-E255)/400)))*(E206+G206)</f>
        <v>0.58221894478110769</v>
      </c>
      <c r="H256" s="83">
        <f>1/(1+(10^-((H255-J255)/400)))*(H206+J206)</f>
        <v>1.5256762670772803</v>
      </c>
      <c r="I256" s="83"/>
      <c r="J256" s="83">
        <f>1/(1+(10^-((J255-H255)/400)))*(H206+J206)</f>
        <v>0.47432373292271968</v>
      </c>
      <c r="K256" s="83">
        <f>1/(1+(10^-((K255-M255)/400)))*(K206+M206)</f>
        <v>1.4108840912915492</v>
      </c>
      <c r="L256" s="83"/>
      <c r="M256" s="83">
        <f>1/(1+(10^-((M255-K255)/400)))*(K206+M206)</f>
        <v>0.58911590870845076</v>
      </c>
      <c r="N256" s="83">
        <f>1/(1+(10^-((N255-P255)/400)))*(N206+P206)</f>
        <v>1.2884841032026992</v>
      </c>
      <c r="O256" s="83"/>
      <c r="P256" s="83">
        <f>1/(1+(10^-((P255-N255)/400)))*(N206+P206)</f>
        <v>0.71151589679730076</v>
      </c>
      <c r="Q256" s="83">
        <f>1/(1+(10^-((Q255-S255)/400)))*(Q206+S206)</f>
        <v>1.4976177133525108</v>
      </c>
      <c r="R256" s="83"/>
      <c r="S256" s="83">
        <f>1/(1+(10^-((S255-Q255)/400)))*(Q206+S206)</f>
        <v>0.50238228664748918</v>
      </c>
      <c r="T256" s="83">
        <f>1/(1+(10^-((T255-V255)/400)))*(T206+V206)</f>
        <v>1.0248141475883452</v>
      </c>
      <c r="U256" s="83"/>
      <c r="V256" s="83">
        <f>1/(1+(10^-((V255-T255)/400)))*(T206+V206)</f>
        <v>0.97518585241165479</v>
      </c>
      <c r="W256" s="83">
        <f>1/(1+(10^-((W255-Y255)/400)))*(W206+Y206)</f>
        <v>1.756567185150484</v>
      </c>
      <c r="X256" s="83"/>
      <c r="Y256" s="83">
        <f>1/(1+(10^-((Y255-W255)/400)))*(W206+Y206)</f>
        <v>0.2434328148495159</v>
      </c>
      <c r="Z256" s="83">
        <f>1/(1+(10^-((Z255-AB255)/400)))*(Z206+AB206)</f>
        <v>1.1974507420249709</v>
      </c>
      <c r="AA256" s="83"/>
      <c r="AB256" s="83">
        <f>1/(1+(10^-((AB255-Z255)/400)))*(Z206+AB206)</f>
        <v>0.80254925797502896</v>
      </c>
      <c r="AC256" s="83">
        <f>1/(1+(10^-((AC255-AE255)/400)))*(AC206+AE206)</f>
        <v>1.3236885143837818</v>
      </c>
      <c r="AD256" s="83"/>
      <c r="AE256" s="83">
        <f>1/(1+(10^-((AE255-AC255)/400)))*(AC206+AE206)</f>
        <v>0.67631148561621834</v>
      </c>
      <c r="AF256" s="84"/>
      <c r="AG256" s="85"/>
      <c r="AH256" s="85"/>
      <c r="AI256" s="85"/>
      <c r="AJ256" s="85"/>
      <c r="AK256" s="85"/>
      <c r="AL256" s="85"/>
      <c r="AM256" s="85"/>
      <c r="AN256" s="86"/>
      <c r="AO256" s="86"/>
      <c r="AP256" s="86"/>
      <c r="AQ256" s="86"/>
      <c r="AW256" s="88"/>
      <c r="BB256" s="88"/>
    </row>
    <row r="257" spans="1:54" s="93" customFormat="1" hidden="1" x14ac:dyDescent="0.2">
      <c r="A257" s="89" t="s">
        <v>112</v>
      </c>
      <c r="B257" s="89">
        <f>B255+(B206-B256)*$BA$1</f>
        <v>2198.6786936397707</v>
      </c>
      <c r="C257" s="89"/>
      <c r="D257" s="89">
        <f>D255+(D206-D256)*$BA$1</f>
        <v>1917.542449790584</v>
      </c>
      <c r="E257" s="89">
        <f>E255+(E206-E256)*$BA$1</f>
        <v>2238.8336062299145</v>
      </c>
      <c r="F257" s="89"/>
      <c r="G257" s="89">
        <f>G255+(G206-G256)*$BA$1</f>
        <v>2046.9624593310905</v>
      </c>
      <c r="H257" s="89">
        <f>H255+(H206-H256)*$BA$1</f>
        <v>2135.6758233630521</v>
      </c>
      <c r="I257" s="89"/>
      <c r="J257" s="89">
        <f>J255+(J206-J256)*$BA$1</f>
        <v>1902.364090337057</v>
      </c>
      <c r="K257" s="89">
        <f>K255+(K206-K256)*$BA$1</f>
        <v>2153.5304027184411</v>
      </c>
      <c r="L257" s="89"/>
      <c r="M257" s="89">
        <f>M255+(M206-M256)*$BA$1</f>
        <v>2092.1107502524201</v>
      </c>
      <c r="N257" s="89">
        <f>N255+(N206-N256)*$BA$1</f>
        <v>2229.6021149274279</v>
      </c>
      <c r="O257" s="89"/>
      <c r="P257" s="89">
        <f>P255+(P206-P256)*$BA$1</f>
        <v>2144.9073146655387</v>
      </c>
      <c r="Q257" s="89">
        <f>Q255+(Q206-Q256)*$BA$1</f>
        <v>2108.1869834251397</v>
      </c>
      <c r="R257" s="89"/>
      <c r="S257" s="89">
        <f>S255+(S206-S256)*$BA$1</f>
        <v>1886.2878571643373</v>
      </c>
      <c r="T257" s="89">
        <f>T255+(T206-T256)*$BA$1</f>
        <v>2120.7363499956141</v>
      </c>
      <c r="U257" s="89"/>
      <c r="V257" s="89">
        <f>V255+(V206-V256)*$BA$1</f>
        <v>2177.7013673883657</v>
      </c>
      <c r="W257" s="89">
        <f>W255+(W206-W256)*$BA$1</f>
        <v>2237.3919650026123</v>
      </c>
      <c r="X257" s="89"/>
      <c r="Y257" s="89">
        <f>Y255+(Y206-Y256)*$BA$1</f>
        <v>1878.4980070891529</v>
      </c>
      <c r="Z257" s="89">
        <f>Z255+(Z206-Z256)*$BA$1</f>
        <v>2203.3829436435667</v>
      </c>
      <c r="AA257" s="89"/>
      <c r="AB257" s="89">
        <f>AB255+(AB206-AB256)*$BA$1</f>
        <v>2082.5054071699387</v>
      </c>
      <c r="AC257" s="89">
        <f>AC255+(AC206-AC256)*$BA$1</f>
        <v>2259.0339325423315</v>
      </c>
      <c r="AD257" s="89"/>
      <c r="AE257" s="89">
        <f>AE255+(AE206-AE256)*$BA$1</f>
        <v>2099.0943824558949</v>
      </c>
      <c r="AF257" s="90"/>
      <c r="AG257" s="91"/>
      <c r="AH257" s="91"/>
      <c r="AI257" s="91"/>
      <c r="AJ257" s="91"/>
      <c r="AK257" s="91"/>
      <c r="AL257" s="91"/>
      <c r="AM257" s="91"/>
      <c r="AN257" s="92"/>
      <c r="AO257" s="92"/>
      <c r="AP257" s="92"/>
      <c r="AQ257" s="92"/>
      <c r="AW257" s="94"/>
      <c r="BB257" s="94"/>
    </row>
    <row r="258" spans="1:54" s="93" customFormat="1" hidden="1" x14ac:dyDescent="0.2">
      <c r="A258" s="89"/>
      <c r="B258" s="89"/>
      <c r="C258" s="89"/>
      <c r="D258" s="89"/>
      <c r="E258" s="89"/>
      <c r="F258" s="89"/>
      <c r="G258" s="89"/>
      <c r="H258" s="89"/>
      <c r="I258" s="89"/>
      <c r="J258" s="89"/>
      <c r="K258" s="89"/>
      <c r="L258" s="89"/>
      <c r="M258" s="89"/>
      <c r="N258" s="89"/>
      <c r="O258" s="89"/>
      <c r="P258" s="89"/>
      <c r="Q258" s="89"/>
      <c r="R258" s="89"/>
      <c r="S258" s="89"/>
      <c r="T258" s="89"/>
      <c r="U258" s="89"/>
      <c r="V258" s="89"/>
      <c r="W258" s="89"/>
      <c r="X258" s="89"/>
      <c r="Y258" s="89"/>
      <c r="Z258" s="89"/>
      <c r="AA258" s="89"/>
      <c r="AB258" s="89"/>
      <c r="AC258" s="89"/>
      <c r="AD258" s="89"/>
      <c r="AE258" s="89"/>
      <c r="AF258" s="90"/>
      <c r="AG258" s="91"/>
      <c r="AH258" s="91"/>
      <c r="AI258" s="91"/>
      <c r="AJ258" s="91"/>
      <c r="AK258" s="91"/>
      <c r="AL258" s="91"/>
      <c r="AM258" s="91"/>
      <c r="AN258" s="92"/>
      <c r="AO258" s="92"/>
      <c r="AP258" s="92"/>
      <c r="AQ258" s="92"/>
      <c r="AW258" s="94"/>
      <c r="BB258" s="94"/>
    </row>
    <row r="259" spans="1:54" s="77" customFormat="1" x14ac:dyDescent="0.2">
      <c r="A259" s="281" t="str">
        <f>IF($AK180=1,"Pool Tiereaker : 1) Matches Won vs Lost (if 3 way tie then #4)  2) Head to Head  3) Game Win %  4) Total Pool Net Points  5) Flip a Coin","Pool Tiebreaker : 1) Games Won vs Lost (if 3 way tie then #5)  2) Head to Head  3) Head to Head Net Points  4) Game Win %  5) Total Pool Net Points  6) Flip a Coin")</f>
        <v>Pool Tiebreaker : 1) Games Won vs Lost (if 3 way tie then #5)  2) Head to Head  3) Head to Head Net Points  4) Game Win %  5) Total Pool Net Points  6) Flip a Coin</v>
      </c>
      <c r="B259" s="281"/>
      <c r="C259" s="281"/>
      <c r="D259" s="281"/>
      <c r="E259" s="281"/>
      <c r="F259" s="281"/>
      <c r="G259" s="281"/>
      <c r="H259" s="281"/>
      <c r="I259" s="281"/>
      <c r="J259" s="281"/>
      <c r="K259" s="281"/>
      <c r="L259" s="281"/>
      <c r="M259" s="281"/>
      <c r="N259" s="281"/>
      <c r="O259" s="281"/>
      <c r="P259" s="281"/>
      <c r="Q259" s="281"/>
      <c r="R259" s="281"/>
      <c r="S259" s="281"/>
      <c r="T259" s="281"/>
      <c r="U259" s="281"/>
      <c r="V259" s="281"/>
      <c r="W259" s="281"/>
      <c r="X259" s="281"/>
      <c r="Y259" s="281"/>
      <c r="Z259" s="281"/>
      <c r="AA259" s="281"/>
      <c r="AB259" s="281"/>
      <c r="AC259" s="281"/>
      <c r="AD259" s="281"/>
      <c r="AE259" s="281"/>
      <c r="AF259" s="281"/>
      <c r="AG259" s="281"/>
      <c r="AH259" s="281"/>
      <c r="AI259" s="281"/>
      <c r="AJ259" s="281"/>
      <c r="AK259" s="281"/>
      <c r="AL259" s="281"/>
      <c r="AM259" s="281"/>
      <c r="AN259" s="259"/>
      <c r="AO259" s="259"/>
      <c r="AP259" s="259"/>
      <c r="AQ259" s="259"/>
      <c r="AW259" s="81"/>
    </row>
    <row r="260" spans="1:54" s="77" customFormat="1" ht="13.5" thickBot="1" x14ac:dyDescent="0.25">
      <c r="A260" s="282"/>
      <c r="B260" s="282"/>
      <c r="C260" s="282"/>
      <c r="D260" s="282"/>
      <c r="E260" s="282"/>
      <c r="F260" s="282"/>
      <c r="G260" s="282"/>
      <c r="H260" s="282"/>
      <c r="I260" s="282"/>
      <c r="J260" s="282"/>
      <c r="K260" s="282"/>
      <c r="L260" s="282"/>
      <c r="M260" s="282"/>
      <c r="N260" s="282"/>
      <c r="O260" s="282"/>
      <c r="P260" s="282"/>
      <c r="Q260" s="282"/>
      <c r="R260" s="282"/>
      <c r="S260" s="282"/>
      <c r="T260" s="282"/>
      <c r="U260" s="282"/>
      <c r="V260" s="282"/>
      <c r="W260" s="282"/>
      <c r="X260" s="282"/>
      <c r="Y260" s="282"/>
      <c r="Z260" s="282"/>
      <c r="AA260" s="282"/>
      <c r="AB260" s="282"/>
      <c r="AC260" s="282"/>
      <c r="AD260" s="282"/>
      <c r="AE260" s="282"/>
      <c r="AF260" s="282"/>
      <c r="AG260" s="282"/>
      <c r="AH260" s="282"/>
      <c r="AI260" s="282"/>
      <c r="AJ260" s="282"/>
      <c r="AK260" s="282"/>
      <c r="AL260" s="282"/>
      <c r="AM260" s="282"/>
      <c r="AN260" s="282"/>
      <c r="AO260" s="282"/>
      <c r="AP260" s="282"/>
      <c r="AQ260" s="282"/>
      <c r="AT260" s="4"/>
      <c r="AU260" s="4"/>
      <c r="AV260" s="4"/>
      <c r="AW260" s="81"/>
    </row>
    <row r="261" spans="1:54" ht="24" customHeight="1" thickBot="1" x14ac:dyDescent="0.25">
      <c r="A261" s="27" t="s">
        <v>34</v>
      </c>
      <c r="B261" s="28" t="s">
        <v>206</v>
      </c>
      <c r="C261" s="353" t="s">
        <v>36</v>
      </c>
      <c r="D261" s="354"/>
      <c r="E261" s="354"/>
      <c r="F261" s="354"/>
      <c r="G261" s="354"/>
      <c r="H261" s="355"/>
      <c r="I261" s="356">
        <v>4</v>
      </c>
      <c r="J261" s="357"/>
      <c r="K261" s="358" t="str">
        <f>"Pool "&amp;B261&amp;" - Round 1 - Court "&amp;I261</f>
        <v>Pool D - Round 1 - Court 4</v>
      </c>
      <c r="L261" s="359"/>
      <c r="M261" s="359"/>
      <c r="N261" s="359"/>
      <c r="O261" s="359"/>
      <c r="P261" s="359"/>
      <c r="Q261" s="359"/>
      <c r="R261" s="359"/>
      <c r="S261" s="359"/>
      <c r="T261" s="359"/>
      <c r="U261" s="359"/>
      <c r="V261" s="359"/>
      <c r="W261" s="359"/>
      <c r="X261" s="359"/>
      <c r="Y261" s="359"/>
      <c r="Z261" s="359"/>
      <c r="AA261" s="359"/>
      <c r="AB261" s="359"/>
      <c r="AC261" s="359"/>
      <c r="AD261" s="359"/>
      <c r="AE261" s="359"/>
      <c r="AF261" s="359"/>
      <c r="AG261" s="359"/>
      <c r="AH261" s="359"/>
      <c r="AI261" s="360"/>
      <c r="AJ261" s="8"/>
      <c r="AK261" s="8"/>
      <c r="AL261" s="8"/>
      <c r="AM261" s="8"/>
      <c r="AN261" s="8"/>
      <c r="AO261" s="8"/>
      <c r="AP261" s="8"/>
      <c r="AQ261" s="8"/>
    </row>
    <row r="262" spans="1:54" ht="27" customHeight="1" thickBot="1" x14ac:dyDescent="0.25">
      <c r="A262" s="29" t="s">
        <v>39</v>
      </c>
      <c r="B262" s="361" t="s">
        <v>10</v>
      </c>
      <c r="C262" s="362"/>
      <c r="D262" s="362"/>
      <c r="E262" s="362"/>
      <c r="F262" s="362"/>
      <c r="G262" s="362"/>
      <c r="H262" s="362"/>
      <c r="I262" s="362"/>
      <c r="J262" s="362"/>
      <c r="K262" s="362"/>
      <c r="L262" s="361" t="str">
        <f>IF($AK265=0,"Games Won","Matches Won")</f>
        <v>Matches Won</v>
      </c>
      <c r="M262" s="362"/>
      <c r="N262" s="362"/>
      <c r="O262" s="362"/>
      <c r="P262" s="362"/>
      <c r="Q262" s="363"/>
      <c r="R262" s="361" t="str">
        <f>IF($AK265=0,"Games Lost","Matches Lost")</f>
        <v>Matches Lost</v>
      </c>
      <c r="S262" s="364"/>
      <c r="T262" s="364"/>
      <c r="U262" s="364"/>
      <c r="V262" s="365"/>
      <c r="W262" s="366" t="s">
        <v>40</v>
      </c>
      <c r="X262" s="367"/>
      <c r="Y262" s="368"/>
      <c r="Z262" s="366" t="s">
        <v>41</v>
      </c>
      <c r="AA262" s="367"/>
      <c r="AB262" s="368"/>
      <c r="AC262" s="369" t="s">
        <v>42</v>
      </c>
      <c r="AD262" s="370"/>
      <c r="AE262" s="371"/>
      <c r="AF262" s="30" t="s">
        <v>43</v>
      </c>
      <c r="AG262" s="31" t="s">
        <v>9</v>
      </c>
      <c r="AH262" s="351" t="s">
        <v>44</v>
      </c>
      <c r="AI262" s="352"/>
      <c r="AJ262" s="32"/>
      <c r="AK262" s="33">
        <v>3</v>
      </c>
      <c r="AL262" s="34" t="s">
        <v>45</v>
      </c>
      <c r="AM262" s="34"/>
      <c r="AN262" s="34"/>
      <c r="AO262" s="34"/>
      <c r="AP262" s="34"/>
      <c r="AQ262" s="34"/>
      <c r="AR262" s="35"/>
    </row>
    <row r="263" spans="1:54" ht="18.75" customHeight="1" x14ac:dyDescent="0.2">
      <c r="A263" s="320" t="str">
        <f>IF($AK264&gt;0,"1","")</f>
        <v>1</v>
      </c>
      <c r="B263" s="348" t="s">
        <v>10</v>
      </c>
      <c r="C263" s="349"/>
      <c r="D263" s="350"/>
      <c r="E263" s="324" t="str">
        <f>AU6</f>
        <v>Crossfire 14 Power</v>
      </c>
      <c r="F263" s="325"/>
      <c r="G263" s="325"/>
      <c r="H263" s="325"/>
      <c r="I263" s="325"/>
      <c r="J263" s="325"/>
      <c r="K263" s="326"/>
      <c r="L263" s="327">
        <f>IF($AK265=0,AF319,AF301)</f>
        <v>1</v>
      </c>
      <c r="M263" s="328"/>
      <c r="N263" s="328"/>
      <c r="O263" s="328"/>
      <c r="P263" s="328"/>
      <c r="Q263" s="363"/>
      <c r="R263" s="327">
        <f>IF($AK265=0,AG319,AG301)</f>
        <v>2</v>
      </c>
      <c r="S263" s="328"/>
      <c r="T263" s="328"/>
      <c r="U263" s="328"/>
      <c r="V263" s="328"/>
      <c r="W263" s="327">
        <f>AQ279</f>
        <v>13</v>
      </c>
      <c r="X263" s="328"/>
      <c r="Y263" s="328"/>
      <c r="Z263" s="300">
        <f>IF(AF313&gt;0,(AQ279/AF313),0)</f>
        <v>7.18232044198895E-2</v>
      </c>
      <c r="AA263" s="301"/>
      <c r="AB263" s="301"/>
      <c r="AC263" s="304">
        <f>IF(AF327=0,0,(AF319/AF327))</f>
        <v>0.5</v>
      </c>
      <c r="AD263" s="305"/>
      <c r="AE263" s="306"/>
      <c r="AF263" s="310">
        <v>4</v>
      </c>
      <c r="AG263" s="310">
        <v>2</v>
      </c>
      <c r="AH263" s="312">
        <v>13</v>
      </c>
      <c r="AI263" s="313"/>
      <c r="AJ263" s="32"/>
      <c r="AK263" s="33">
        <v>6</v>
      </c>
      <c r="AL263" s="34" t="s">
        <v>48</v>
      </c>
      <c r="AM263" s="34"/>
      <c r="AN263" s="34"/>
      <c r="AO263" s="34"/>
      <c r="AP263" s="34"/>
      <c r="AQ263" s="34"/>
      <c r="AR263" s="35"/>
    </row>
    <row r="264" spans="1:54" ht="18.75" customHeight="1" thickBot="1" x14ac:dyDescent="0.25">
      <c r="A264" s="321"/>
      <c r="B264" s="345" t="s">
        <v>11</v>
      </c>
      <c r="C264" s="346"/>
      <c r="D264" s="347"/>
      <c r="E264" s="341" t="str">
        <f>AV6</f>
        <v>fj4crosf1pm</v>
      </c>
      <c r="F264" s="342"/>
      <c r="G264" s="342"/>
      <c r="H264" s="342"/>
      <c r="I264" s="342"/>
      <c r="J264" s="342"/>
      <c r="K264" s="342"/>
      <c r="L264" s="343"/>
      <c r="M264" s="344"/>
      <c r="N264" s="344"/>
      <c r="O264" s="344"/>
      <c r="P264" s="344"/>
      <c r="Q264" s="363"/>
      <c r="R264" s="343"/>
      <c r="S264" s="344"/>
      <c r="T264" s="344"/>
      <c r="U264" s="344"/>
      <c r="V264" s="344"/>
      <c r="W264" s="343"/>
      <c r="X264" s="344"/>
      <c r="Y264" s="344"/>
      <c r="Z264" s="331"/>
      <c r="AA264" s="332"/>
      <c r="AB264" s="332"/>
      <c r="AC264" s="333"/>
      <c r="AD264" s="334"/>
      <c r="AE264" s="335"/>
      <c r="AF264" s="336"/>
      <c r="AG264" s="336"/>
      <c r="AH264" s="337"/>
      <c r="AI264" s="338"/>
      <c r="AJ264" s="32"/>
      <c r="AK264" s="33">
        <v>4</v>
      </c>
      <c r="AL264" s="34" t="s">
        <v>51</v>
      </c>
      <c r="AM264" s="32"/>
      <c r="AN264" s="32"/>
      <c r="AO264" s="32"/>
      <c r="AP264" s="32"/>
      <c r="AQ264" s="32"/>
      <c r="AR264" s="3"/>
    </row>
    <row r="265" spans="1:54" ht="18.75" customHeight="1" x14ac:dyDescent="0.2">
      <c r="A265" s="320" t="str">
        <f>IF($AK264&gt;1,"2","")</f>
        <v>2</v>
      </c>
      <c r="B265" s="348" t="s">
        <v>10</v>
      </c>
      <c r="C265" s="349"/>
      <c r="D265" s="350"/>
      <c r="E265" s="324" t="str">
        <f>AU7</f>
        <v>Intense 14 Hyper Elite</v>
      </c>
      <c r="F265" s="325"/>
      <c r="G265" s="325"/>
      <c r="H265" s="325"/>
      <c r="I265" s="325"/>
      <c r="J265" s="325"/>
      <c r="K265" s="326"/>
      <c r="L265" s="327">
        <f>IF($AK265=0,AF320,AF302)</f>
        <v>1</v>
      </c>
      <c r="M265" s="328"/>
      <c r="N265" s="328"/>
      <c r="O265" s="328"/>
      <c r="P265" s="328"/>
      <c r="Q265" s="363"/>
      <c r="R265" s="327">
        <f>IF($AK265=0,AG320,AG302)</f>
        <v>2</v>
      </c>
      <c r="S265" s="328"/>
      <c r="T265" s="328"/>
      <c r="U265" s="328"/>
      <c r="V265" s="328"/>
      <c r="W265" s="327">
        <f>AQ280</f>
        <v>-26</v>
      </c>
      <c r="X265" s="328"/>
      <c r="Y265" s="328"/>
      <c r="Z265" s="300">
        <f>IF(AF314&gt;0,(AQ280/AF314),0)</f>
        <v>-0.13197969543147209</v>
      </c>
      <c r="AA265" s="301"/>
      <c r="AB265" s="301"/>
      <c r="AC265" s="304">
        <f>IF(AF328=0,0,(AF320/AF328))</f>
        <v>0.44444444444444442</v>
      </c>
      <c r="AD265" s="305"/>
      <c r="AE265" s="306"/>
      <c r="AF265" s="310">
        <v>3</v>
      </c>
      <c r="AG265" s="310">
        <v>2</v>
      </c>
      <c r="AH265" s="312">
        <v>11</v>
      </c>
      <c r="AI265" s="313"/>
      <c r="AJ265" s="32"/>
      <c r="AK265" s="33">
        <v>1</v>
      </c>
      <c r="AL265" s="34" t="s">
        <v>54</v>
      </c>
      <c r="AM265" s="34"/>
      <c r="AN265" s="34"/>
      <c r="AO265" s="34"/>
      <c r="AP265" s="34"/>
      <c r="AQ265" s="34"/>
      <c r="AR265" s="35"/>
    </row>
    <row r="266" spans="1:54" ht="18.75" customHeight="1" thickBot="1" x14ac:dyDescent="0.25">
      <c r="A266" s="321"/>
      <c r="B266" s="339" t="s">
        <v>11</v>
      </c>
      <c r="C266" s="340"/>
      <c r="D266" s="340"/>
      <c r="E266" s="341" t="str">
        <f>AV7</f>
        <v>fj4inten1pm</v>
      </c>
      <c r="F266" s="342"/>
      <c r="G266" s="342"/>
      <c r="H266" s="342"/>
      <c r="I266" s="342"/>
      <c r="J266" s="342"/>
      <c r="K266" s="342"/>
      <c r="L266" s="343"/>
      <c r="M266" s="344"/>
      <c r="N266" s="344"/>
      <c r="O266" s="344"/>
      <c r="P266" s="344"/>
      <c r="Q266" s="363"/>
      <c r="R266" s="343"/>
      <c r="S266" s="344"/>
      <c r="T266" s="344"/>
      <c r="U266" s="344"/>
      <c r="V266" s="344"/>
      <c r="W266" s="343"/>
      <c r="X266" s="344"/>
      <c r="Y266" s="344"/>
      <c r="Z266" s="331"/>
      <c r="AA266" s="332"/>
      <c r="AB266" s="332"/>
      <c r="AC266" s="333"/>
      <c r="AD266" s="334"/>
      <c r="AE266" s="335"/>
      <c r="AF266" s="336"/>
      <c r="AG266" s="336"/>
      <c r="AH266" s="337"/>
      <c r="AI266" s="338"/>
      <c r="AJ266" s="32"/>
      <c r="AK266" s="33">
        <v>1</v>
      </c>
      <c r="AL266" s="34" t="s">
        <v>56</v>
      </c>
      <c r="AM266" s="32"/>
      <c r="AN266" s="32"/>
      <c r="AO266" s="32"/>
      <c r="AP266" s="32"/>
      <c r="AQ266" s="32"/>
      <c r="AR266" s="3"/>
    </row>
    <row r="267" spans="1:54" ht="18.75" customHeight="1" x14ac:dyDescent="0.2">
      <c r="A267" s="320" t="str">
        <f>IF($AK264&gt;2,"3","")</f>
        <v>3</v>
      </c>
      <c r="B267" s="322" t="s">
        <v>10</v>
      </c>
      <c r="C267" s="323"/>
      <c r="D267" s="323"/>
      <c r="E267" s="324" t="str">
        <f>AU14</f>
        <v>CSRA Heat 14 Gold</v>
      </c>
      <c r="F267" s="325"/>
      <c r="G267" s="325"/>
      <c r="H267" s="325"/>
      <c r="I267" s="325"/>
      <c r="J267" s="325"/>
      <c r="K267" s="326"/>
      <c r="L267" s="327">
        <f>IF($AK265=0,AF321,AF303)</f>
        <v>2</v>
      </c>
      <c r="M267" s="328"/>
      <c r="N267" s="328"/>
      <c r="O267" s="328"/>
      <c r="P267" s="328"/>
      <c r="Q267" s="363"/>
      <c r="R267" s="327">
        <f>IF($AK265=0,AG321,AG303)</f>
        <v>1</v>
      </c>
      <c r="S267" s="328"/>
      <c r="T267" s="328"/>
      <c r="U267" s="328"/>
      <c r="V267" s="328"/>
      <c r="W267" s="327">
        <f>AQ281</f>
        <v>-10</v>
      </c>
      <c r="X267" s="328"/>
      <c r="Y267" s="328"/>
      <c r="Z267" s="300">
        <f>IF(AF315&gt;0,(AQ281/AF315),0)</f>
        <v>-5.5248618784530384E-2</v>
      </c>
      <c r="AA267" s="301"/>
      <c r="AB267" s="301"/>
      <c r="AC267" s="304">
        <f>IF(AF329=0,0,(AF321/AF329))</f>
        <v>0.5</v>
      </c>
      <c r="AD267" s="305"/>
      <c r="AE267" s="306"/>
      <c r="AF267" s="310">
        <v>2</v>
      </c>
      <c r="AG267" s="310">
        <v>2</v>
      </c>
      <c r="AH267" s="312">
        <v>7</v>
      </c>
      <c r="AI267" s="313"/>
      <c r="AJ267" s="43"/>
      <c r="AK267" s="33">
        <v>3</v>
      </c>
      <c r="AL267" s="44" t="s">
        <v>57</v>
      </c>
      <c r="AM267" s="34"/>
      <c r="AN267" s="34"/>
      <c r="AO267" s="34"/>
      <c r="AP267" s="34"/>
      <c r="AQ267" s="34"/>
      <c r="AR267" s="35"/>
    </row>
    <row r="268" spans="1:54" ht="18.75" customHeight="1" thickBot="1" x14ac:dyDescent="0.25">
      <c r="A268" s="321"/>
      <c r="B268" s="339" t="s">
        <v>11</v>
      </c>
      <c r="C268" s="340"/>
      <c r="D268" s="340"/>
      <c r="E268" s="341" t="str">
        <f>AV14</f>
        <v>fj4csrah2pm</v>
      </c>
      <c r="F268" s="342"/>
      <c r="G268" s="342"/>
      <c r="H268" s="342"/>
      <c r="I268" s="342"/>
      <c r="J268" s="342"/>
      <c r="K268" s="342"/>
      <c r="L268" s="343"/>
      <c r="M268" s="344"/>
      <c r="N268" s="344"/>
      <c r="O268" s="344"/>
      <c r="P268" s="344"/>
      <c r="Q268" s="363"/>
      <c r="R268" s="343"/>
      <c r="S268" s="344"/>
      <c r="T268" s="344"/>
      <c r="U268" s="344"/>
      <c r="V268" s="344"/>
      <c r="W268" s="343"/>
      <c r="X268" s="344"/>
      <c r="Y268" s="344"/>
      <c r="Z268" s="331"/>
      <c r="AA268" s="332"/>
      <c r="AB268" s="332"/>
      <c r="AC268" s="333"/>
      <c r="AD268" s="334"/>
      <c r="AE268" s="335"/>
      <c r="AF268" s="336"/>
      <c r="AG268" s="336"/>
      <c r="AH268" s="337"/>
      <c r="AI268" s="338"/>
      <c r="AJ268" s="43"/>
      <c r="AK268" s="51"/>
      <c r="AL268" s="52"/>
      <c r="AM268" s="52"/>
      <c r="AN268" s="52"/>
      <c r="AO268" s="52"/>
      <c r="AP268" s="52"/>
      <c r="AQ268" s="32"/>
      <c r="AR268" s="3"/>
    </row>
    <row r="269" spans="1:54" ht="18.75" customHeight="1" x14ac:dyDescent="0.2">
      <c r="A269" s="320" t="str">
        <f>IF($AK264&gt;3,"4","")</f>
        <v>4</v>
      </c>
      <c r="B269" s="322" t="s">
        <v>10</v>
      </c>
      <c r="C269" s="323"/>
      <c r="D269" s="323"/>
      <c r="E269" s="324" t="str">
        <f>AU15</f>
        <v>Vision 14-Kristen &amp; Rach</v>
      </c>
      <c r="F269" s="325"/>
      <c r="G269" s="325"/>
      <c r="H269" s="325"/>
      <c r="I269" s="325"/>
      <c r="J269" s="325"/>
      <c r="K269" s="326"/>
      <c r="L269" s="327">
        <f>IF($AK265=0,AF322,AF304)</f>
        <v>2</v>
      </c>
      <c r="M269" s="328"/>
      <c r="N269" s="328"/>
      <c r="O269" s="328"/>
      <c r="P269" s="328"/>
      <c r="Q269" s="363"/>
      <c r="R269" s="327">
        <f>IF($AK265=0,AG322,AG304)</f>
        <v>1</v>
      </c>
      <c r="S269" s="328"/>
      <c r="T269" s="328"/>
      <c r="U269" s="328"/>
      <c r="V269" s="328"/>
      <c r="W269" s="327">
        <f>AQ282</f>
        <v>23</v>
      </c>
      <c r="X269" s="328"/>
      <c r="Y269" s="328"/>
      <c r="Z269" s="300">
        <f>IF(AF316&gt;0,(AQ282/AF316),0)</f>
        <v>0.1377245508982036</v>
      </c>
      <c r="AA269" s="301"/>
      <c r="AB269" s="301"/>
      <c r="AC269" s="304">
        <f>IF(AF330=0,0,(AF322/AF330))</f>
        <v>0.5714285714285714</v>
      </c>
      <c r="AD269" s="305"/>
      <c r="AE269" s="306"/>
      <c r="AF269" s="310">
        <v>1</v>
      </c>
      <c r="AG269" s="310">
        <v>2</v>
      </c>
      <c r="AH269" s="312">
        <v>3</v>
      </c>
      <c r="AI269" s="313"/>
      <c r="AJ269" s="8"/>
      <c r="AK269" s="52"/>
      <c r="AL269" s="52"/>
      <c r="AM269" s="52"/>
      <c r="AN269" s="52"/>
      <c r="AO269" s="52"/>
      <c r="AP269" s="52"/>
      <c r="AQ269" s="34"/>
      <c r="AR269" s="35"/>
    </row>
    <row r="270" spans="1:54" ht="18.75" customHeight="1" thickBot="1" x14ac:dyDescent="0.25">
      <c r="A270" s="321"/>
      <c r="B270" s="339" t="s">
        <v>11</v>
      </c>
      <c r="C270" s="340"/>
      <c r="D270" s="340"/>
      <c r="E270" s="341" t="str">
        <f>AV15</f>
        <v>fj4vison2pm</v>
      </c>
      <c r="F270" s="342"/>
      <c r="G270" s="342"/>
      <c r="H270" s="342"/>
      <c r="I270" s="342"/>
      <c r="J270" s="342"/>
      <c r="K270" s="342"/>
      <c r="L270" s="343"/>
      <c r="M270" s="344"/>
      <c r="N270" s="344"/>
      <c r="O270" s="344"/>
      <c r="P270" s="344"/>
      <c r="Q270" s="363"/>
      <c r="R270" s="343"/>
      <c r="S270" s="344"/>
      <c r="T270" s="344"/>
      <c r="U270" s="344"/>
      <c r="V270" s="344"/>
      <c r="W270" s="343"/>
      <c r="X270" s="344"/>
      <c r="Y270" s="344"/>
      <c r="Z270" s="331"/>
      <c r="AA270" s="332"/>
      <c r="AB270" s="332"/>
      <c r="AC270" s="333"/>
      <c r="AD270" s="334"/>
      <c r="AE270" s="335"/>
      <c r="AF270" s="336"/>
      <c r="AG270" s="336"/>
      <c r="AH270" s="337"/>
      <c r="AI270" s="338"/>
      <c r="AJ270" s="8"/>
      <c r="AK270" s="52"/>
      <c r="AL270" s="52"/>
      <c r="AM270" s="52"/>
      <c r="AN270" s="52"/>
      <c r="AO270" s="52"/>
      <c r="AP270" s="52"/>
      <c r="AQ270" s="8"/>
      <c r="AR270" s="3"/>
    </row>
    <row r="271" spans="1:54" ht="18.75" customHeight="1" x14ac:dyDescent="0.2">
      <c r="A271" s="320" t="str">
        <f>IF($AK264&gt;4,"5","")</f>
        <v/>
      </c>
      <c r="B271" s="322" t="s">
        <v>10</v>
      </c>
      <c r="C271" s="323"/>
      <c r="D271" s="323"/>
      <c r="E271" s="427">
        <f>AU22</f>
        <v>0</v>
      </c>
      <c r="F271" s="428"/>
      <c r="G271" s="428"/>
      <c r="H271" s="428"/>
      <c r="I271" s="428"/>
      <c r="J271" s="428"/>
      <c r="K271" s="429"/>
      <c r="L271" s="327">
        <f>IF($AK265=0,AF323,AF305)</f>
        <v>0</v>
      </c>
      <c r="M271" s="328"/>
      <c r="N271" s="328"/>
      <c r="O271" s="328"/>
      <c r="P271" s="328"/>
      <c r="Q271" s="363"/>
      <c r="R271" s="327">
        <f>IF($AK265=0,AG323,AG305)</f>
        <v>0</v>
      </c>
      <c r="S271" s="328"/>
      <c r="T271" s="328"/>
      <c r="U271" s="328"/>
      <c r="V271" s="328"/>
      <c r="W271" s="327">
        <f>AQ283</f>
        <v>0</v>
      </c>
      <c r="X271" s="328"/>
      <c r="Y271" s="328"/>
      <c r="Z271" s="300">
        <f>IF(AF317&gt;0,(AQ283/AF317),0)</f>
        <v>0</v>
      </c>
      <c r="AA271" s="301"/>
      <c r="AB271" s="301"/>
      <c r="AC271" s="304">
        <f>IF(AF331=0,0,(AF323/AF331))</f>
        <v>0</v>
      </c>
      <c r="AD271" s="305"/>
      <c r="AE271" s="306"/>
      <c r="AF271" s="310"/>
      <c r="AG271" s="310"/>
      <c r="AH271" s="312"/>
      <c r="AI271" s="313"/>
      <c r="AJ271" s="8"/>
      <c r="AK271" s="52"/>
      <c r="AL271" s="52"/>
      <c r="AM271" s="52"/>
      <c r="AN271" s="52"/>
      <c r="AO271" s="52"/>
      <c r="AP271" s="52"/>
      <c r="AQ271" s="8"/>
      <c r="AR271" s="3"/>
    </row>
    <row r="272" spans="1:54" ht="18.75" customHeight="1" thickBot="1" x14ac:dyDescent="0.25">
      <c r="A272" s="321"/>
      <c r="B272" s="316" t="s">
        <v>11</v>
      </c>
      <c r="C272" s="317"/>
      <c r="D272" s="317"/>
      <c r="E272" s="430">
        <f>AV22</f>
        <v>0</v>
      </c>
      <c r="F272" s="431"/>
      <c r="G272" s="431"/>
      <c r="H272" s="431"/>
      <c r="I272" s="431"/>
      <c r="J272" s="431"/>
      <c r="K272" s="431"/>
      <c r="L272" s="329"/>
      <c r="M272" s="330"/>
      <c r="N272" s="330"/>
      <c r="O272" s="330"/>
      <c r="P272" s="330"/>
      <c r="Q272" s="363"/>
      <c r="R272" s="329"/>
      <c r="S272" s="330"/>
      <c r="T272" s="330"/>
      <c r="U272" s="330"/>
      <c r="V272" s="330"/>
      <c r="W272" s="329"/>
      <c r="X272" s="330"/>
      <c r="Y272" s="330"/>
      <c r="Z272" s="302"/>
      <c r="AA272" s="303"/>
      <c r="AB272" s="303"/>
      <c r="AC272" s="307"/>
      <c r="AD272" s="308"/>
      <c r="AE272" s="309"/>
      <c r="AF272" s="311"/>
      <c r="AG272" s="311"/>
      <c r="AH272" s="314"/>
      <c r="AI272" s="315"/>
      <c r="AJ272" s="8"/>
      <c r="AK272" s="52"/>
      <c r="AL272" s="52"/>
      <c r="AM272" s="52"/>
      <c r="AN272" s="52"/>
      <c r="AO272" s="52"/>
      <c r="AP272" s="52"/>
      <c r="AQ272" s="8"/>
      <c r="AR272" s="3"/>
    </row>
    <row r="273" spans="1:49" ht="21" customHeight="1" thickTop="1" thickBot="1" x14ac:dyDescent="0.25">
      <c r="A273" s="55"/>
      <c r="B273" s="297" t="s">
        <v>207</v>
      </c>
      <c r="C273" s="298"/>
      <c r="D273" s="298"/>
      <c r="E273" s="298"/>
      <c r="F273" s="298"/>
      <c r="G273" s="298"/>
      <c r="H273" s="298"/>
      <c r="I273" s="298"/>
      <c r="J273" s="298"/>
      <c r="K273" s="298"/>
      <c r="L273" s="298"/>
      <c r="M273" s="298"/>
      <c r="N273" s="298"/>
      <c r="O273" s="298"/>
      <c r="P273" s="298"/>
      <c r="Q273" s="298"/>
      <c r="R273" s="298"/>
      <c r="S273" s="298"/>
      <c r="T273" s="298"/>
      <c r="U273" s="298"/>
      <c r="V273" s="298"/>
      <c r="W273" s="298"/>
      <c r="X273" s="298"/>
      <c r="Y273" s="298"/>
      <c r="Z273" s="298"/>
      <c r="AA273" s="298"/>
      <c r="AB273" s="298"/>
      <c r="AC273" s="298"/>
      <c r="AD273" s="298"/>
      <c r="AE273" s="298"/>
      <c r="AF273" s="298"/>
      <c r="AG273" s="298"/>
      <c r="AH273" s="298"/>
      <c r="AI273" s="299"/>
      <c r="AJ273" s="8"/>
      <c r="AK273" s="52"/>
      <c r="AL273" s="52"/>
      <c r="AM273" s="52"/>
      <c r="AN273" s="52"/>
      <c r="AO273" s="52"/>
      <c r="AP273" s="52"/>
      <c r="AQ273" s="8"/>
      <c r="AR273" s="3"/>
    </row>
    <row r="274" spans="1:49" ht="13.5" thickTop="1" x14ac:dyDescent="0.2">
      <c r="A274" s="4" t="s">
        <v>60</v>
      </c>
      <c r="B274" s="286">
        <v>0.35416666666666669</v>
      </c>
      <c r="C274" s="287"/>
      <c r="D274" s="288"/>
      <c r="E274" s="286">
        <v>0.39583333333333331</v>
      </c>
      <c r="F274" s="287"/>
      <c r="G274" s="288"/>
      <c r="H274" s="286">
        <v>0.4375</v>
      </c>
      <c r="I274" s="287"/>
      <c r="J274" s="288"/>
      <c r="K274" s="286">
        <v>0.47916666666666669</v>
      </c>
      <c r="L274" s="287"/>
      <c r="M274" s="288"/>
      <c r="N274" s="286">
        <v>0.52083333333333337</v>
      </c>
      <c r="O274" s="287"/>
      <c r="P274" s="288"/>
      <c r="Q274" s="286">
        <v>6.25E-2</v>
      </c>
      <c r="R274" s="287"/>
      <c r="S274" s="288"/>
      <c r="T274" s="286"/>
      <c r="U274" s="287"/>
      <c r="V274" s="288"/>
      <c r="W274" s="286"/>
      <c r="X274" s="287"/>
      <c r="Y274" s="288"/>
      <c r="Z274" s="286"/>
      <c r="AA274" s="287"/>
      <c r="AB274" s="288"/>
      <c r="AC274" s="286"/>
      <c r="AD274" s="287"/>
      <c r="AE274" s="288"/>
      <c r="AF274" s="289" t="s">
        <v>61</v>
      </c>
      <c r="AG274" s="290"/>
      <c r="AH274" s="290"/>
      <c r="AI274" s="290"/>
      <c r="AJ274" s="291"/>
      <c r="AK274" s="291"/>
      <c r="AL274" s="291"/>
      <c r="AM274" s="291"/>
      <c r="AN274" s="291"/>
      <c r="AO274" s="291"/>
      <c r="AP274" s="291"/>
      <c r="AQ274" s="292"/>
    </row>
    <row r="275" spans="1:49" x14ac:dyDescent="0.2">
      <c r="A275" s="56" t="s">
        <v>62</v>
      </c>
      <c r="B275" s="283">
        <v>0.35833333333333334</v>
      </c>
      <c r="C275" s="284"/>
      <c r="D275" s="285"/>
      <c r="E275" s="283">
        <v>0.41597222222222219</v>
      </c>
      <c r="F275" s="284"/>
      <c r="G275" s="285"/>
      <c r="H275" s="283">
        <v>0.44861111111111113</v>
      </c>
      <c r="I275" s="284"/>
      <c r="J275" s="285"/>
      <c r="K275" s="283">
        <v>0.51874999999999993</v>
      </c>
      <c r="L275" s="284"/>
      <c r="M275" s="285"/>
      <c r="N275" s="283">
        <v>4.7916666666666663E-2</v>
      </c>
      <c r="O275" s="284"/>
      <c r="P275" s="285"/>
      <c r="Q275" s="283">
        <v>9.375E-2</v>
      </c>
      <c r="R275" s="284"/>
      <c r="S275" s="285"/>
      <c r="T275" s="283"/>
      <c r="U275" s="284"/>
      <c r="V275" s="285"/>
      <c r="W275" s="283"/>
      <c r="X275" s="284"/>
      <c r="Y275" s="285"/>
      <c r="Z275" s="283"/>
      <c r="AA275" s="284"/>
      <c r="AB275" s="285"/>
      <c r="AC275" s="283"/>
      <c r="AD275" s="284"/>
      <c r="AE275" s="285"/>
      <c r="AF275" s="289"/>
      <c r="AG275" s="290"/>
      <c r="AH275" s="290"/>
      <c r="AI275" s="290"/>
      <c r="AJ275" s="290"/>
      <c r="AK275" s="290"/>
      <c r="AL275" s="290"/>
      <c r="AM275" s="290"/>
      <c r="AN275" s="290"/>
      <c r="AO275" s="290"/>
      <c r="AP275" s="290"/>
      <c r="AQ275" s="293"/>
    </row>
    <row r="276" spans="1:49" x14ac:dyDescent="0.2">
      <c r="A276" s="56" t="s">
        <v>63</v>
      </c>
      <c r="B276" s="283">
        <v>0.3972222222222222</v>
      </c>
      <c r="C276" s="284"/>
      <c r="D276" s="285"/>
      <c r="E276" s="283">
        <v>0.44097222222222227</v>
      </c>
      <c r="F276" s="284"/>
      <c r="G276" s="285"/>
      <c r="H276" s="283">
        <v>0.49305555555555558</v>
      </c>
      <c r="I276" s="284"/>
      <c r="J276" s="285"/>
      <c r="K276" s="283">
        <v>4.3750000000000004E-2</v>
      </c>
      <c r="L276" s="284"/>
      <c r="M276" s="285"/>
      <c r="N276" s="283">
        <v>8.2638888888888887E-2</v>
      </c>
      <c r="O276" s="284"/>
      <c r="P276" s="285"/>
      <c r="Q276" s="283">
        <v>0.13194444444444445</v>
      </c>
      <c r="R276" s="284"/>
      <c r="S276" s="285"/>
      <c r="T276" s="283"/>
      <c r="U276" s="284"/>
      <c r="V276" s="285"/>
      <c r="W276" s="283"/>
      <c r="X276" s="284"/>
      <c r="Y276" s="285"/>
      <c r="Z276" s="283"/>
      <c r="AA276" s="284"/>
      <c r="AB276" s="285"/>
      <c r="AC276" s="283"/>
      <c r="AD276" s="284"/>
      <c r="AE276" s="285"/>
      <c r="AF276" s="289"/>
      <c r="AG276" s="290"/>
      <c r="AH276" s="290"/>
      <c r="AI276" s="290"/>
      <c r="AJ276" s="290"/>
      <c r="AK276" s="290"/>
      <c r="AL276" s="290"/>
      <c r="AM276" s="290"/>
      <c r="AN276" s="290"/>
      <c r="AO276" s="290"/>
      <c r="AP276" s="290"/>
      <c r="AQ276" s="293"/>
    </row>
    <row r="277" spans="1:49" ht="13.5" thickBot="1" x14ac:dyDescent="0.25">
      <c r="A277" s="8"/>
      <c r="B277" s="173" t="s">
        <v>64</v>
      </c>
      <c r="C277" s="174"/>
      <c r="D277" s="180"/>
      <c r="E277" s="173" t="str">
        <f>IF(AK263&gt;1,"Match 2","")</f>
        <v>Match 2</v>
      </c>
      <c r="F277" s="174"/>
      <c r="G277" s="180"/>
      <c r="H277" s="173" t="str">
        <f>IF(AK263&gt;2,"Match 3","")</f>
        <v>Match 3</v>
      </c>
      <c r="I277" s="174"/>
      <c r="J277" s="180"/>
      <c r="K277" s="173" t="str">
        <f>IF(AK263&gt;3,"Match 4","")</f>
        <v>Match 4</v>
      </c>
      <c r="L277" s="174"/>
      <c r="M277" s="180"/>
      <c r="N277" s="173" t="str">
        <f>IF(AK263&gt;4,"Match 5","")</f>
        <v>Match 5</v>
      </c>
      <c r="O277" s="174"/>
      <c r="P277" s="180"/>
      <c r="Q277" s="173" t="str">
        <f>IF(AK263&gt;5,"Match 6","")</f>
        <v>Match 6</v>
      </c>
      <c r="R277" s="174"/>
      <c r="S277" s="180"/>
      <c r="T277" s="173" t="str">
        <f>IF(AK263&gt;6,"Match 7","")</f>
        <v/>
      </c>
      <c r="U277" s="174"/>
      <c r="V277" s="180"/>
      <c r="W277" s="173" t="str">
        <f>IF(AK263&gt;7,"Match 8","")</f>
        <v/>
      </c>
      <c r="X277" s="174"/>
      <c r="Y277" s="180"/>
      <c r="Z277" s="173" t="str">
        <f>IF(AK263&gt;8,"Match 9","")</f>
        <v/>
      </c>
      <c r="AA277" s="174"/>
      <c r="AB277" s="180"/>
      <c r="AC277" s="173" t="str">
        <f>IF(AK263&gt;9,"Match 10","")</f>
        <v/>
      </c>
      <c r="AD277" s="174"/>
      <c r="AE277" s="180"/>
      <c r="AF277" s="294"/>
      <c r="AG277" s="295"/>
      <c r="AH277" s="295"/>
      <c r="AI277" s="295"/>
      <c r="AJ277" s="295"/>
      <c r="AK277" s="295"/>
      <c r="AL277" s="295"/>
      <c r="AM277" s="295"/>
      <c r="AN277" s="295"/>
      <c r="AO277" s="295"/>
      <c r="AP277" s="295"/>
      <c r="AQ277" s="296"/>
    </row>
    <row r="278" spans="1:49" ht="15.75" x14ac:dyDescent="0.25">
      <c r="A278" s="8"/>
      <c r="B278" s="277" t="s">
        <v>65</v>
      </c>
      <c r="C278" s="278"/>
      <c r="D278" s="279"/>
      <c r="E278" s="277" t="s">
        <v>66</v>
      </c>
      <c r="F278" s="278"/>
      <c r="G278" s="279"/>
      <c r="H278" s="277" t="s">
        <v>67</v>
      </c>
      <c r="I278" s="278"/>
      <c r="J278" s="279"/>
      <c r="K278" s="277" t="s">
        <v>68</v>
      </c>
      <c r="L278" s="278"/>
      <c r="M278" s="279"/>
      <c r="N278" s="277" t="s">
        <v>66</v>
      </c>
      <c r="O278" s="278"/>
      <c r="P278" s="279"/>
      <c r="Q278" s="277" t="s">
        <v>67</v>
      </c>
      <c r="R278" s="278"/>
      <c r="S278" s="279"/>
      <c r="T278" s="277"/>
      <c r="U278" s="278"/>
      <c r="V278" s="279"/>
      <c r="W278" s="277"/>
      <c r="X278" s="278"/>
      <c r="Y278" s="279"/>
      <c r="Z278" s="277"/>
      <c r="AA278" s="278"/>
      <c r="AB278" s="279"/>
      <c r="AC278" s="277"/>
      <c r="AD278" s="278"/>
      <c r="AE278" s="279"/>
      <c r="AF278" s="57" t="s">
        <v>70</v>
      </c>
      <c r="AG278" s="58">
        <v>1</v>
      </c>
      <c r="AH278" s="58">
        <v>2</v>
      </c>
      <c r="AI278" s="58">
        <v>3</v>
      </c>
      <c r="AJ278" s="58">
        <v>4</v>
      </c>
      <c r="AK278" s="58">
        <v>5</v>
      </c>
      <c r="AL278" s="58">
        <v>6</v>
      </c>
      <c r="AM278" s="58">
        <v>7</v>
      </c>
      <c r="AN278" s="58">
        <v>8</v>
      </c>
      <c r="AO278" s="58">
        <v>9</v>
      </c>
      <c r="AP278" s="58">
        <v>10</v>
      </c>
      <c r="AQ278" s="59" t="s">
        <v>71</v>
      </c>
    </row>
    <row r="279" spans="1:49" ht="15.75" x14ac:dyDescent="0.25">
      <c r="A279" s="8"/>
      <c r="B279" s="61">
        <v>2</v>
      </c>
      <c r="C279" s="62" t="s">
        <v>72</v>
      </c>
      <c r="D279" s="63">
        <v>3</v>
      </c>
      <c r="E279" s="61">
        <v>1</v>
      </c>
      <c r="F279" s="62" t="str">
        <f>IF(AK263&gt;1,"v","")</f>
        <v>v</v>
      </c>
      <c r="G279" s="63">
        <v>4</v>
      </c>
      <c r="H279" s="61">
        <v>2</v>
      </c>
      <c r="I279" s="62" t="str">
        <f>IF(AK263&gt;2,"v","")</f>
        <v>v</v>
      </c>
      <c r="J279" s="63">
        <v>4</v>
      </c>
      <c r="K279" s="61">
        <v>1</v>
      </c>
      <c r="L279" s="62" t="str">
        <f>IF(AK263&gt;3,"v","")</f>
        <v>v</v>
      </c>
      <c r="M279" s="63">
        <v>3</v>
      </c>
      <c r="N279" s="61">
        <v>3</v>
      </c>
      <c r="O279" s="62" t="str">
        <f>IF(AK263&gt;4,"v","")</f>
        <v>v</v>
      </c>
      <c r="P279" s="63">
        <v>4</v>
      </c>
      <c r="Q279" s="61">
        <v>1</v>
      </c>
      <c r="R279" s="62" t="str">
        <f>IF(AK263&gt;5,"v","")</f>
        <v>v</v>
      </c>
      <c r="S279" s="63">
        <v>2</v>
      </c>
      <c r="T279" s="61"/>
      <c r="U279" s="62" t="str">
        <f>IF(AK263&gt;6,"v","")</f>
        <v/>
      </c>
      <c r="V279" s="63"/>
      <c r="W279" s="61"/>
      <c r="X279" s="62" t="str">
        <f>IF(AK263&gt;7,"v","")</f>
        <v/>
      </c>
      <c r="Y279" s="63"/>
      <c r="Z279" s="61"/>
      <c r="AA279" s="62" t="str">
        <f>IF(AK263&gt;8,"v","")</f>
        <v/>
      </c>
      <c r="AB279" s="63"/>
      <c r="AC279" s="61"/>
      <c r="AD279" s="62" t="str">
        <f>IF(AK263&gt;9,"v","")</f>
        <v/>
      </c>
      <c r="AE279" s="63"/>
      <c r="AF279" s="57" t="str">
        <f>IF(AK264&gt;0,"Team 1","")</f>
        <v>Team 1</v>
      </c>
      <c r="AG279" s="64" t="str">
        <f>IF(AK264&lt;1,"",IF(AK263&lt;1,"",IF(B279=1,B285-D285,IF(D279=1,D285-B285,""))))</f>
        <v/>
      </c>
      <c r="AH279" s="64">
        <f>IF(AK264&lt;1,"",IF(AK263&lt;2,"",IF(E279=1,E285-G285,IF(G279=1,G285-E285,""))))</f>
        <v>7</v>
      </c>
      <c r="AI279" s="64" t="str">
        <f>IF(AK264&lt;1,"",IF(AK263&lt;3,"",IF(H279=1,H285-J285,IF(J279=1,J285-H285,""))))</f>
        <v/>
      </c>
      <c r="AJ279" s="64">
        <f>IF(AK264&lt;1,"",IF(AK263&lt;4,"",IF(K279=1,K285-M285,IF(M279=1,M285-K285,""))))</f>
        <v>-2</v>
      </c>
      <c r="AK279" s="64" t="str">
        <f>IF(AK264&lt;1,"",IF(AK263&lt;5,"",IF(N279=1,N285-P285,IF(P279=1,P285-N285,""))))</f>
        <v/>
      </c>
      <c r="AL279" s="64">
        <f>IF(AK264&lt;1,"",IF(AK263&lt;6,"",IF(Q279=1,Q285-S285,IF(S279=1,S285-Q285,""))))</f>
        <v>8</v>
      </c>
      <c r="AM279" s="64" t="str">
        <f>IF(AK264&lt;1,"",IF(AK263&lt;7,"",IF(T279=1,T285-V285,IF(V279=1,V285-T285,""))))</f>
        <v/>
      </c>
      <c r="AN279" s="64" t="str">
        <f>IF(AK264&lt;1,"",IF(AK263&lt;8,"",IF(W279=1,W285-Y285,IF(Y279=1,Y285-W285,""))))</f>
        <v/>
      </c>
      <c r="AO279" s="64" t="str">
        <f>IF(AK264&lt;1,"",IF(AK263&lt;9,"",IF(Z279=1,Z285-AB285,IF(AB279=1,AB285-Z285,""))))</f>
        <v/>
      </c>
      <c r="AP279" s="64" t="str">
        <f>IF(AK264&lt;1,"",IF(AK263&lt;10,"",IF(AC279=1,AC285-AE285,IF(AE279=1,AE285-AC285,""))))</f>
        <v/>
      </c>
      <c r="AQ279" s="59">
        <f>SUM(AG279:AP279)</f>
        <v>13</v>
      </c>
    </row>
    <row r="280" spans="1:49" ht="15" x14ac:dyDescent="0.2">
      <c r="A280" s="4" t="s">
        <v>73</v>
      </c>
      <c r="B280" s="65">
        <v>25</v>
      </c>
      <c r="C280" s="66" t="s">
        <v>74</v>
      </c>
      <c r="D280" s="67">
        <v>20</v>
      </c>
      <c r="E280" s="65">
        <v>25</v>
      </c>
      <c r="F280" s="66" t="str">
        <f>IF(AK263&gt;1,"/","")</f>
        <v>/</v>
      </c>
      <c r="G280" s="67">
        <v>22</v>
      </c>
      <c r="H280" s="65">
        <v>27</v>
      </c>
      <c r="I280" s="66" t="str">
        <f>IF(AK263&gt;2,"/","")</f>
        <v>/</v>
      </c>
      <c r="J280" s="67">
        <v>26</v>
      </c>
      <c r="K280" s="65">
        <v>25</v>
      </c>
      <c r="L280" s="66" t="str">
        <f>IF(AK263&gt;3,"/","")</f>
        <v>/</v>
      </c>
      <c r="M280" s="67">
        <v>23</v>
      </c>
      <c r="N280" s="65">
        <v>18</v>
      </c>
      <c r="O280" s="66" t="str">
        <f>IF(AK263&gt;4,"/","")</f>
        <v>/</v>
      </c>
      <c r="P280" s="67">
        <v>25</v>
      </c>
      <c r="Q280" s="65">
        <v>25</v>
      </c>
      <c r="R280" s="66" t="str">
        <f>IF(AK263&gt;5,"/","")</f>
        <v>/</v>
      </c>
      <c r="S280" s="67">
        <v>10</v>
      </c>
      <c r="T280" s="65"/>
      <c r="U280" s="66" t="str">
        <f>IF(AK263&gt;6,"/","")</f>
        <v/>
      </c>
      <c r="V280" s="67"/>
      <c r="W280" s="65"/>
      <c r="X280" s="66" t="str">
        <f>IF(AK263&gt;7,"/","")</f>
        <v/>
      </c>
      <c r="Y280" s="67"/>
      <c r="Z280" s="65"/>
      <c r="AA280" s="66" t="str">
        <f>IF(AK263&gt;8,"/","")</f>
        <v/>
      </c>
      <c r="AB280" s="67"/>
      <c r="AC280" s="65"/>
      <c r="AD280" s="66" t="str">
        <f>IF(AK263&gt;9,"/","")</f>
        <v/>
      </c>
      <c r="AE280" s="67"/>
      <c r="AF280" s="57" t="str">
        <f>IF(AK264&gt;1,"Team 2","")</f>
        <v>Team 2</v>
      </c>
      <c r="AG280" s="64">
        <f>IF(AK264&lt;2,"",IF(AK263&lt;1,"",IF(B279=2,B285-D285,IF(D279=2,D285-B285,""))))</f>
        <v>-2</v>
      </c>
      <c r="AH280" s="64" t="str">
        <f>IF(AK264&lt;2,"",IF(AK263&lt;2,"",IF(E279=2,E285-G285,IF(G279=2,G285-E285,""))))</f>
        <v/>
      </c>
      <c r="AI280" s="64">
        <f>IF(AK264&lt;2,"",IF(AK263&lt;3,"",IF(H279=2,H285-J285,IF(J279=2,J285-H285,""))))</f>
        <v>-16</v>
      </c>
      <c r="AJ280" s="64" t="str">
        <f>IF(AK264&lt;2,"",IF(AK263&lt;4,"",IF(K279=2,K285-M285,IF(M279=2,M285-K285,""))))</f>
        <v/>
      </c>
      <c r="AK280" s="64" t="str">
        <f>IF(AK264&lt;2,"",IF(AK263&lt;5,"",IF(N279=2,N285-P285,IF(P279=2,P285-N285,""))))</f>
        <v/>
      </c>
      <c r="AL280" s="64">
        <f>IF(AK264&lt;2,"",IF(AK263&lt;6,"",IF(Q279=2,Q285-S285,IF(S279=2,S285-Q285,""))))</f>
        <v>-8</v>
      </c>
      <c r="AM280" s="64" t="str">
        <f>IF(AK264&lt;2,"",IF(AK263&lt;7,"",IF(T279=2,T285-V285,IF(V279=2,V285-T285,""))))</f>
        <v/>
      </c>
      <c r="AN280" s="64" t="str">
        <f>IF(AK264&lt;2,"",IF(AK263&lt;8,"",IF(W279=2,W285-Y285,IF(Y279=2,Y285-W285,""))))</f>
        <v/>
      </c>
      <c r="AO280" s="64" t="str">
        <f>IF(AK264&lt;2,"",IF(AK263&lt;9,"",IF(Z279=2,Z285-AB285,IF(AB279=2,AB285-Z285,""))))</f>
        <v/>
      </c>
      <c r="AP280" s="64" t="str">
        <f>IF(AK264&lt;2,"",IF(AK263&lt;10,"",IF(AC279=2,AC285-AE285,IF(AE279=2,AE285-AC285,""))))</f>
        <v/>
      </c>
      <c r="AQ280" s="59">
        <f>SUM(AG280:AP280)</f>
        <v>-26</v>
      </c>
    </row>
    <row r="281" spans="1:49" ht="15" x14ac:dyDescent="0.2">
      <c r="A281" s="3" t="str">
        <f>IF(AK262&gt;1,"Game 2","")</f>
        <v>Game 2</v>
      </c>
      <c r="B281" s="65">
        <v>22</v>
      </c>
      <c r="C281" s="66" t="s">
        <v>74</v>
      </c>
      <c r="D281" s="67">
        <v>25</v>
      </c>
      <c r="E281" s="65">
        <v>25</v>
      </c>
      <c r="F281" s="66" t="str">
        <f>IF(AK263&gt;1,IF(AK262&gt;1,"/",""),"")</f>
        <v>/</v>
      </c>
      <c r="G281" s="67">
        <v>21</v>
      </c>
      <c r="H281" s="65">
        <v>12</v>
      </c>
      <c r="I281" s="66" t="str">
        <f>IF(AK263&gt;2,IF(AK262&gt;1,"/",""),"")</f>
        <v>/</v>
      </c>
      <c r="J281" s="67">
        <v>25</v>
      </c>
      <c r="K281" s="65">
        <v>24</v>
      </c>
      <c r="L281" s="66" t="str">
        <f>IF(AK263&gt;3,IF(AK262&gt;1,"/",""),"")</f>
        <v>/</v>
      </c>
      <c r="M281" s="67">
        <v>26</v>
      </c>
      <c r="N281" s="65">
        <v>18</v>
      </c>
      <c r="O281" s="66" t="str">
        <f>IF(AK263&gt;4,IF(AK262&gt;1,"/",""),"")</f>
        <v>/</v>
      </c>
      <c r="P281" s="67">
        <v>25</v>
      </c>
      <c r="Q281" s="65">
        <v>20</v>
      </c>
      <c r="R281" s="66" t="str">
        <f>IF(AK263&gt;5,IF(AK262&gt;1,"/",""),"")</f>
        <v>/</v>
      </c>
      <c r="S281" s="67">
        <v>25</v>
      </c>
      <c r="T281" s="65"/>
      <c r="U281" s="66" t="str">
        <f>IF(AK263&gt;6,IF(AK262&gt;1,"/",""),"")</f>
        <v/>
      </c>
      <c r="V281" s="67"/>
      <c r="W281" s="65"/>
      <c r="X281" s="66" t="str">
        <f>IF(AK263&gt;7,IF(AK262&gt;1,"/",""),"")</f>
        <v/>
      </c>
      <c r="Y281" s="67"/>
      <c r="Z281" s="65"/>
      <c r="AA281" s="66" t="str">
        <f>IF(AK263&gt;8,IF(AK262&gt;1,"/",""),"")</f>
        <v/>
      </c>
      <c r="AB281" s="67"/>
      <c r="AC281" s="65"/>
      <c r="AD281" s="66" t="str">
        <f>IF(AK263&gt;9,IF(AK262&gt;1,"/",""),"")</f>
        <v/>
      </c>
      <c r="AE281" s="67"/>
      <c r="AF281" s="57" t="str">
        <f>IF(AK264&gt;2,"Team 3","")</f>
        <v>Team 3</v>
      </c>
      <c r="AG281" s="64">
        <f>IF(AK264&lt;3,"",IF(AK263&lt;1,"",IF(B279=3,B285-D285,IF(D279=3,D285-B285,""))))</f>
        <v>2</v>
      </c>
      <c r="AH281" s="64" t="str">
        <f>IF(AK264&lt;3,"",IF(AK263&lt;2,"",IF(E279=3,E285-G285,IF(G279=3,G285-E285,""))))</f>
        <v/>
      </c>
      <c r="AI281" s="64" t="str">
        <f>IF(AK264&lt;3,"",IF(AK263&lt;3,"",IF(H279=3,H285-J285,IF(J279=3,J285-H285,""))))</f>
        <v/>
      </c>
      <c r="AJ281" s="64">
        <f>IF(AK264&lt;3,"",IF(AK263&lt;4,"",IF(K279=3,K285-M285,IF(M279=3,M285-K285,""))))</f>
        <v>2</v>
      </c>
      <c r="AK281" s="64">
        <f>IF(AK264&lt;3,"",IF(AK263&lt;5,"",IF(N279=3,N285-P285,IF(P279=3,P285-N285,""))))</f>
        <v>-14</v>
      </c>
      <c r="AL281" s="64" t="str">
        <f>IF(AK264&lt;3,"",IF(AK263&lt;6,"",IF(Q279=3,Q285-S285,IF(S279=3,S285-Q285,""))))</f>
        <v/>
      </c>
      <c r="AM281" s="64" t="str">
        <f>IF(AK264&lt;3,"",IF(AK263&lt;7,"",IF(T279=3,T285-V285,IF(V279=3,V285-T285,""))))</f>
        <v/>
      </c>
      <c r="AN281" s="64" t="str">
        <f>IF(AK264&lt;3,"",IF(AK263&lt;8,"",IF(W279=3,W285-Y285,IF(Y279=3,Y285-W285,""))))</f>
        <v/>
      </c>
      <c r="AO281" s="64" t="str">
        <f>IF(AK264&lt;3,"",IF(AK263&lt;9,"",IF(Z279=3,Z285-AB285,IF(AB279=3,AB285-Z285,""))))</f>
        <v/>
      </c>
      <c r="AP281" s="64" t="str">
        <f>IF(AK264&lt;3,"",IF(AK263&lt;9,"",IF(AC279=3,AC285-AE285,IF(AE279=3,AE285-AC285,""))))</f>
        <v/>
      </c>
      <c r="AQ281" s="59">
        <f>SUM(AG281:AP281)</f>
        <v>-10</v>
      </c>
    </row>
    <row r="282" spans="1:49" ht="15" x14ac:dyDescent="0.2">
      <c r="A282" s="3" t="str">
        <f>IF(AK262&gt;2,"Game 3","")</f>
        <v>Game 3</v>
      </c>
      <c r="B282" s="65">
        <v>11</v>
      </c>
      <c r="C282" s="66" t="s">
        <v>74</v>
      </c>
      <c r="D282" s="67">
        <v>15</v>
      </c>
      <c r="E282" s="65">
        <v>0</v>
      </c>
      <c r="F282" s="66" t="str">
        <f>IF(AK263&gt;1,IF(AK262&gt;2,"/",""),"")</f>
        <v>/</v>
      </c>
      <c r="G282" s="67">
        <v>0</v>
      </c>
      <c r="H282" s="65">
        <v>11</v>
      </c>
      <c r="I282" s="66" t="str">
        <f>IF(AK263&gt;2,IF(AK262&gt;2,"/",""),"")</f>
        <v>/</v>
      </c>
      <c r="J282" s="67">
        <v>15</v>
      </c>
      <c r="K282" s="65">
        <v>13</v>
      </c>
      <c r="L282" s="66" t="str">
        <f>IF(AK263&gt;3,IF(AK262&gt;2,"/",""),"")</f>
        <v>/</v>
      </c>
      <c r="M282" s="67">
        <v>15</v>
      </c>
      <c r="N282" s="65">
        <v>0</v>
      </c>
      <c r="O282" s="66" t="str">
        <f>IF(AK263&gt;4,IF(AK262&gt;2,"/",""),"")</f>
        <v>/</v>
      </c>
      <c r="P282" s="67">
        <v>0</v>
      </c>
      <c r="Q282" s="65">
        <v>13</v>
      </c>
      <c r="R282" s="66" t="str">
        <f>IF(AK263&gt;5,IF(AK262&gt;2,"/",""),"")</f>
        <v>/</v>
      </c>
      <c r="S282" s="67">
        <v>15</v>
      </c>
      <c r="T282" s="65"/>
      <c r="U282" s="66" t="str">
        <f>IF(AK263&gt;6,IF(AK262&gt;2,"/",""),"")</f>
        <v/>
      </c>
      <c r="V282" s="67"/>
      <c r="W282" s="65"/>
      <c r="X282" s="66" t="str">
        <f>IF(AK263&gt;7,IF(AK262&gt;2,"/",""),"")</f>
        <v/>
      </c>
      <c r="Y282" s="67"/>
      <c r="Z282" s="65"/>
      <c r="AA282" s="66" t="str">
        <f>IF(AK263&gt;8,IF(AK262&gt;2,"/",""),"")</f>
        <v/>
      </c>
      <c r="AB282" s="67"/>
      <c r="AC282" s="65"/>
      <c r="AD282" s="66" t="str">
        <f>IF(AK263&gt;9,IF(AK262&gt;2,"/",""),"")</f>
        <v/>
      </c>
      <c r="AE282" s="67"/>
      <c r="AF282" s="57" t="str">
        <f>IF(AK264&gt;3,"Team 4","")</f>
        <v>Team 4</v>
      </c>
      <c r="AG282" s="64" t="str">
        <f>IF(AK264&lt;4,"",IF(AK263&lt;1,"",IF(B279=4,B285-D285,IF(D279=4,D285-B285,""))))</f>
        <v/>
      </c>
      <c r="AH282" s="64">
        <f>IF(AK264&lt;4,"",IF(AK263&lt;2,"",IF(E279=4,E285-G285,IF(G279=4,G285-E285,""))))</f>
        <v>-7</v>
      </c>
      <c r="AI282" s="64">
        <f>IF(AK264&lt;4,"",IF(AK263&lt;3,"",IF(H279=4,H285-J285,IF(J279=4,J285-H285,""))))</f>
        <v>16</v>
      </c>
      <c r="AJ282" s="64" t="str">
        <f>IF(AK264&lt;4,"",IF(AK263&lt;4,"",IF(K279=4,K285-M285,IF(M279=4,M285-K285,""))))</f>
        <v/>
      </c>
      <c r="AK282" s="64">
        <f>IF(AK264&lt;4,"",IF(AK263&lt;5,"",IF(N279=4,N285-P285,IF(P279=4,P285-N285,""))))</f>
        <v>14</v>
      </c>
      <c r="AL282" s="64" t="str">
        <f>IF(AK264&lt;4,"",IF(AK263&lt;6,"",IF(Q279=4,Q285-S285,IF(S279=4,S285-Q285,""))))</f>
        <v/>
      </c>
      <c r="AM282" s="64" t="str">
        <f>IF(AK264&lt;4,"",IF(AK263&lt;7,"",IF(T279=4,T285-V285,IF(V279=4,V285-T285,""))))</f>
        <v/>
      </c>
      <c r="AN282" s="64" t="str">
        <f>IF(AK264&lt;4,"",IF(AK263&lt;8,"",IF(W279=4,W285-Y285,IF(Y279=4,Y285-W285,""))))</f>
        <v/>
      </c>
      <c r="AO282" s="64" t="str">
        <f>IF(AK264&lt;4,"",IF(AK263&lt;9,"",IF(Z279=4,Z285-AB285,IF(AB279=4,AB285-Z285,""))))</f>
        <v/>
      </c>
      <c r="AP282" s="64" t="str">
        <f>IF(AK264&lt;4,"",IF(AK263&lt;10,"",IF(AC279=4,AC285-AE285,IF(AE279=4,AE285-AC285,""))))</f>
        <v/>
      </c>
      <c r="AQ282" s="59">
        <f>SUM(AG282:AP282)</f>
        <v>23</v>
      </c>
    </row>
    <row r="283" spans="1:49" ht="15" x14ac:dyDescent="0.2">
      <c r="A283" s="3" t="str">
        <f>IF(AK262&gt;3,"Game 4","")</f>
        <v/>
      </c>
      <c r="B283" s="65"/>
      <c r="C283" s="66" t="s">
        <v>74</v>
      </c>
      <c r="D283" s="67"/>
      <c r="E283" s="65"/>
      <c r="F283" s="66" t="str">
        <f>IF(AK263&gt;1,IF(AK262&gt;3,"/",""),"")</f>
        <v/>
      </c>
      <c r="G283" s="67"/>
      <c r="H283" s="65"/>
      <c r="I283" s="66" t="str">
        <f>IF(AK263&gt;2,IF(AK262&gt;3,"/",""),"")</f>
        <v/>
      </c>
      <c r="J283" s="67"/>
      <c r="K283" s="65"/>
      <c r="L283" s="66" t="str">
        <f>IF(AK263&gt;3,IF(AK262&gt;3,"/",""),"")</f>
        <v/>
      </c>
      <c r="M283" s="67"/>
      <c r="N283" s="65"/>
      <c r="O283" s="66" t="str">
        <f>IF(AK263&gt;4,IF(AK262&gt;3,"/",""),"")</f>
        <v/>
      </c>
      <c r="P283" s="67"/>
      <c r="Q283" s="65"/>
      <c r="R283" s="66" t="str">
        <f>IF(AK263&gt;5,IF(AK262&gt;3,"/",""),"")</f>
        <v/>
      </c>
      <c r="S283" s="67"/>
      <c r="T283" s="65"/>
      <c r="U283" s="66" t="str">
        <f>IF(AK263&gt;6,IF(AK262&gt;3,"/",""),"")</f>
        <v/>
      </c>
      <c r="V283" s="67"/>
      <c r="W283" s="65"/>
      <c r="X283" s="66" t="str">
        <f>IF(AK263&gt;7,IF(AK262&gt;3,"/",""),"")</f>
        <v/>
      </c>
      <c r="Y283" s="67"/>
      <c r="Z283" s="65"/>
      <c r="AA283" s="66" t="str">
        <f>IF(AK263&gt;8,IF(AK262&gt;3,"/",""),"")</f>
        <v/>
      </c>
      <c r="AB283" s="67"/>
      <c r="AC283" s="65"/>
      <c r="AD283" s="66" t="str">
        <f>IF(AK263&gt;9,IF(AK262&gt;3,"/",""),"")</f>
        <v/>
      </c>
      <c r="AE283" s="67"/>
      <c r="AF283" s="57" t="str">
        <f>IF(AK264&gt;4,"Team 5","")</f>
        <v/>
      </c>
      <c r="AG283" s="68" t="str">
        <f>IF(AK264&lt;5,"",IF(AK263&lt;1,"",IF(B279=5,B285-D285,IF(D279=5,D285-B285,""))))</f>
        <v/>
      </c>
      <c r="AH283" s="64" t="str">
        <f>IF(AK264&lt;5,"",IF(AK263&lt;2,"",IF(E279=5,E285-G285,IF(G279=5,G285-E285,""))))</f>
        <v/>
      </c>
      <c r="AI283" s="64" t="str">
        <f>IF(AK264&lt;5,"",IF(AK263&lt;3,"",IF(H279=5,H285-J285,IF(J279=5,J285-H285,""))))</f>
        <v/>
      </c>
      <c r="AJ283" s="64" t="str">
        <f>IF(AK264&lt;5,"",IF(AK263&lt;4,"",IF(K279=5,K285-M285,IF(M279=5,M285-K285,""))))</f>
        <v/>
      </c>
      <c r="AK283" s="64" t="str">
        <f>IF(AK264&lt;5,"",IF(AK263&lt;5,"",IF(N279=5,N285-P285,IF(P279=5,P285-N285,""))))</f>
        <v/>
      </c>
      <c r="AL283" s="64" t="str">
        <f>IF(AK264&lt;5,"",IF(AK263&lt;6,"",IF(Q279=5,Q285-S285,IF(S279=5,S285-Q285,""))))</f>
        <v/>
      </c>
      <c r="AM283" s="64" t="str">
        <f>IF(AK264&lt;5,"",IF(AK263&lt;7,"",IF(T279=5,T285-V285,IF(V279=5,V285-T285,""))))</f>
        <v/>
      </c>
      <c r="AN283" s="64" t="str">
        <f>IF(AK264&lt;5,"",IF(AK263&lt;8,"",IF(W279=5,W285-Y285,IF(Y279=5,Y285-W285,""))))</f>
        <v/>
      </c>
      <c r="AO283" s="64" t="str">
        <f>IF(AK264&lt;5,"",IF(AK263&lt;9,"",IF(Z279=5,Z285-AB285,IF(AB279=5,AB285-Z285,""))))</f>
        <v/>
      </c>
      <c r="AP283" s="64" t="str">
        <f>IF(AK264&lt;5,"",IF(AK263&lt;10,"",IF(AC279=5,AC285-AE285,IF(AE279=5,AE285-AC285,""))))</f>
        <v/>
      </c>
      <c r="AQ283" s="59">
        <f>SUM(AG283:AP283)</f>
        <v>0</v>
      </c>
    </row>
    <row r="284" spans="1:49" ht="15" x14ac:dyDescent="0.2">
      <c r="A284" s="3" t="str">
        <f>IF(AK262&gt;4,"Game 5","")</f>
        <v/>
      </c>
      <c r="B284" s="65"/>
      <c r="C284" s="66" t="s">
        <v>74</v>
      </c>
      <c r="D284" s="67"/>
      <c r="E284" s="65"/>
      <c r="F284" s="66" t="str">
        <f>IF(AK263&gt;1,IF(AK262&gt;4,"/",""),"")</f>
        <v/>
      </c>
      <c r="G284" s="67"/>
      <c r="H284" s="65"/>
      <c r="I284" s="66" t="str">
        <f>IF(AK263&gt;2,IF(AK262&gt;4,"/",""),"")</f>
        <v/>
      </c>
      <c r="J284" s="67"/>
      <c r="K284" s="65"/>
      <c r="L284" s="66" t="str">
        <f>IF(AK263&gt;3,IF(AK262&gt;4,"/",""),"")</f>
        <v/>
      </c>
      <c r="M284" s="67"/>
      <c r="N284" s="65"/>
      <c r="O284" s="66" t="str">
        <f>IF(AK263&gt;4,IF(AK262&gt;4,"/",""),"")</f>
        <v/>
      </c>
      <c r="P284" s="67"/>
      <c r="Q284" s="65"/>
      <c r="R284" s="66" t="str">
        <f>IF(AK263&gt;5,IF(AK262&gt;4,"/",""),"")</f>
        <v/>
      </c>
      <c r="S284" s="67"/>
      <c r="T284" s="65"/>
      <c r="U284" s="66" t="str">
        <f>IF(AK263&gt;6,IF(AK262&gt;4,"/",""),"")</f>
        <v/>
      </c>
      <c r="V284" s="67"/>
      <c r="W284" s="65"/>
      <c r="X284" s="66" t="str">
        <f>IF(AK263&gt;7,IF(AK262&gt;4,"/",""),"")</f>
        <v/>
      </c>
      <c r="Y284" s="67"/>
      <c r="Z284" s="65"/>
      <c r="AA284" s="66" t="str">
        <f>IF(AK263&gt;8,IF(AK262&gt;4,"/",""),"")</f>
        <v/>
      </c>
      <c r="AB284" s="67"/>
      <c r="AC284" s="65"/>
      <c r="AD284" s="66" t="str">
        <f>IF(AK263&gt;9,IF(AK262&gt;4,"/",""),"")</f>
        <v/>
      </c>
      <c r="AE284" s="67"/>
      <c r="AF284" s="8"/>
      <c r="AG284" s="8"/>
      <c r="AH284" s="8"/>
      <c r="AI284" s="8"/>
      <c r="AJ284" s="8"/>
      <c r="AK284" s="8"/>
      <c r="AL284" s="8"/>
      <c r="AM284" s="8"/>
      <c r="AN284" s="8"/>
      <c r="AO284" s="8"/>
      <c r="AP284" s="8"/>
      <c r="AQ284" s="8"/>
    </row>
    <row r="285" spans="1:49" hidden="1" x14ac:dyDescent="0.2">
      <c r="A285" s="69"/>
      <c r="B285" s="69">
        <f>IF($AK262=5,SUM(B280:B284),IF($AK262=4,SUM(B280:B283),IF($AK262=3,SUM(B280:B282),IF($AK262=2,SUM(B280:B281),B280))))</f>
        <v>58</v>
      </c>
      <c r="C285" s="69"/>
      <c r="D285" s="69">
        <f>IF($AK262=5,SUM(D280:D284),IF($AK262=4,SUM(D280:D283),IF($AK262=3,SUM(D280:D282),IF($AK262=2,SUM(D280:D281),D280))))</f>
        <v>60</v>
      </c>
      <c r="E285" s="69">
        <f>IF($AK262=5,SUM(E280:E284),IF($AK262=4,SUM(E280:E283),IF($AK262=3,SUM(E280:E282),IF($AK262=2,SUM(E280:E281),E280))))</f>
        <v>50</v>
      </c>
      <c r="F285" s="69"/>
      <c r="G285" s="69">
        <f>IF($AK262=5,SUM(G280:G284),IF($AK262=4,SUM(G280:G283),IF($AK262=3,SUM(G280:G282),IF($AK262=2,SUM(G280:G281),G280))))</f>
        <v>43</v>
      </c>
      <c r="H285" s="69">
        <f>IF($AK262=5,SUM(H280:H284),IF($AK262=4,SUM(H280:H283),IF($AK262=3,SUM(H280:H282),IF($AK262=2,SUM(H280:H281),H280))))</f>
        <v>50</v>
      </c>
      <c r="I285" s="69"/>
      <c r="J285" s="69">
        <f>IF($AK262=5,SUM(J280:J284),IF($AK262=4,SUM(J280:J283),IF($AK262=3,SUM(J280:J282),IF($AK262=2,SUM(J280:J281),J280))))</f>
        <v>66</v>
      </c>
      <c r="K285" s="69">
        <f>IF($AK262=5,SUM(K280:K284),IF($AK262=4,SUM(K280:K283),IF($AK262=3,SUM(K280:K282),IF($AK262=2,SUM(K280:K281),K280))))</f>
        <v>62</v>
      </c>
      <c r="L285" s="69"/>
      <c r="M285" s="69">
        <f>IF($AK262=5,SUM(M280:M284),IF($AK262=4,SUM(M280:M283),IF($AK262=3,SUM(M280:M282),IF($AK262=2,SUM(M280:M281),M280))))</f>
        <v>64</v>
      </c>
      <c r="N285" s="69">
        <f>IF($AK262=5,SUM(N280:N284),IF($AK262=4,SUM(N280:N283),IF($AK262=3,SUM(N280:N282),IF($AK262=2,SUM(N280:N281),N280))))</f>
        <v>36</v>
      </c>
      <c r="O285" s="69"/>
      <c r="P285" s="69">
        <f>IF($AK262=5,SUM(P280:P284),IF($AK262=4,SUM(P280:P283),IF($AK262=3,SUM(P280:P282),IF($AK262=2,SUM(P280:P281),P280))))</f>
        <v>50</v>
      </c>
      <c r="Q285" s="69">
        <f>IF($AK262=5,SUM(Q280:Q284),IF($AK262=4,SUM(Q280:Q283),IF($AK262=3,SUM(Q280:Q282),IF($AK262=2,SUM(Q280:Q281),Q280))))</f>
        <v>58</v>
      </c>
      <c r="R285" s="69"/>
      <c r="S285" s="69">
        <f>IF($AK262=5,SUM(S280:S284),IF($AK262=4,SUM(S280:S283),IF($AK262=3,SUM(S280:S282),IF($AK262=2,SUM(S280:S281),S280))))</f>
        <v>50</v>
      </c>
      <c r="T285" s="69">
        <f>IF($AK262=5,SUM(T280:T284),IF($AK262=4,SUM(T280:T283),IF($AK262=3,SUM(T280:T282),IF($AK262=2,SUM(T280:T281),T280))))</f>
        <v>0</v>
      </c>
      <c r="U285" s="69"/>
      <c r="V285" s="69">
        <f>IF($AK262=5,SUM(V280:V284),IF($AK262=4,SUM(V280:V283),IF($AK262=3,SUM(V280:V282),IF($AK262=2,SUM(V280:V281),V280))))</f>
        <v>0</v>
      </c>
      <c r="W285" s="69">
        <f>IF($AK262=5,SUM(W280:W284),IF($AK262=4,SUM(W280:W283),IF($AK262=3,SUM(W280:W282),IF($AK262=2,SUM(W280:W281),W280))))</f>
        <v>0</v>
      </c>
      <c r="X285" s="69"/>
      <c r="Y285" s="69">
        <f>IF($AK262=5,SUM(Y280:Y284),IF($AK262=4,SUM(Y280:Y283),IF($AK262=3,SUM(Y280:Y282),IF($AK262=2,SUM(Y280:Y281),Y280))))</f>
        <v>0</v>
      </c>
      <c r="Z285" s="69">
        <f>IF($AK262=5,SUM(Z280:Z284),IF($AK262=4,SUM(Z280:Z283),IF($AK262=3,SUM(Z280:Z282),IF($AK262=2,SUM(Z280:Z281),Z280))))</f>
        <v>0</v>
      </c>
      <c r="AA285" s="69"/>
      <c r="AB285" s="69">
        <f>IF($AK262=5,SUM(AB280:AB284),IF($AK262=4,SUM(AB280:AB283),IF($AK262=3,SUM(AB280:AB282),IF($AK262=2,SUM(AB280:AB281),AB280))))</f>
        <v>0</v>
      </c>
      <c r="AC285" s="69">
        <f>IF($AK262=5,SUM(AC280:AC284),IF($AK262=4,SUM(AC280:AC283),IF($AK262=3,SUM(AC280:AC282),IF($AK262=2,SUM(AC280:AC281),AC280))))</f>
        <v>0</v>
      </c>
      <c r="AD285" s="69"/>
      <c r="AE285" s="69">
        <f>IF($AK262=5,SUM(AE280:AE284),IF($AK262=4,SUM(AE280:AE283),IF($AK262=3,SUM(AE280:AE282),IF($AK262=2,SUM(AE280:AE281),AE280))))</f>
        <v>0</v>
      </c>
      <c r="AF285" s="8"/>
      <c r="AG285" s="8"/>
      <c r="AH285" s="8"/>
      <c r="AI285" s="8"/>
      <c r="AJ285" s="8"/>
      <c r="AK285" s="8"/>
      <c r="AL285" s="8"/>
      <c r="AM285" s="8"/>
      <c r="AN285" s="8"/>
      <c r="AO285" s="8"/>
      <c r="AP285" s="8"/>
      <c r="AQ285" s="8"/>
      <c r="AT285" s="70"/>
      <c r="AU285" s="70"/>
      <c r="AV285" s="70"/>
    </row>
    <row r="286" spans="1:49" s="70" customFormat="1" ht="12.75" hidden="1" customHeight="1" x14ac:dyDescent="0.2">
      <c r="A286" s="70" t="s">
        <v>75</v>
      </c>
      <c r="B286" s="71">
        <f>IF(AND(B280&gt;D280,$AK263&gt;0,ISNUMBER(B280),ISNUMBER(D280)),1,0)</f>
        <v>1</v>
      </c>
      <c r="C286" s="71"/>
      <c r="D286" s="72">
        <f>IF(AND(D280&gt;B280,$AK263&gt;0,ISNUMBER(B280),ISNUMBER(D280)),1,0)</f>
        <v>0</v>
      </c>
      <c r="E286" s="71">
        <f>IF(AND(E280&gt;G280,$AK263&gt;1,ISNUMBER(E280),ISNUMBER(G280)),1,0)</f>
        <v>1</v>
      </c>
      <c r="F286" s="71"/>
      <c r="G286" s="72">
        <f>IF(AND(G280&gt;E280,$AK263&gt;1,ISNUMBER(E280),ISNUMBER(G280)),1,0)</f>
        <v>0</v>
      </c>
      <c r="H286" s="71">
        <f>IF(AND(H280&gt;J280,$AK263&gt;2,ISNUMBER(H280),ISNUMBER(J280)),1,0)</f>
        <v>1</v>
      </c>
      <c r="I286" s="71"/>
      <c r="J286" s="72">
        <f>IF(AND(J280&gt;H280,$AK263&gt;2,ISNUMBER(H280),ISNUMBER(J280)),1,0)</f>
        <v>0</v>
      </c>
      <c r="K286" s="71">
        <f>IF(AND(K280&gt;M280,$AK263&gt;3,ISNUMBER(K280),ISNUMBER(M280)),1,0)</f>
        <v>1</v>
      </c>
      <c r="L286" s="71"/>
      <c r="M286" s="72">
        <f>IF(AND(M280&gt;K280,$AK263&gt;3,ISNUMBER(K280),ISNUMBER(M280)),1,0)</f>
        <v>0</v>
      </c>
      <c r="N286" s="71">
        <f>IF(AND(N280&gt;P280,$AK263&gt;4,ISNUMBER(N280),ISNUMBER(P280)),1,0)</f>
        <v>0</v>
      </c>
      <c r="O286" s="71"/>
      <c r="P286" s="72">
        <f>IF(AND(P280&gt;N280,$AK263&gt;4,ISNUMBER(N280),ISNUMBER(P280)),1,0)</f>
        <v>1</v>
      </c>
      <c r="Q286" s="71">
        <f>IF(AND(Q280&gt;S280,$AK263&gt;5,ISNUMBER(Q280),ISNUMBER(S280)),1,0)</f>
        <v>1</v>
      </c>
      <c r="R286" s="71"/>
      <c r="S286" s="72">
        <f>IF(AND(S280&gt;Q280,$AK263&gt;5,ISNUMBER(Q280),ISNUMBER(S280)),1,0)</f>
        <v>0</v>
      </c>
      <c r="T286" s="71">
        <f>IF(AND(T280&gt;V280,$AK263&gt;6,ISNUMBER(T280),ISNUMBER(V280)),1,0)</f>
        <v>0</v>
      </c>
      <c r="U286" s="71"/>
      <c r="V286" s="72">
        <f>IF(AND(V280&gt;T280,$AK263&gt;6,ISNUMBER(T280),ISNUMBER(V280)),1,0)</f>
        <v>0</v>
      </c>
      <c r="W286" s="71">
        <f>IF(AND(W280&gt;Y280,$AK263&gt;7,ISNUMBER(W280),ISNUMBER(Y280)),1,0)</f>
        <v>0</v>
      </c>
      <c r="X286" s="71"/>
      <c r="Y286" s="72">
        <f>IF(AND(Y280&gt;W280,$AK263&gt;7,ISNUMBER(W280),ISNUMBER(Y280)),1,0)</f>
        <v>0</v>
      </c>
      <c r="Z286" s="71">
        <f>IF(AND(Z280&gt;AB280,$AK263&gt;8,ISNUMBER(Z280),ISNUMBER(AB280)),1,0)</f>
        <v>0</v>
      </c>
      <c r="AA286" s="71"/>
      <c r="AB286" s="72">
        <f>IF(AND(AB280&gt;Z280,$AK263&gt;8,ISNUMBER(Z280),ISNUMBER(AB280)),1,0)</f>
        <v>0</v>
      </c>
      <c r="AC286" s="71">
        <f>IF(AND(AC280&gt;AE280,$AK263&gt;9,ISNUMBER(AC280),ISNUMBER(AE280)),1,0)</f>
        <v>0</v>
      </c>
      <c r="AD286" s="71"/>
      <c r="AE286" s="72">
        <f>IF(AND(AE280&gt;AC280,$AK263&gt;9,ISNUMBER(AC280),ISNUMBER(AE280)),1,0)</f>
        <v>0</v>
      </c>
      <c r="AW286" s="154"/>
    </row>
    <row r="287" spans="1:49" s="70" customFormat="1" ht="12.75" hidden="1" customHeight="1" x14ac:dyDescent="0.2">
      <c r="A287" s="70" t="s">
        <v>76</v>
      </c>
      <c r="B287" s="71">
        <f>IF(AND(B281&gt;D281,$AK263&gt;0,$AK262&gt;1,ISNUMBER(B281),ISNUMBER(D281)),1,0)</f>
        <v>0</v>
      </c>
      <c r="C287" s="71"/>
      <c r="D287" s="72">
        <f>IF(AND(D281&gt;B281,$AK263&gt;0,$AK262&gt;1,ISNUMBER(B281),ISNUMBER(D281)),1,0)</f>
        <v>1</v>
      </c>
      <c r="E287" s="71">
        <f>IF(AND(E281&gt;G281,$AK263&gt;1,$AK262&gt;1,ISNUMBER(E281),ISNUMBER(G281)),1,0)</f>
        <v>1</v>
      </c>
      <c r="F287" s="71"/>
      <c r="G287" s="72">
        <f>IF(AND(G281&gt;E281,$AK263&gt;1,$AK262&gt;1,ISNUMBER(E281),ISNUMBER(G281)),1,0)</f>
        <v>0</v>
      </c>
      <c r="H287" s="71">
        <f>IF(AND(H281&gt;J281,$AK263&gt;2,$AK262&gt;1,ISNUMBER(H281),ISNUMBER(J281)),1,0)</f>
        <v>0</v>
      </c>
      <c r="I287" s="71"/>
      <c r="J287" s="72">
        <f>IF(AND(J281&gt;H281,$AK263&gt;2,$AK262&gt;1,ISNUMBER(H281),ISNUMBER(J281)),1,0)</f>
        <v>1</v>
      </c>
      <c r="K287" s="71">
        <f>IF(AND(K281&gt;M281,$AK263&gt;3,$AK262&gt;1,ISNUMBER(K281),ISNUMBER(M281)),1,0)</f>
        <v>0</v>
      </c>
      <c r="L287" s="71"/>
      <c r="M287" s="72">
        <f>IF(AND(M281&gt;K281,$AK263&gt;3,$AK262&gt;1,ISNUMBER(K281),ISNUMBER(M281)),1,0)</f>
        <v>1</v>
      </c>
      <c r="N287" s="71">
        <f>IF(AND(N281&gt;P281,$AK263&gt;4,$AK262&gt;1,ISNUMBER(N281),ISNUMBER(P281)),1,0)</f>
        <v>0</v>
      </c>
      <c r="O287" s="71"/>
      <c r="P287" s="72">
        <f>IF(AND(P281&gt;N281,$AK263&gt;4,$AK262&gt;1,ISNUMBER(N281),ISNUMBER(P281)),1,0)</f>
        <v>1</v>
      </c>
      <c r="Q287" s="71">
        <f>IF(AND(Q281&gt;S281,$AK263&gt;5,$AK262&gt;1,ISNUMBER(Q281),ISNUMBER(S281)),1,0)</f>
        <v>0</v>
      </c>
      <c r="R287" s="71"/>
      <c r="S287" s="72">
        <f>IF(AND(S281&gt;Q281,$AK263&gt;5,$AK262&gt;1,ISNUMBER(Q281),ISNUMBER(S281)),1,0)</f>
        <v>1</v>
      </c>
      <c r="T287" s="71">
        <f>IF(AND(T281&gt;V281,$AK263&gt;6,$AK262&gt;1,ISNUMBER(T281),ISNUMBER(V281)),1,0)</f>
        <v>0</v>
      </c>
      <c r="U287" s="71"/>
      <c r="V287" s="72">
        <f>IF(AND(V281&gt;T281,$AK263&gt;6,$AK262&gt;1,ISNUMBER(T281),ISNUMBER(V281)),1,0)</f>
        <v>0</v>
      </c>
      <c r="W287" s="71">
        <f>IF(AND(W281&gt;Y281,$AK263&gt;7,$AK262&gt;1,ISNUMBER(W281),ISNUMBER(Y281)),1,0)</f>
        <v>0</v>
      </c>
      <c r="X287" s="71"/>
      <c r="Y287" s="72">
        <f>IF(AND(Y281&gt;W281,$AK263&gt;7,$AK262&gt;1,ISNUMBER(W281),ISNUMBER(Y281)),1,0)</f>
        <v>0</v>
      </c>
      <c r="Z287" s="71">
        <f>IF(AND(Z281&gt;AB281,$AK263&gt;8,$AK262&gt;1,ISNUMBER(Z281),ISNUMBER(AB281)),1,0)</f>
        <v>0</v>
      </c>
      <c r="AA287" s="71"/>
      <c r="AB287" s="72">
        <f>IF(AND(AB281&gt;Z281,$AK263&gt;8,$AK262&gt;1,ISNUMBER(Z281),ISNUMBER(AB281)),1,0)</f>
        <v>0</v>
      </c>
      <c r="AC287" s="71">
        <f>IF(AND(AC281&gt;AE281,$AK263&gt;9,$AK262&gt;1,ISNUMBER(AC281),ISNUMBER(AE281)),1,0)</f>
        <v>0</v>
      </c>
      <c r="AD287" s="71"/>
      <c r="AE287" s="72">
        <f>IF(AND(AE281&gt;AC281,$AK263&gt;9,$AK262&gt;1,ISNUMBER(AC281),ISNUMBER(AE281)),1,0)</f>
        <v>0</v>
      </c>
      <c r="AW287" s="154"/>
    </row>
    <row r="288" spans="1:49" s="70" customFormat="1" ht="12.75" hidden="1" customHeight="1" x14ac:dyDescent="0.2">
      <c r="A288" s="70" t="s">
        <v>77</v>
      </c>
      <c r="B288" s="71">
        <f>IF(AND(B282&gt;D282,$AK263&gt;0,$AK262&gt;2,ISNUMBER(B282),ISNUMBER(D282)),1,0)</f>
        <v>0</v>
      </c>
      <c r="C288" s="71"/>
      <c r="D288" s="72">
        <f>IF(AND(D282&gt;B282,$AK263&gt;0,$AK262&gt;2,ISNUMBER(B282),ISNUMBER(D282)),1,0)</f>
        <v>1</v>
      </c>
      <c r="E288" s="71">
        <f>IF(AND(E282&gt;G282,$AK263&gt;1,$AK262&gt;2,ISNUMBER(E282),ISNUMBER(G282)),1,0)</f>
        <v>0</v>
      </c>
      <c r="F288" s="71"/>
      <c r="G288" s="72">
        <f>IF(AND(G282&gt;E282,$AK263&gt;1,$AK262&gt;2,ISNUMBER(E282),ISNUMBER(G282)),1,0)</f>
        <v>0</v>
      </c>
      <c r="H288" s="71">
        <f>IF(AND(H282&gt;J282,$AK263&gt;2,$AK262&gt;2,ISNUMBER(H282),ISNUMBER(J282)),1,0)</f>
        <v>0</v>
      </c>
      <c r="I288" s="71"/>
      <c r="J288" s="72">
        <f>IF(AND(J282&gt;H282,$AK263&gt;2,$AK262&gt;2,ISNUMBER(H282),ISNUMBER(J282)),1,0)</f>
        <v>1</v>
      </c>
      <c r="K288" s="71">
        <f>IF(AND(K282&gt;M282,$AK263&gt;3,$AK262&gt;2,ISNUMBER(K282),ISNUMBER(M282)),1,0)</f>
        <v>0</v>
      </c>
      <c r="L288" s="71"/>
      <c r="M288" s="72">
        <f>IF(AND(M282&gt;K282,$AK263&gt;3,$AK262&gt;2,ISNUMBER(K282),ISNUMBER(M282)),1,0)</f>
        <v>1</v>
      </c>
      <c r="N288" s="71">
        <f>IF(AND(N282&gt;P282,$AK263&gt;4,$AK262&gt;2,ISNUMBER(N282),ISNUMBER(P282)),1,0)</f>
        <v>0</v>
      </c>
      <c r="O288" s="71"/>
      <c r="P288" s="72">
        <f>IF(AND(P282&gt;N282,$AK263&gt;4,$AK262&gt;2,ISNUMBER(N282),ISNUMBER(P282)),1,0)</f>
        <v>0</v>
      </c>
      <c r="Q288" s="71">
        <f>IF(AND(Q282&gt;S282,$AK263&gt;5,$AK262&gt;2,ISNUMBER(Q282),ISNUMBER(S282)),1,0)</f>
        <v>0</v>
      </c>
      <c r="R288" s="71"/>
      <c r="S288" s="72">
        <f>IF(AND(S282&gt;Q282,$AK263&gt;5,$AK262&gt;2,ISNUMBER(Q282),ISNUMBER(S282)),1,0)</f>
        <v>1</v>
      </c>
      <c r="T288" s="71">
        <f>IF(AND(T282&gt;V282,$AK263&gt;6,$AK262&gt;2,ISNUMBER(T282),ISNUMBER(V282)),1,0)</f>
        <v>0</v>
      </c>
      <c r="U288" s="71"/>
      <c r="V288" s="72">
        <f>IF(AND(V282&gt;T282,$AK263&gt;6,$AK262&gt;2,ISNUMBER(T282),ISNUMBER(V282)),1,0)</f>
        <v>0</v>
      </c>
      <c r="W288" s="71">
        <f>IF(AND(W282&gt;Y282,$AK263&gt;7,$AK262&gt;2,ISNUMBER(W282),ISNUMBER(Y282)),1,0)</f>
        <v>0</v>
      </c>
      <c r="X288" s="71"/>
      <c r="Y288" s="72">
        <f>IF(AND(Y282&gt;W282,$AK263&gt;7,$AK262&gt;2,ISNUMBER(W282),ISNUMBER(Y282)),1,0)</f>
        <v>0</v>
      </c>
      <c r="Z288" s="71">
        <f>IF(AND(Z282&gt;AB282,$AK263&gt;8,$AK262&gt;2,ISNUMBER(Z282),ISNUMBER(AB282)),1,0)</f>
        <v>0</v>
      </c>
      <c r="AA288" s="71"/>
      <c r="AB288" s="72">
        <f>IF(AND(AB282&gt;Z282,$AK263&gt;8,$AK262&gt;2,ISNUMBER(Z282),ISNUMBER(AB282)),1,0)</f>
        <v>0</v>
      </c>
      <c r="AC288" s="71">
        <f>IF(AND(AC282&gt;AE282,$AK263&gt;9,$AK262&gt;2,ISNUMBER(AC282),ISNUMBER(AE282)),1,0)</f>
        <v>0</v>
      </c>
      <c r="AD288" s="71"/>
      <c r="AE288" s="72">
        <f>IF(AND(AE282&gt;AC282,$AK263&gt;9,$AK262&gt;2,ISNUMBER(AC282),ISNUMBER(AE282)),1,0)</f>
        <v>0</v>
      </c>
      <c r="AW288" s="154"/>
    </row>
    <row r="289" spans="1:49" s="70" customFormat="1" ht="12.75" hidden="1" customHeight="1" x14ac:dyDescent="0.2">
      <c r="A289" s="70" t="s">
        <v>78</v>
      </c>
      <c r="B289" s="71">
        <f>IF(AND(B283&gt;D283,$AK263&gt;0,$AK262&gt;3,ISNUMBER(B283),ISNUMBER(D283)),1,0)</f>
        <v>0</v>
      </c>
      <c r="C289" s="71"/>
      <c r="D289" s="72">
        <f>IF(AND(D283&gt;B283,$AK263&gt;0,$AK262&gt;3,ISNUMBER(B283),ISNUMBER(D283)),1,0)</f>
        <v>0</v>
      </c>
      <c r="E289" s="71">
        <f>IF(AND(E283&gt;G283,$AK263&gt;1,$AK262&gt;3,ISNUMBER(E283),ISNUMBER(G283)),1,0)</f>
        <v>0</v>
      </c>
      <c r="F289" s="71"/>
      <c r="G289" s="72">
        <f>IF(AND(G283&gt;E283,$AK263&gt;1,$AK262&gt;3,ISNUMBER(E283),ISNUMBER(G283)),1,0)</f>
        <v>0</v>
      </c>
      <c r="H289" s="71">
        <f>IF(AND(H283&gt;J283,$AK263&gt;2,$AK262&gt;3,ISNUMBER(H283),ISNUMBER(J283)),1,0)</f>
        <v>0</v>
      </c>
      <c r="I289" s="71"/>
      <c r="J289" s="72">
        <f>IF(AND(J283&gt;H283,$AK263&gt;2,$AK262&gt;3,ISNUMBER(H283),ISNUMBER(J283)),1,0)</f>
        <v>0</v>
      </c>
      <c r="K289" s="71">
        <f>IF(AND(K283&gt;M283,$AK263&gt;3,$AK262&gt;3,ISNUMBER(K283),ISNUMBER(M283)),1,0)</f>
        <v>0</v>
      </c>
      <c r="L289" s="71"/>
      <c r="M289" s="72">
        <f>IF(AND(M283&gt;K283,$AK263&gt;3,$AK262&gt;3,ISNUMBER(K283),ISNUMBER(M283)),1,0)</f>
        <v>0</v>
      </c>
      <c r="N289" s="71">
        <f>IF(AND(N283&gt;P283,$AK263&gt;4,$AK262&gt;3,ISNUMBER(N283),ISNUMBER(P283)),1,0)</f>
        <v>0</v>
      </c>
      <c r="O289" s="71"/>
      <c r="P289" s="72">
        <f>IF(AND(P283&gt;N283,$AK263&gt;4,$AK262&gt;3,ISNUMBER(N283),ISNUMBER(P283)),1,0)</f>
        <v>0</v>
      </c>
      <c r="Q289" s="71">
        <f>IF(AND(Q283&gt;S283,$AK263&gt;5,$AK262&gt;3,ISNUMBER(Q283),ISNUMBER(S283)),1,0)</f>
        <v>0</v>
      </c>
      <c r="R289" s="71"/>
      <c r="S289" s="72">
        <f>IF(AND(S283&gt;Q283,$AK263&gt;5,$AK262&gt;3,ISNUMBER(Q283),ISNUMBER(S283)),1,0)</f>
        <v>0</v>
      </c>
      <c r="T289" s="71">
        <f>IF(AND(T283&gt;V283,$AK263&gt;6,$AK262&gt;3,ISNUMBER(T283),ISNUMBER(V283)),1,0)</f>
        <v>0</v>
      </c>
      <c r="U289" s="71"/>
      <c r="V289" s="72">
        <f>IF(AND(V283&gt;T283,$AK263&gt;6,$AK262&gt;3,ISNUMBER(T283),ISNUMBER(V283)),1,0)</f>
        <v>0</v>
      </c>
      <c r="W289" s="71">
        <f>IF(AND(W283&gt;Y283,$AK263&gt;7,$AK262&gt;3,ISNUMBER(W283),ISNUMBER(Y283)),1,0)</f>
        <v>0</v>
      </c>
      <c r="X289" s="71"/>
      <c r="Y289" s="72">
        <f>IF(AND(Y283&gt;W283,$AK263&gt;7,$AK262&gt;3,ISNUMBER(W283),ISNUMBER(Y283)),1,0)</f>
        <v>0</v>
      </c>
      <c r="Z289" s="71">
        <f>IF(AND(Z283&gt;AB283,$AK263&gt;8,$AK262&gt;3,ISNUMBER(Z283),ISNUMBER(AB283)),1,0)</f>
        <v>0</v>
      </c>
      <c r="AA289" s="71"/>
      <c r="AB289" s="72">
        <f>IF(AND(AB283&gt;Z283,$AK263&gt;8,$AK262&gt;3,ISNUMBER(Z283),ISNUMBER(AB283)),1,0)</f>
        <v>0</v>
      </c>
      <c r="AC289" s="71">
        <f>IF(AND(AC283&gt;AE283,$AK263&gt;9,$AK262&gt;3,ISNUMBER(AC283),ISNUMBER(AE283)),1,0)</f>
        <v>0</v>
      </c>
      <c r="AD289" s="71"/>
      <c r="AE289" s="72">
        <f>IF(AND(AE283&gt;AC283,$AK263&gt;9,$AK262&gt;3,ISNUMBER(AC283),ISNUMBER(AE283)),1,0)</f>
        <v>0</v>
      </c>
      <c r="AW289" s="154"/>
    </row>
    <row r="290" spans="1:49" s="70" customFormat="1" ht="12.75" hidden="1" customHeight="1" x14ac:dyDescent="0.2">
      <c r="A290" s="70" t="s">
        <v>79</v>
      </c>
      <c r="B290" s="71">
        <f>IF(AND(B284&gt;D284,$AK263&gt;0,$AK262&gt;4,ISNUMBER(B284),ISNUMBER(D284)),1,0)</f>
        <v>0</v>
      </c>
      <c r="C290" s="71"/>
      <c r="D290" s="72">
        <f>IF(AND(D284&gt;B284,$AK263&gt;0,$AK262&gt;4,ISNUMBER(B284),ISNUMBER(D284)),1,0)</f>
        <v>0</v>
      </c>
      <c r="E290" s="71">
        <f>IF(AND(E284&gt;G284,$AK263&gt;1,$AK262&gt;4,ISNUMBER(E284),ISNUMBER(G284)),1,0)</f>
        <v>0</v>
      </c>
      <c r="F290" s="71"/>
      <c r="G290" s="72">
        <f>IF(AND(G284&gt;E284,$AK263&gt;1,$AK262&gt;4,ISNUMBER(E284),ISNUMBER(G284)),1,0)</f>
        <v>0</v>
      </c>
      <c r="H290" s="71">
        <f>IF(AND(H284&gt;J284,$AK263&gt;2,$AK262&gt;4,ISNUMBER(H284),ISNUMBER(J284)),1,0)</f>
        <v>0</v>
      </c>
      <c r="I290" s="71"/>
      <c r="J290" s="72">
        <f>IF(AND(J284&gt;H284,$AK263&gt;2,$AK262&gt;4,ISNUMBER(H284),ISNUMBER(J284)),1,0)</f>
        <v>0</v>
      </c>
      <c r="K290" s="71">
        <f>IF(AND(K284&gt;M284,$AK263&gt;3,$AK262&gt;4,ISNUMBER(K284),ISNUMBER(M284)),1,0)</f>
        <v>0</v>
      </c>
      <c r="L290" s="71"/>
      <c r="M290" s="72">
        <f>IF(AND(M284&gt;K284,$AK263&gt;3,$AK262&gt;4,ISNUMBER(K284),ISNUMBER(M284)),1,0)</f>
        <v>0</v>
      </c>
      <c r="N290" s="71">
        <f>IF(AND(N284&gt;P284,$AK263&gt;4,$AK262&gt;4,ISNUMBER(N284),ISNUMBER(P284)),1,0)</f>
        <v>0</v>
      </c>
      <c r="O290" s="71"/>
      <c r="P290" s="72">
        <f>IF(AND(P284&gt;N284,$AK263&gt;4,$AK262&gt;4,ISNUMBER(N284),ISNUMBER(P284)),1,0)</f>
        <v>0</v>
      </c>
      <c r="Q290" s="71">
        <f>IF(AND(Q284&gt;S284,$AK263&gt;5,$AK262&gt;4,ISNUMBER(Q284),ISNUMBER(S284)),1,0)</f>
        <v>0</v>
      </c>
      <c r="R290" s="71"/>
      <c r="S290" s="72">
        <f>IF(AND(S284&gt;Q284,$AK263&gt;5,$AK262&gt;4,ISNUMBER(Q284),ISNUMBER(S284)),1,0)</f>
        <v>0</v>
      </c>
      <c r="T290" s="71">
        <f>IF(AND(T284&gt;V284,$AK263&gt;6,$AK262&gt;4,ISNUMBER(T284),ISNUMBER(V284)),1,0)</f>
        <v>0</v>
      </c>
      <c r="U290" s="71"/>
      <c r="V290" s="72">
        <f>IF(AND(V284&gt;T284,$AK263&gt;6,$AK262&gt;4,ISNUMBER(T284),ISNUMBER(V284)),1,0)</f>
        <v>0</v>
      </c>
      <c r="W290" s="71">
        <f>IF(AND(W284&gt;Y284,$AK263&gt;7,$AK262&gt;4,ISNUMBER(W284),ISNUMBER(Y284)),1,0)</f>
        <v>0</v>
      </c>
      <c r="X290" s="71"/>
      <c r="Y290" s="72">
        <f>IF(AND(Y284&gt;W284,$AK263&gt;7,$AK262&gt;4,ISNUMBER(W284),ISNUMBER(Y284)),1,0)</f>
        <v>0</v>
      </c>
      <c r="Z290" s="71">
        <f>IF(AND(Z284&gt;AB284,$AK263&gt;8,$AK262&gt;4,ISNUMBER(Z284),ISNUMBER(AB284)),1,0)</f>
        <v>0</v>
      </c>
      <c r="AA290" s="71"/>
      <c r="AB290" s="72">
        <f>IF(AND(AB284&gt;Z284,$AK263&gt;8,$AK262&gt;4,ISNUMBER(Z284),ISNUMBER(AB284)),1,0)</f>
        <v>0</v>
      </c>
      <c r="AC290" s="71">
        <f>IF(AND(AC284&gt;AE284,$AK263&gt;9,$AK262&gt;4,ISNUMBER(AC284),ISNUMBER(AE284)),1,0)</f>
        <v>0</v>
      </c>
      <c r="AD290" s="71"/>
      <c r="AE290" s="72">
        <f>IF(AND(AE284&gt;AC284,$AK263&gt;9,$AK262&gt;4,ISNUMBER(AC284),ISNUMBER(AE284)),1,0)</f>
        <v>0</v>
      </c>
      <c r="AW290" s="154"/>
    </row>
    <row r="291" spans="1:49" s="70" customFormat="1" ht="38.25" hidden="1" customHeight="1" x14ac:dyDescent="0.2">
      <c r="A291" s="73" t="s">
        <v>80</v>
      </c>
      <c r="B291" s="70">
        <f>SUM(B286:B290)</f>
        <v>1</v>
      </c>
      <c r="D291" s="74">
        <f>SUM(D286:D290)</f>
        <v>2</v>
      </c>
      <c r="E291" s="70">
        <f>SUM(E286:E290)</f>
        <v>2</v>
      </c>
      <c r="G291" s="74">
        <f>SUM(G286:G290)</f>
        <v>0</v>
      </c>
      <c r="H291" s="70">
        <f>SUM(H286:H290)</f>
        <v>1</v>
      </c>
      <c r="J291" s="74">
        <f>SUM(J286:J290)</f>
        <v>2</v>
      </c>
      <c r="K291" s="70">
        <f>SUM(K286:K290)</f>
        <v>1</v>
      </c>
      <c r="M291" s="74">
        <f>SUM(M286:M290)</f>
        <v>2</v>
      </c>
      <c r="N291" s="70">
        <f>SUM(N286:N290)</f>
        <v>0</v>
      </c>
      <c r="P291" s="74">
        <f>SUM(P286:P290)</f>
        <v>2</v>
      </c>
      <c r="Q291" s="70">
        <f>SUM(Q286:Q290)</f>
        <v>1</v>
      </c>
      <c r="S291" s="74">
        <f>SUM(S286:S290)</f>
        <v>2</v>
      </c>
      <c r="T291" s="70">
        <f>SUM(T286:T290)</f>
        <v>0</v>
      </c>
      <c r="V291" s="74">
        <f>SUM(V286:V290)</f>
        <v>0</v>
      </c>
      <c r="W291" s="70">
        <f>SUM(W286:W290)</f>
        <v>0</v>
      </c>
      <c r="Y291" s="74">
        <f>SUM(Y286:Y290)</f>
        <v>0</v>
      </c>
      <c r="Z291" s="70">
        <f>SUM(Z286:Z290)</f>
        <v>0</v>
      </c>
      <c r="AB291" s="74">
        <f>SUM(AB286:AB290)</f>
        <v>0</v>
      </c>
      <c r="AC291" s="70">
        <f>SUM(AC286:AC290)</f>
        <v>0</v>
      </c>
      <c r="AE291" s="74">
        <f>SUM(AE286:AE290)</f>
        <v>0</v>
      </c>
      <c r="AW291" s="154"/>
    </row>
    <row r="292" spans="1:49" s="70" customFormat="1" ht="25.5" hidden="1" customHeight="1" x14ac:dyDescent="0.2">
      <c r="A292" s="73" t="s">
        <v>81</v>
      </c>
      <c r="B292" s="70">
        <f>IF(B291&gt;D291,IF(C326=AK262,1,IF(C326=AK262-1,1,0)),0)</f>
        <v>0</v>
      </c>
      <c r="C292" s="70">
        <f>B292+D292</f>
        <v>1</v>
      </c>
      <c r="D292" s="74">
        <f>IF(D291&gt;B291,IF(C326=AK262,1,IF(C326=AK262-1,1,0)),0)</f>
        <v>1</v>
      </c>
      <c r="E292" s="70">
        <f>IF(E291&gt;G291,IF(F326=AK262,1,IF(F326=AK262-1,1,0)),0)</f>
        <v>1</v>
      </c>
      <c r="F292" s="70">
        <f>E292+G292</f>
        <v>1</v>
      </c>
      <c r="G292" s="74">
        <f>IF(G291&gt;E291,IF(F326=AK262,1,IF(F326=AK262-1,1,0)),0)</f>
        <v>0</v>
      </c>
      <c r="H292" s="70">
        <f>IF(H291&gt;J291,IF(I326=AK262,1,IF(I326=AK262-1,1,0)),0)</f>
        <v>0</v>
      </c>
      <c r="I292" s="70">
        <f>H292+J292</f>
        <v>1</v>
      </c>
      <c r="J292" s="74">
        <f>IF(J291&gt;H291,IF(I326=AK262,1,IF(I326=AK262-1,1,0)),0)</f>
        <v>1</v>
      </c>
      <c r="K292" s="70">
        <f>IF(K291&gt;M291,IF(L326=AK262,1,IF(L326=AK262-1,1,0)),0)</f>
        <v>0</v>
      </c>
      <c r="L292" s="70">
        <f>K292+M292</f>
        <v>1</v>
      </c>
      <c r="M292" s="74">
        <f>IF(M291&gt;K291,IF(L326=AK262,1,IF(L326=AK262-1,1,0)),0)</f>
        <v>1</v>
      </c>
      <c r="N292" s="70">
        <f>IF(N291&gt;P291,IF(O326=AK262,1,IF(O326=AK262-1,1,0)),0)</f>
        <v>0</v>
      </c>
      <c r="O292" s="70">
        <f>N292+P292</f>
        <v>1</v>
      </c>
      <c r="P292" s="74">
        <f>IF(P291&gt;N291,IF(O326=AK262,1,IF(O326=AK262-1,1,0)),0)</f>
        <v>1</v>
      </c>
      <c r="Q292" s="70">
        <f>IF(Q291&gt;S291,IF(R326=AK262,1,IF(R326=AK262-1,1,0)),0)</f>
        <v>0</v>
      </c>
      <c r="R292" s="70">
        <f>Q292+S292</f>
        <v>1</v>
      </c>
      <c r="S292" s="74">
        <f>IF(S291&gt;Q291,IF(R326=AK262,1,IF(R326=AK262-1,1,0)),0)</f>
        <v>1</v>
      </c>
      <c r="T292" s="70">
        <f>IF(T291&gt;V291,IF(U326=AK262,1,IF(U326=AK262-1,1,0)),0)</f>
        <v>0</v>
      </c>
      <c r="U292" s="70">
        <f>T292+V292</f>
        <v>0</v>
      </c>
      <c r="V292" s="74">
        <f>IF(V291&gt;T291,IF(U326=AK262,1,IF(U326=AK262-1,1,0)),0)</f>
        <v>0</v>
      </c>
      <c r="W292" s="70">
        <f>IF(W291&gt;Y291,IF(X326=AK262,1,IF(X326=AK262-1,1,0)),0)</f>
        <v>0</v>
      </c>
      <c r="X292" s="70">
        <f>W292+Y292</f>
        <v>0</v>
      </c>
      <c r="Y292" s="74">
        <f>IF(Y291&gt;W291,IF(X326=AK262,1,IF(X326=AK262-1,1,0)),0)</f>
        <v>0</v>
      </c>
      <c r="Z292" s="70">
        <f>IF(Z291&gt;AB291,IF(AA326=AK262,1,IF(AA326=AK262-1,1,0)),0)</f>
        <v>0</v>
      </c>
      <c r="AA292" s="70">
        <f>Z292+AB292</f>
        <v>0</v>
      </c>
      <c r="AB292" s="74">
        <f>IF(AB291&gt;Z291,IF(AA326=AK262,1,IF(AA326=AK262-1,1,0)),0)</f>
        <v>0</v>
      </c>
      <c r="AC292" s="70">
        <f>IF(AC291&gt;AE291,IF(AD326=AK262,1,IF(AD326=AK262-1,1,0)),0)</f>
        <v>0</v>
      </c>
      <c r="AD292" s="70">
        <f>AC292+AE292</f>
        <v>0</v>
      </c>
      <c r="AE292" s="74">
        <f>IF(AE291&gt;AC291,IF(AD326=AK262,1,IF(AD326=AK262-1,1,0)),0)</f>
        <v>0</v>
      </c>
      <c r="AW292" s="154"/>
    </row>
    <row r="293" spans="1:49" s="70" customFormat="1" ht="25.5" hidden="1" customHeight="1" x14ac:dyDescent="0.2">
      <c r="A293" s="73"/>
      <c r="D293" s="74"/>
      <c r="G293" s="74"/>
      <c r="J293" s="74"/>
      <c r="M293" s="74"/>
      <c r="P293" s="74"/>
      <c r="S293" s="74"/>
      <c r="V293" s="74"/>
      <c r="Y293" s="74"/>
      <c r="AB293" s="74"/>
      <c r="AE293" s="74"/>
      <c r="AW293" s="154"/>
    </row>
    <row r="294" spans="1:49" s="70" customFormat="1" ht="12.75" hidden="1" customHeight="1" x14ac:dyDescent="0.2">
      <c r="A294" s="70" t="s">
        <v>82</v>
      </c>
      <c r="B294" s="70">
        <f>IF(B286=1,B280,0)</f>
        <v>25</v>
      </c>
      <c r="D294" s="74">
        <f t="shared" ref="D294:E298" si="29">IF(D286=1,D280,0)</f>
        <v>0</v>
      </c>
      <c r="E294" s="70">
        <f t="shared" si="29"/>
        <v>25</v>
      </c>
      <c r="G294" s="74">
        <f t="shared" ref="G294:H298" si="30">IF(G286=1,G280,0)</f>
        <v>0</v>
      </c>
      <c r="H294" s="70">
        <f t="shared" si="30"/>
        <v>27</v>
      </c>
      <c r="J294" s="74">
        <f t="shared" ref="J294:K298" si="31">IF(J286=1,J280,0)</f>
        <v>0</v>
      </c>
      <c r="K294" s="70">
        <f t="shared" si="31"/>
        <v>25</v>
      </c>
      <c r="M294" s="74">
        <f t="shared" ref="M294:N298" si="32">IF(M286=1,M280,0)</f>
        <v>0</v>
      </c>
      <c r="N294" s="70">
        <f t="shared" si="32"/>
        <v>0</v>
      </c>
      <c r="P294" s="74">
        <f t="shared" ref="P294:Q298" si="33">IF(P286=1,P280,0)</f>
        <v>25</v>
      </c>
      <c r="Q294" s="70">
        <f t="shared" si="33"/>
        <v>25</v>
      </c>
      <c r="S294" s="74">
        <f t="shared" ref="S294:T298" si="34">IF(S286=1,S280,0)</f>
        <v>0</v>
      </c>
      <c r="T294" s="70">
        <f t="shared" si="34"/>
        <v>0</v>
      </c>
      <c r="V294" s="74">
        <f t="shared" ref="V294:W298" si="35">IF(V286=1,V280,0)</f>
        <v>0</v>
      </c>
      <c r="W294" s="70">
        <f t="shared" si="35"/>
        <v>0</v>
      </c>
      <c r="Y294" s="74">
        <f t="shared" ref="Y294:Z298" si="36">IF(Y286=1,Y280,0)</f>
        <v>0</v>
      </c>
      <c r="Z294" s="70">
        <f t="shared" si="36"/>
        <v>0</v>
      </c>
      <c r="AB294" s="74">
        <f t="shared" ref="AB294:AC298" si="37">IF(AB286=1,AB280,0)</f>
        <v>0</v>
      </c>
      <c r="AC294" s="70">
        <f t="shared" si="37"/>
        <v>0</v>
      </c>
      <c r="AE294" s="74">
        <f>IF(AE286=1,AE280,0)</f>
        <v>0</v>
      </c>
      <c r="AW294" s="154"/>
    </row>
    <row r="295" spans="1:49" s="70" customFormat="1" ht="12.75" hidden="1" customHeight="1" x14ac:dyDescent="0.2">
      <c r="A295" s="70" t="s">
        <v>83</v>
      </c>
      <c r="B295" s="70">
        <f>IF(B287=1,B281,0)</f>
        <v>0</v>
      </c>
      <c r="D295" s="74">
        <f t="shared" si="29"/>
        <v>25</v>
      </c>
      <c r="E295" s="70">
        <f t="shared" si="29"/>
        <v>25</v>
      </c>
      <c r="G295" s="74">
        <f t="shared" si="30"/>
        <v>0</v>
      </c>
      <c r="H295" s="70">
        <f t="shared" si="30"/>
        <v>0</v>
      </c>
      <c r="J295" s="74">
        <f t="shared" si="31"/>
        <v>25</v>
      </c>
      <c r="K295" s="70">
        <f t="shared" si="31"/>
        <v>0</v>
      </c>
      <c r="M295" s="74">
        <f t="shared" si="32"/>
        <v>26</v>
      </c>
      <c r="N295" s="70">
        <f t="shared" si="32"/>
        <v>0</v>
      </c>
      <c r="P295" s="74">
        <f t="shared" si="33"/>
        <v>25</v>
      </c>
      <c r="Q295" s="70">
        <f t="shared" si="33"/>
        <v>0</v>
      </c>
      <c r="S295" s="74">
        <f t="shared" si="34"/>
        <v>25</v>
      </c>
      <c r="T295" s="70">
        <f t="shared" si="34"/>
        <v>0</v>
      </c>
      <c r="V295" s="74">
        <f t="shared" si="35"/>
        <v>0</v>
      </c>
      <c r="W295" s="70">
        <f t="shared" si="35"/>
        <v>0</v>
      </c>
      <c r="Y295" s="74">
        <f t="shared" si="36"/>
        <v>0</v>
      </c>
      <c r="Z295" s="70">
        <f t="shared" si="36"/>
        <v>0</v>
      </c>
      <c r="AB295" s="74">
        <f t="shared" si="37"/>
        <v>0</v>
      </c>
      <c r="AC295" s="70">
        <f t="shared" si="37"/>
        <v>0</v>
      </c>
      <c r="AE295" s="74">
        <f>IF(AE287=1,AE281,0)</f>
        <v>0</v>
      </c>
      <c r="AW295" s="154"/>
    </row>
    <row r="296" spans="1:49" s="70" customFormat="1" ht="12.75" hidden="1" customHeight="1" x14ac:dyDescent="0.2">
      <c r="A296" s="70" t="s">
        <v>84</v>
      </c>
      <c r="B296" s="70">
        <f>IF(B288=1,B282,0)</f>
        <v>0</v>
      </c>
      <c r="D296" s="74">
        <f t="shared" si="29"/>
        <v>15</v>
      </c>
      <c r="E296" s="70">
        <f t="shared" si="29"/>
        <v>0</v>
      </c>
      <c r="G296" s="74">
        <f t="shared" si="30"/>
        <v>0</v>
      </c>
      <c r="H296" s="70">
        <f t="shared" si="30"/>
        <v>0</v>
      </c>
      <c r="J296" s="74">
        <f t="shared" si="31"/>
        <v>15</v>
      </c>
      <c r="K296" s="70">
        <f t="shared" si="31"/>
        <v>0</v>
      </c>
      <c r="M296" s="74">
        <f t="shared" si="32"/>
        <v>15</v>
      </c>
      <c r="N296" s="70">
        <f t="shared" si="32"/>
        <v>0</v>
      </c>
      <c r="P296" s="74">
        <f t="shared" si="33"/>
        <v>0</v>
      </c>
      <c r="Q296" s="70">
        <f t="shared" si="33"/>
        <v>0</v>
      </c>
      <c r="S296" s="74">
        <f t="shared" si="34"/>
        <v>15</v>
      </c>
      <c r="T296" s="70">
        <f t="shared" si="34"/>
        <v>0</v>
      </c>
      <c r="V296" s="74">
        <f t="shared" si="35"/>
        <v>0</v>
      </c>
      <c r="W296" s="70">
        <f t="shared" si="35"/>
        <v>0</v>
      </c>
      <c r="Y296" s="74">
        <f t="shared" si="36"/>
        <v>0</v>
      </c>
      <c r="Z296" s="70">
        <f t="shared" si="36"/>
        <v>0</v>
      </c>
      <c r="AB296" s="74">
        <f t="shared" si="37"/>
        <v>0</v>
      </c>
      <c r="AC296" s="70">
        <f t="shared" si="37"/>
        <v>0</v>
      </c>
      <c r="AE296" s="74">
        <f>IF(AE288=1,AE282,0)</f>
        <v>0</v>
      </c>
      <c r="AW296" s="154"/>
    </row>
    <row r="297" spans="1:49" s="70" customFormat="1" ht="12.75" hidden="1" customHeight="1" x14ac:dyDescent="0.2">
      <c r="A297" s="70" t="s">
        <v>85</v>
      </c>
      <c r="B297" s="70">
        <f>IF(B289=1,B283,0)</f>
        <v>0</v>
      </c>
      <c r="D297" s="74">
        <f t="shared" si="29"/>
        <v>0</v>
      </c>
      <c r="E297" s="70">
        <f t="shared" si="29"/>
        <v>0</v>
      </c>
      <c r="G297" s="74">
        <f t="shared" si="30"/>
        <v>0</v>
      </c>
      <c r="H297" s="70">
        <f t="shared" si="30"/>
        <v>0</v>
      </c>
      <c r="J297" s="74">
        <f t="shared" si="31"/>
        <v>0</v>
      </c>
      <c r="K297" s="70">
        <f t="shared" si="31"/>
        <v>0</v>
      </c>
      <c r="M297" s="74">
        <f t="shared" si="32"/>
        <v>0</v>
      </c>
      <c r="N297" s="70">
        <f t="shared" si="32"/>
        <v>0</v>
      </c>
      <c r="P297" s="74">
        <f t="shared" si="33"/>
        <v>0</v>
      </c>
      <c r="Q297" s="70">
        <f t="shared" si="33"/>
        <v>0</v>
      </c>
      <c r="S297" s="74">
        <f t="shared" si="34"/>
        <v>0</v>
      </c>
      <c r="T297" s="70">
        <f t="shared" si="34"/>
        <v>0</v>
      </c>
      <c r="V297" s="74">
        <f t="shared" si="35"/>
        <v>0</v>
      </c>
      <c r="W297" s="70">
        <f t="shared" si="35"/>
        <v>0</v>
      </c>
      <c r="Y297" s="74">
        <f t="shared" si="36"/>
        <v>0</v>
      </c>
      <c r="Z297" s="70">
        <f t="shared" si="36"/>
        <v>0</v>
      </c>
      <c r="AB297" s="74">
        <f t="shared" si="37"/>
        <v>0</v>
      </c>
      <c r="AC297" s="70">
        <f t="shared" si="37"/>
        <v>0</v>
      </c>
      <c r="AE297" s="74">
        <f>IF(AE289=1,AE283,0)</f>
        <v>0</v>
      </c>
      <c r="AW297" s="154"/>
    </row>
    <row r="298" spans="1:49" s="70" customFormat="1" ht="12.75" hidden="1" customHeight="1" x14ac:dyDescent="0.2">
      <c r="A298" s="70" t="s">
        <v>86</v>
      </c>
      <c r="B298" s="70">
        <f>IF(B290=1,B284,0)</f>
        <v>0</v>
      </c>
      <c r="D298" s="74">
        <f t="shared" si="29"/>
        <v>0</v>
      </c>
      <c r="E298" s="70">
        <f t="shared" si="29"/>
        <v>0</v>
      </c>
      <c r="G298" s="74">
        <f t="shared" si="30"/>
        <v>0</v>
      </c>
      <c r="H298" s="70">
        <f t="shared" si="30"/>
        <v>0</v>
      </c>
      <c r="J298" s="74">
        <f t="shared" si="31"/>
        <v>0</v>
      </c>
      <c r="K298" s="70">
        <f t="shared" si="31"/>
        <v>0</v>
      </c>
      <c r="M298" s="74">
        <f t="shared" si="32"/>
        <v>0</v>
      </c>
      <c r="N298" s="70">
        <f t="shared" si="32"/>
        <v>0</v>
      </c>
      <c r="P298" s="74">
        <f t="shared" si="33"/>
        <v>0</v>
      </c>
      <c r="Q298" s="70">
        <f t="shared" si="33"/>
        <v>0</v>
      </c>
      <c r="S298" s="74">
        <f t="shared" si="34"/>
        <v>0</v>
      </c>
      <c r="T298" s="70">
        <f t="shared" si="34"/>
        <v>0</v>
      </c>
      <c r="V298" s="74">
        <f t="shared" si="35"/>
        <v>0</v>
      </c>
      <c r="W298" s="70">
        <f t="shared" si="35"/>
        <v>0</v>
      </c>
      <c r="Y298" s="74">
        <f t="shared" si="36"/>
        <v>0</v>
      </c>
      <c r="Z298" s="70">
        <f t="shared" si="36"/>
        <v>0</v>
      </c>
      <c r="AB298" s="74">
        <f t="shared" si="37"/>
        <v>0</v>
      </c>
      <c r="AC298" s="70">
        <f t="shared" si="37"/>
        <v>0</v>
      </c>
      <c r="AE298" s="74">
        <f>IF(AE290=1,AE284,0)</f>
        <v>0</v>
      </c>
      <c r="AW298" s="154"/>
    </row>
    <row r="299" spans="1:49" s="70" customFormat="1" ht="38.25" hidden="1" customHeight="1" x14ac:dyDescent="0.2">
      <c r="A299" s="73" t="s">
        <v>87</v>
      </c>
      <c r="B299" s="70">
        <f>SUM(B294:D298)</f>
        <v>65</v>
      </c>
      <c r="D299" s="74"/>
      <c r="E299" s="70">
        <f>SUM(E294:G298)</f>
        <v>50</v>
      </c>
      <c r="G299" s="74"/>
      <c r="H299" s="70">
        <f>SUM(H294:J298)</f>
        <v>67</v>
      </c>
      <c r="J299" s="74"/>
      <c r="K299" s="70">
        <f>SUM(K294:M298)</f>
        <v>66</v>
      </c>
      <c r="M299" s="74"/>
      <c r="N299" s="70">
        <f>SUM(N294:P298)</f>
        <v>50</v>
      </c>
      <c r="P299" s="74"/>
      <c r="Q299" s="70">
        <f>SUM(Q294:S298)</f>
        <v>65</v>
      </c>
      <c r="S299" s="74"/>
      <c r="T299" s="70">
        <f>SUM(T294:V298)</f>
        <v>0</v>
      </c>
      <c r="V299" s="74"/>
      <c r="W299" s="70">
        <f>SUM(W294:Y298)</f>
        <v>0</v>
      </c>
      <c r="Y299" s="74"/>
      <c r="Z299" s="70">
        <f>SUM(Z294:AB298)</f>
        <v>0</v>
      </c>
      <c r="AB299" s="74"/>
      <c r="AC299" s="70">
        <f>SUM(AC294:AE298)</f>
        <v>0</v>
      </c>
      <c r="AE299" s="74"/>
      <c r="AW299" s="154"/>
    </row>
    <row r="300" spans="1:49" s="70" customFormat="1" ht="38.25" hidden="1" customHeight="1" x14ac:dyDescent="0.2">
      <c r="A300" s="70" t="s">
        <v>88</v>
      </c>
      <c r="D300" s="74"/>
      <c r="G300" s="74"/>
      <c r="J300" s="74"/>
      <c r="M300" s="74"/>
      <c r="P300" s="74"/>
      <c r="S300" s="74"/>
      <c r="V300" s="74"/>
      <c r="Y300" s="74"/>
      <c r="AB300" s="74"/>
      <c r="AE300" s="74"/>
      <c r="AF300" s="73" t="s">
        <v>89</v>
      </c>
      <c r="AG300" s="70" t="s">
        <v>90</v>
      </c>
      <c r="AW300" s="154"/>
    </row>
    <row r="301" spans="1:49" s="70" customFormat="1" ht="12.75" hidden="1" customHeight="1" x14ac:dyDescent="0.2">
      <c r="A301" s="70" t="s">
        <v>91</v>
      </c>
      <c r="B301" s="70">
        <f>IF(B279=1,IF(B292=1,1,0),0)</f>
        <v>0</v>
      </c>
      <c r="D301" s="74">
        <f>IF(D279=1,IF(D292=1,1,0),0)</f>
        <v>0</v>
      </c>
      <c r="E301" s="70">
        <f>IF(E279=1,IF(E292=1,1,0),0)</f>
        <v>1</v>
      </c>
      <c r="G301" s="74">
        <f>IF(G279=1,IF(G292=1,1,0),0)</f>
        <v>0</v>
      </c>
      <c r="H301" s="70">
        <f>IF(H279=1,IF(H292=1,1,0),0)</f>
        <v>0</v>
      </c>
      <c r="J301" s="74">
        <f>IF(J279=1,IF(J292=1,1,0),0)</f>
        <v>0</v>
      </c>
      <c r="K301" s="70">
        <f>IF(K279=1,IF(K292=1,1,0),0)</f>
        <v>0</v>
      </c>
      <c r="M301" s="74">
        <f>IF(M279=1,IF(M292=1,1,0),0)</f>
        <v>0</v>
      </c>
      <c r="N301" s="70">
        <f>IF(N279=1,IF(N292=1,1,0),0)</f>
        <v>0</v>
      </c>
      <c r="P301" s="74">
        <f>IF(P279=1,IF(P292=1,1,0),0)</f>
        <v>0</v>
      </c>
      <c r="Q301" s="70">
        <f>IF(Q279=1,IF(Q292=1,1,0),0)</f>
        <v>0</v>
      </c>
      <c r="S301" s="74">
        <f>IF(S279=1,IF(S292=1,1,0),0)</f>
        <v>0</v>
      </c>
      <c r="T301" s="70">
        <f>IF(T279=1,IF(T292=1,1,0),0)</f>
        <v>0</v>
      </c>
      <c r="V301" s="74">
        <f>IF(V279=1,IF(V292=1,1,0),0)</f>
        <v>0</v>
      </c>
      <c r="W301" s="70">
        <f>IF(W279=1,IF(W292=1,1,0),0)</f>
        <v>0</v>
      </c>
      <c r="Y301" s="74">
        <f>IF(Y279=1,IF(Y292=1,1,0),0)</f>
        <v>0</v>
      </c>
      <c r="Z301" s="70">
        <f>IF(Z279=1,IF(Z292=1,1,0),0)</f>
        <v>0</v>
      </c>
      <c r="AB301" s="74">
        <f>IF(AB279=1,IF(AB292=1,1,0),0)</f>
        <v>0</v>
      </c>
      <c r="AC301" s="70">
        <f>IF(AC279=1,IF(AC292=1,1,0),0)</f>
        <v>0</v>
      </c>
      <c r="AE301" s="74">
        <f>IF(AE279=1,IF(AE292=1,1,0),0)</f>
        <v>0</v>
      </c>
      <c r="AF301" s="70">
        <f>SUM(B301:AE301)</f>
        <v>1</v>
      </c>
      <c r="AG301" s="70">
        <f>AF307-AF301</f>
        <v>2</v>
      </c>
      <c r="AW301" s="154"/>
    </row>
    <row r="302" spans="1:49" s="70" customFormat="1" ht="12.75" hidden="1" customHeight="1" x14ac:dyDescent="0.2">
      <c r="A302" s="70" t="s">
        <v>92</v>
      </c>
      <c r="B302" s="70">
        <f>IF(B279=2,IF(B292=1,1,0),0)</f>
        <v>0</v>
      </c>
      <c r="D302" s="74">
        <f>IF(D279=2,IF(D292=1,1,0),0)</f>
        <v>0</v>
      </c>
      <c r="E302" s="70">
        <f>IF(E279=2,IF(E292=1,1,0),0)</f>
        <v>0</v>
      </c>
      <c r="G302" s="74">
        <f>IF(G279=2,IF(G292=1,1,0),0)</f>
        <v>0</v>
      </c>
      <c r="H302" s="70">
        <f>IF(H279=2,IF(H292=1,1,0),0)</f>
        <v>0</v>
      </c>
      <c r="J302" s="74">
        <f>IF(J279=2,IF(J292=1,1,0),0)</f>
        <v>0</v>
      </c>
      <c r="K302" s="70">
        <f>IF(K279=2,IF(K292=1,1,0),0)</f>
        <v>0</v>
      </c>
      <c r="M302" s="74">
        <f>IF(M279=2,IF(M292=1,1,0),0)</f>
        <v>0</v>
      </c>
      <c r="N302" s="70">
        <f>IF(N279=2,IF(N292=1,1,0),0)</f>
        <v>0</v>
      </c>
      <c r="P302" s="74">
        <f>IF(P279=2,IF(P292=1,1,0),0)</f>
        <v>0</v>
      </c>
      <c r="Q302" s="70">
        <f>IF(Q279=2,IF(Q292=1,1,0),0)</f>
        <v>0</v>
      </c>
      <c r="S302" s="74">
        <f>IF(S279=2,IF(S292=1,1,0),0)</f>
        <v>1</v>
      </c>
      <c r="T302" s="70">
        <f>IF(T279=2,IF(T292=1,1,0),0)</f>
        <v>0</v>
      </c>
      <c r="V302" s="74">
        <f>IF(V279=2,IF(V292=1,1,0),0)</f>
        <v>0</v>
      </c>
      <c r="W302" s="70">
        <f>IF(W279=2,IF(W292=1,1,0),0)</f>
        <v>0</v>
      </c>
      <c r="Y302" s="74">
        <f>IF(Y279=2,IF(Y292=1,1,0),0)</f>
        <v>0</v>
      </c>
      <c r="Z302" s="70">
        <f>IF(Z279=2,IF(Z292=1,1,0),0)</f>
        <v>0</v>
      </c>
      <c r="AB302" s="74">
        <f>IF(AB279=2,IF(AB292=1,1,0),0)</f>
        <v>0</v>
      </c>
      <c r="AC302" s="70">
        <f>IF(AC279=2,IF(AC292=1,1,0),0)</f>
        <v>0</v>
      </c>
      <c r="AE302" s="74">
        <f>IF(AE279=2,IF(AE292=1,1,0),0)</f>
        <v>0</v>
      </c>
      <c r="AF302" s="70">
        <f>SUM(B302:AE302)</f>
        <v>1</v>
      </c>
      <c r="AG302" s="70">
        <f>AF308-AF302</f>
        <v>2</v>
      </c>
      <c r="AW302" s="154"/>
    </row>
    <row r="303" spans="1:49" s="70" customFormat="1" ht="12.75" hidden="1" customHeight="1" x14ac:dyDescent="0.2">
      <c r="A303" s="70" t="s">
        <v>93</v>
      </c>
      <c r="B303" s="70">
        <f>IF(B279=3,IF(B292=1,1,0),0)</f>
        <v>0</v>
      </c>
      <c r="D303" s="74">
        <f>IF(D279=3,IF(D292=1,1,0),0)</f>
        <v>1</v>
      </c>
      <c r="E303" s="70">
        <f>IF(E279=3,IF(E292=1,1,0),0)</f>
        <v>0</v>
      </c>
      <c r="G303" s="74">
        <f>IF(G279=3,IF(G292=1,1,0),0)</f>
        <v>0</v>
      </c>
      <c r="H303" s="70">
        <f>IF(H279=3,IF(H292=1,1,0),0)</f>
        <v>0</v>
      </c>
      <c r="J303" s="74">
        <f>IF(J279=3,IF(J292=1,1,0),0)</f>
        <v>0</v>
      </c>
      <c r="K303" s="70">
        <f>IF(K279=3,IF(K292=1,1,0),0)</f>
        <v>0</v>
      </c>
      <c r="M303" s="74">
        <f>IF(M279=3,IF(M292=1,1,0),0)</f>
        <v>1</v>
      </c>
      <c r="N303" s="70">
        <f>IF(N279=3,IF(N292=1,1,0),0)</f>
        <v>0</v>
      </c>
      <c r="P303" s="74">
        <f>IF(P279=3,IF(P292=1,1,0),0)</f>
        <v>0</v>
      </c>
      <c r="Q303" s="70">
        <f>IF(Q279=3,IF(Q292=1,1,0),0)</f>
        <v>0</v>
      </c>
      <c r="S303" s="74">
        <f>IF(S279=3,IF(S292=1,1,0),0)</f>
        <v>0</v>
      </c>
      <c r="T303" s="70">
        <f>IF(T279=3,IF(T292=1,1,0),0)</f>
        <v>0</v>
      </c>
      <c r="V303" s="74">
        <f>IF(V279=3,IF(V292=1,1,0),0)</f>
        <v>0</v>
      </c>
      <c r="W303" s="70">
        <f>IF(W279=3,IF(W292=1,1,0),0)</f>
        <v>0</v>
      </c>
      <c r="Y303" s="74">
        <f>IF(Y279=3,IF(Y292=1,1,0),0)</f>
        <v>0</v>
      </c>
      <c r="Z303" s="70">
        <f>IF(Z279=3,IF(Z292=1,1,0),0)</f>
        <v>0</v>
      </c>
      <c r="AB303" s="74">
        <f>IF(AB279=3,IF(AB292=1,1,0),0)</f>
        <v>0</v>
      </c>
      <c r="AC303" s="70">
        <f>IF(AC279=3,IF(AC292=1,1,0),0)</f>
        <v>0</v>
      </c>
      <c r="AE303" s="74">
        <f>IF(AE279=3,IF(AE292=1,1,0),0)</f>
        <v>0</v>
      </c>
      <c r="AF303" s="70">
        <f>SUM(B303:AE303)</f>
        <v>2</v>
      </c>
      <c r="AG303" s="70">
        <f>AF309-AF303</f>
        <v>1</v>
      </c>
      <c r="AW303" s="154"/>
    </row>
    <row r="304" spans="1:49" s="70" customFormat="1" ht="12.75" hidden="1" customHeight="1" x14ac:dyDescent="0.2">
      <c r="A304" s="70" t="s">
        <v>94</v>
      </c>
      <c r="B304" s="70">
        <f>IF(B279=4,IF(B292=1,1,0),0)</f>
        <v>0</v>
      </c>
      <c r="D304" s="74">
        <f>IF(D279=4,IF(D292=1,1,0),0)</f>
        <v>0</v>
      </c>
      <c r="E304" s="70">
        <f>IF(E279=4,IF(E292=1,1,0),0)</f>
        <v>0</v>
      </c>
      <c r="G304" s="74">
        <f>IF(G279=4,IF(G292=1,1,0),0)</f>
        <v>0</v>
      </c>
      <c r="H304" s="70">
        <f>IF(H279=4,IF(H292=1,1,0),0)</f>
        <v>0</v>
      </c>
      <c r="J304" s="74">
        <f>IF(J279=4,IF(J292=1,1,0),0)</f>
        <v>1</v>
      </c>
      <c r="K304" s="70">
        <f>IF(K279=4,IF(K292=1,1,0),0)</f>
        <v>0</v>
      </c>
      <c r="M304" s="74">
        <f>IF(M279=4,IF(M292=1,1,0),0)</f>
        <v>0</v>
      </c>
      <c r="N304" s="70">
        <f>IF(N279=4,IF(N292=1,1,0),0)</f>
        <v>0</v>
      </c>
      <c r="P304" s="74">
        <f>IF(P279=4,IF(P292=1,1,0),0)</f>
        <v>1</v>
      </c>
      <c r="Q304" s="70">
        <f>IF(Q279=4,IF(Q292=1,1,0),0)</f>
        <v>0</v>
      </c>
      <c r="S304" s="74">
        <f>IF(S279=4,IF(S292=1,1,0),0)</f>
        <v>0</v>
      </c>
      <c r="T304" s="70">
        <f>IF(T279=4,IF(T292=1,1,0),0)</f>
        <v>0</v>
      </c>
      <c r="V304" s="74">
        <f>IF(V279=4,IF(V292=1,1,0),0)</f>
        <v>0</v>
      </c>
      <c r="W304" s="70">
        <f>IF(W279=4,IF(W292=1,1,0),0)</f>
        <v>0</v>
      </c>
      <c r="Y304" s="74">
        <f>IF(Y279=4,IF(Y292=1,1,0),0)</f>
        <v>0</v>
      </c>
      <c r="Z304" s="70">
        <f>IF(Z279=4,IF(Z292=1,1,0),0)</f>
        <v>0</v>
      </c>
      <c r="AB304" s="74">
        <f>IF(AB279=4,IF(AB292=1,1,0),0)</f>
        <v>0</v>
      </c>
      <c r="AC304" s="70">
        <f>IF(AC279=4,IF(AC292=1,1,0),0)</f>
        <v>0</v>
      </c>
      <c r="AE304" s="74">
        <f>IF(AE279=4,IF(AE292=1,1,0),0)</f>
        <v>0</v>
      </c>
      <c r="AF304" s="70">
        <f>SUM(B304:AE304)</f>
        <v>2</v>
      </c>
      <c r="AG304" s="70">
        <f>AF310-AF304</f>
        <v>1</v>
      </c>
      <c r="AW304" s="154"/>
    </row>
    <row r="305" spans="1:49" s="70" customFormat="1" ht="12.75" hidden="1" customHeight="1" x14ac:dyDescent="0.2">
      <c r="A305" s="70" t="s">
        <v>95</v>
      </c>
      <c r="B305" s="70">
        <f>IF(B279=5,IF(B292=1,1,0),0)</f>
        <v>0</v>
      </c>
      <c r="D305" s="74">
        <f>IF(D279=5,IF(D292=1,1,0),0)</f>
        <v>0</v>
      </c>
      <c r="E305" s="70">
        <f>IF(E279=5,IF(E292=1,1,0),0)</f>
        <v>0</v>
      </c>
      <c r="G305" s="74">
        <f>IF(G279=5,IF(G292=1,1,0),0)</f>
        <v>0</v>
      </c>
      <c r="H305" s="70">
        <f>IF(H279=5,IF(H292=1,1,0),0)</f>
        <v>0</v>
      </c>
      <c r="J305" s="74">
        <f>IF(J279=5,IF(J292=1,1,0),0)</f>
        <v>0</v>
      </c>
      <c r="K305" s="70">
        <f>IF(K279=5,IF(K292=1,1,0),0)</f>
        <v>0</v>
      </c>
      <c r="M305" s="74">
        <f>IF(M279=5,IF(M292=1,1,0),0)</f>
        <v>0</v>
      </c>
      <c r="N305" s="70">
        <f>IF(N279=5,IF(N292=1,1,0),0)</f>
        <v>0</v>
      </c>
      <c r="P305" s="74">
        <f>IF(P279=5,IF(P292=1,1,0),0)</f>
        <v>0</v>
      </c>
      <c r="Q305" s="70">
        <f>IF(Q279=5,IF(Q292=1,1,0),0)</f>
        <v>0</v>
      </c>
      <c r="S305" s="74">
        <f>IF(S279=5,IF(S292=1,1,0),0)</f>
        <v>0</v>
      </c>
      <c r="T305" s="70">
        <f>IF(T279=5,IF(T292=1,1,0),0)</f>
        <v>0</v>
      </c>
      <c r="V305" s="74">
        <f>IF(V279=5,IF(V292=1,1,0),0)</f>
        <v>0</v>
      </c>
      <c r="W305" s="70">
        <f>IF(W279=5,IF(W292=1,1,0),0)</f>
        <v>0</v>
      </c>
      <c r="Y305" s="74">
        <f>IF(Y279=5,IF(Y292=1,1,0),0)</f>
        <v>0</v>
      </c>
      <c r="Z305" s="70">
        <f>IF(Z279=5,IF(Z292=1,1,0),0)</f>
        <v>0</v>
      </c>
      <c r="AB305" s="74">
        <f>IF(AB279=5,IF(AB292=1,1,0),0)</f>
        <v>0</v>
      </c>
      <c r="AC305" s="70">
        <f>IF(AC279=5,IF(AC292=1,1,0),0)</f>
        <v>0</v>
      </c>
      <c r="AE305" s="74">
        <f>IF(AE279=5,IF(AE292=1,1,0),0)</f>
        <v>0</v>
      </c>
      <c r="AF305" s="70">
        <f>SUM(B305:AE305)</f>
        <v>0</v>
      </c>
      <c r="AG305" s="70">
        <f>AF311-AF305</f>
        <v>0</v>
      </c>
      <c r="AW305" s="154"/>
    </row>
    <row r="306" spans="1:49" s="70" customFormat="1" ht="38.25" hidden="1" customHeight="1" x14ac:dyDescent="0.2">
      <c r="A306" s="73"/>
      <c r="D306" s="74"/>
      <c r="G306" s="74"/>
      <c r="J306" s="74"/>
      <c r="M306" s="74"/>
      <c r="P306" s="74"/>
      <c r="S306" s="74"/>
      <c r="V306" s="74"/>
      <c r="Y306" s="74"/>
      <c r="AB306" s="74"/>
      <c r="AE306" s="74"/>
      <c r="AF306" s="73" t="s">
        <v>96</v>
      </c>
      <c r="AW306" s="154"/>
    </row>
    <row r="307" spans="1:49" s="70" customFormat="1" ht="12.75" hidden="1" customHeight="1" x14ac:dyDescent="0.2">
      <c r="A307" s="70" t="s">
        <v>97</v>
      </c>
      <c r="B307" s="70">
        <f>IF(B279=1,IF(C292=1,1,0),0)</f>
        <v>0</v>
      </c>
      <c r="D307" s="74">
        <f>IF(D279=1,IF(C292=1,1,0),0)</f>
        <v>0</v>
      </c>
      <c r="E307" s="70">
        <f>IF(E279=1,IF(F292=1,1,0),0)</f>
        <v>1</v>
      </c>
      <c r="G307" s="74">
        <f>IF(G279=1,IF(F292=1,1,0),0)</f>
        <v>0</v>
      </c>
      <c r="H307" s="70">
        <f>IF(H279=1,IF(I292=1,1,0),0)</f>
        <v>0</v>
      </c>
      <c r="J307" s="74">
        <f>IF(J279=1,IF(I292=1,1,0),0)</f>
        <v>0</v>
      </c>
      <c r="K307" s="70">
        <f>IF(K279=1,IF(L292=1,1,0),0)</f>
        <v>1</v>
      </c>
      <c r="M307" s="74">
        <f>IF(M279=1,IF(L292=1,1,0),0)</f>
        <v>0</v>
      </c>
      <c r="N307" s="70">
        <f>IF(N279=1,IF(O292=1,1,0),0)</f>
        <v>0</v>
      </c>
      <c r="P307" s="74">
        <f>IF(P279=1,IF(O292=1,1,0),0)</f>
        <v>0</v>
      </c>
      <c r="Q307" s="70">
        <f>IF(Q279=1,IF(R292=1,1,0),0)</f>
        <v>1</v>
      </c>
      <c r="S307" s="74">
        <f>IF(S279=1,IF(R292=1,1,0),0)</f>
        <v>0</v>
      </c>
      <c r="T307" s="70">
        <f>IF(T279=1,IF(U292=1,1,0),0)</f>
        <v>0</v>
      </c>
      <c r="V307" s="74">
        <f>IF(V279=1,IF(U292=1,1,0),0)</f>
        <v>0</v>
      </c>
      <c r="W307" s="70">
        <f>IF(W279=1,IF(X292=1,1,0),0)</f>
        <v>0</v>
      </c>
      <c r="Y307" s="74">
        <f>IF(Y279=1,IF(X292=1,1,0),0)</f>
        <v>0</v>
      </c>
      <c r="Z307" s="70">
        <f>IF(Z279=1,IF(AA292=1,1,0),0)</f>
        <v>0</v>
      </c>
      <c r="AB307" s="74">
        <f>IF(AB279=1,IF(AA292=1,1,0),0)</f>
        <v>0</v>
      </c>
      <c r="AC307" s="70">
        <f>IF(AC279=1,IF(AD292=1,1,0),0)</f>
        <v>0</v>
      </c>
      <c r="AE307" s="74">
        <f>IF(AE279=1,IF(AD292=1,1,0),0)</f>
        <v>0</v>
      </c>
      <c r="AF307" s="70">
        <f>SUM(B307:AE307)</f>
        <v>3</v>
      </c>
      <c r="AW307" s="154"/>
    </row>
    <row r="308" spans="1:49" s="70" customFormat="1" ht="12.75" hidden="1" customHeight="1" x14ac:dyDescent="0.2">
      <c r="A308" s="70" t="s">
        <v>98</v>
      </c>
      <c r="B308" s="70">
        <f>IF(B279=2,IF(C292=1,1,0),0)</f>
        <v>1</v>
      </c>
      <c r="D308" s="74">
        <f>IF(D279=2,IF(C292=1,1,0),0)</f>
        <v>0</v>
      </c>
      <c r="E308" s="70">
        <f>IF(E279=2,IF(F292=1,1,0),0)</f>
        <v>0</v>
      </c>
      <c r="G308" s="74">
        <f>IF(G279=2,IF(F292=1,1,0),0)</f>
        <v>0</v>
      </c>
      <c r="H308" s="70">
        <f>IF(H279=2,IF(I292=1,1,0),0)</f>
        <v>1</v>
      </c>
      <c r="J308" s="74">
        <f>IF(J279=2,IF(I292=1,1,0),0)</f>
        <v>0</v>
      </c>
      <c r="K308" s="70">
        <f>IF(K279=2,IF(L292=1,1,0),0)</f>
        <v>0</v>
      </c>
      <c r="M308" s="74">
        <f>IF(M279=2,IF(L292=1,1,0),0)</f>
        <v>0</v>
      </c>
      <c r="N308" s="70">
        <f>IF(N279=2,IF(O292=1,1,0),0)</f>
        <v>0</v>
      </c>
      <c r="P308" s="74">
        <f>IF(P279=2,IF(O292=1,1,0),0)</f>
        <v>0</v>
      </c>
      <c r="Q308" s="70">
        <f>IF(Q279=2,IF(R292=1,1,0),0)</f>
        <v>0</v>
      </c>
      <c r="S308" s="74">
        <f>IF(S279=2,IF(R292=1,1,0),0)</f>
        <v>1</v>
      </c>
      <c r="T308" s="70">
        <f>IF(T279=2,IF(U292=1,1,0),0)</f>
        <v>0</v>
      </c>
      <c r="V308" s="74">
        <f>IF(V279=2,IF(U292=1,1,0),0)</f>
        <v>0</v>
      </c>
      <c r="W308" s="70">
        <f>IF(W279=2,IF(X292=1,1,0),0)</f>
        <v>0</v>
      </c>
      <c r="Y308" s="74">
        <f>IF(Y279=2,IF(X292=1,1,0),0)</f>
        <v>0</v>
      </c>
      <c r="Z308" s="70">
        <f>IF(Z279=2,IF(AA292=1,1,0),0)</f>
        <v>0</v>
      </c>
      <c r="AB308" s="74">
        <f>IF(AB279=2,IF(AA292=1,1,0),0)</f>
        <v>0</v>
      </c>
      <c r="AC308" s="70">
        <f>IF(AC279=2,IF(AD292=1,1,0),0)</f>
        <v>0</v>
      </c>
      <c r="AE308" s="74">
        <f>IF(AE279=2,IF(AD292=1,1,0),0)</f>
        <v>0</v>
      </c>
      <c r="AF308" s="70">
        <f>SUM(B308:AE308)</f>
        <v>3</v>
      </c>
      <c r="AW308" s="154"/>
    </row>
    <row r="309" spans="1:49" s="70" customFormat="1" ht="12.75" hidden="1" customHeight="1" x14ac:dyDescent="0.2">
      <c r="A309" s="70" t="s">
        <v>99</v>
      </c>
      <c r="B309" s="70">
        <f>IF(B279=3,IF(C292=1,1,0),0)</f>
        <v>0</v>
      </c>
      <c r="D309" s="74">
        <f>IF(D279=3,IF(C292=1,1,0),0)</f>
        <v>1</v>
      </c>
      <c r="E309" s="70">
        <f>IF(E279=3,IF(F292=1,1,0),0)</f>
        <v>0</v>
      </c>
      <c r="G309" s="74">
        <f>IF(G279=3,IF(F292=1,1,0),0)</f>
        <v>0</v>
      </c>
      <c r="H309" s="70">
        <f>IF(H279=3,IF(I292=1,1,0),0)</f>
        <v>0</v>
      </c>
      <c r="J309" s="74">
        <f>IF(J279=3,IF(I292=1,1,0),0)</f>
        <v>0</v>
      </c>
      <c r="K309" s="70">
        <f>IF(K279=3,IF(L292=1,1,0),0)</f>
        <v>0</v>
      </c>
      <c r="M309" s="74">
        <f>IF(M279=3,IF(L292=1,1,0),0)</f>
        <v>1</v>
      </c>
      <c r="N309" s="70">
        <f>IF(N279=3,IF(O292=1,1,0),0)</f>
        <v>1</v>
      </c>
      <c r="P309" s="74">
        <f>IF(P279=3,IF(O292=1,1,0),0)</f>
        <v>0</v>
      </c>
      <c r="Q309" s="70">
        <f>IF(Q279=3,IF(R292=1,1,0),0)</f>
        <v>0</v>
      </c>
      <c r="S309" s="74">
        <f>IF(S279=3,IF(R292=1,1,0),0)</f>
        <v>0</v>
      </c>
      <c r="T309" s="70">
        <f>IF(T279=3,IF(U292=1,1,0),0)</f>
        <v>0</v>
      </c>
      <c r="V309" s="74">
        <f>IF(V279=3,IF(U292=1,1,0),0)</f>
        <v>0</v>
      </c>
      <c r="W309" s="70">
        <f>IF(W279=3,IF(X292=1,1,0),0)</f>
        <v>0</v>
      </c>
      <c r="Y309" s="74">
        <f>IF(Y279=3,IF(X292=1,1,0),0)</f>
        <v>0</v>
      </c>
      <c r="Z309" s="70">
        <f>IF(Z279=3,IF(AA292=1,1,0),0)</f>
        <v>0</v>
      </c>
      <c r="AB309" s="74">
        <f>IF(AB279=3,IF(AA292=1,1,0),0)</f>
        <v>0</v>
      </c>
      <c r="AC309" s="70">
        <f>IF(AC279=3,IF(AD292=1,1,0),0)</f>
        <v>0</v>
      </c>
      <c r="AE309" s="74">
        <f>IF(AE279=3,IF(AD292=1,1,0),0)</f>
        <v>0</v>
      </c>
      <c r="AF309" s="70">
        <f>SUM(B309:AE309)</f>
        <v>3</v>
      </c>
      <c r="AW309" s="154"/>
    </row>
    <row r="310" spans="1:49" s="70" customFormat="1" ht="12.75" hidden="1" customHeight="1" x14ac:dyDescent="0.2">
      <c r="A310" s="70" t="s">
        <v>100</v>
      </c>
      <c r="B310" s="70">
        <f>IF(B279=4,IF(C292=1,1,0),0)</f>
        <v>0</v>
      </c>
      <c r="D310" s="74">
        <f>IF(D279=4,IF(C292=1,1,0),0)</f>
        <v>0</v>
      </c>
      <c r="E310" s="70">
        <f>IF(E279=4,IF(F292=1,1,0),0)</f>
        <v>0</v>
      </c>
      <c r="G310" s="74">
        <f>IF(G279=4,IF(F292=1,1,0),0)</f>
        <v>1</v>
      </c>
      <c r="H310" s="70">
        <f>IF(H279=4,IF(I292=1,1,0),0)</f>
        <v>0</v>
      </c>
      <c r="J310" s="74">
        <f>IF(J279=4,IF(I292=1,1,0),0)</f>
        <v>1</v>
      </c>
      <c r="K310" s="70">
        <f>IF(K279=4,IF(L292=1,1,0),0)</f>
        <v>0</v>
      </c>
      <c r="M310" s="74">
        <f>IF(M279=4,IF(L292=1,1,0),0)</f>
        <v>0</v>
      </c>
      <c r="N310" s="70">
        <f>IF(N279=4,IF(O292=1,1,0),0)</f>
        <v>0</v>
      </c>
      <c r="P310" s="74">
        <f>IF(P279=4,IF(O292=1,1,0),0)</f>
        <v>1</v>
      </c>
      <c r="Q310" s="70">
        <f>IF(Q279=4,IF(R292=1,1,0),0)</f>
        <v>0</v>
      </c>
      <c r="S310" s="74">
        <f>IF(S279=4,IF(R292=1,1,0),0)</f>
        <v>0</v>
      </c>
      <c r="T310" s="70">
        <f>IF(T279=4,IF(U292=1,1,0),0)</f>
        <v>0</v>
      </c>
      <c r="V310" s="74">
        <f>IF(V279=4,IF(U292=1,1,0),0)</f>
        <v>0</v>
      </c>
      <c r="W310" s="70">
        <f>IF(W279=4,IF(X292=1,1,0),0)</f>
        <v>0</v>
      </c>
      <c r="Y310" s="74">
        <f>IF(Y279=4,IF(X292=1,1,0),0)</f>
        <v>0</v>
      </c>
      <c r="Z310" s="70">
        <f>IF(Z279=4,IF(AA292=1,1,0),0)</f>
        <v>0</v>
      </c>
      <c r="AB310" s="74">
        <f>IF(AB279=4,IF(AA292=1,1,0),0)</f>
        <v>0</v>
      </c>
      <c r="AC310" s="70">
        <f>IF(AC279=4,IF(AD292=1,1,0),0)</f>
        <v>0</v>
      </c>
      <c r="AE310" s="74">
        <f>IF(AE279=4,IF(AD292=1,1,0),0)</f>
        <v>0</v>
      </c>
      <c r="AF310" s="70">
        <f>SUM(B310:AE310)</f>
        <v>3</v>
      </c>
      <c r="AW310" s="154"/>
    </row>
    <row r="311" spans="1:49" s="70" customFormat="1" ht="12.75" hidden="1" customHeight="1" x14ac:dyDescent="0.2">
      <c r="A311" s="70" t="s">
        <v>101</v>
      </c>
      <c r="B311" s="70">
        <f>IF(B279=5,IF(C292=1,1,0),0)</f>
        <v>0</v>
      </c>
      <c r="D311" s="74">
        <f>IF(D279=5,IF(C292=1,1,0),0)</f>
        <v>0</v>
      </c>
      <c r="E311" s="70">
        <f>IF(E279=5,IF(F292=1,1,0),0)</f>
        <v>0</v>
      </c>
      <c r="G311" s="74">
        <f>IF(G279=5,IF(F292=1,1,0),0)</f>
        <v>0</v>
      </c>
      <c r="H311" s="70">
        <f>IF(H279=5,IF(I292=1,1,0),0)</f>
        <v>0</v>
      </c>
      <c r="J311" s="74">
        <f>IF(J279=5,IF(I292=1,1,0),0)</f>
        <v>0</v>
      </c>
      <c r="K311" s="70">
        <f>IF(K279=5,IF(L292=1,1,0),0)</f>
        <v>0</v>
      </c>
      <c r="M311" s="74">
        <f>IF(M279=5,IF(L292=1,1,0),0)</f>
        <v>0</v>
      </c>
      <c r="N311" s="70">
        <f>IF(N279=5,IF(O292=1,1,0),0)</f>
        <v>0</v>
      </c>
      <c r="P311" s="74">
        <f>IF(P279=5,IF(O292=1,1,0),0)</f>
        <v>0</v>
      </c>
      <c r="Q311" s="70">
        <f>IF(Q279=5,IF(R292=1,1,0),0)</f>
        <v>0</v>
      </c>
      <c r="S311" s="74">
        <f>IF(S279=5,IF(R292=1,1,0),0)</f>
        <v>0</v>
      </c>
      <c r="T311" s="70">
        <f>IF(T279=5,IF(U292=1,1,0),0)</f>
        <v>0</v>
      </c>
      <c r="V311" s="74">
        <f>IF(V279=5,IF(U292=1,1,0),0)</f>
        <v>0</v>
      </c>
      <c r="W311" s="70">
        <f>IF(W279=5,IF(X292=1,1,0),0)</f>
        <v>0</v>
      </c>
      <c r="Y311" s="74">
        <f>IF(Y279=5,IF(X292=1,1,0),0)</f>
        <v>0</v>
      </c>
      <c r="Z311" s="70">
        <f>IF(Z279=5,IF(AA292=1,1,0),0)</f>
        <v>0</v>
      </c>
      <c r="AB311" s="74">
        <f>IF(AB279=5,IF(AA292=1,1,0),0)</f>
        <v>0</v>
      </c>
      <c r="AC311" s="70">
        <f>IF(AC279=5,IF(AD292=1,1,0),0)</f>
        <v>0</v>
      </c>
      <c r="AE311" s="74">
        <f>IF(AE279=5,IF(AD292=1,1,0),0)</f>
        <v>0</v>
      </c>
      <c r="AF311" s="70">
        <f>SUM(B311:AE311)</f>
        <v>0</v>
      </c>
      <c r="AW311" s="154"/>
    </row>
    <row r="312" spans="1:49" s="70" customFormat="1" ht="38.25" hidden="1" customHeight="1" x14ac:dyDescent="0.2">
      <c r="A312" s="73"/>
      <c r="D312" s="74"/>
      <c r="G312" s="74"/>
      <c r="J312" s="74"/>
      <c r="M312" s="74"/>
      <c r="P312" s="74"/>
      <c r="S312" s="74"/>
      <c r="V312" s="74"/>
      <c r="Y312" s="74"/>
      <c r="AB312" s="74"/>
      <c r="AE312" s="74"/>
      <c r="AF312" s="73" t="s">
        <v>102</v>
      </c>
      <c r="AG312" s="280"/>
      <c r="AH312" s="280"/>
      <c r="AI312" s="280"/>
      <c r="AJ312" s="280"/>
      <c r="AK312" s="280"/>
      <c r="AW312" s="154"/>
    </row>
    <row r="313" spans="1:49" s="70" customFormat="1" ht="12.75" hidden="1" customHeight="1" x14ac:dyDescent="0.2">
      <c r="A313" s="70" t="s">
        <v>97</v>
      </c>
      <c r="B313" s="70">
        <f>IF(B279=1,B299,0)</f>
        <v>0</v>
      </c>
      <c r="D313" s="74">
        <f>IF(D279=1,B299,0)</f>
        <v>0</v>
      </c>
      <c r="E313" s="70">
        <f>IF(E279=1,E299,0)</f>
        <v>50</v>
      </c>
      <c r="G313" s="74">
        <f>IF(G279=1,E299,0)</f>
        <v>0</v>
      </c>
      <c r="H313" s="70">
        <f>IF(H279=1,H299,0)</f>
        <v>0</v>
      </c>
      <c r="J313" s="74">
        <f>IF(J279=1,H299,0)</f>
        <v>0</v>
      </c>
      <c r="K313" s="70">
        <f>IF(K279=1,K299,0)</f>
        <v>66</v>
      </c>
      <c r="M313" s="74">
        <f>IF(M279=1,K299,0)</f>
        <v>0</v>
      </c>
      <c r="N313" s="70">
        <f>IF(N279=1,N299,0)</f>
        <v>0</v>
      </c>
      <c r="P313" s="74">
        <f>IF(P279=1,N299,0)</f>
        <v>0</v>
      </c>
      <c r="Q313" s="70">
        <f>IF(Q279=1,Q299,0)</f>
        <v>65</v>
      </c>
      <c r="S313" s="74">
        <f>IF(S279=1,Q299,0)</f>
        <v>0</v>
      </c>
      <c r="T313" s="70">
        <f>IF(T279=1,T299,0)</f>
        <v>0</v>
      </c>
      <c r="V313" s="74">
        <f>IF(V279=1,T299,0)</f>
        <v>0</v>
      </c>
      <c r="W313" s="70">
        <f>IF(W279=1,W299,0)</f>
        <v>0</v>
      </c>
      <c r="Y313" s="74">
        <f>IF(Y279=1,W299,0)</f>
        <v>0</v>
      </c>
      <c r="Z313" s="70">
        <f>IF(Z279=1,Z299,0)</f>
        <v>0</v>
      </c>
      <c r="AB313" s="74">
        <f>IF(AB279=1,Z299,0)</f>
        <v>0</v>
      </c>
      <c r="AC313" s="70">
        <f>IF(AC279=1,AC299,0)</f>
        <v>0</v>
      </c>
      <c r="AE313" s="74">
        <f>IF(AE279=1,AC299,0)</f>
        <v>0</v>
      </c>
      <c r="AF313" s="70">
        <f>SUM(B313:AE313)</f>
        <v>181</v>
      </c>
      <c r="AW313" s="154"/>
    </row>
    <row r="314" spans="1:49" s="70" customFormat="1" ht="12.75" hidden="1" customHeight="1" x14ac:dyDescent="0.2">
      <c r="A314" s="70" t="s">
        <v>98</v>
      </c>
      <c r="B314" s="70">
        <f>IF(B279=2,B299,0)</f>
        <v>65</v>
      </c>
      <c r="D314" s="74">
        <f>IF(D279=2,B299,0)</f>
        <v>0</v>
      </c>
      <c r="E314" s="70">
        <f>IF(E279=2,E299,0)</f>
        <v>0</v>
      </c>
      <c r="G314" s="74">
        <f>IF(G279=2,E299,0)</f>
        <v>0</v>
      </c>
      <c r="H314" s="70">
        <f>IF(H279=2,H299,0)</f>
        <v>67</v>
      </c>
      <c r="J314" s="74">
        <f>IF(J279=2,H299,0)</f>
        <v>0</v>
      </c>
      <c r="K314" s="70">
        <f>IF(K279=2,K299,0)</f>
        <v>0</v>
      </c>
      <c r="M314" s="74">
        <f>IF(M279=2,K299,0)</f>
        <v>0</v>
      </c>
      <c r="N314" s="70">
        <f>IF(N279=2,N299,0)</f>
        <v>0</v>
      </c>
      <c r="P314" s="74">
        <f>IF(P279=2,N299,0)</f>
        <v>0</v>
      </c>
      <c r="Q314" s="70">
        <f>IF(Q279=2,Q299,0)</f>
        <v>0</v>
      </c>
      <c r="S314" s="74">
        <f>IF(S279=2,Q299,0)</f>
        <v>65</v>
      </c>
      <c r="T314" s="70">
        <f>IF(T279=2,T299,0)</f>
        <v>0</v>
      </c>
      <c r="V314" s="74">
        <f>IF(V279=2,T299,0)</f>
        <v>0</v>
      </c>
      <c r="W314" s="70">
        <f>IF(W279=2,W299,0)</f>
        <v>0</v>
      </c>
      <c r="Y314" s="74">
        <f>IF(Y279=2,W299,0)</f>
        <v>0</v>
      </c>
      <c r="Z314" s="70">
        <f>IF(Z279=2,Z299,0)</f>
        <v>0</v>
      </c>
      <c r="AB314" s="74">
        <f>IF(AB279=2,Z299,0)</f>
        <v>0</v>
      </c>
      <c r="AC314" s="70">
        <f>IF(AC279=2,AC299,0)</f>
        <v>0</v>
      </c>
      <c r="AE314" s="74">
        <f>IF(AE279=2,AC299,0)</f>
        <v>0</v>
      </c>
      <c r="AF314" s="70">
        <f>SUM(B314:AE314)</f>
        <v>197</v>
      </c>
      <c r="AW314" s="154"/>
    </row>
    <row r="315" spans="1:49" s="70" customFormat="1" ht="12.75" hidden="1" customHeight="1" x14ac:dyDescent="0.2">
      <c r="A315" s="70" t="s">
        <v>99</v>
      </c>
      <c r="B315" s="70">
        <f>IF(B279=3,B299,0)</f>
        <v>0</v>
      </c>
      <c r="D315" s="74">
        <f>IF(D279=3,B299,0)</f>
        <v>65</v>
      </c>
      <c r="E315" s="70">
        <f>IF(E279=3,E299,0)</f>
        <v>0</v>
      </c>
      <c r="G315" s="74">
        <f>IF(G279=3,E299,0)</f>
        <v>0</v>
      </c>
      <c r="H315" s="70">
        <f>IF(H279=3,H299,0)</f>
        <v>0</v>
      </c>
      <c r="J315" s="74">
        <f>IF(J279=3,H299,0)</f>
        <v>0</v>
      </c>
      <c r="K315" s="70">
        <f>IF(K279=3,K299,0)</f>
        <v>0</v>
      </c>
      <c r="M315" s="74">
        <f>IF(M279=3,K299,0)</f>
        <v>66</v>
      </c>
      <c r="N315" s="70">
        <f>IF(N279=3,N299,0)</f>
        <v>50</v>
      </c>
      <c r="P315" s="74">
        <f>IF(P279=3,N299,0)</f>
        <v>0</v>
      </c>
      <c r="Q315" s="70">
        <f>IF(Q279=3,Q299,0)</f>
        <v>0</v>
      </c>
      <c r="S315" s="74">
        <f>IF(S279=3,Q299,0)</f>
        <v>0</v>
      </c>
      <c r="T315" s="70">
        <f>IF(T279=3,T299,0)</f>
        <v>0</v>
      </c>
      <c r="V315" s="74">
        <f>IF(V279=3,T299,0)</f>
        <v>0</v>
      </c>
      <c r="W315" s="70">
        <f>IF(W279=3,W299,0)</f>
        <v>0</v>
      </c>
      <c r="Y315" s="74">
        <f>IF(Y279=3,W299,0)</f>
        <v>0</v>
      </c>
      <c r="Z315" s="70">
        <f>IF(Z279=3,Z299,0)</f>
        <v>0</v>
      </c>
      <c r="AB315" s="74">
        <f>IF(AB279=3,Z299,0)</f>
        <v>0</v>
      </c>
      <c r="AC315" s="70">
        <f>IF(AC279=3,AC299,0)</f>
        <v>0</v>
      </c>
      <c r="AE315" s="74">
        <f>IF(AE279=3,AC299,0)</f>
        <v>0</v>
      </c>
      <c r="AF315" s="70">
        <f>SUM(B315:AE315)</f>
        <v>181</v>
      </c>
      <c r="AW315" s="154"/>
    </row>
    <row r="316" spans="1:49" s="70" customFormat="1" ht="12.75" hidden="1" customHeight="1" x14ac:dyDescent="0.2">
      <c r="A316" s="70" t="s">
        <v>100</v>
      </c>
      <c r="B316" s="70">
        <f>IF(B279=4,B299,0)</f>
        <v>0</v>
      </c>
      <c r="D316" s="74">
        <f>IF(D279=4,B299,0)</f>
        <v>0</v>
      </c>
      <c r="E316" s="70">
        <f>IF(E279=4,E299,0)</f>
        <v>0</v>
      </c>
      <c r="G316" s="74">
        <f>IF(G279=4,E299,0)</f>
        <v>50</v>
      </c>
      <c r="H316" s="70">
        <f>IF(H279=4,H299,0)</f>
        <v>0</v>
      </c>
      <c r="J316" s="74">
        <f>IF(J279=4,H299,0)</f>
        <v>67</v>
      </c>
      <c r="K316" s="70">
        <f>IF(K279=4,K299,0)</f>
        <v>0</v>
      </c>
      <c r="M316" s="74">
        <f>IF(M279=4,K299,0)</f>
        <v>0</v>
      </c>
      <c r="N316" s="70">
        <f>IF(N279=4,N299,0)</f>
        <v>0</v>
      </c>
      <c r="P316" s="74">
        <f>IF(P279=4,N299,0)</f>
        <v>50</v>
      </c>
      <c r="Q316" s="70">
        <f>IF(Q279=4,Q299,0)</f>
        <v>0</v>
      </c>
      <c r="S316" s="74">
        <f>IF(S279=4,Q299,0)</f>
        <v>0</v>
      </c>
      <c r="T316" s="70">
        <f>IF(T279=4,T299,0)</f>
        <v>0</v>
      </c>
      <c r="V316" s="74">
        <f>IF(V279=4,T299,0)</f>
        <v>0</v>
      </c>
      <c r="W316" s="70">
        <f>IF(W279=4,W299,0)</f>
        <v>0</v>
      </c>
      <c r="Y316" s="74">
        <f>IF(Y279=4,W299,0)</f>
        <v>0</v>
      </c>
      <c r="Z316" s="70">
        <f>IF(Z279=4,Z299,0)</f>
        <v>0</v>
      </c>
      <c r="AB316" s="74">
        <f>IF(AB279=4,Z299,0)</f>
        <v>0</v>
      </c>
      <c r="AC316" s="70">
        <f>IF(AC279=4,AC299,0)</f>
        <v>0</v>
      </c>
      <c r="AE316" s="74">
        <f>IF(AE279=4,AC299,0)</f>
        <v>0</v>
      </c>
      <c r="AF316" s="70">
        <f>SUM(B316:AE316)</f>
        <v>167</v>
      </c>
      <c r="AW316" s="154"/>
    </row>
    <row r="317" spans="1:49" s="70" customFormat="1" ht="12.75" hidden="1" customHeight="1" x14ac:dyDescent="0.2">
      <c r="A317" s="70" t="s">
        <v>101</v>
      </c>
      <c r="B317" s="70">
        <f>IF(B279=5,B299,0)</f>
        <v>0</v>
      </c>
      <c r="D317" s="74">
        <f>IF(D279=5,B299,0)</f>
        <v>0</v>
      </c>
      <c r="E317" s="70">
        <f>IF(E279=5,E299,0)</f>
        <v>0</v>
      </c>
      <c r="G317" s="74">
        <f>IF(G279=5,E299,0)</f>
        <v>0</v>
      </c>
      <c r="H317" s="70">
        <f>IF(H279=5,H299,0)</f>
        <v>0</v>
      </c>
      <c r="J317" s="74">
        <f>IF(J279=5,H299,0)</f>
        <v>0</v>
      </c>
      <c r="K317" s="70">
        <f>IF(K279=5,K299,0)</f>
        <v>0</v>
      </c>
      <c r="M317" s="74">
        <f>IF(M279=5,K299,0)</f>
        <v>0</v>
      </c>
      <c r="N317" s="70">
        <f>IF(N279=5,N299,0)</f>
        <v>0</v>
      </c>
      <c r="P317" s="74">
        <f>IF(P279=5,N299,0)</f>
        <v>0</v>
      </c>
      <c r="Q317" s="70">
        <f>IF(Q279=5,Q299,0)</f>
        <v>0</v>
      </c>
      <c r="S317" s="74">
        <f>IF(S279=5,Q299,0)</f>
        <v>0</v>
      </c>
      <c r="T317" s="70">
        <f>IF(T279=5,T299,0)</f>
        <v>0</v>
      </c>
      <c r="V317" s="74">
        <f>IF(V279=5,T299,0)</f>
        <v>0</v>
      </c>
      <c r="W317" s="70">
        <f>IF(W279=5,W299,0)</f>
        <v>0</v>
      </c>
      <c r="Y317" s="74">
        <f>IF(Y279=5,W299,0)</f>
        <v>0</v>
      </c>
      <c r="Z317" s="70">
        <f>IF(Z279=5,Z299,0)</f>
        <v>0</v>
      </c>
      <c r="AB317" s="74">
        <f>IF(AB279=5,Z299,0)</f>
        <v>0</v>
      </c>
      <c r="AC317" s="70">
        <f>IF(AC279=5,AC299,0)</f>
        <v>0</v>
      </c>
      <c r="AE317" s="74">
        <f>IF(AE279=5,AC299,0)</f>
        <v>0</v>
      </c>
      <c r="AF317" s="70">
        <f>SUM(B317:AE317)</f>
        <v>0</v>
      </c>
      <c r="AW317" s="154"/>
    </row>
    <row r="318" spans="1:49" s="70" customFormat="1" ht="38.25" hidden="1" customHeight="1" x14ac:dyDescent="0.2">
      <c r="A318" s="70" t="s">
        <v>103</v>
      </c>
      <c r="D318" s="74"/>
      <c r="G318" s="74"/>
      <c r="J318" s="74"/>
      <c r="M318" s="74"/>
      <c r="P318" s="74"/>
      <c r="S318" s="74"/>
      <c r="V318" s="74"/>
      <c r="Y318" s="74"/>
      <c r="AB318" s="74"/>
      <c r="AE318" s="74"/>
      <c r="AF318" s="73" t="s">
        <v>104</v>
      </c>
      <c r="AG318" s="70" t="s">
        <v>105</v>
      </c>
      <c r="AW318" s="154"/>
    </row>
    <row r="319" spans="1:49" s="70" customFormat="1" ht="12.75" hidden="1" customHeight="1" x14ac:dyDescent="0.2">
      <c r="A319" s="70" t="s">
        <v>91</v>
      </c>
      <c r="B319" s="70">
        <f>IF(B279=1,SUMIF(B286:B290,"&gt;0"),0)</f>
        <v>0</v>
      </c>
      <c r="D319" s="74">
        <f>IF(D279=1,SUMIF(D286:D290,"&gt;0"),0)</f>
        <v>0</v>
      </c>
      <c r="E319" s="70">
        <f>IF(E279=1,SUMIF(E286:E290,"&gt;0"),0)</f>
        <v>2</v>
      </c>
      <c r="G319" s="74">
        <f>IF(G279=1,SUMIF(G286:G290,"&gt;0"),0)</f>
        <v>0</v>
      </c>
      <c r="H319" s="70">
        <f>IF(H279=1,SUMIF(H286:H290,"&gt;0"),0)</f>
        <v>0</v>
      </c>
      <c r="J319" s="74">
        <f>IF(J279=1,SUMIF(J286:J290,"&gt;0"),0)</f>
        <v>0</v>
      </c>
      <c r="K319" s="70">
        <f>IF(K279=1,SUMIF(K286:K290,"&gt;0"),0)</f>
        <v>1</v>
      </c>
      <c r="M319" s="74">
        <f>IF(M279=1,SUMIF(M286:M290,"&gt;0"),0)</f>
        <v>0</v>
      </c>
      <c r="N319" s="70">
        <f>IF(N279=1,SUMIF(N286:N290,"&gt;0"),0)</f>
        <v>0</v>
      </c>
      <c r="P319" s="74">
        <f>IF(P279=1,SUMIF(P286:P290,"&gt;0"),0)</f>
        <v>0</v>
      </c>
      <c r="Q319" s="70">
        <f>IF(Q279=1,SUMIF(Q286:Q290,"&gt;0"),0)</f>
        <v>1</v>
      </c>
      <c r="S319" s="74">
        <f>IF(S279=1,SUMIF(S286:S290,"&gt;0"),0)</f>
        <v>0</v>
      </c>
      <c r="T319" s="70">
        <f>IF(T279=1,SUMIF(T286:T290,"&gt;0"),0)</f>
        <v>0</v>
      </c>
      <c r="V319" s="74">
        <f>IF(V279=1,SUMIF(V286:V290,"&gt;0"),0)</f>
        <v>0</v>
      </c>
      <c r="W319" s="70">
        <f>IF(W279=1,SUMIF(W286:W290,"&gt;0"),0)</f>
        <v>0</v>
      </c>
      <c r="Y319" s="74">
        <f>IF(Y279=1,SUMIF(Y286:Y290,"&gt;0"),0)</f>
        <v>0</v>
      </c>
      <c r="Z319" s="70">
        <f>IF(Z279=1,SUMIF(Z286:Z290,"&gt;0"),0)</f>
        <v>0</v>
      </c>
      <c r="AB319" s="74">
        <f>IF(AB279=1,SUMIF(AB286:AB290,"&gt;0"),0)</f>
        <v>0</v>
      </c>
      <c r="AC319" s="70">
        <f>IF(AC279=1,SUMIF(AC286:AC290,"&gt;0"),0)</f>
        <v>0</v>
      </c>
      <c r="AE319" s="74">
        <f>IF(AE279=1,SUMIF(AE286:AE290,"&gt;0"),0)</f>
        <v>0</v>
      </c>
      <c r="AF319" s="70">
        <f>SUM(B319:AE319)</f>
        <v>4</v>
      </c>
      <c r="AG319" s="70">
        <f>AF327-AF319</f>
        <v>4</v>
      </c>
      <c r="AW319" s="154"/>
    </row>
    <row r="320" spans="1:49" s="70" customFormat="1" ht="12.75" hidden="1" customHeight="1" x14ac:dyDescent="0.2">
      <c r="A320" s="70" t="s">
        <v>92</v>
      </c>
      <c r="B320" s="70">
        <f>IF(B279=2,SUMIF(B286:B290,"&gt;0"),0)</f>
        <v>1</v>
      </c>
      <c r="D320" s="74">
        <f>IF(D279=2,SUMIF(D286:D290,"&gt;0"),0)</f>
        <v>0</v>
      </c>
      <c r="E320" s="70">
        <f>IF(E279=2,SUMIF(E286:E290,"&gt;0"),0)</f>
        <v>0</v>
      </c>
      <c r="G320" s="74">
        <f>IF(G279=2,SUMIF(G286:G290,"&gt;0"),0)</f>
        <v>0</v>
      </c>
      <c r="H320" s="70">
        <f>IF(H279=2,SUMIF(H286:H290,"&gt;0"),0)</f>
        <v>1</v>
      </c>
      <c r="J320" s="74">
        <f>IF(J279=2,SUMIF(J286:J290,"&gt;0"),0)</f>
        <v>0</v>
      </c>
      <c r="K320" s="70">
        <f>IF(K279=2,SUMIF(K286:K290,"&gt;0"),0)</f>
        <v>0</v>
      </c>
      <c r="M320" s="74">
        <f>IF(M279=2,SUMIF(M286:M290,"&gt;0"),0)</f>
        <v>0</v>
      </c>
      <c r="N320" s="70">
        <f>IF(N279=2,SUMIF(N286:N290,"&gt;0"),0)</f>
        <v>0</v>
      </c>
      <c r="P320" s="74">
        <f>IF(P279=2,SUMIF(P286:P290,"&gt;0"),0)</f>
        <v>0</v>
      </c>
      <c r="Q320" s="70">
        <f>IF(Q279=2,SUMIF(Q286:Q290,"&gt;0"),0)</f>
        <v>0</v>
      </c>
      <c r="S320" s="74">
        <f>IF(S279=2,SUMIF(S286:S290,"&gt;0"),0)</f>
        <v>2</v>
      </c>
      <c r="T320" s="70">
        <f>IF(T279=2,SUMIF(T286:T290,"&gt;0"),0)</f>
        <v>0</v>
      </c>
      <c r="V320" s="74">
        <f>IF(V279=2,SUMIF(V286:V290,"&gt;0"),0)</f>
        <v>0</v>
      </c>
      <c r="W320" s="70">
        <f>IF(W279=2,SUMIF(W286:W290,"&gt;0"),0)</f>
        <v>0</v>
      </c>
      <c r="Y320" s="74">
        <f>IF(Y279=2,SUMIF(Y286:Y290,"&gt;0"),0)</f>
        <v>0</v>
      </c>
      <c r="Z320" s="70">
        <f>IF(Z279=2,SUMIF(Z286:Z290,"&gt;0"),0)</f>
        <v>0</v>
      </c>
      <c r="AB320" s="74">
        <f>IF(AB279=2,SUMIF(AB286:AB290,"&gt;0"),0)</f>
        <v>0</v>
      </c>
      <c r="AC320" s="70">
        <f>IF(AC279=2,SUMIF(AC286:AC290,"&gt;0"),0)</f>
        <v>0</v>
      </c>
      <c r="AE320" s="74">
        <f>IF(AE279=2,SUMIF(AE286:AE290,"&gt;0"),0)</f>
        <v>0</v>
      </c>
      <c r="AF320" s="70">
        <f>SUM(B320:AE320)</f>
        <v>4</v>
      </c>
      <c r="AG320" s="70">
        <f>AF328-AF320</f>
        <v>5</v>
      </c>
      <c r="AW320" s="154"/>
    </row>
    <row r="321" spans="1:54" s="70" customFormat="1" ht="12.75" hidden="1" customHeight="1" x14ac:dyDescent="0.2">
      <c r="A321" s="70" t="s">
        <v>93</v>
      </c>
      <c r="B321" s="70">
        <f>IF(B279=3,SUMIF(B286:B290,"&gt;0"),0)</f>
        <v>0</v>
      </c>
      <c r="D321" s="74">
        <f>IF(D279=3,SUMIF(D286:D290,"&gt;0"),0)</f>
        <v>2</v>
      </c>
      <c r="E321" s="70">
        <f>IF(E279=3,SUMIF(E286:E290,"&gt;0"),0)</f>
        <v>0</v>
      </c>
      <c r="G321" s="74">
        <f>IF(G279=3,SUMIF(G286:G290,"&gt;0"),0)</f>
        <v>0</v>
      </c>
      <c r="H321" s="70">
        <f>IF(H279=3,SUMIF(H286:H290,"&gt;0"),0)</f>
        <v>0</v>
      </c>
      <c r="J321" s="74">
        <f>IF(J279=3,SUMIF(J286:J290,"&gt;0"),0)</f>
        <v>0</v>
      </c>
      <c r="K321" s="70">
        <f>IF(K279=3,SUMIF(K286:K290,"&gt;0"),0)</f>
        <v>0</v>
      </c>
      <c r="M321" s="74">
        <f>IF(M279=3,SUMIF(M286:M290,"&gt;0"),0)</f>
        <v>2</v>
      </c>
      <c r="N321" s="70">
        <f>IF(N279=3,SUMIF(N286:N290,"&gt;0"),0)</f>
        <v>0</v>
      </c>
      <c r="P321" s="74">
        <f>IF(P279=3,SUMIF(P286:P290,"&gt;0"),0)</f>
        <v>0</v>
      </c>
      <c r="Q321" s="70">
        <f>IF(Q279=3,SUMIF(Q286:Q290,"&gt;0"),0)</f>
        <v>0</v>
      </c>
      <c r="S321" s="74">
        <f>IF(S279=3,SUMIF(S286:S290,"&gt;0"),0)</f>
        <v>0</v>
      </c>
      <c r="T321" s="70">
        <f>IF(T279=3,SUMIF(T286:T290,"&gt;0"),0)</f>
        <v>0</v>
      </c>
      <c r="V321" s="74">
        <f>IF(V279=3,SUMIF(V286:V290,"&gt;0"),0)</f>
        <v>0</v>
      </c>
      <c r="W321" s="70">
        <f>IF(W279=3,SUMIF(W286:W290,"&gt;0"),0)</f>
        <v>0</v>
      </c>
      <c r="Y321" s="74">
        <f>IF(Y279=3,SUMIF(Y286:Y290,"&gt;0"),0)</f>
        <v>0</v>
      </c>
      <c r="Z321" s="70">
        <f>IF(Z279=3,SUMIF(Z286:Z290,"&gt;0"),0)</f>
        <v>0</v>
      </c>
      <c r="AB321" s="74">
        <f>IF(AB279=3,SUMIF(AB286:AB290,"&gt;0"),0)</f>
        <v>0</v>
      </c>
      <c r="AC321" s="70">
        <f>IF(AC279=3,SUMIF(AC286:AC290,"&gt;0"),0)</f>
        <v>0</v>
      </c>
      <c r="AE321" s="74">
        <f>IF(AE279=3,SUMIF(AE286:AE290,"&gt;0"),0)</f>
        <v>0</v>
      </c>
      <c r="AF321" s="70">
        <f>SUM(B321:AE321)</f>
        <v>4</v>
      </c>
      <c r="AG321" s="70">
        <f>AF329-AF321</f>
        <v>4</v>
      </c>
      <c r="AW321" s="154"/>
    </row>
    <row r="322" spans="1:54" s="70" customFormat="1" ht="12.75" hidden="1" customHeight="1" x14ac:dyDescent="0.2">
      <c r="A322" s="70" t="s">
        <v>94</v>
      </c>
      <c r="B322" s="70">
        <f>IF(B279=4,SUMIF(B286:B290,"&gt;0"),0)</f>
        <v>0</v>
      </c>
      <c r="D322" s="74">
        <f>IF(D279=4,SUMIF(D286:D290,"&gt;0"),0)</f>
        <v>0</v>
      </c>
      <c r="E322" s="70">
        <f>IF(E279=4,SUMIF(E286:E290,"&gt;0"),0)</f>
        <v>0</v>
      </c>
      <c r="G322" s="74">
        <f>IF(G279=4,SUMIF(G286:G290,"&gt;0"),0)</f>
        <v>0</v>
      </c>
      <c r="H322" s="70">
        <f>IF(H279=4,SUMIF(H286:H290,"&gt;0"),0)</f>
        <v>0</v>
      </c>
      <c r="J322" s="74">
        <f>IF(J279=4,SUMIF(J286:J290,"&gt;0"),0)</f>
        <v>2</v>
      </c>
      <c r="K322" s="70">
        <f>IF(K279=4,SUMIF(K286:K290,"&gt;0"),0)</f>
        <v>0</v>
      </c>
      <c r="M322" s="74">
        <f>IF(M279=4,SUMIF(M286:M290,"&gt;0"),0)</f>
        <v>0</v>
      </c>
      <c r="N322" s="70">
        <f>IF(N279=4,SUMIF(N286:N290,"&gt;0"),0)</f>
        <v>0</v>
      </c>
      <c r="P322" s="74">
        <f>IF(P279=4,SUMIF(P286:P290,"&gt;0"),0)</f>
        <v>2</v>
      </c>
      <c r="Q322" s="70">
        <f>IF(Q279=4,SUMIF(Q286:Q290,"&gt;0"),0)</f>
        <v>0</v>
      </c>
      <c r="S322" s="74">
        <f>IF(S279=4,SUMIF(S286:S290,"&gt;0"),0)</f>
        <v>0</v>
      </c>
      <c r="T322" s="70">
        <f>IF(T279=4,SUMIF(T286:T290,"&gt;0"),0)</f>
        <v>0</v>
      </c>
      <c r="V322" s="74">
        <f>IF(V279=4,SUMIF(V286:V290,"&gt;0"),0)</f>
        <v>0</v>
      </c>
      <c r="W322" s="70">
        <f>IF(W279=4,SUMIF(W286:W290,"&gt;0"),0)</f>
        <v>0</v>
      </c>
      <c r="Y322" s="74">
        <f>IF(Y279=4,SUMIF(Y286:Y290,"&gt;0"),0)</f>
        <v>0</v>
      </c>
      <c r="Z322" s="70">
        <f>IF(Z279=4,SUMIF(Z286:Z290,"&gt;0"),0)</f>
        <v>0</v>
      </c>
      <c r="AB322" s="74">
        <f>IF(AB279=4,SUMIF(AB286:AB290,"&gt;0"),0)</f>
        <v>0</v>
      </c>
      <c r="AC322" s="70">
        <f>IF(AC279=4,SUMIF(AC286:AC290,"&gt;0"),0)</f>
        <v>0</v>
      </c>
      <c r="AE322" s="74">
        <f>IF(AE279=4,SUMIF(AE286:AE290,"&gt;0"),0)</f>
        <v>0</v>
      </c>
      <c r="AF322" s="70">
        <f>SUM(B322:AE322)</f>
        <v>4</v>
      </c>
      <c r="AG322" s="70">
        <f>AF330-AF322</f>
        <v>3</v>
      </c>
      <c r="AW322" s="154"/>
    </row>
    <row r="323" spans="1:54" s="70" customFormat="1" ht="12.75" hidden="1" customHeight="1" x14ac:dyDescent="0.2">
      <c r="A323" s="70" t="s">
        <v>95</v>
      </c>
      <c r="B323" s="70">
        <f>IF(B279=5,SUMIF(B286:B290,"&gt;0"),0)</f>
        <v>0</v>
      </c>
      <c r="D323" s="74">
        <f>IF(D279=5,SUMIF(D286:D290,"&gt;0"),0)</f>
        <v>0</v>
      </c>
      <c r="E323" s="70">
        <f>IF(E279=5,SUMIF(E286:E290,"&gt;0"),0)</f>
        <v>0</v>
      </c>
      <c r="G323" s="74">
        <f>IF(G279=5,SUMIF(G286:G290,"&gt;0"),0)</f>
        <v>0</v>
      </c>
      <c r="H323" s="70">
        <f>IF(H279=5,SUMIF(H286:H290,"&gt;0"),0)</f>
        <v>0</v>
      </c>
      <c r="J323" s="74">
        <f>IF(J279=5,SUMIF(J286:J290,"&gt;0"),0)</f>
        <v>0</v>
      </c>
      <c r="K323" s="70">
        <f>IF(K279=5,SUMIF(K286:K290,"&gt;0"),0)</f>
        <v>0</v>
      </c>
      <c r="M323" s="74">
        <f>IF(M279=5,SUMIF(M286:M290,"&gt;0"),0)</f>
        <v>0</v>
      </c>
      <c r="N323" s="70">
        <f>IF(N279=5,SUMIF(N286:N290,"&gt;0"),0)</f>
        <v>0</v>
      </c>
      <c r="P323" s="74">
        <f>IF(P279=5,SUMIF(P286:P290,"&gt;0"),0)</f>
        <v>0</v>
      </c>
      <c r="Q323" s="70">
        <f>IF(Q279=5,SUMIF(Q286:Q290,"&gt;0"),0)</f>
        <v>0</v>
      </c>
      <c r="S323" s="74">
        <f>IF(S279=5,SUMIF(S286:S290,"&gt;0"),0)</f>
        <v>0</v>
      </c>
      <c r="T323" s="70">
        <f>IF(T279=5,SUMIF(T286:T290,"&gt;0"),0)</f>
        <v>0</v>
      </c>
      <c r="V323" s="74">
        <f>IF(V279=5,SUMIF(V286:V290,"&gt;0"),0)</f>
        <v>0</v>
      </c>
      <c r="W323" s="70">
        <f>IF(W279=5,SUMIF(W286:W290,"&gt;0"),0)</f>
        <v>0</v>
      </c>
      <c r="Y323" s="74">
        <f>IF(Y279=5,SUMIF(Y286:Y290,"&gt;0"),0)</f>
        <v>0</v>
      </c>
      <c r="Z323" s="70">
        <f>IF(Z279=5,SUMIF(Z286:Z290,"&gt;0"),0)</f>
        <v>0</v>
      </c>
      <c r="AB323" s="74">
        <f>IF(AB279=5,SUMIF(AB286:AB290,"&gt;0"),0)</f>
        <v>0</v>
      </c>
      <c r="AC323" s="70">
        <f>IF(AC279=5,SUMIF(AC286:AC290,"&gt;0"),0)</f>
        <v>0</v>
      </c>
      <c r="AE323" s="74">
        <f>IF(AE279=5,SUMIF(AE286:AE290,"&gt;0"),0)</f>
        <v>0</v>
      </c>
      <c r="AF323" s="70">
        <f>SUM(B323:AE323)</f>
        <v>0</v>
      </c>
      <c r="AG323" s="70">
        <f>AF331-AF323</f>
        <v>0</v>
      </c>
      <c r="AW323" s="154"/>
    </row>
    <row r="324" spans="1:54" s="70" customFormat="1" ht="12.75" hidden="1" customHeight="1" x14ac:dyDescent="0.2">
      <c r="D324" s="74"/>
      <c r="G324" s="74"/>
      <c r="J324" s="74"/>
      <c r="M324" s="74"/>
      <c r="P324" s="74"/>
      <c r="S324" s="74"/>
      <c r="V324" s="74"/>
      <c r="Y324" s="74"/>
      <c r="AB324" s="74"/>
      <c r="AE324" s="74"/>
      <c r="AW324" s="154"/>
    </row>
    <row r="325" spans="1:54" s="70" customFormat="1" ht="12.75" hidden="1" customHeight="1" x14ac:dyDescent="0.2">
      <c r="D325" s="74"/>
      <c r="G325" s="74"/>
      <c r="J325" s="74"/>
      <c r="M325" s="74"/>
      <c r="P325" s="74"/>
      <c r="S325" s="74"/>
      <c r="V325" s="74"/>
      <c r="Y325" s="74"/>
      <c r="AB325" s="74"/>
      <c r="AE325" s="74"/>
      <c r="AW325" s="154"/>
    </row>
    <row r="326" spans="1:54" s="70" customFormat="1" ht="51" hidden="1" customHeight="1" x14ac:dyDescent="0.2">
      <c r="A326" s="73" t="s">
        <v>106</v>
      </c>
      <c r="C326" s="70">
        <f>SUMIF(B319:D323,"&gt;0")</f>
        <v>3</v>
      </c>
      <c r="D326" s="74"/>
      <c r="F326" s="70">
        <f>SUMIF(E319:G323,"&gt;0")</f>
        <v>2</v>
      </c>
      <c r="G326" s="74"/>
      <c r="I326" s="70">
        <f>SUMIF(H319:J323,"&gt;0")</f>
        <v>3</v>
      </c>
      <c r="J326" s="74"/>
      <c r="L326" s="70">
        <f>SUMIF(K319:M323,"&gt;0")</f>
        <v>3</v>
      </c>
      <c r="M326" s="74"/>
      <c r="O326" s="70">
        <f>SUMIF(N319:P323,"&gt;0")</f>
        <v>2</v>
      </c>
      <c r="P326" s="74"/>
      <c r="R326" s="70">
        <f>SUMIF(Q319:S323,"&gt;0")</f>
        <v>3</v>
      </c>
      <c r="S326" s="74"/>
      <c r="U326" s="70">
        <f>SUMIF(T319:V323,"&gt;0")</f>
        <v>0</v>
      </c>
      <c r="V326" s="74"/>
      <c r="X326" s="70">
        <f>SUMIF(W319:Y323,"&gt;0")</f>
        <v>0</v>
      </c>
      <c r="Y326" s="74"/>
      <c r="AA326" s="70">
        <f>SUMIF(Z319:AB323,"&gt;0")</f>
        <v>0</v>
      </c>
      <c r="AB326" s="74"/>
      <c r="AD326" s="70">
        <f>SUMIF(AC319:AE323,"&gt;0")</f>
        <v>0</v>
      </c>
      <c r="AE326" s="74"/>
      <c r="AF326" s="73" t="s">
        <v>107</v>
      </c>
      <c r="AW326" s="154"/>
    </row>
    <row r="327" spans="1:54" s="70" customFormat="1" ht="12.75" hidden="1" customHeight="1" x14ac:dyDescent="0.2">
      <c r="A327" s="70" t="s">
        <v>97</v>
      </c>
      <c r="B327" s="70">
        <f>IF(B279=1,C326,0)</f>
        <v>0</v>
      </c>
      <c r="D327" s="74">
        <f>IF(D279=1,C326,0)</f>
        <v>0</v>
      </c>
      <c r="E327" s="70">
        <f>IF(E279=1,F326,0)</f>
        <v>2</v>
      </c>
      <c r="G327" s="74">
        <f>IF(G279=1,F326,0)</f>
        <v>0</v>
      </c>
      <c r="H327" s="70">
        <f>IF(H279=1,I326,0)</f>
        <v>0</v>
      </c>
      <c r="J327" s="74">
        <f>IF(J279=1,I326,0)</f>
        <v>0</v>
      </c>
      <c r="K327" s="70">
        <f>IF(K279=1,L326,0)</f>
        <v>3</v>
      </c>
      <c r="M327" s="74">
        <f>IF(M279=1,L326,0)</f>
        <v>0</v>
      </c>
      <c r="N327" s="70">
        <f>IF(N279=1,O326,0)</f>
        <v>0</v>
      </c>
      <c r="P327" s="74">
        <f>IF(P279=1,O326,0)</f>
        <v>0</v>
      </c>
      <c r="Q327" s="70">
        <f>IF(Q279=1,R326,0)</f>
        <v>3</v>
      </c>
      <c r="S327" s="74">
        <f>IF(S279=1,R326,0)</f>
        <v>0</v>
      </c>
      <c r="T327" s="70">
        <f>IF(T279=1,U326,0)</f>
        <v>0</v>
      </c>
      <c r="V327" s="74">
        <f>IF(V279=1,U326,0)</f>
        <v>0</v>
      </c>
      <c r="W327" s="70">
        <f>IF(W279=1,X326,0)</f>
        <v>0</v>
      </c>
      <c r="Y327" s="74">
        <f>IF(Y279=1,X326,0)</f>
        <v>0</v>
      </c>
      <c r="Z327" s="70">
        <f>IF(Z279=1,AA326,0)</f>
        <v>0</v>
      </c>
      <c r="AB327" s="74">
        <f>IF(AB279=1,AA326,0)</f>
        <v>0</v>
      </c>
      <c r="AC327" s="70">
        <f>IF(AC279=1,AD326,0)</f>
        <v>0</v>
      </c>
      <c r="AE327" s="74">
        <f>IF(AE279=1,AD326,0)</f>
        <v>0</v>
      </c>
      <c r="AF327" s="70">
        <f>SUM(B327:AE327)</f>
        <v>8</v>
      </c>
      <c r="AW327" s="154"/>
    </row>
    <row r="328" spans="1:54" s="70" customFormat="1" ht="12.75" hidden="1" customHeight="1" x14ac:dyDescent="0.2">
      <c r="A328" s="70" t="s">
        <v>98</v>
      </c>
      <c r="B328" s="70">
        <f>IF(B279=2,C326,0)</f>
        <v>3</v>
      </c>
      <c r="D328" s="74">
        <f>IF(D279=2,C326,0)</f>
        <v>0</v>
      </c>
      <c r="E328" s="70">
        <f>IF(E279=2,F326,0)</f>
        <v>0</v>
      </c>
      <c r="G328" s="74">
        <f>IF(G279=2,F326,0)</f>
        <v>0</v>
      </c>
      <c r="H328" s="70">
        <f>IF(H279=2,I326,0)</f>
        <v>3</v>
      </c>
      <c r="J328" s="74">
        <f>IF(J279=2,I326,0)</f>
        <v>0</v>
      </c>
      <c r="K328" s="70">
        <f>IF(K279=2,L326,0)</f>
        <v>0</v>
      </c>
      <c r="M328" s="74">
        <f>IF(M279=2,L326,0)</f>
        <v>0</v>
      </c>
      <c r="N328" s="70">
        <f>IF(N279=2,O326,0)</f>
        <v>0</v>
      </c>
      <c r="P328" s="74">
        <f>IF(P279=2,O326,0)</f>
        <v>0</v>
      </c>
      <c r="Q328" s="70">
        <f>IF(Q279=2,R326,0)</f>
        <v>0</v>
      </c>
      <c r="S328" s="74">
        <f>IF(S279=2,R326,0)</f>
        <v>3</v>
      </c>
      <c r="T328" s="70">
        <f>IF(T279=2,U326,0)</f>
        <v>0</v>
      </c>
      <c r="V328" s="74">
        <f>IF(V279=2,U326,0)</f>
        <v>0</v>
      </c>
      <c r="W328" s="70">
        <f>IF(W279=2,X326,0)</f>
        <v>0</v>
      </c>
      <c r="Y328" s="74">
        <f>IF(Y279=2,X326,0)</f>
        <v>0</v>
      </c>
      <c r="Z328" s="70">
        <f>IF(Z279=2,AA326,0)</f>
        <v>0</v>
      </c>
      <c r="AB328" s="74">
        <f>IF(AB279=2,AA326,0)</f>
        <v>0</v>
      </c>
      <c r="AC328" s="70">
        <f>IF(AC279=2,AD326,0)</f>
        <v>0</v>
      </c>
      <c r="AE328" s="74">
        <f>IF(AE279=2,AD326,0)</f>
        <v>0</v>
      </c>
      <c r="AF328" s="70">
        <f>SUM(B328:AE328)</f>
        <v>9</v>
      </c>
      <c r="AW328" s="154"/>
    </row>
    <row r="329" spans="1:54" s="70" customFormat="1" ht="12.75" hidden="1" customHeight="1" x14ac:dyDescent="0.2">
      <c r="A329" s="70" t="s">
        <v>99</v>
      </c>
      <c r="B329" s="70">
        <f>IF(B279=3,C326,0)</f>
        <v>0</v>
      </c>
      <c r="D329" s="74">
        <f>IF(D279=3,C326,0)</f>
        <v>3</v>
      </c>
      <c r="E329" s="70">
        <f>IF(E279=3,F326,0)</f>
        <v>0</v>
      </c>
      <c r="G329" s="74">
        <f>IF(G279=3,F326,0)</f>
        <v>0</v>
      </c>
      <c r="H329" s="70">
        <f>IF(H279=3,I326,0)</f>
        <v>0</v>
      </c>
      <c r="J329" s="74">
        <f>IF(J279=3,I326,0)</f>
        <v>0</v>
      </c>
      <c r="K329" s="70">
        <f>IF(K279=3,L326,0)</f>
        <v>0</v>
      </c>
      <c r="M329" s="74">
        <f>IF(M279=3,L326,0)</f>
        <v>3</v>
      </c>
      <c r="N329" s="70">
        <f>IF(N279=3,O326,0)</f>
        <v>2</v>
      </c>
      <c r="P329" s="74">
        <f>IF(P279=3,O326,0)</f>
        <v>0</v>
      </c>
      <c r="Q329" s="70">
        <f>IF(Q279=3,R326,0)</f>
        <v>0</v>
      </c>
      <c r="S329" s="74">
        <f>IF(S279=3,R326,0)</f>
        <v>0</v>
      </c>
      <c r="T329" s="70">
        <f>IF(T279=3,U326,0)</f>
        <v>0</v>
      </c>
      <c r="V329" s="74">
        <f>IF(V279=3,U326,0)</f>
        <v>0</v>
      </c>
      <c r="W329" s="70">
        <f>IF(W279=3,X326,0)</f>
        <v>0</v>
      </c>
      <c r="Y329" s="74">
        <f>IF(Y279=3,X326,0)</f>
        <v>0</v>
      </c>
      <c r="Z329" s="70">
        <f>IF(Z279=3,AA326,0)</f>
        <v>0</v>
      </c>
      <c r="AB329" s="74">
        <f>IF(AB279=3,AA326,0)</f>
        <v>0</v>
      </c>
      <c r="AC329" s="70">
        <f>IF(AC279=3,AD326,0)</f>
        <v>0</v>
      </c>
      <c r="AE329" s="74">
        <f>IF(AE279=3,AD326,0)</f>
        <v>0</v>
      </c>
      <c r="AF329" s="70">
        <f>SUM(B329:AE329)</f>
        <v>8</v>
      </c>
      <c r="AW329" s="154"/>
    </row>
    <row r="330" spans="1:54" s="70" customFormat="1" ht="12.75" hidden="1" customHeight="1" x14ac:dyDescent="0.2">
      <c r="A330" s="70" t="s">
        <v>100</v>
      </c>
      <c r="B330" s="70">
        <f>IF(B279=4,C326,0)</f>
        <v>0</v>
      </c>
      <c r="D330" s="74">
        <f>IF(D279=4,C326,0)</f>
        <v>0</v>
      </c>
      <c r="E330" s="70">
        <f>IF(E279=4,F326,0)</f>
        <v>0</v>
      </c>
      <c r="G330" s="74">
        <f>IF(G279=4,F326,0)</f>
        <v>2</v>
      </c>
      <c r="H330" s="70">
        <f>IF(H279=4,I326,0)</f>
        <v>0</v>
      </c>
      <c r="J330" s="74">
        <f>IF(J279=4,I326,0)</f>
        <v>3</v>
      </c>
      <c r="K330" s="70">
        <f>IF(K279=4,L326,0)</f>
        <v>0</v>
      </c>
      <c r="M330" s="74">
        <f>IF(M279=4,L326,0)</f>
        <v>0</v>
      </c>
      <c r="N330" s="70">
        <f>IF(N279=4,O326,0)</f>
        <v>0</v>
      </c>
      <c r="P330" s="74">
        <f>IF(P279=4,O326,0)</f>
        <v>2</v>
      </c>
      <c r="Q330" s="70">
        <f>IF(Q279=4,R326,0)</f>
        <v>0</v>
      </c>
      <c r="S330" s="74">
        <f>IF(S279=4,R326,0)</f>
        <v>0</v>
      </c>
      <c r="T330" s="70">
        <f>IF(T279=4,U326,0)</f>
        <v>0</v>
      </c>
      <c r="V330" s="74">
        <f>IF(V279=4,U326,0)</f>
        <v>0</v>
      </c>
      <c r="W330" s="70">
        <f>IF(W279=4,X326,0)</f>
        <v>0</v>
      </c>
      <c r="Y330" s="74">
        <f>IF(Y279=4,X326,0)</f>
        <v>0</v>
      </c>
      <c r="Z330" s="70">
        <f>IF(Z279=4,AA326,0)</f>
        <v>0</v>
      </c>
      <c r="AB330" s="74">
        <f>IF(AB279=4,AA326,0)</f>
        <v>0</v>
      </c>
      <c r="AC330" s="70">
        <f>IF(AC279=4,AD326,0)</f>
        <v>0</v>
      </c>
      <c r="AE330" s="74">
        <f>IF(AE279=4,AD326,0)</f>
        <v>0</v>
      </c>
      <c r="AF330" s="70">
        <f>SUM(B330:AE330)</f>
        <v>7</v>
      </c>
      <c r="AW330" s="154"/>
    </row>
    <row r="331" spans="1:54" s="70" customFormat="1" ht="12.75" hidden="1" customHeight="1" x14ac:dyDescent="0.2">
      <c r="A331" s="70" t="s">
        <v>101</v>
      </c>
      <c r="B331" s="70">
        <f>IF(B279=5,C326,0)</f>
        <v>0</v>
      </c>
      <c r="D331" s="74">
        <f>IF(D279=5,C326,0)</f>
        <v>0</v>
      </c>
      <c r="E331" s="70">
        <f>IF(E279=5,F326,0)</f>
        <v>0</v>
      </c>
      <c r="G331" s="74">
        <f>IF(G279=5,F326,0)</f>
        <v>0</v>
      </c>
      <c r="H331" s="70">
        <f>IF(H279=5,I326,0)</f>
        <v>0</v>
      </c>
      <c r="J331" s="74">
        <f>IF(J279=5,I326,0)</f>
        <v>0</v>
      </c>
      <c r="K331" s="70">
        <f>IF(K279=5,L326,0)</f>
        <v>0</v>
      </c>
      <c r="M331" s="74">
        <f>IF(M279=5,L326,0)</f>
        <v>0</v>
      </c>
      <c r="N331" s="70">
        <f>IF(N279=5,O326,0)</f>
        <v>0</v>
      </c>
      <c r="P331" s="74">
        <f>IF(P279=5,O326,0)</f>
        <v>0</v>
      </c>
      <c r="Q331" s="70">
        <f>IF(Q279=5,R326,0)</f>
        <v>0</v>
      </c>
      <c r="S331" s="74">
        <f>IF(S279=5,R326,0)</f>
        <v>0</v>
      </c>
      <c r="T331" s="70">
        <f>IF(T279=5,U326,0)</f>
        <v>0</v>
      </c>
      <c r="V331" s="74">
        <f>IF(V279=5,U326,0)</f>
        <v>0</v>
      </c>
      <c r="W331" s="70">
        <f>IF(W279=5,X326,0)</f>
        <v>0</v>
      </c>
      <c r="Y331" s="74">
        <f>IF(Y279=5,X326,0)</f>
        <v>0</v>
      </c>
      <c r="Z331" s="70">
        <f>IF(Z279=5,AA326,0)</f>
        <v>0</v>
      </c>
      <c r="AB331" s="74">
        <f>IF(AB279=5,AA326,0)</f>
        <v>0</v>
      </c>
      <c r="AC331" s="70">
        <f>IF(AC279=5,AD326,0)</f>
        <v>0</v>
      </c>
      <c r="AE331" s="74">
        <f>IF(AE279=5,AD326,0)</f>
        <v>0</v>
      </c>
      <c r="AF331" s="70">
        <f>SUM(B331:AE331)</f>
        <v>0</v>
      </c>
      <c r="AT331" s="77"/>
      <c r="AU331" s="77"/>
      <c r="AV331" s="77"/>
      <c r="AW331" s="154"/>
    </row>
    <row r="332" spans="1:54" hidden="1" x14ac:dyDescent="0.2">
      <c r="A332" s="95"/>
      <c r="B332" s="95"/>
      <c r="C332" s="95"/>
      <c r="D332" s="95"/>
      <c r="E332" s="95"/>
      <c r="F332" s="95"/>
      <c r="G332" s="95"/>
      <c r="H332" s="95"/>
      <c r="I332" s="95"/>
      <c r="J332" s="95"/>
      <c r="K332" s="95"/>
      <c r="L332" s="95"/>
      <c r="M332" s="95"/>
      <c r="N332" s="95"/>
      <c r="O332" s="95"/>
      <c r="P332" s="95"/>
      <c r="Q332" s="95"/>
      <c r="R332" s="95"/>
      <c r="S332" s="95"/>
      <c r="T332" s="95"/>
      <c r="U332" s="95"/>
      <c r="V332" s="95"/>
      <c r="W332" s="95"/>
      <c r="X332" s="95"/>
      <c r="Y332" s="95"/>
      <c r="Z332" s="95"/>
      <c r="AA332" s="95"/>
      <c r="AB332" s="95"/>
      <c r="AC332" s="95"/>
      <c r="AD332" s="95"/>
      <c r="AE332" s="95"/>
      <c r="AF332" s="95"/>
      <c r="AG332" s="95"/>
      <c r="AH332" s="95"/>
      <c r="AI332" s="95"/>
      <c r="AJ332" s="95"/>
      <c r="AK332" s="95"/>
      <c r="AL332" s="95"/>
      <c r="AM332" s="95"/>
      <c r="AN332" s="96"/>
      <c r="AO332" s="96"/>
      <c r="AP332" s="96"/>
      <c r="AQ332" s="96"/>
      <c r="AR332" s="77"/>
      <c r="AS332" s="77"/>
      <c r="AT332" s="77"/>
      <c r="AU332" s="77"/>
      <c r="AV332" s="77"/>
      <c r="BB332" s="156"/>
    </row>
    <row r="333" spans="1:54" s="77" customFormat="1" hidden="1" x14ac:dyDescent="0.2">
      <c r="A333" s="79"/>
      <c r="B333" s="79"/>
      <c r="C333" s="79" t="s">
        <v>108</v>
      </c>
      <c r="D333" s="79">
        <v>1</v>
      </c>
      <c r="E333" s="79"/>
      <c r="F333" s="79"/>
      <c r="G333" s="79">
        <v>2</v>
      </c>
      <c r="H333" s="79"/>
      <c r="I333" s="79"/>
      <c r="J333" s="79">
        <v>3</v>
      </c>
      <c r="K333" s="79"/>
      <c r="L333" s="79"/>
      <c r="M333" s="79">
        <v>4</v>
      </c>
      <c r="N333" s="79"/>
      <c r="O333" s="79"/>
      <c r="P333" s="79">
        <v>5</v>
      </c>
      <c r="Q333" s="79"/>
      <c r="R333" s="79"/>
      <c r="S333" s="79">
        <v>6</v>
      </c>
      <c r="T333" s="79"/>
      <c r="U333" s="79"/>
      <c r="V333" s="79">
        <v>7</v>
      </c>
      <c r="W333" s="79"/>
      <c r="X333" s="79"/>
      <c r="Y333" s="79">
        <v>8</v>
      </c>
      <c r="Z333" s="79"/>
      <c r="AA333" s="79"/>
      <c r="AB333" s="79">
        <v>9</v>
      </c>
      <c r="AC333" s="79"/>
      <c r="AD333" s="79"/>
      <c r="AE333" s="79">
        <v>10</v>
      </c>
      <c r="AF333" s="4"/>
      <c r="AG333" s="79"/>
      <c r="AI333" s="80"/>
      <c r="AJ333" s="4"/>
      <c r="AK333" s="4"/>
      <c r="AL333" s="4"/>
      <c r="AM333" s="4"/>
      <c r="AN333" s="4"/>
      <c r="AO333" s="4"/>
      <c r="AT333" s="80" t="s">
        <v>109</v>
      </c>
      <c r="AW333" s="81"/>
      <c r="BB333" s="81"/>
    </row>
    <row r="334" spans="1:54" s="77" customFormat="1" hidden="1" x14ac:dyDescent="0.2">
      <c r="A334" s="82">
        <v>1</v>
      </c>
      <c r="B334" s="82" t="str">
        <f>E263</f>
        <v>Crossfire 14 Power</v>
      </c>
      <c r="C334" s="82">
        <f>VLOOKUP(B334,AU$3:BB$33,3,FALSE)</f>
        <v>2197.2309027352453</v>
      </c>
      <c r="D334" s="82">
        <f>IF(B327,B342,IF(D327,D342,C334))</f>
        <v>2197.2309027352453</v>
      </c>
      <c r="E334" s="82"/>
      <c r="F334" s="82"/>
      <c r="G334" s="82">
        <f>IF(E327,E342,IF(G327,G342,D334))</f>
        <v>2221.4974524135514</v>
      </c>
      <c r="H334" s="82"/>
      <c r="I334" s="82"/>
      <c r="J334" s="82">
        <f>IF(H327,H342,IF(J327,J342,G334))</f>
        <v>2221.4974524135514</v>
      </c>
      <c r="K334" s="82"/>
      <c r="L334" s="82"/>
      <c r="M334" s="82">
        <f>IF(K327,K342,IF(M327,M342,J334))</f>
        <v>2194.9928701735494</v>
      </c>
      <c r="N334" s="82"/>
      <c r="O334" s="82"/>
      <c r="P334" s="82">
        <f>IF(N327,N342,IF(P327,P342,M334))</f>
        <v>2194.9928701735494</v>
      </c>
      <c r="Q334" s="82"/>
      <c r="R334" s="82"/>
      <c r="S334" s="82">
        <f>IF(Q327,Q342,IF(S327,S342,P334))</f>
        <v>2171.4126025310011</v>
      </c>
      <c r="T334" s="82"/>
      <c r="U334" s="82"/>
      <c r="V334" s="82">
        <f>IF(T327,T342,IF(V327,V342,S334))</f>
        <v>2171.4126025310011</v>
      </c>
      <c r="W334" s="82"/>
      <c r="X334" s="82"/>
      <c r="Y334" s="82">
        <f>IF(W327,W342,IF(Y327,Y342,V334))</f>
        <v>2171.4126025310011</v>
      </c>
      <c r="Z334" s="82"/>
      <c r="AA334" s="82"/>
      <c r="AB334" s="82">
        <f>IF(Z327,Z342,IF(AB327,AB342,Y334))</f>
        <v>2171.4126025310011</v>
      </c>
      <c r="AC334" s="82"/>
      <c r="AD334" s="82"/>
      <c r="AE334" s="82">
        <f>IF(AC327,AC342,IF(AE327,AE342,AB334))</f>
        <v>2171.4126025310011</v>
      </c>
      <c r="AF334" s="4"/>
      <c r="AG334" s="4"/>
      <c r="AJ334" s="4"/>
      <c r="AK334" s="4"/>
      <c r="AL334" s="4"/>
      <c r="AM334" s="4"/>
      <c r="AN334" s="4"/>
      <c r="AO334" s="4"/>
      <c r="AT334" s="77" t="str">
        <f>B334</f>
        <v>Crossfire 14 Power</v>
      </c>
      <c r="AU334" s="77">
        <f>AE334</f>
        <v>2171.4126025310011</v>
      </c>
      <c r="AW334" s="81"/>
      <c r="BB334" s="81"/>
    </row>
    <row r="335" spans="1:54" s="77" customFormat="1" hidden="1" x14ac:dyDescent="0.2">
      <c r="A335" s="82">
        <v>2</v>
      </c>
      <c r="B335" s="82" t="str">
        <f>E265</f>
        <v>Intense 14 Hyper Elite</v>
      </c>
      <c r="C335" s="82">
        <f>VLOOKUP(B335,AU$3:BB$33,3,FALSE)</f>
        <v>2192.5369343564885</v>
      </c>
      <c r="D335" s="82">
        <f>IF(B328,B342,IF(D328,D342,C335))</f>
        <v>2166.4050867783844</v>
      </c>
      <c r="E335" s="82"/>
      <c r="F335" s="82"/>
      <c r="G335" s="82">
        <f>IF(E328,E342,IF(G328,G342,D335))</f>
        <v>2166.4050867783844</v>
      </c>
      <c r="H335" s="82"/>
      <c r="I335" s="82"/>
      <c r="J335" s="82">
        <f>IF(H328,H342,IF(J328,J342,G335))</f>
        <v>2139.6619900592</v>
      </c>
      <c r="K335" s="82"/>
      <c r="L335" s="82"/>
      <c r="M335" s="82">
        <f>IF(K328,K342,IF(M328,M342,J335))</f>
        <v>2139.6619900592</v>
      </c>
      <c r="N335" s="82"/>
      <c r="O335" s="82"/>
      <c r="P335" s="82">
        <f>IF(N328,N342,IF(P328,P342,M335))</f>
        <v>2139.6619900592</v>
      </c>
      <c r="Q335" s="82"/>
      <c r="R335" s="82"/>
      <c r="S335" s="82">
        <f>IF(Q328,Q342,IF(S328,S342,P335))</f>
        <v>2163.2422577017483</v>
      </c>
      <c r="T335" s="82"/>
      <c r="U335" s="82"/>
      <c r="V335" s="82">
        <f>IF(T328,T342,IF(V328,V342,S335))</f>
        <v>2163.2422577017483</v>
      </c>
      <c r="W335" s="82"/>
      <c r="X335" s="82"/>
      <c r="Y335" s="82">
        <f>IF(W328,W342,IF(Y328,Y342,V335))</f>
        <v>2163.2422577017483</v>
      </c>
      <c r="Z335" s="82"/>
      <c r="AA335" s="82"/>
      <c r="AB335" s="82">
        <f>IF(Z328,Z342,IF(AB328,AB342,Y335))</f>
        <v>2163.2422577017483</v>
      </c>
      <c r="AC335" s="82"/>
      <c r="AD335" s="82"/>
      <c r="AE335" s="82">
        <f>IF(AC328,AC342,IF(AE328,AE342,AB335))</f>
        <v>2163.2422577017483</v>
      </c>
      <c r="AF335" s="4"/>
      <c r="AG335" s="4"/>
      <c r="AJ335" s="4"/>
      <c r="AL335" s="4"/>
      <c r="AM335" s="4"/>
      <c r="AN335" s="4"/>
      <c r="AO335" s="4"/>
      <c r="AT335" s="77" t="str">
        <f>B335</f>
        <v>Intense 14 Hyper Elite</v>
      </c>
      <c r="AU335" s="77">
        <f>AE335</f>
        <v>2163.2422577017483</v>
      </c>
      <c r="AW335" s="81"/>
      <c r="BB335" s="81"/>
    </row>
    <row r="336" spans="1:54" s="77" customFormat="1" hidden="1" x14ac:dyDescent="0.2">
      <c r="A336" s="82">
        <v>3</v>
      </c>
      <c r="B336" s="82" t="str">
        <f>E267</f>
        <v>CSRA Heat 14 Gold</v>
      </c>
      <c r="C336" s="82">
        <f>VLOOKUP(B336,AU$3:BB$33,3,FALSE)</f>
        <v>2118.0809304980062</v>
      </c>
      <c r="D336" s="82">
        <f>IF(B329,B342,IF(D329,D342,C336))</f>
        <v>2144.2127780761102</v>
      </c>
      <c r="E336" s="82"/>
      <c r="F336" s="82"/>
      <c r="G336" s="82">
        <f>IF(E329,E342,IF(G329,G342,D336))</f>
        <v>2144.2127780761102</v>
      </c>
      <c r="H336" s="82"/>
      <c r="I336" s="82"/>
      <c r="J336" s="82">
        <f>IF(H329,H342,IF(J329,J342,G336))</f>
        <v>2144.2127780761102</v>
      </c>
      <c r="K336" s="82"/>
      <c r="L336" s="82"/>
      <c r="M336" s="82">
        <f>IF(K329,K342,IF(M329,M342,J336))</f>
        <v>2170.7173603161123</v>
      </c>
      <c r="N336" s="82"/>
      <c r="O336" s="82"/>
      <c r="P336" s="82">
        <f>IF(N329,N342,IF(P329,P342,M336))</f>
        <v>2133.5437316379871</v>
      </c>
      <c r="Q336" s="82"/>
      <c r="R336" s="82"/>
      <c r="S336" s="82">
        <f>IF(Q329,Q342,IF(S329,S342,P336))</f>
        <v>2133.5437316379871</v>
      </c>
      <c r="T336" s="82"/>
      <c r="U336" s="82"/>
      <c r="V336" s="82">
        <f>IF(T329,T342,IF(V329,V342,S336))</f>
        <v>2133.5437316379871</v>
      </c>
      <c r="W336" s="82"/>
      <c r="X336" s="82"/>
      <c r="Y336" s="82">
        <f>IF(W329,W342,IF(Y329,Y342,V336))</f>
        <v>2133.5437316379871</v>
      </c>
      <c r="Z336" s="82"/>
      <c r="AA336" s="82"/>
      <c r="AB336" s="82">
        <f>IF(Z329,Z342,IF(AB329,AB342,Y336))</f>
        <v>2133.5437316379871</v>
      </c>
      <c r="AC336" s="82"/>
      <c r="AD336" s="82"/>
      <c r="AE336" s="82">
        <f>IF(AC329,AC342,IF(AE329,AE342,AB336))</f>
        <v>2133.5437316379871</v>
      </c>
      <c r="AF336" s="4"/>
      <c r="AG336" s="4"/>
      <c r="AJ336" s="4"/>
      <c r="AL336" s="4"/>
      <c r="AM336" s="4"/>
      <c r="AN336" s="4"/>
      <c r="AO336" s="4"/>
      <c r="AT336" s="77" t="str">
        <f>B336</f>
        <v>CSRA Heat 14 Gold</v>
      </c>
      <c r="AU336" s="77">
        <f>AE336</f>
        <v>2133.5437316379871</v>
      </c>
      <c r="AW336" s="81"/>
      <c r="BB336" s="81"/>
    </row>
    <row r="337" spans="1:54" s="77" customFormat="1" hidden="1" x14ac:dyDescent="0.2">
      <c r="A337" s="82">
        <v>4</v>
      </c>
      <c r="B337" s="82" t="str">
        <f>E269</f>
        <v>Vision 14-Kristen &amp; Rach</v>
      </c>
      <c r="C337" s="82">
        <f>VLOOKUP(B337,AU$3:BB$33,3,FALSE)</f>
        <v>2111.5716033290137</v>
      </c>
      <c r="D337" s="82">
        <f>IF(B330,B342,IF(D330,D342,C337))</f>
        <v>2111.5716033290137</v>
      </c>
      <c r="E337" s="82"/>
      <c r="F337" s="82"/>
      <c r="G337" s="82">
        <f>IF(E330,E342,IF(G330,G342,D337))</f>
        <v>2087.3050536507076</v>
      </c>
      <c r="H337" s="82"/>
      <c r="I337" s="82"/>
      <c r="J337" s="82">
        <f>IF(H330,H342,IF(J330,J342,G337))</f>
        <v>2114.048150369892</v>
      </c>
      <c r="K337" s="82"/>
      <c r="L337" s="82"/>
      <c r="M337" s="82">
        <f>IF(K330,K342,IF(M330,M342,J337))</f>
        <v>2114.048150369892</v>
      </c>
      <c r="N337" s="82"/>
      <c r="O337" s="82"/>
      <c r="P337" s="82">
        <f>IF(N330,N342,IF(P330,P342,M337))</f>
        <v>2151.2217790480172</v>
      </c>
      <c r="Q337" s="82"/>
      <c r="R337" s="82"/>
      <c r="S337" s="82">
        <f>IF(Q330,Q342,IF(S330,S342,P337))</f>
        <v>2151.2217790480172</v>
      </c>
      <c r="T337" s="82"/>
      <c r="U337" s="82"/>
      <c r="V337" s="82">
        <f>IF(T330,T342,IF(V330,V342,S337))</f>
        <v>2151.2217790480172</v>
      </c>
      <c r="W337" s="82"/>
      <c r="X337" s="82"/>
      <c r="Y337" s="82">
        <f>IF(W330,W342,IF(Y330,Y342,V337))</f>
        <v>2151.2217790480172</v>
      </c>
      <c r="Z337" s="82"/>
      <c r="AA337" s="82"/>
      <c r="AB337" s="82">
        <f>IF(Z330,Z342,IF(AB330,AB342,Y337))</f>
        <v>2151.2217790480172</v>
      </c>
      <c r="AC337" s="82"/>
      <c r="AD337" s="82"/>
      <c r="AE337" s="82">
        <f>IF(AC330,AC342,IF(AE330,AE342,AB337))</f>
        <v>2151.2217790480172</v>
      </c>
      <c r="AF337" s="4"/>
      <c r="AG337" s="4"/>
      <c r="AJ337" s="4"/>
      <c r="AL337" s="4"/>
      <c r="AM337" s="4"/>
      <c r="AN337" s="4"/>
      <c r="AO337" s="4"/>
      <c r="AT337" s="77" t="str">
        <f>B337</f>
        <v>Vision 14-Kristen &amp; Rach</v>
      </c>
      <c r="AU337" s="77">
        <f>AE337</f>
        <v>2151.2217790480172</v>
      </c>
      <c r="AW337" s="81"/>
      <c r="BB337" s="81"/>
    </row>
    <row r="338" spans="1:54" s="77" customFormat="1" hidden="1" x14ac:dyDescent="0.2">
      <c r="A338" s="82">
        <v>5</v>
      </c>
      <c r="B338" s="82">
        <f>E271</f>
        <v>0</v>
      </c>
      <c r="C338" s="82" t="e">
        <f>VLOOKUP(B338,AU$3:BB$33,3,FALSE)</f>
        <v>#N/A</v>
      </c>
      <c r="D338" s="82" t="e">
        <f>IF(B331,B342,IF(D331,D342,C338))</f>
        <v>#N/A</v>
      </c>
      <c r="E338" s="82"/>
      <c r="F338" s="82"/>
      <c r="G338" s="82" t="e">
        <f>IF(E331,E342,IF(G331,G342,D338))</f>
        <v>#N/A</v>
      </c>
      <c r="H338" s="82"/>
      <c r="I338" s="82"/>
      <c r="J338" s="82" t="e">
        <f>IF(H331,H342,IF(J331,J342,G338))</f>
        <v>#N/A</v>
      </c>
      <c r="K338" s="82"/>
      <c r="L338" s="82"/>
      <c r="M338" s="82" t="e">
        <f>IF(K331,K342,IF(M331,M342,J338))</f>
        <v>#N/A</v>
      </c>
      <c r="N338" s="82"/>
      <c r="O338" s="82"/>
      <c r="P338" s="82" t="e">
        <f>IF(N331,N342,IF(P331,P342,M338))</f>
        <v>#N/A</v>
      </c>
      <c r="Q338" s="82"/>
      <c r="R338" s="82"/>
      <c r="S338" s="82" t="e">
        <f>IF(Q331,Q342,IF(S331,S342,P338))</f>
        <v>#N/A</v>
      </c>
      <c r="T338" s="82"/>
      <c r="U338" s="82"/>
      <c r="V338" s="82" t="e">
        <f>IF(T331,T342,IF(V331,V342,S338))</f>
        <v>#N/A</v>
      </c>
      <c r="W338" s="82"/>
      <c r="X338" s="82"/>
      <c r="Y338" s="82" t="e">
        <f>IF(W331,W342,IF(Y331,Y342,V338))</f>
        <v>#N/A</v>
      </c>
      <c r="Z338" s="82"/>
      <c r="AA338" s="82"/>
      <c r="AB338" s="82" t="e">
        <f>IF(Z331,Z342,IF(AB331,AB342,Y338))</f>
        <v>#N/A</v>
      </c>
      <c r="AC338" s="82"/>
      <c r="AD338" s="82"/>
      <c r="AE338" s="82" t="e">
        <f>IF(AC331,AC342,IF(AE331,AE342,AB338))</f>
        <v>#N/A</v>
      </c>
      <c r="AF338" s="4"/>
      <c r="AG338" s="4"/>
      <c r="AJ338" s="4"/>
      <c r="AL338" s="4"/>
      <c r="AM338" s="4"/>
      <c r="AN338" s="4"/>
      <c r="AO338" s="4"/>
      <c r="AT338" s="77">
        <f>B338</f>
        <v>0</v>
      </c>
      <c r="AU338" s="77" t="e">
        <f>AE338</f>
        <v>#N/A</v>
      </c>
      <c r="AW338" s="81"/>
      <c r="BB338" s="81"/>
    </row>
    <row r="339" spans="1:54" s="77" customFormat="1" hidden="1" x14ac:dyDescent="0.2">
      <c r="A339" s="82"/>
      <c r="B339" s="82"/>
      <c r="C339" s="82"/>
      <c r="D339" s="82"/>
      <c r="E339" s="82"/>
      <c r="F339" s="82"/>
      <c r="G339" s="82"/>
      <c r="H339" s="82"/>
      <c r="I339" s="82"/>
      <c r="J339" s="82"/>
      <c r="K339" s="82"/>
      <c r="L339" s="82"/>
      <c r="M339" s="82"/>
      <c r="N339" s="82"/>
      <c r="O339" s="82"/>
      <c r="P339" s="82"/>
      <c r="Q339" s="82"/>
      <c r="R339" s="82"/>
      <c r="S339" s="82"/>
      <c r="T339" s="82"/>
      <c r="U339" s="82"/>
      <c r="V339" s="82"/>
      <c r="W339" s="82"/>
      <c r="X339" s="82"/>
      <c r="Y339" s="82"/>
      <c r="Z339" s="82"/>
      <c r="AA339" s="82"/>
      <c r="AB339" s="82"/>
      <c r="AC339" s="82"/>
      <c r="AD339" s="82"/>
      <c r="AE339" s="82"/>
      <c r="AF339" s="4"/>
      <c r="AG339" s="4"/>
      <c r="AJ339" s="4"/>
      <c r="AL339" s="4"/>
      <c r="AM339" s="4"/>
      <c r="AN339" s="4"/>
      <c r="AO339" s="4"/>
      <c r="AW339" s="81"/>
      <c r="BB339" s="81"/>
    </row>
    <row r="340" spans="1:54" s="77" customFormat="1" hidden="1" x14ac:dyDescent="0.2">
      <c r="A340" s="82" t="s">
        <v>110</v>
      </c>
      <c r="B340" s="82">
        <f>VLOOKUP(B279,$A334:$AE338,3,FALSE)</f>
        <v>2192.5369343564885</v>
      </c>
      <c r="C340" s="82">
        <v>1</v>
      </c>
      <c r="D340" s="82">
        <f>VLOOKUP(D279,$A334:$AE338,3,FALSE)</f>
        <v>2118.0809304980062</v>
      </c>
      <c r="E340" s="82">
        <f>VLOOKUP(E279,$A334:$AE338,4,FALSE)</f>
        <v>2197.2309027352453</v>
      </c>
      <c r="F340" s="82">
        <v>2</v>
      </c>
      <c r="G340" s="82">
        <f>VLOOKUP(G279,$A334:$AE338,4,FALSE)</f>
        <v>2111.5716033290137</v>
      </c>
      <c r="H340" s="82">
        <f>VLOOKUP(H279,$A334:$AE338,7,FALSE)</f>
        <v>2166.4050867783844</v>
      </c>
      <c r="I340" s="82">
        <v>3</v>
      </c>
      <c r="J340" s="82">
        <f>VLOOKUP(J279,$A334:$AE338,7,FALSE)</f>
        <v>2087.3050536507076</v>
      </c>
      <c r="K340" s="82">
        <f>VLOOKUP(K279,$A334:$AE338,10,FALSE)</f>
        <v>2221.4974524135514</v>
      </c>
      <c r="L340" s="82">
        <v>4</v>
      </c>
      <c r="M340" s="82">
        <f>VLOOKUP(M279,$A334:$AE338,10,FALSE)</f>
        <v>2144.2127780761102</v>
      </c>
      <c r="N340" s="82">
        <f>VLOOKUP(N279,$A334:$AE338,13,FALSE)</f>
        <v>2170.7173603161123</v>
      </c>
      <c r="O340" s="82">
        <v>5</v>
      </c>
      <c r="P340" s="82">
        <f>VLOOKUP(P279,$A334:$AE338,13,FALSE)</f>
        <v>2114.048150369892</v>
      </c>
      <c r="Q340" s="82">
        <f>VLOOKUP(Q279,$A334:$AE338,16,FALSE)</f>
        <v>2194.9928701735494</v>
      </c>
      <c r="R340" s="82">
        <v>6</v>
      </c>
      <c r="S340" s="82">
        <f>VLOOKUP(S279,$A334:$AE338,16,FALSE)</f>
        <v>2139.6619900592</v>
      </c>
      <c r="T340" s="82" t="e">
        <f>VLOOKUP(T279,$A334:$AE338,19,FALSE)</f>
        <v>#N/A</v>
      </c>
      <c r="U340" s="82">
        <v>7</v>
      </c>
      <c r="V340" s="82" t="e">
        <f>VLOOKUP(V279,$A334:$AE338,19,FALSE)</f>
        <v>#N/A</v>
      </c>
      <c r="W340" s="82" t="e">
        <f>VLOOKUP(W279,$A334:$AE338,22,FALSE)</f>
        <v>#N/A</v>
      </c>
      <c r="X340" s="82">
        <v>8</v>
      </c>
      <c r="Y340" s="82" t="e">
        <f>VLOOKUP(Y279,$A334:$AE338,22,FALSE)</f>
        <v>#N/A</v>
      </c>
      <c r="Z340" s="82" t="e">
        <f>VLOOKUP(Z279,$A334:$AE338,25,FALSE)</f>
        <v>#N/A</v>
      </c>
      <c r="AA340" s="82">
        <v>9</v>
      </c>
      <c r="AB340" s="82" t="e">
        <f>VLOOKUP(AB279,$A334:$AE338,25,FALSE)</f>
        <v>#N/A</v>
      </c>
      <c r="AC340" s="82" t="e">
        <f>VLOOKUP(AC279,$A334:$AE338,28,FALSE)</f>
        <v>#N/A</v>
      </c>
      <c r="AD340" s="82">
        <v>10</v>
      </c>
      <c r="AE340" s="82" t="e">
        <f>VLOOKUP(AE279,$A334:$AE338,28,FALSE)</f>
        <v>#N/A</v>
      </c>
      <c r="AF340" s="4"/>
      <c r="AG340" s="95"/>
      <c r="AH340" s="95"/>
      <c r="AI340" s="95"/>
      <c r="AJ340" s="95"/>
      <c r="AK340" s="95"/>
      <c r="AL340" s="95"/>
      <c r="AM340" s="95"/>
      <c r="AN340" s="96"/>
      <c r="AO340" s="96"/>
      <c r="AP340" s="96"/>
      <c r="AQ340" s="96"/>
      <c r="AW340" s="81"/>
      <c r="BB340" s="81"/>
    </row>
    <row r="341" spans="1:54" s="87" customFormat="1" hidden="1" x14ac:dyDescent="0.2">
      <c r="A341" s="83" t="s">
        <v>111</v>
      </c>
      <c r="B341" s="83">
        <f>1/(1+(10^-((B340-D340)/400)))*(B291+D291)</f>
        <v>1.8166202368157496</v>
      </c>
      <c r="C341" s="83"/>
      <c r="D341" s="83">
        <f>1/(1+(10^-((D340-B340)/400)))*(B291+D291)</f>
        <v>1.1833797631842509</v>
      </c>
      <c r="E341" s="83">
        <f>1/(1+(10^-((E340-G340)/400)))*(E291+G291)</f>
        <v>1.241670322552936</v>
      </c>
      <c r="F341" s="83"/>
      <c r="G341" s="83">
        <f>1/(1+(10^-((G340-E340)/400)))*(E291+G291)</f>
        <v>0.75832967744706403</v>
      </c>
      <c r="H341" s="83">
        <f>1/(1+(10^-((H340-J340)/400)))*(H291+J291)</f>
        <v>1.8357217724745141</v>
      </c>
      <c r="I341" s="83"/>
      <c r="J341" s="83">
        <f>1/(1+(10^-((J340-H340)/400)))*(H291+J291)</f>
        <v>1.1642782275254862</v>
      </c>
      <c r="K341" s="83">
        <f>1/(1+(10^-((K340-M340)/400)))*(K291+M291)</f>
        <v>1.8282681950000672</v>
      </c>
      <c r="L341" s="83"/>
      <c r="M341" s="83">
        <f>1/(1+(10^-((M340-K340)/400)))*(K291+M291)</f>
        <v>1.171731804999933</v>
      </c>
      <c r="N341" s="83">
        <f>1/(1+(10^-((N340-P340)/400)))*(N291+P291)</f>
        <v>1.1616758961914095</v>
      </c>
      <c r="O341" s="83"/>
      <c r="P341" s="83">
        <f>1/(1+(10^-((P340-N340)/400)))*(N291+P291)</f>
        <v>0.83832410380859057</v>
      </c>
      <c r="Q341" s="83">
        <f>1/(1+(10^-((Q340-S340)/400)))*(Q291+S291)</f>
        <v>1.7368833638296395</v>
      </c>
      <c r="R341" s="83"/>
      <c r="S341" s="83">
        <f>1/(1+(10^-((S340-Q340)/400)))*(Q291+S291)</f>
        <v>1.2631166361703605</v>
      </c>
      <c r="T341" s="83" t="e">
        <f>1/(1+(10^-((T340-V340)/400)))*(T291+V291)</f>
        <v>#N/A</v>
      </c>
      <c r="U341" s="83"/>
      <c r="V341" s="83" t="e">
        <f>1/(1+(10^-((V340-T340)/400)))*(T291+V291)</f>
        <v>#N/A</v>
      </c>
      <c r="W341" s="83" t="e">
        <f>1/(1+(10^-((W340-Y340)/400)))*(W291+Y291)</f>
        <v>#N/A</v>
      </c>
      <c r="X341" s="83"/>
      <c r="Y341" s="83" t="e">
        <f>1/(1+(10^-((Y340-W340)/400)))*(W291+Y291)</f>
        <v>#N/A</v>
      </c>
      <c r="Z341" s="83" t="e">
        <f>1/(1+(10^-((Z340-AB340)/400)))*(Z291+AB291)</f>
        <v>#N/A</v>
      </c>
      <c r="AA341" s="83"/>
      <c r="AB341" s="83" t="e">
        <f>1/(1+(10^-((AB340-Z340)/400)))*(Z291+AB291)</f>
        <v>#N/A</v>
      </c>
      <c r="AC341" s="83" t="e">
        <f>1/(1+(10^-((AC340-AE340)/400)))*(AC291+AE291)</f>
        <v>#N/A</v>
      </c>
      <c r="AD341" s="83"/>
      <c r="AE341" s="83" t="e">
        <f>1/(1+(10^-((AE340-AC340)/400)))*(AC291+AE291)</f>
        <v>#N/A</v>
      </c>
      <c r="AF341" s="84"/>
      <c r="AG341" s="85"/>
      <c r="AH341" s="85"/>
      <c r="AI341" s="85"/>
      <c r="AJ341" s="85"/>
      <c r="AK341" s="85"/>
      <c r="AL341" s="85"/>
      <c r="AM341" s="85"/>
      <c r="AN341" s="86"/>
      <c r="AO341" s="86"/>
      <c r="AP341" s="86"/>
      <c r="AQ341" s="86"/>
      <c r="AW341" s="88"/>
      <c r="BB341" s="88"/>
    </row>
    <row r="342" spans="1:54" s="93" customFormat="1" hidden="1" x14ac:dyDescent="0.2">
      <c r="A342" s="89" t="s">
        <v>112</v>
      </c>
      <c r="B342" s="89">
        <f>B340+(B291-B341)*$BA$1</f>
        <v>2166.4050867783844</v>
      </c>
      <c r="C342" s="89"/>
      <c r="D342" s="89">
        <f>D340+(D291-D341)*$BA$1</f>
        <v>2144.2127780761102</v>
      </c>
      <c r="E342" s="89">
        <f>E340+(E291-E341)*$BA$1</f>
        <v>2221.4974524135514</v>
      </c>
      <c r="F342" s="89"/>
      <c r="G342" s="89">
        <f>G340+(G291-G341)*$BA$1</f>
        <v>2087.3050536507076</v>
      </c>
      <c r="H342" s="89">
        <f>H340+(H291-H341)*$BA$1</f>
        <v>2139.6619900592</v>
      </c>
      <c r="I342" s="89"/>
      <c r="J342" s="89">
        <f>J340+(J291-J341)*$BA$1</f>
        <v>2114.048150369892</v>
      </c>
      <c r="K342" s="89">
        <f>K340+(K291-K341)*$BA$1</f>
        <v>2194.9928701735494</v>
      </c>
      <c r="L342" s="89"/>
      <c r="M342" s="89">
        <f>M340+(M291-M341)*$BA$1</f>
        <v>2170.7173603161123</v>
      </c>
      <c r="N342" s="89">
        <f>N340+(N291-N341)*$BA$1</f>
        <v>2133.5437316379871</v>
      </c>
      <c r="O342" s="89"/>
      <c r="P342" s="89">
        <f>P340+(P291-P341)*$BA$1</f>
        <v>2151.2217790480172</v>
      </c>
      <c r="Q342" s="89">
        <f>Q340+(Q291-Q341)*$BA$1</f>
        <v>2171.4126025310011</v>
      </c>
      <c r="R342" s="89"/>
      <c r="S342" s="89">
        <f>S340+(S291-S341)*$BA$1</f>
        <v>2163.2422577017483</v>
      </c>
      <c r="T342" s="89" t="e">
        <f>T340+(T291-T341)*$BA$1</f>
        <v>#N/A</v>
      </c>
      <c r="U342" s="89"/>
      <c r="V342" s="89" t="e">
        <f>V340+(V291-V341)*$BA$1</f>
        <v>#N/A</v>
      </c>
      <c r="W342" s="89" t="e">
        <f>W340+(W291-W341)*$BA$1</f>
        <v>#N/A</v>
      </c>
      <c r="X342" s="89"/>
      <c r="Y342" s="89" t="e">
        <f>Y340+(Y291-Y341)*$BA$1</f>
        <v>#N/A</v>
      </c>
      <c r="Z342" s="89" t="e">
        <f>Z340+(Z291-Z341)*$BA$1</f>
        <v>#N/A</v>
      </c>
      <c r="AA342" s="89"/>
      <c r="AB342" s="89" t="e">
        <f>AB340+(AB291-AB341)*$BA$1</f>
        <v>#N/A</v>
      </c>
      <c r="AC342" s="89" t="e">
        <f>AC340+(AC291-AC341)*$BA$1</f>
        <v>#N/A</v>
      </c>
      <c r="AD342" s="89"/>
      <c r="AE342" s="89" t="e">
        <f>AE340+(AE291-AE341)*$BA$1</f>
        <v>#N/A</v>
      </c>
      <c r="AF342" s="90"/>
      <c r="AG342" s="91"/>
      <c r="AH342" s="91"/>
      <c r="AI342" s="91"/>
      <c r="AJ342" s="91"/>
      <c r="AK342" s="91"/>
      <c r="AL342" s="91"/>
      <c r="AM342" s="91"/>
      <c r="AN342" s="92"/>
      <c r="AO342" s="92"/>
      <c r="AP342" s="92"/>
      <c r="AQ342" s="92"/>
      <c r="AW342" s="94"/>
      <c r="BB342" s="94"/>
    </row>
    <row r="343" spans="1:54" s="93" customFormat="1" hidden="1" x14ac:dyDescent="0.2">
      <c r="A343" s="89"/>
      <c r="B343" s="89"/>
      <c r="C343" s="89"/>
      <c r="D343" s="89"/>
      <c r="E343" s="89"/>
      <c r="F343" s="89"/>
      <c r="G343" s="89"/>
      <c r="H343" s="89"/>
      <c r="I343" s="89"/>
      <c r="J343" s="89"/>
      <c r="K343" s="89"/>
      <c r="L343" s="89"/>
      <c r="M343" s="89"/>
      <c r="N343" s="89"/>
      <c r="O343" s="89"/>
      <c r="P343" s="89"/>
      <c r="Q343" s="89"/>
      <c r="R343" s="89"/>
      <c r="S343" s="89"/>
      <c r="T343" s="89"/>
      <c r="U343" s="89"/>
      <c r="V343" s="89"/>
      <c r="W343" s="89"/>
      <c r="X343" s="89"/>
      <c r="Y343" s="89"/>
      <c r="Z343" s="89"/>
      <c r="AA343" s="89"/>
      <c r="AB343" s="89"/>
      <c r="AC343" s="89"/>
      <c r="AD343" s="89"/>
      <c r="AE343" s="89"/>
      <c r="AF343" s="90"/>
      <c r="AG343" s="91"/>
      <c r="AH343" s="91"/>
      <c r="AI343" s="91"/>
      <c r="AJ343" s="91"/>
      <c r="AK343" s="91"/>
      <c r="AL343" s="91"/>
      <c r="AM343" s="91"/>
      <c r="AN343" s="92"/>
      <c r="AO343" s="92"/>
      <c r="AP343" s="92"/>
      <c r="AQ343" s="92"/>
      <c r="AW343" s="94"/>
      <c r="BB343" s="94"/>
    </row>
    <row r="344" spans="1:54" s="77" customFormat="1" x14ac:dyDescent="0.2">
      <c r="A344" s="281" t="str">
        <f>IF($AK265=1,"Pool Tiereaker : 1) Matches Won vs Lost (if 3 way tie then #4)  2) Head to Head  3) Game Win %  4) Total Pool Net Points  5) Flip a Coin","Pool Tiebreaker : 1) Games Won vs Lost (if 3 way tie then #5)  2) Head to Head  3) Head to Head Net Points  4) Game Win %  5) Total Pool Net Points  6) Flip a Coin")</f>
        <v>Pool Tiereaker : 1) Matches Won vs Lost (if 3 way tie then #4)  2) Head to Head  3) Game Win %  4) Total Pool Net Points  5) Flip a Coin</v>
      </c>
      <c r="B344" s="281"/>
      <c r="C344" s="281"/>
      <c r="D344" s="281"/>
      <c r="E344" s="281"/>
      <c r="F344" s="281"/>
      <c r="G344" s="281"/>
      <c r="H344" s="281"/>
      <c r="I344" s="281"/>
      <c r="J344" s="281"/>
      <c r="K344" s="281"/>
      <c r="L344" s="281"/>
      <c r="M344" s="281"/>
      <c r="N344" s="281"/>
      <c r="O344" s="281"/>
      <c r="P344" s="281"/>
      <c r="Q344" s="281"/>
      <c r="R344" s="281"/>
      <c r="S344" s="281"/>
      <c r="T344" s="281"/>
      <c r="U344" s="281"/>
      <c r="V344" s="281"/>
      <c r="W344" s="281"/>
      <c r="X344" s="281"/>
      <c r="Y344" s="281"/>
      <c r="Z344" s="281"/>
      <c r="AA344" s="281"/>
      <c r="AB344" s="281"/>
      <c r="AC344" s="281"/>
      <c r="AD344" s="281"/>
      <c r="AE344" s="281"/>
      <c r="AF344" s="281"/>
      <c r="AG344" s="281"/>
      <c r="AH344" s="281"/>
      <c r="AI344" s="281"/>
      <c r="AJ344" s="281"/>
      <c r="AK344" s="281"/>
      <c r="AL344" s="281"/>
      <c r="AM344" s="281"/>
      <c r="AN344" s="259"/>
      <c r="AO344" s="259"/>
      <c r="AP344" s="259"/>
      <c r="AQ344" s="259"/>
      <c r="AW344" s="81"/>
    </row>
    <row r="345" spans="1:54" s="77" customFormat="1" x14ac:dyDescent="0.2">
      <c r="A345" s="282"/>
      <c r="B345" s="282"/>
      <c r="C345" s="282"/>
      <c r="D345" s="282"/>
      <c r="E345" s="282"/>
      <c r="F345" s="282"/>
      <c r="G345" s="282"/>
      <c r="H345" s="282"/>
      <c r="I345" s="282"/>
      <c r="J345" s="282"/>
      <c r="K345" s="282"/>
      <c r="L345" s="282"/>
      <c r="M345" s="282"/>
      <c r="N345" s="282"/>
      <c r="O345" s="282"/>
      <c r="P345" s="282"/>
      <c r="Q345" s="282"/>
      <c r="R345" s="282"/>
      <c r="S345" s="282"/>
      <c r="T345" s="282"/>
      <c r="U345" s="282"/>
      <c r="V345" s="282"/>
      <c r="W345" s="282"/>
      <c r="X345" s="282"/>
      <c r="Y345" s="282"/>
      <c r="Z345" s="282"/>
      <c r="AA345" s="282"/>
      <c r="AB345" s="282"/>
      <c r="AC345" s="282"/>
      <c r="AD345" s="282"/>
      <c r="AE345" s="282"/>
      <c r="AF345" s="282"/>
      <c r="AG345" s="282"/>
      <c r="AH345" s="282"/>
      <c r="AI345" s="282"/>
      <c r="AJ345" s="282"/>
      <c r="AK345" s="282"/>
      <c r="AL345" s="282"/>
      <c r="AM345" s="282"/>
      <c r="AN345" s="282"/>
      <c r="AO345" s="282"/>
      <c r="AP345" s="282"/>
      <c r="AQ345" s="282"/>
      <c r="AT345" s="4"/>
      <c r="AU345" s="4"/>
      <c r="AV345" s="4"/>
      <c r="AW345" s="81"/>
    </row>
    <row r="346" spans="1:54" ht="21" thickBot="1" x14ac:dyDescent="0.35">
      <c r="A346" s="271" t="s">
        <v>114</v>
      </c>
      <c r="B346" s="271"/>
      <c r="C346" s="271"/>
      <c r="D346" s="271"/>
      <c r="E346" s="271"/>
      <c r="F346" s="271"/>
      <c r="G346" s="271"/>
      <c r="H346" s="271"/>
      <c r="I346" s="271"/>
      <c r="J346" s="271"/>
      <c r="K346" s="271"/>
      <c r="L346" s="271"/>
      <c r="M346" s="271"/>
      <c r="N346" s="271"/>
      <c r="O346" s="271"/>
      <c r="P346" s="271"/>
      <c r="Q346" s="271"/>
      <c r="R346" s="271"/>
      <c r="S346" s="271"/>
      <c r="T346" s="271"/>
      <c r="U346" s="271"/>
      <c r="V346" s="271"/>
      <c r="W346" s="271"/>
      <c r="X346" s="271"/>
      <c r="Y346" s="271"/>
      <c r="Z346" s="271"/>
      <c r="AA346" s="271"/>
      <c r="AB346" s="271"/>
      <c r="AC346" s="271"/>
      <c r="AD346" s="271"/>
      <c r="AE346" s="271"/>
      <c r="AF346" s="271"/>
      <c r="AG346" s="271"/>
      <c r="AH346" s="271"/>
      <c r="AI346" s="271"/>
      <c r="AJ346" s="271"/>
      <c r="AK346" s="271"/>
      <c r="AL346" s="271"/>
      <c r="AM346" s="271"/>
      <c r="AN346" s="271"/>
      <c r="AO346" s="271"/>
      <c r="AP346" s="271"/>
      <c r="AQ346" s="271"/>
    </row>
    <row r="347" spans="1:54" ht="13.5" thickBot="1" x14ac:dyDescent="0.25">
      <c r="A347" s="272" t="s">
        <v>115</v>
      </c>
      <c r="B347" s="274" t="s">
        <v>116</v>
      </c>
      <c r="C347" s="275"/>
      <c r="D347" s="275"/>
      <c r="E347" s="275"/>
      <c r="F347" s="275"/>
      <c r="G347" s="275"/>
      <c r="H347" s="275"/>
      <c r="I347" s="275"/>
      <c r="J347" s="275"/>
      <c r="K347" s="276"/>
      <c r="L347" s="274" t="s">
        <v>117</v>
      </c>
      <c r="M347" s="275"/>
      <c r="N347" s="275"/>
      <c r="O347" s="275"/>
      <c r="P347" s="275"/>
      <c r="Q347" s="275"/>
      <c r="R347" s="275"/>
      <c r="S347" s="275"/>
      <c r="T347" s="275"/>
      <c r="U347" s="276"/>
      <c r="V347" s="274" t="s">
        <v>118</v>
      </c>
      <c r="W347" s="275"/>
      <c r="X347" s="275"/>
      <c r="Y347" s="275"/>
      <c r="Z347" s="275"/>
      <c r="AA347" s="275"/>
      <c r="AB347" s="275"/>
      <c r="AC347" s="275"/>
      <c r="AD347" s="275"/>
      <c r="AE347" s="276"/>
      <c r="AF347" s="274" t="s">
        <v>119</v>
      </c>
      <c r="AG347" s="275"/>
      <c r="AH347" s="275"/>
      <c r="AI347" s="275"/>
      <c r="AJ347" s="275"/>
      <c r="AK347" s="275"/>
      <c r="AL347" s="275"/>
      <c r="AM347" s="275"/>
      <c r="AN347" s="275"/>
      <c r="AO347" s="276"/>
    </row>
    <row r="348" spans="1:54" ht="13.5" thickBot="1" x14ac:dyDescent="0.25">
      <c r="A348" s="273"/>
      <c r="B348" s="268" t="s">
        <v>10</v>
      </c>
      <c r="C348" s="269"/>
      <c r="D348" s="269"/>
      <c r="E348" s="269"/>
      <c r="F348" s="269"/>
      <c r="G348" s="270"/>
      <c r="H348" s="268" t="s">
        <v>120</v>
      </c>
      <c r="I348" s="269"/>
      <c r="J348" s="269"/>
      <c r="K348" s="270"/>
      <c r="L348" s="268" t="s">
        <v>10</v>
      </c>
      <c r="M348" s="269"/>
      <c r="N348" s="269"/>
      <c r="O348" s="269"/>
      <c r="P348" s="269"/>
      <c r="Q348" s="270"/>
      <c r="R348" s="268" t="s">
        <v>120</v>
      </c>
      <c r="S348" s="269"/>
      <c r="T348" s="269"/>
      <c r="U348" s="270"/>
      <c r="V348" s="268" t="s">
        <v>10</v>
      </c>
      <c r="W348" s="269"/>
      <c r="X348" s="269"/>
      <c r="Y348" s="269"/>
      <c r="Z348" s="269"/>
      <c r="AA348" s="270"/>
      <c r="AB348" s="268" t="s">
        <v>120</v>
      </c>
      <c r="AC348" s="269"/>
      <c r="AD348" s="269"/>
      <c r="AE348" s="270"/>
      <c r="AF348" s="268" t="s">
        <v>10</v>
      </c>
      <c r="AG348" s="269"/>
      <c r="AH348" s="269"/>
      <c r="AI348" s="269"/>
      <c r="AJ348" s="269"/>
      <c r="AK348" s="270"/>
      <c r="AL348" s="268" t="s">
        <v>120</v>
      </c>
      <c r="AM348" s="269"/>
      <c r="AN348" s="269"/>
      <c r="AO348" s="270"/>
    </row>
    <row r="349" spans="1:54" x14ac:dyDescent="0.2">
      <c r="A349" s="97" t="s">
        <v>121</v>
      </c>
      <c r="B349" s="260" t="str">
        <f>IF($AF$8=1,$E$8,IF($AF$10=1,$E$10,IF($AF$12=1,$E$12,IF($AF$14=1,$E$14,IF($AF$16=1,$E$16,"1st Place "&amp;$A349)))))</f>
        <v>SC Midlands 14 National</v>
      </c>
      <c r="C349" s="261"/>
      <c r="D349" s="261"/>
      <c r="E349" s="261"/>
      <c r="F349" s="261"/>
      <c r="G349" s="261"/>
      <c r="H349" s="262" t="str">
        <f>IF($AF$8=1,$E$9,IF($AF$10=1,$E$11,IF($AF$12=1,$E$13,IF($AF$14=1,$E$15,IF($AF$16=1,$E$17,"1st Place "&amp;$A349)))))</f>
        <v>fj4scmid1pm</v>
      </c>
      <c r="I349" s="262"/>
      <c r="J349" s="262"/>
      <c r="K349" s="263"/>
      <c r="L349" s="260" t="str">
        <f>IF($AF$8=2,$E$8,IF($AF$10=2,$E$10,IF($AF$12=2,$E$12,IF($AF$14=2,$E$14,IF($AF$16=2,$E$16,"2nd Place "&amp;$A349)))))</f>
        <v>Kershaw 14 Black</v>
      </c>
      <c r="M349" s="261"/>
      <c r="N349" s="261"/>
      <c r="O349" s="261"/>
      <c r="P349" s="261"/>
      <c r="Q349" s="261"/>
      <c r="R349" s="262" t="str">
        <f>IF($AF$8=2,$E$9,IF($AF$10=2,$E$11,IF($AF$12=2,$E$13,IF($AF$14=2,$E$15,IF($AF$16=2,$E$17,"2nd Place "&amp;$A349)))))</f>
        <v>fj4kersh1pm</v>
      </c>
      <c r="S349" s="262"/>
      <c r="T349" s="262"/>
      <c r="U349" s="263"/>
      <c r="V349" s="260" t="str">
        <f>IF($AF$8=3,$E$8,IF($AF$10=3,$E$10,IF($AF$12=3,$E$12,IF($AF$14=3,$E$14,IF($AF$16=3,$E$16,"3rd Place "&amp;$A349)))))</f>
        <v>C1VB 14 Power Grvl</v>
      </c>
      <c r="W349" s="261"/>
      <c r="X349" s="261"/>
      <c r="Y349" s="261"/>
      <c r="Z349" s="261"/>
      <c r="AA349" s="261"/>
      <c r="AB349" s="262" t="str">
        <f>IF($AF$8=3,$E$9,IF($AF$10=3,$E$11,IF($AF$12=3,$E$13,IF($AF$14=3,$E$15,IF($AF$16=3,$E$17,"3rd Place "&amp;$A349)))))</f>
        <v>fj4crone2pm</v>
      </c>
      <c r="AC349" s="262"/>
      <c r="AD349" s="262"/>
      <c r="AE349" s="263"/>
      <c r="AF349" s="260" t="str">
        <f>IF($AF$8=4,$E$8,IF($AF$10=4,$E$10,IF($AF$12=4,$E$12,IF($AF$14=4,$E$14,IF($AF$16=4,$E$16,"4th Place "&amp;$A349)))))</f>
        <v>SC Midlands 14 Perf</v>
      </c>
      <c r="AG349" s="261"/>
      <c r="AH349" s="261"/>
      <c r="AI349" s="261"/>
      <c r="AJ349" s="261"/>
      <c r="AK349" s="261"/>
      <c r="AL349" s="262" t="str">
        <f>IF($AF$8=4,$E$9,IF($AF$10=4,$E$11,IF($AF$12=4,$E$13,IF($AF$14=4,$E$15,IF($AF$16=4,$E$17,"4th Place "&amp;$A349)))))</f>
        <v>fj4scmid2pm</v>
      </c>
      <c r="AM349" s="262"/>
      <c r="AN349" s="262"/>
      <c r="AO349" s="263"/>
    </row>
    <row r="350" spans="1:54" x14ac:dyDescent="0.2">
      <c r="A350" s="97" t="s">
        <v>122</v>
      </c>
      <c r="B350" s="432" t="str">
        <f>IF($AF$93=1,$E$93,IF($AF$95=1,$E$95,IF($AF$97=1,$E$97,IF($AF$99=1,$E$99,IF($AF$101=1,$E$101,"1st Place "&amp;$A350)))))</f>
        <v>Magnum 14 Elite</v>
      </c>
      <c r="C350" s="433"/>
      <c r="D350" s="433"/>
      <c r="E350" s="433"/>
      <c r="F350" s="433"/>
      <c r="G350" s="433"/>
      <c r="H350" s="434" t="str">
        <f>IF($AF$93=1,$E$94,IF($AF$95=1,$E$96,IF($AF$97=1,$E$98,IF($AF$99=1,$E$100,IF($AF$101=1,$E$102,"1st Place "&amp;$A350)))))</f>
        <v>fj4magnm2pm</v>
      </c>
      <c r="I350" s="434"/>
      <c r="J350" s="434"/>
      <c r="K350" s="435"/>
      <c r="L350" s="432" t="str">
        <f>IF($AF$93=2,$E$93,IF($AF$95=2,$E$95,IF($AF$97=2,$E$97,IF($AF$99=2,$E$99,IF($AF$101=2,$E$101,"2nd Place "&amp;$A350)))))</f>
        <v>Intense 14 Elite Rock Hil</v>
      </c>
      <c r="M350" s="433"/>
      <c r="N350" s="433"/>
      <c r="O350" s="433"/>
      <c r="P350" s="433"/>
      <c r="Q350" s="433"/>
      <c r="R350" s="434" t="str">
        <f>IF($AF$93=2,$E$94,IF($AF$95=2,$E$96,IF($AF$97=2,$E$98,IF($AF$99=2,$E$100,IF($AF$101=2,$E$102,"2nd Place "&amp;$A350)))))</f>
        <v>fj4inten6pm</v>
      </c>
      <c r="S350" s="434"/>
      <c r="T350" s="434"/>
      <c r="U350" s="435"/>
      <c r="V350" s="432" t="str">
        <f>IF($AF$93=3,$E$93,IF($AF$95=3,$E$95,IF($AF$97=3,$E$97,IF($AF$99=3,$E$99,IF($AF$101=3,$E$101,"3rd Place "&amp;$A350)))))</f>
        <v>Fort Mill 14 Bayley</v>
      </c>
      <c r="W350" s="433"/>
      <c r="X350" s="433"/>
      <c r="Y350" s="433"/>
      <c r="Z350" s="433"/>
      <c r="AA350" s="433"/>
      <c r="AB350" s="434" t="str">
        <f>IF($AF$93=3,$E$94,IF($AF$95=3,$E$96,IF($AF$97=3,$E$98,IF($AF$99=3,$E$100,IF($AF$101=3,$E$102,"3rd Place "&amp;$A350)))))</f>
        <v>fj4fortm1pm</v>
      </c>
      <c r="AC350" s="434"/>
      <c r="AD350" s="434"/>
      <c r="AE350" s="435"/>
      <c r="AF350" s="432" t="str">
        <f>IF($AF$93=4,$E$93,IF($AF$95=4,$E$95,IF($AF$97=4,$E$97,IF($AF$99=4,$E$99,IF($AF$101=4,$E$101,"4th Place "&amp;$A350)))))</f>
        <v>Intense 14 performace</v>
      </c>
      <c r="AG350" s="433"/>
      <c r="AH350" s="433"/>
      <c r="AI350" s="433"/>
      <c r="AJ350" s="433"/>
      <c r="AK350" s="433"/>
      <c r="AL350" s="434" t="str">
        <f>IF($AF$93=4,$E$94,IF($AF$95=4,$E$96,IF($AF$97=4,$E$98,IF($AF$99=4,$E$100,IF($AF$101=4,$E$102,"4th Place "&amp;$A350)))))</f>
        <v>fj4inten3pm</v>
      </c>
      <c r="AM350" s="434"/>
      <c r="AN350" s="434"/>
      <c r="AO350" s="435"/>
    </row>
    <row r="351" spans="1:54" x14ac:dyDescent="0.2">
      <c r="A351" s="97" t="s">
        <v>208</v>
      </c>
      <c r="B351" s="432" t="str">
        <f>IF($AF$178=1,$E$178,IF($AF$180=1,$E$180,IF($AF$182=1,$E$182,IF($AF$184=1,$E$184,IF($AF$186=1,$E$186,"1st Place "&amp;$A351)))))</f>
        <v>Magnum Aiken 14 Green</v>
      </c>
      <c r="C351" s="433"/>
      <c r="D351" s="433"/>
      <c r="E351" s="433"/>
      <c r="F351" s="433"/>
      <c r="G351" s="433"/>
      <c r="H351" s="434" t="str">
        <f>IF($AF$178=1,$E$179,IF($AF$180=1,$E$181,IF($AF$182=1,$E$183,IF($AF$184=1,$E$185,IF($AF$186=1,$E$187,"1st Place "&amp;$A351)))))</f>
        <v>fj4magnm3pm</v>
      </c>
      <c r="I351" s="434"/>
      <c r="J351" s="434"/>
      <c r="K351" s="435"/>
      <c r="L351" s="432" t="str">
        <f>IF($AF$178=2,$E$178,IF($AF$180=2,$E$180,IF($AF$182=2,$E$182,IF($AF$184=2,$E$184,IF($AF$186=2,$E$186,"2nd Place "&amp;$A351)))))</f>
        <v>Chas Jrs 14 Red</v>
      </c>
      <c r="M351" s="433"/>
      <c r="N351" s="433"/>
      <c r="O351" s="433"/>
      <c r="P351" s="433"/>
      <c r="Q351" s="433"/>
      <c r="R351" s="434" t="str">
        <f>IF($AF$178=2,$E$179,IF($AF$180=2,$E$181,IF($AF$182=2,$E$183,IF($AF$184=2,$E$185,IF($AF$186=2,$E$187,"2nd Place "&amp;$A351)))))</f>
        <v>fj4charl1pm</v>
      </c>
      <c r="S351" s="434"/>
      <c r="T351" s="434"/>
      <c r="U351" s="435"/>
      <c r="V351" s="432" t="str">
        <f>IF($AF$178=3,$E$178,IF($AF$180=3,$E$180,IF($AF$182=3,$E$182,IF($AF$184=3,$E$184,IF($AF$186=3,$E$186,"3rd Place "&amp;$A351)))))</f>
        <v>MOTO 14-1 IGNITE</v>
      </c>
      <c r="W351" s="433"/>
      <c r="X351" s="433"/>
      <c r="Y351" s="433"/>
      <c r="Z351" s="433"/>
      <c r="AA351" s="433"/>
      <c r="AB351" s="434" t="str">
        <f>IF($AF$178=3,$E$179,IF($AF$180=3,$E$181,IF($AF$182=3,$E$183,IF($AF$184=3,$E$185,IF($AF$186=3,$E$187,"3rd Place "&amp;$A351)))))</f>
        <v>fj4motoj1pm</v>
      </c>
      <c r="AC351" s="434"/>
      <c r="AD351" s="434"/>
      <c r="AE351" s="435"/>
      <c r="AF351" s="432" t="str">
        <f>IF($AF$178=4,$E$178,IF($AF$180=4,$E$180,IF($AF$182=4,$E$182,IF($AF$184=4,$E$184,IF($AF$186=4,$E$186,"4th Place "&amp;$A351)))))</f>
        <v>Intense 14 Elite</v>
      </c>
      <c r="AG351" s="433"/>
      <c r="AH351" s="433"/>
      <c r="AI351" s="433"/>
      <c r="AJ351" s="433"/>
      <c r="AK351" s="433"/>
      <c r="AL351" s="434" t="str">
        <f>IF($AF$178=4,$E$179,IF($AF$180=4,$E$181,IF($AF$182=4,$E$183,IF($AF$184=4,$E$185,IF($AF$186=4,$E$187,"4th Place "&amp;$A351)))))</f>
        <v>fj4inten2pm</v>
      </c>
      <c r="AM351" s="434"/>
      <c r="AN351" s="434"/>
      <c r="AO351" s="435"/>
    </row>
    <row r="352" spans="1:54" ht="13.5" thickBot="1" x14ac:dyDescent="0.25">
      <c r="A352" s="98" t="s">
        <v>209</v>
      </c>
      <c r="B352" s="264" t="str">
        <f>IF($AF$263=1,$E$263,IF($AF$265=1,$E$265,IF($AF$267=1,$E$267,IF($AF$269=1,$E$269,IF($AF$271=1,$E$271,"1st Place "&amp;$A352)))))</f>
        <v>Vision 14-Kristen &amp; Rach</v>
      </c>
      <c r="C352" s="265"/>
      <c r="D352" s="265"/>
      <c r="E352" s="265"/>
      <c r="F352" s="265"/>
      <c r="G352" s="265"/>
      <c r="H352" s="266" t="str">
        <f>IF($AF$263=1,$E$264,IF($AF$265=1,$E$266,IF($AF$267=1,$E$268,IF($AF$269=1,$E$270,IF($AF$271=1,$E$272,"1st Place "&amp;$A352)))))</f>
        <v>fj4vison2pm</v>
      </c>
      <c r="I352" s="266"/>
      <c r="J352" s="266"/>
      <c r="K352" s="267"/>
      <c r="L352" s="264" t="str">
        <f>IF($AF$263=2,$E$263,IF($AF$265=2,$E$265,IF($AF$267=2,$E$267,IF($AF$269=2,$E$269,IF($AF$271=2,$E$271,"2nd Place "&amp;$A352)))))</f>
        <v>CSRA Heat 14 Gold</v>
      </c>
      <c r="M352" s="265"/>
      <c r="N352" s="265"/>
      <c r="O352" s="265"/>
      <c r="P352" s="265"/>
      <c r="Q352" s="265"/>
      <c r="R352" s="266" t="str">
        <f>IF($AF$263=2,$E$264,IF($AF$265=2,$E$266,IF($AF$267=2,$E$268,IF($AF$269=2,$E$270,IF($AF$271=2,$E$272,"2nd Place "&amp;$A352)))))</f>
        <v>fj4csrah2pm</v>
      </c>
      <c r="S352" s="266"/>
      <c r="T352" s="266"/>
      <c r="U352" s="267"/>
      <c r="V352" s="264" t="str">
        <f>IF($AF$263=3,$E$263,IF($AF$265=3,$E$265,IF($AF$267=3,$E$267,IF($AF$269=3,$E$269,IF($AF$271=3,$E$271,"3rd Place "&amp;$A352)))))</f>
        <v>Intense 14 Hyper Elite</v>
      </c>
      <c r="W352" s="265"/>
      <c r="X352" s="265"/>
      <c r="Y352" s="265"/>
      <c r="Z352" s="265"/>
      <c r="AA352" s="265"/>
      <c r="AB352" s="266" t="str">
        <f>IF($AF$263=3,$E$264,IF($AF$265=3,$E$266,IF($AF$267=3,$E$268,IF($AF$269=3,$E$270,IF($AF$271=3,$E$272,"3rd Place "&amp;$A352)))))</f>
        <v>fj4inten1pm</v>
      </c>
      <c r="AC352" s="266"/>
      <c r="AD352" s="266"/>
      <c r="AE352" s="267"/>
      <c r="AF352" s="264" t="str">
        <f>IF($AF$263=4,$E$263,IF($AF$265=4,$E$265,IF($AF$267=4,$E$267,IF($AF$269=4,$E$269,IF($AF$271=4,$E$271,"4th Place "&amp;$A352)))))</f>
        <v>Crossfire 14 Power</v>
      </c>
      <c r="AG352" s="265"/>
      <c r="AH352" s="265"/>
      <c r="AI352" s="265"/>
      <c r="AJ352" s="265"/>
      <c r="AK352" s="265"/>
      <c r="AL352" s="266" t="str">
        <f>IF($AF$263=4,$E$264,IF($AF$265=4,$E$266,IF($AF$267=4,$E$268,IF($AF$269=4,$E$270,IF($AF$271=4,$E$272,"4th Place "&amp;$A352)))))</f>
        <v>fj4crosf1pm</v>
      </c>
      <c r="AM352" s="266"/>
      <c r="AN352" s="266"/>
      <c r="AO352" s="267"/>
    </row>
    <row r="353" spans="1:53" s="3" customFormat="1" x14ac:dyDescent="0.2">
      <c r="A353" s="99"/>
      <c r="B353" s="100"/>
      <c r="C353" s="100"/>
      <c r="D353" s="100"/>
      <c r="E353" s="100"/>
      <c r="F353" s="100"/>
      <c r="G353" s="100"/>
      <c r="H353" s="100"/>
      <c r="I353" s="100"/>
      <c r="J353" s="100"/>
      <c r="K353" s="100"/>
      <c r="L353" s="100"/>
      <c r="M353" s="100"/>
      <c r="N353" s="100"/>
      <c r="O353" s="100"/>
      <c r="P353" s="100"/>
      <c r="Q353" s="100"/>
      <c r="R353" s="100"/>
      <c r="S353" s="100"/>
      <c r="T353" s="100"/>
      <c r="U353" s="100"/>
      <c r="V353" s="100"/>
      <c r="W353" s="100"/>
      <c r="X353" s="100"/>
      <c r="Y353" s="100"/>
      <c r="Z353" s="100"/>
      <c r="AA353" s="100"/>
      <c r="AB353" s="100"/>
      <c r="AC353" s="100"/>
      <c r="AD353" s="100"/>
      <c r="AE353" s="100"/>
      <c r="AF353" s="100"/>
      <c r="AG353" s="100"/>
      <c r="AH353" s="100"/>
      <c r="AI353" s="100"/>
      <c r="AJ353" s="100"/>
      <c r="AK353" s="100"/>
      <c r="AL353" s="100"/>
      <c r="AM353" s="100"/>
      <c r="AN353" s="100"/>
      <c r="AO353" s="100"/>
      <c r="AW353" s="156"/>
      <c r="AX353" s="4"/>
      <c r="AY353" s="4"/>
      <c r="AZ353" s="4"/>
      <c r="BA353" s="4"/>
    </row>
    <row r="354" spans="1:53" ht="15.75" x14ac:dyDescent="0.25">
      <c r="A354" s="255" t="s">
        <v>123</v>
      </c>
      <c r="B354" s="255"/>
      <c r="C354" s="255"/>
      <c r="D354" s="255"/>
      <c r="E354" s="255"/>
      <c r="F354" s="255"/>
      <c r="G354" s="255"/>
      <c r="H354" s="255"/>
      <c r="I354" s="255"/>
      <c r="J354" s="255"/>
      <c r="K354" s="255"/>
      <c r="L354" s="255"/>
      <c r="M354" s="255"/>
      <c r="N354" s="255"/>
      <c r="O354" s="255"/>
      <c r="P354" s="255"/>
      <c r="Q354" s="255"/>
      <c r="R354" s="255"/>
      <c r="S354" s="255"/>
      <c r="T354" s="255"/>
      <c r="U354" s="255"/>
      <c r="V354" s="255"/>
      <c r="W354" s="255"/>
      <c r="X354" s="255"/>
      <c r="Y354" s="255"/>
      <c r="Z354" s="255"/>
      <c r="AA354" s="255"/>
      <c r="AB354" s="255"/>
      <c r="AC354" s="255"/>
      <c r="AD354" s="255"/>
      <c r="AE354" s="255"/>
      <c r="AF354" s="255"/>
      <c r="AG354" s="255"/>
      <c r="AH354" s="255"/>
      <c r="AI354" s="255"/>
      <c r="AJ354" s="255"/>
      <c r="AK354" s="255"/>
      <c r="AL354" s="255"/>
      <c r="AM354" s="255"/>
      <c r="AN354" s="255"/>
      <c r="AO354" s="255"/>
      <c r="AP354" s="255"/>
      <c r="AQ354" s="255"/>
      <c r="AT354" s="101"/>
      <c r="AU354" s="101"/>
      <c r="AV354" s="101"/>
    </row>
    <row r="355" spans="1:53" ht="18" x14ac:dyDescent="0.25">
      <c r="A355" s="256" t="s">
        <v>124</v>
      </c>
      <c r="B355" s="256"/>
      <c r="C355" s="256"/>
      <c r="D355" s="256"/>
      <c r="E355" s="256"/>
      <c r="F355" s="256"/>
      <c r="G355" s="256"/>
      <c r="H355" s="256"/>
      <c r="I355" s="256"/>
      <c r="J355" s="256"/>
      <c r="K355" s="256"/>
      <c r="L355" s="256"/>
      <c r="M355" s="256"/>
      <c r="N355" s="256"/>
      <c r="O355" s="256"/>
      <c r="P355" s="256"/>
      <c r="Q355" s="256"/>
      <c r="R355" s="256"/>
      <c r="S355" s="256"/>
      <c r="T355" s="256"/>
      <c r="U355" s="256"/>
      <c r="V355" s="256"/>
      <c r="W355" s="256"/>
      <c r="X355" s="256"/>
      <c r="Y355" s="256"/>
      <c r="Z355" s="256"/>
      <c r="AA355" s="256"/>
      <c r="AB355" s="256"/>
      <c r="AC355" s="256"/>
      <c r="AD355" s="256"/>
      <c r="AE355" s="256"/>
      <c r="AF355" s="256"/>
      <c r="AG355" s="256"/>
      <c r="AH355" s="256"/>
      <c r="AI355" s="256"/>
      <c r="AJ355" s="256"/>
      <c r="AK355" s="256"/>
      <c r="AL355" s="256"/>
      <c r="AM355" s="256"/>
      <c r="AN355" s="256"/>
      <c r="AO355" s="256"/>
      <c r="AP355" s="256"/>
      <c r="AQ355" s="256"/>
    </row>
    <row r="356" spans="1:53" x14ac:dyDescent="0.2">
      <c r="A356" s="257" t="s">
        <v>210</v>
      </c>
      <c r="B356" s="257"/>
      <c r="C356" s="257"/>
      <c r="D356" s="257"/>
      <c r="E356" s="257"/>
      <c r="F356" s="257"/>
      <c r="G356" s="257"/>
      <c r="H356" s="257"/>
      <c r="I356" s="257"/>
      <c r="J356" s="257"/>
      <c r="K356" s="257"/>
      <c r="L356" s="257"/>
      <c r="M356" s="257"/>
      <c r="N356" s="257"/>
      <c r="O356" s="257"/>
      <c r="P356" s="257"/>
      <c r="Q356" s="257"/>
      <c r="R356" s="257"/>
      <c r="S356" s="257"/>
      <c r="T356" s="257"/>
      <c r="U356" s="257"/>
      <c r="V356" s="257"/>
      <c r="W356" s="257"/>
      <c r="X356" s="257"/>
      <c r="Y356" s="257"/>
      <c r="Z356" s="257"/>
      <c r="AA356" s="257"/>
      <c r="AB356" s="257"/>
      <c r="AC356" s="257"/>
      <c r="AD356" s="257"/>
      <c r="AE356" s="257"/>
      <c r="AF356" s="257"/>
      <c r="AG356" s="257"/>
      <c r="AH356" s="257"/>
      <c r="AI356" s="257"/>
      <c r="AJ356" s="257"/>
      <c r="AK356" s="257"/>
      <c r="AL356" s="257"/>
      <c r="AM356" s="257"/>
      <c r="AN356" s="257"/>
      <c r="AO356" s="257"/>
      <c r="AP356" s="257"/>
      <c r="AQ356" s="257"/>
    </row>
    <row r="357" spans="1:53" x14ac:dyDescent="0.2">
      <c r="A357" s="257"/>
      <c r="B357" s="257"/>
      <c r="C357" s="257"/>
      <c r="D357" s="257"/>
      <c r="E357" s="257"/>
      <c r="F357" s="257"/>
      <c r="G357" s="257"/>
      <c r="H357" s="257"/>
      <c r="I357" s="257"/>
      <c r="J357" s="257"/>
      <c r="K357" s="257"/>
      <c r="L357" s="257"/>
      <c r="M357" s="257"/>
      <c r="N357" s="257"/>
      <c r="O357" s="257"/>
      <c r="P357" s="257"/>
      <c r="Q357" s="257"/>
      <c r="R357" s="257"/>
      <c r="S357" s="257"/>
      <c r="T357" s="257"/>
      <c r="U357" s="257"/>
      <c r="V357" s="257"/>
      <c r="W357" s="257"/>
      <c r="X357" s="257"/>
      <c r="Y357" s="257"/>
      <c r="Z357" s="257"/>
      <c r="AA357" s="257"/>
      <c r="AB357" s="257"/>
      <c r="AC357" s="257"/>
      <c r="AD357" s="257"/>
      <c r="AE357" s="257"/>
      <c r="AF357" s="257"/>
      <c r="AG357" s="257"/>
      <c r="AH357" s="257"/>
      <c r="AI357" s="257"/>
      <c r="AJ357" s="257"/>
      <c r="AK357" s="257"/>
      <c r="AL357" s="257"/>
      <c r="AM357" s="257"/>
      <c r="AN357" s="257"/>
      <c r="AO357" s="257"/>
      <c r="AP357" s="257"/>
      <c r="AQ357" s="257"/>
    </row>
    <row r="358" spans="1:53" x14ac:dyDescent="0.2">
      <c r="A358" s="258" t="s">
        <v>126</v>
      </c>
      <c r="B358" s="258"/>
      <c r="C358" s="258"/>
      <c r="D358" s="258"/>
      <c r="E358" s="258"/>
      <c r="F358" s="258"/>
      <c r="G358" s="258"/>
      <c r="H358" s="258"/>
      <c r="I358" s="258"/>
      <c r="J358" s="258"/>
      <c r="K358" s="258"/>
      <c r="L358" s="102"/>
    </row>
    <row r="359" spans="1:53" x14ac:dyDescent="0.2">
      <c r="C359" s="3"/>
      <c r="D359" s="3"/>
      <c r="E359" s="3"/>
      <c r="L359" s="102"/>
    </row>
    <row r="360" spans="1:53" x14ac:dyDescent="0.2">
      <c r="A360" s="259" t="s">
        <v>127</v>
      </c>
      <c r="B360" s="259"/>
      <c r="C360" s="259"/>
      <c r="D360" s="259"/>
      <c r="E360" s="259"/>
      <c r="F360" s="259"/>
      <c r="G360" s="259"/>
      <c r="H360" s="259"/>
      <c r="I360" s="259"/>
      <c r="J360" s="259"/>
      <c r="K360" s="259"/>
      <c r="L360" s="259"/>
      <c r="M360" s="259"/>
      <c r="N360" s="259"/>
      <c r="O360" s="259"/>
      <c r="P360" s="156"/>
      <c r="R360" s="259" t="s">
        <v>128</v>
      </c>
      <c r="S360" s="259"/>
      <c r="T360" s="259"/>
      <c r="U360" s="259"/>
      <c r="V360" s="259"/>
      <c r="W360" s="259"/>
      <c r="X360" s="259"/>
      <c r="Y360" s="259"/>
      <c r="Z360" s="259"/>
      <c r="AA360" s="259"/>
      <c r="AB360" s="259"/>
      <c r="AC360" s="259"/>
      <c r="AD360" s="259"/>
      <c r="AE360" s="259"/>
      <c r="AF360" s="259"/>
    </row>
    <row r="362" spans="1:53" ht="13.5" thickBot="1" x14ac:dyDescent="0.25">
      <c r="A362" s="225" t="str">
        <f>IF(B390=1,B382,IF(B390=2,B383,IF(B390=3,B384,IF(B390=4,B385,IF(OR(B390="B",B390="b"),"BYE","invalid")))))</f>
        <v>SC Midlands 14 National</v>
      </c>
      <c r="B362" s="225"/>
      <c r="C362" s="225"/>
      <c r="D362" s="225"/>
      <c r="E362" s="225"/>
      <c r="F362" s="103"/>
      <c r="G362" s="103"/>
      <c r="H362" s="103"/>
      <c r="I362" s="103"/>
      <c r="J362" s="103"/>
      <c r="K362" s="103"/>
      <c r="L362" s="103"/>
      <c r="M362" s="103"/>
      <c r="N362" s="103"/>
      <c r="S362" s="157"/>
      <c r="T362" s="157"/>
      <c r="U362" s="225" t="str">
        <f>IF(W390=1,X382,IF(W390=2,X383,IF(W390=3,X384,IF(W390=4,X385,IF(OR(W390="B",W390="b"),"BYE","invalid")))))</f>
        <v>Kershaw 14 Black</v>
      </c>
      <c r="V362" s="225"/>
      <c r="W362" s="225"/>
      <c r="X362" s="225"/>
      <c r="Y362" s="225"/>
      <c r="Z362" s="225"/>
      <c r="AA362" s="225"/>
      <c r="AB362" s="103"/>
      <c r="AC362" s="103"/>
      <c r="AD362" s="103"/>
      <c r="AE362" s="103"/>
      <c r="AF362" s="103"/>
      <c r="AG362" s="103"/>
      <c r="AH362" s="103"/>
      <c r="AK362" s="103"/>
    </row>
    <row r="363" spans="1:53" x14ac:dyDescent="0.2">
      <c r="A363" s="227" t="s">
        <v>129</v>
      </c>
      <c r="B363" s="227"/>
      <c r="C363" s="227"/>
      <c r="D363" s="227"/>
      <c r="E363" s="227"/>
      <c r="F363" s="105"/>
      <c r="G363" s="103"/>
      <c r="H363" s="103"/>
      <c r="I363" s="103"/>
      <c r="J363" s="103"/>
      <c r="K363" s="103"/>
      <c r="L363" s="103"/>
      <c r="M363" s="103"/>
      <c r="N363" s="103"/>
      <c r="S363" s="106"/>
      <c r="T363" s="106"/>
      <c r="U363" s="227" t="s">
        <v>211</v>
      </c>
      <c r="V363" s="227"/>
      <c r="W363" s="227"/>
      <c r="X363" s="227"/>
      <c r="Y363" s="227"/>
      <c r="Z363" s="227"/>
      <c r="AA363" s="436"/>
      <c r="AB363" s="105"/>
      <c r="AC363" s="103"/>
      <c r="AD363" s="103"/>
      <c r="AE363" s="103"/>
      <c r="AF363" s="103"/>
      <c r="AG363" s="103"/>
      <c r="AH363" s="103"/>
      <c r="AI363" s="103"/>
      <c r="AJ363" s="103"/>
      <c r="AK363" s="103"/>
    </row>
    <row r="364" spans="1:53" x14ac:dyDescent="0.2">
      <c r="A364" s="103"/>
      <c r="B364" s="103"/>
      <c r="C364" s="103"/>
      <c r="D364" s="103"/>
      <c r="E364" s="103"/>
      <c r="F364" s="105"/>
      <c r="G364" s="103"/>
      <c r="H364" s="103"/>
      <c r="I364" s="103"/>
      <c r="J364" s="103"/>
      <c r="K364" s="103"/>
      <c r="L364" s="103"/>
      <c r="M364" s="103"/>
      <c r="N364" s="103"/>
      <c r="R364" s="103"/>
      <c r="S364" s="103"/>
      <c r="T364" s="103"/>
      <c r="U364" s="103"/>
      <c r="V364" s="103"/>
      <c r="W364" s="103"/>
      <c r="X364" s="103"/>
      <c r="Y364" s="103"/>
      <c r="AB364" s="105"/>
      <c r="AC364" s="103"/>
      <c r="AD364" s="103"/>
      <c r="AE364" s="103"/>
      <c r="AF364" s="103"/>
      <c r="AG364" s="103"/>
      <c r="AH364" s="103"/>
      <c r="AI364" s="103"/>
      <c r="AJ364" s="103"/>
      <c r="AK364" s="103"/>
    </row>
    <row r="365" spans="1:53" ht="13.5" thickBot="1" x14ac:dyDescent="0.25">
      <c r="A365" s="228" t="str">
        <f>B384&amp;" ref"</f>
        <v>Magnum Aiken 14 Green ref</v>
      </c>
      <c r="B365" s="228"/>
      <c r="C365" s="228"/>
      <c r="D365" s="228"/>
      <c r="E365" s="242"/>
      <c r="F365" s="237" t="str">
        <f>IF(H390=1,B382,IF(H390=2,B383,IF(H390=3,B384,IF(H390=4,B385,"Winner Match 1"))))</f>
        <v>SC Midlands 14 National</v>
      </c>
      <c r="G365" s="238"/>
      <c r="H365" s="238"/>
      <c r="I365" s="238"/>
      <c r="J365" s="238"/>
      <c r="K365" s="238"/>
      <c r="L365" s="238"/>
      <c r="M365" s="238"/>
      <c r="N365" s="103"/>
      <c r="P365" s="108"/>
      <c r="Q365" s="108"/>
      <c r="R365" s="108"/>
      <c r="S365" s="108"/>
      <c r="T365" s="108"/>
      <c r="U365" s="228" t="str">
        <f>X384&amp;" ref"</f>
        <v>Chas Jrs 14 Red ref</v>
      </c>
      <c r="V365" s="228"/>
      <c r="W365" s="228"/>
      <c r="X365" s="228"/>
      <c r="Y365" s="228"/>
      <c r="Z365" s="228"/>
      <c r="AA365" s="242"/>
      <c r="AB365" s="237" t="str">
        <f>IF(AC390=1,X382,IF(AC390=2,X383,IF(AC390=3,X384,IF(AC390=4,X385,"Winner Match 1"))))</f>
        <v>Kershaw 14 Black</v>
      </c>
      <c r="AC365" s="238"/>
      <c r="AD365" s="238"/>
      <c r="AE365" s="238"/>
      <c r="AF365" s="238"/>
      <c r="AG365" s="238"/>
      <c r="AH365" s="238"/>
      <c r="AI365" s="437"/>
      <c r="AJ365" s="103"/>
      <c r="AK365" s="103"/>
    </row>
    <row r="366" spans="1:53" x14ac:dyDescent="0.2">
      <c r="A366" s="239" t="s">
        <v>131</v>
      </c>
      <c r="B366" s="239"/>
      <c r="C366" s="239"/>
      <c r="D366" s="239"/>
      <c r="E366" s="239"/>
      <c r="F366" s="251"/>
      <c r="G366" s="252"/>
      <c r="H366" s="252"/>
      <c r="I366" s="253"/>
      <c r="J366" s="233"/>
      <c r="K366" s="234"/>
      <c r="L366" s="234"/>
      <c r="M366" s="234"/>
      <c r="N366" s="103"/>
      <c r="O366" s="103"/>
      <c r="P366" s="114"/>
      <c r="Q366" s="7"/>
      <c r="R366" s="115"/>
      <c r="S366" s="115"/>
      <c r="T366" s="438"/>
      <c r="U366" s="239" t="s">
        <v>132</v>
      </c>
      <c r="V366" s="239"/>
      <c r="W366" s="239"/>
      <c r="X366" s="239"/>
      <c r="Y366" s="239"/>
      <c r="Z366" s="239"/>
      <c r="AA366" s="246"/>
      <c r="AB366" s="109"/>
      <c r="AC366" s="110"/>
      <c r="AD366" s="110"/>
      <c r="AE366" s="111"/>
      <c r="AF366" s="112"/>
      <c r="AG366" s="113"/>
      <c r="AH366" s="113"/>
      <c r="AI366" s="113"/>
      <c r="AJ366" s="103"/>
      <c r="AK366" s="103"/>
    </row>
    <row r="367" spans="1:53" ht="13.5" thickBot="1" x14ac:dyDescent="0.25">
      <c r="A367" s="225" t="str">
        <f>IF(D390=1,B382,IF(D390=2,B383,IF(D390=3,B384,IF(D390=4,B385,IF(OR(D390="B",D390="b"),"BYE","invalid")))))</f>
        <v>Vision 14-Kristen &amp; Rach</v>
      </c>
      <c r="B367" s="225"/>
      <c r="C367" s="225"/>
      <c r="D367" s="225"/>
      <c r="E367" s="226"/>
      <c r="F367" s="105"/>
      <c r="G367" s="103"/>
      <c r="H367" s="103"/>
      <c r="I367" s="103"/>
      <c r="J367" s="105"/>
      <c r="K367" s="103"/>
      <c r="L367" s="103"/>
      <c r="M367" s="103"/>
      <c r="N367" s="103"/>
      <c r="O367" s="103"/>
      <c r="P367" s="103"/>
      <c r="T367" s="103"/>
      <c r="U367" s="225" t="str">
        <f>IF(Y390=1,X382,IF(Y390=2,X383,IF(Y390=3,X384,IF(Y390=4,X385,IF(OR(Y390="B",Y390="b"),"BYE","invalid")))))</f>
        <v>CSRA Heat 14 Gold</v>
      </c>
      <c r="V367" s="225"/>
      <c r="W367" s="225"/>
      <c r="X367" s="225"/>
      <c r="Y367" s="225"/>
      <c r="Z367" s="225"/>
      <c r="AA367" s="226"/>
      <c r="AB367" s="105"/>
      <c r="AC367" s="103"/>
      <c r="AD367" s="103"/>
      <c r="AE367" s="103"/>
      <c r="AF367" s="105"/>
      <c r="AG367" s="103"/>
      <c r="AH367" s="103"/>
      <c r="AI367" s="103"/>
      <c r="AJ367" s="103"/>
      <c r="AK367" s="103"/>
      <c r="AT367" s="116"/>
      <c r="AU367" s="116"/>
    </row>
    <row r="368" spans="1:53" x14ac:dyDescent="0.2">
      <c r="A368" s="227" t="s">
        <v>212</v>
      </c>
      <c r="B368" s="227"/>
      <c r="C368" s="227"/>
      <c r="D368" s="227"/>
      <c r="E368" s="227"/>
      <c r="F368" s="103"/>
      <c r="G368" s="103"/>
      <c r="H368" s="103"/>
      <c r="I368" s="103"/>
      <c r="J368" s="105"/>
      <c r="K368" s="103"/>
      <c r="L368" s="103"/>
      <c r="M368" s="103"/>
      <c r="N368" s="103"/>
      <c r="O368" s="103"/>
      <c r="P368" s="103"/>
      <c r="U368" s="227" t="s">
        <v>213</v>
      </c>
      <c r="V368" s="227"/>
      <c r="W368" s="227"/>
      <c r="X368" s="227"/>
      <c r="Y368" s="227"/>
      <c r="Z368" s="227"/>
      <c r="AA368" s="227"/>
      <c r="AB368" s="103"/>
      <c r="AC368" s="103"/>
      <c r="AD368" s="103"/>
      <c r="AE368" s="103"/>
      <c r="AF368" s="105"/>
      <c r="AG368" s="103"/>
      <c r="AH368" s="103"/>
      <c r="AI368" s="103"/>
      <c r="AJ368" s="103"/>
      <c r="AK368" s="103"/>
      <c r="AQ368" s="116"/>
      <c r="AR368" s="116"/>
      <c r="AS368" s="116"/>
    </row>
    <row r="369" spans="1:53" x14ac:dyDescent="0.2">
      <c r="A369" s="103"/>
      <c r="B369" s="103"/>
      <c r="C369" s="103"/>
      <c r="D369" s="103"/>
      <c r="E369" s="103"/>
      <c r="F369" s="241" t="s">
        <v>135</v>
      </c>
      <c r="G369" s="241"/>
      <c r="H369" s="241"/>
      <c r="I369" s="250"/>
      <c r="J369" s="105"/>
      <c r="K369" s="103"/>
      <c r="L369" s="103"/>
      <c r="M369" s="103"/>
      <c r="N369" s="103"/>
      <c r="O369" s="103"/>
      <c r="P369" s="103"/>
      <c r="R369" s="103"/>
      <c r="S369" s="103"/>
      <c r="T369" s="103"/>
      <c r="U369" s="103"/>
      <c r="V369" s="103"/>
      <c r="W369" s="103"/>
      <c r="X369" s="103"/>
      <c r="Y369" s="103"/>
      <c r="AB369" s="241" t="s">
        <v>135</v>
      </c>
      <c r="AC369" s="241"/>
      <c r="AD369" s="241"/>
      <c r="AE369" s="250"/>
      <c r="AF369" s="105"/>
      <c r="AG369" s="103"/>
      <c r="AH369" s="103"/>
      <c r="AI369" s="103"/>
      <c r="AJ369" s="103"/>
      <c r="AK369" s="103"/>
    </row>
    <row r="370" spans="1:53" ht="13.5" thickBot="1" x14ac:dyDescent="0.25">
      <c r="A370" s="103"/>
      <c r="B370" s="103"/>
      <c r="C370" s="103"/>
      <c r="D370" s="103"/>
      <c r="E370" s="103"/>
      <c r="F370" s="103"/>
      <c r="G370" s="103"/>
      <c r="H370" s="103"/>
      <c r="I370" s="103"/>
      <c r="J370" s="244" t="str">
        <f>IF(K395=1,B382,IF(K395=2,B383,IF(K395=3,B384,IF(K395=4,B385,"Division Winner"))))</f>
        <v>SC Midlands 14 National</v>
      </c>
      <c r="K370" s="245"/>
      <c r="L370" s="245"/>
      <c r="M370" s="245"/>
      <c r="N370" s="245"/>
      <c r="O370" s="245"/>
      <c r="P370" s="245"/>
      <c r="Q370" s="157"/>
      <c r="R370" s="103"/>
      <c r="S370" s="103"/>
      <c r="T370" s="103"/>
      <c r="U370" s="103"/>
      <c r="V370" s="103"/>
      <c r="W370" s="103"/>
      <c r="X370" s="103"/>
      <c r="Y370" s="103"/>
      <c r="AB370" s="103"/>
      <c r="AC370" s="103"/>
      <c r="AD370" s="103"/>
      <c r="AE370" s="103"/>
      <c r="AF370" s="244" t="str">
        <f>IF(AF395=1,X382,IF(AF395=2,X383,IF(AF395=3,X384,IF(AF395=4,X385,"Division Winner"))))</f>
        <v>Intense 14 Elite Rock Hil</v>
      </c>
      <c r="AG370" s="245"/>
      <c r="AH370" s="245"/>
      <c r="AI370" s="245"/>
      <c r="AJ370" s="245"/>
      <c r="AK370" s="118"/>
    </row>
    <row r="371" spans="1:53" ht="13.5" thickBot="1" x14ac:dyDescent="0.25">
      <c r="A371" s="225" t="str">
        <f>IF(E390=1,B382,IF(E390=2,B383,IF(E390=3,B384,IF(E390=4,B385,IF(OR(E390="B",E390="b"),"BYE","invalid")))))</f>
        <v>Magnum 14 Elite</v>
      </c>
      <c r="B371" s="225"/>
      <c r="C371" s="225"/>
      <c r="D371" s="225"/>
      <c r="E371" s="225"/>
      <c r="F371" s="239" t="s">
        <v>136</v>
      </c>
      <c r="G371" s="239"/>
      <c r="H371" s="239"/>
      <c r="I371" s="239"/>
      <c r="J371" s="240" t="s">
        <v>137</v>
      </c>
      <c r="K371" s="241"/>
      <c r="L371" s="241"/>
      <c r="M371" s="241"/>
      <c r="N371" s="241"/>
      <c r="O371" s="241"/>
      <c r="P371" s="241"/>
      <c r="R371" s="118"/>
      <c r="S371" s="118"/>
      <c r="T371" s="118"/>
      <c r="U371" s="225" t="str">
        <f>IF(Z390=1,X382,IF(Z390=2,X383,IF(Z390=3,X384,IF(Z390=4,X385,IF(OR(Z390="B",Z390="b"),"BYE","invalid")))))</f>
        <v>Intense 14 Elite Rock Hil</v>
      </c>
      <c r="V371" s="225"/>
      <c r="W371" s="225"/>
      <c r="X371" s="225"/>
      <c r="Y371" s="225"/>
      <c r="Z371" s="225"/>
      <c r="AA371" s="225"/>
      <c r="AB371" s="239" t="s">
        <v>138</v>
      </c>
      <c r="AC371" s="239"/>
      <c r="AD371" s="239"/>
      <c r="AE371" s="246"/>
      <c r="AF371" s="247" t="s">
        <v>214</v>
      </c>
      <c r="AG371" s="248"/>
      <c r="AH371" s="248"/>
      <c r="AI371" s="248"/>
      <c r="AJ371" s="248"/>
      <c r="AK371" s="103"/>
      <c r="AW371" s="154"/>
      <c r="AX371" s="70"/>
      <c r="AY371" s="70"/>
      <c r="AZ371" s="70"/>
      <c r="BA371" s="70"/>
    </row>
    <row r="372" spans="1:53" x14ac:dyDescent="0.2">
      <c r="A372" s="227" t="s">
        <v>140</v>
      </c>
      <c r="B372" s="227"/>
      <c r="C372" s="227"/>
      <c r="D372" s="227"/>
      <c r="E372" s="227"/>
      <c r="F372" s="105"/>
      <c r="G372" s="103"/>
      <c r="H372" s="103"/>
      <c r="I372" s="103"/>
      <c r="J372" s="240"/>
      <c r="K372" s="241"/>
      <c r="L372" s="241"/>
      <c r="M372" s="241"/>
      <c r="N372" s="241"/>
      <c r="O372" s="241"/>
      <c r="P372" s="241"/>
      <c r="Q372" s="103"/>
      <c r="R372" s="116"/>
      <c r="S372" s="116"/>
      <c r="T372" s="116"/>
      <c r="U372" s="227" t="s">
        <v>215</v>
      </c>
      <c r="V372" s="227"/>
      <c r="W372" s="227"/>
      <c r="X372" s="227"/>
      <c r="Y372" s="227"/>
      <c r="Z372" s="227"/>
      <c r="AA372" s="436"/>
      <c r="AB372" s="105"/>
      <c r="AC372" s="103"/>
      <c r="AD372" s="103"/>
      <c r="AE372" s="103"/>
      <c r="AF372" s="120"/>
      <c r="AG372" s="117"/>
      <c r="AH372" s="117"/>
      <c r="AI372" s="117"/>
      <c r="AJ372" s="117"/>
      <c r="AK372" s="103"/>
      <c r="AW372" s="154"/>
      <c r="AX372" s="70"/>
      <c r="AY372" s="70"/>
      <c r="AZ372" s="70"/>
      <c r="BA372" s="70"/>
    </row>
    <row r="373" spans="1:53" x14ac:dyDescent="0.2">
      <c r="A373" s="103"/>
      <c r="B373" s="103"/>
      <c r="C373" s="103"/>
      <c r="D373" s="103"/>
      <c r="E373" s="103"/>
      <c r="F373" s="105"/>
      <c r="G373" s="103"/>
      <c r="H373" s="103"/>
      <c r="I373" s="103"/>
      <c r="J373" s="105"/>
      <c r="K373" s="103"/>
      <c r="L373" s="103"/>
      <c r="M373" s="103"/>
      <c r="N373" s="103"/>
      <c r="P373" s="103"/>
      <c r="Q373" s="103"/>
      <c r="R373" s="103"/>
      <c r="S373" s="103"/>
      <c r="T373" s="103"/>
      <c r="U373" s="103"/>
      <c r="V373" s="103"/>
      <c r="W373" s="103"/>
      <c r="X373" s="103"/>
      <c r="Y373" s="103"/>
      <c r="AB373" s="105"/>
      <c r="AC373" s="103"/>
      <c r="AD373" s="103"/>
      <c r="AE373" s="103"/>
      <c r="AF373" s="105"/>
      <c r="AG373" s="103"/>
      <c r="AH373" s="103"/>
      <c r="AI373" s="103"/>
      <c r="AJ373" s="103"/>
      <c r="AK373" s="103"/>
      <c r="AW373" s="154"/>
      <c r="AX373" s="70"/>
      <c r="AY373" s="70"/>
      <c r="AZ373" s="70"/>
      <c r="BA373" s="70"/>
    </row>
    <row r="374" spans="1:53" ht="13.5" thickBot="1" x14ac:dyDescent="0.25">
      <c r="A374" s="241" t="s">
        <v>142</v>
      </c>
      <c r="B374" s="241"/>
      <c r="C374" s="241"/>
      <c r="D374" s="241"/>
      <c r="E374" s="114"/>
      <c r="F374" s="230"/>
      <c r="G374" s="231"/>
      <c r="H374" s="231"/>
      <c r="I374" s="232"/>
      <c r="J374" s="233"/>
      <c r="K374" s="234"/>
      <c r="L374" s="234"/>
      <c r="M374" s="234"/>
      <c r="N374" s="103"/>
      <c r="Q374" s="108"/>
      <c r="R374" s="108"/>
      <c r="S374" s="108"/>
      <c r="T374" s="108"/>
      <c r="U374" s="439" t="s">
        <v>142</v>
      </c>
      <c r="V374" s="439"/>
      <c r="W374" s="439"/>
      <c r="X374" s="439"/>
      <c r="Y374" s="439"/>
      <c r="Z374" s="439"/>
      <c r="AA374" s="102"/>
      <c r="AB374" s="121"/>
      <c r="AC374" s="122"/>
      <c r="AD374" s="122"/>
      <c r="AE374" s="123"/>
      <c r="AF374" s="112"/>
      <c r="AG374" s="113"/>
      <c r="AH374" s="113"/>
      <c r="AI374" s="113"/>
      <c r="AJ374" s="103"/>
      <c r="AK374" s="103"/>
      <c r="AW374" s="154"/>
      <c r="AX374" s="70"/>
      <c r="AY374" s="70"/>
      <c r="AZ374" s="70"/>
      <c r="BA374" s="70"/>
    </row>
    <row r="375" spans="1:53" x14ac:dyDescent="0.2">
      <c r="A375" s="239" t="s">
        <v>131</v>
      </c>
      <c r="B375" s="239"/>
      <c r="C375" s="239"/>
      <c r="D375" s="239"/>
      <c r="E375" s="246"/>
      <c r="F375" s="237" t="str">
        <f>IF(J390=1,B382,IF(J390=2,B383,IF(J390=3,B384,IF(J390=4,B385,"Winner Match 2"))))</f>
        <v>Magnum 14 Elite</v>
      </c>
      <c r="G375" s="238"/>
      <c r="H375" s="238"/>
      <c r="I375" s="238"/>
      <c r="J375" s="238"/>
      <c r="K375" s="238"/>
      <c r="L375" s="238"/>
      <c r="M375" s="238"/>
      <c r="N375" s="103"/>
      <c r="P375" s="114"/>
      <c r="Q375" s="114"/>
      <c r="S375" s="115"/>
      <c r="T375" s="115"/>
      <c r="U375" s="239" t="s">
        <v>132</v>
      </c>
      <c r="V375" s="239"/>
      <c r="W375" s="239"/>
      <c r="X375" s="239"/>
      <c r="Y375" s="239"/>
      <c r="Z375" s="239"/>
      <c r="AA375" s="246"/>
      <c r="AB375" s="237" t="str">
        <f>IF(AE390=1,X382,IF(AE390=2,X383,IF(AE390=3,X384,IF(AE390=4,X385,"Winner Match 2"))))</f>
        <v>Intense 14 Elite Rock Hil</v>
      </c>
      <c r="AC375" s="238"/>
      <c r="AD375" s="238"/>
      <c r="AE375" s="238"/>
      <c r="AF375" s="238"/>
      <c r="AG375" s="238"/>
      <c r="AH375" s="238"/>
      <c r="AI375" s="437"/>
      <c r="AJ375" s="103"/>
      <c r="AK375" s="103"/>
      <c r="AW375" s="154"/>
      <c r="AX375" s="70"/>
      <c r="AY375" s="70"/>
      <c r="AZ375" s="70"/>
      <c r="BA375" s="70"/>
    </row>
    <row r="376" spans="1:53" ht="13.5" thickBot="1" x14ac:dyDescent="0.25">
      <c r="A376" s="225" t="str">
        <f>IF(G390=1,B382,IF(G390=2,B383,IF(G390=3,B384,IF(G390=4,B385,IF(OR(G390="B",G390="b"),"BYE","invalid")))))</f>
        <v>Magnum Aiken 14 Green</v>
      </c>
      <c r="B376" s="225"/>
      <c r="C376" s="225"/>
      <c r="D376" s="225"/>
      <c r="E376" s="226"/>
      <c r="F376" s="105"/>
      <c r="G376" s="103"/>
      <c r="H376" s="103"/>
      <c r="I376" s="103"/>
      <c r="J376" s="103"/>
      <c r="K376" s="103"/>
      <c r="L376" s="103"/>
      <c r="M376" s="103"/>
      <c r="N376" s="103"/>
      <c r="P376" s="103"/>
      <c r="Q376" s="103"/>
      <c r="R376" s="103"/>
      <c r="S376" s="118"/>
      <c r="T376" s="118"/>
      <c r="U376" s="225" t="str">
        <f>IF(AB390=1,X382,IF(AB390=2,X383,IF(AB390=3,X384,IF(AB390=4,X385,IF(OR(AB390="B",AB390="b"),"BYE","invalid")))))</f>
        <v>Chas Jrs 14 Red</v>
      </c>
      <c r="V376" s="225"/>
      <c r="W376" s="225"/>
      <c r="X376" s="225"/>
      <c r="Y376" s="225"/>
      <c r="Z376" s="225"/>
      <c r="AA376" s="226"/>
      <c r="AB376" s="105"/>
      <c r="AC376" s="103"/>
      <c r="AD376" s="103"/>
      <c r="AE376" s="103"/>
      <c r="AF376" s="103"/>
      <c r="AG376" s="103"/>
      <c r="AH376" s="103"/>
      <c r="AI376" s="103"/>
      <c r="AJ376" s="103"/>
      <c r="AK376" s="103"/>
      <c r="AW376" s="154"/>
      <c r="AX376" s="70"/>
      <c r="AY376" s="70"/>
      <c r="AZ376" s="70"/>
      <c r="BA376" s="70"/>
    </row>
    <row r="377" spans="1:53" x14ac:dyDescent="0.2">
      <c r="A377" s="227" t="s">
        <v>216</v>
      </c>
      <c r="B377" s="227"/>
      <c r="C377" s="227"/>
      <c r="D377" s="227"/>
      <c r="E377" s="227"/>
      <c r="S377" s="116"/>
      <c r="T377" s="116"/>
      <c r="U377" s="227" t="s">
        <v>217</v>
      </c>
      <c r="V377" s="227"/>
      <c r="W377" s="227"/>
      <c r="X377" s="227"/>
      <c r="Y377" s="227"/>
      <c r="Z377" s="227"/>
      <c r="AA377" s="227"/>
      <c r="AK377" s="103"/>
      <c r="AW377" s="154"/>
      <c r="AX377" s="70"/>
      <c r="AY377" s="70"/>
      <c r="AZ377" s="70"/>
      <c r="BA377" s="70"/>
    </row>
    <row r="378" spans="1:53" x14ac:dyDescent="0.2">
      <c r="AW378" s="154"/>
      <c r="AX378" s="70"/>
      <c r="AY378" s="70"/>
      <c r="AZ378" s="70"/>
      <c r="BA378" s="70"/>
    </row>
    <row r="379" spans="1:53" x14ac:dyDescent="0.2">
      <c r="AW379" s="154"/>
      <c r="AX379" s="70"/>
      <c r="AY379" s="70"/>
      <c r="AZ379" s="70"/>
      <c r="BA379" s="70"/>
    </row>
    <row r="380" spans="1:53" ht="16.5" thickBot="1" x14ac:dyDescent="0.3">
      <c r="A380" s="229" t="s">
        <v>145</v>
      </c>
      <c r="B380" s="229"/>
      <c r="C380" s="229"/>
      <c r="D380" s="229"/>
      <c r="E380" s="229"/>
      <c r="F380" s="229"/>
      <c r="G380" s="229"/>
      <c r="H380" s="229"/>
      <c r="I380" s="229"/>
      <c r="J380" s="229"/>
      <c r="Q380" s="125"/>
      <c r="R380" s="125"/>
      <c r="S380" s="125"/>
      <c r="U380" s="229" t="s">
        <v>146</v>
      </c>
      <c r="V380" s="229"/>
      <c r="W380" s="229"/>
      <c r="X380" s="229"/>
      <c r="Y380" s="229"/>
      <c r="Z380" s="229"/>
      <c r="AA380" s="229"/>
      <c r="AB380" s="229"/>
      <c r="AC380" s="229"/>
      <c r="AD380" s="229"/>
      <c r="AE380" s="229"/>
      <c r="AF380" s="229"/>
      <c r="AW380" s="154"/>
      <c r="AX380" s="70"/>
      <c r="AY380" s="70"/>
      <c r="AZ380" s="70"/>
      <c r="BA380" s="70"/>
    </row>
    <row r="381" spans="1:53" ht="13.5" thickBot="1" x14ac:dyDescent="0.25">
      <c r="A381" s="126" t="s">
        <v>147</v>
      </c>
      <c r="B381" s="219" t="s">
        <v>148</v>
      </c>
      <c r="C381" s="220"/>
      <c r="D381" s="220"/>
      <c r="E381" s="220"/>
      <c r="F381" s="220"/>
      <c r="G381" s="220"/>
      <c r="H381" s="220"/>
      <c r="I381" s="220"/>
      <c r="J381" s="221"/>
      <c r="K381" s="222" t="s">
        <v>149</v>
      </c>
      <c r="L381" s="223"/>
      <c r="M381" s="223"/>
      <c r="N381" s="223"/>
      <c r="O381" s="223"/>
      <c r="P381" s="223"/>
      <c r="Q381" s="224"/>
      <c r="U381" s="207" t="s">
        <v>147</v>
      </c>
      <c r="V381" s="208"/>
      <c r="W381" s="209"/>
      <c r="X381" s="219" t="s">
        <v>148</v>
      </c>
      <c r="Y381" s="220"/>
      <c r="Z381" s="220"/>
      <c r="AA381" s="220"/>
      <c r="AB381" s="220"/>
      <c r="AC381" s="220"/>
      <c r="AD381" s="220"/>
      <c r="AE381" s="220"/>
      <c r="AF381" s="221"/>
      <c r="AG381" s="222" t="s">
        <v>149</v>
      </c>
      <c r="AH381" s="223"/>
      <c r="AI381" s="223"/>
      <c r="AJ381" s="223"/>
      <c r="AK381" s="223"/>
      <c r="AL381" s="223"/>
      <c r="AM381" s="224"/>
      <c r="AW381" s="154"/>
      <c r="AX381" s="70"/>
      <c r="AY381" s="70"/>
      <c r="AZ381" s="70"/>
      <c r="BA381" s="70"/>
    </row>
    <row r="382" spans="1:53" ht="13.5" thickBot="1" x14ac:dyDescent="0.25">
      <c r="A382" s="126">
        <v>1</v>
      </c>
      <c r="B382" s="201" t="str">
        <f>B349</f>
        <v>SC Midlands 14 National</v>
      </c>
      <c r="C382" s="202"/>
      <c r="D382" s="202"/>
      <c r="E382" s="202"/>
      <c r="F382" s="202"/>
      <c r="G382" s="202"/>
      <c r="H382" s="202"/>
      <c r="I382" s="202"/>
      <c r="J382" s="203"/>
      <c r="K382" s="204" t="str">
        <f>H349</f>
        <v>fj4scmid1pm</v>
      </c>
      <c r="L382" s="205"/>
      <c r="M382" s="205"/>
      <c r="N382" s="205"/>
      <c r="O382" s="205"/>
      <c r="P382" s="205"/>
      <c r="Q382" s="206"/>
      <c r="U382" s="207">
        <v>1</v>
      </c>
      <c r="V382" s="208"/>
      <c r="W382" s="209"/>
      <c r="X382" s="201" t="str">
        <f>L349</f>
        <v>Kershaw 14 Black</v>
      </c>
      <c r="Y382" s="202"/>
      <c r="Z382" s="202"/>
      <c r="AA382" s="202"/>
      <c r="AB382" s="202"/>
      <c r="AC382" s="202"/>
      <c r="AD382" s="202"/>
      <c r="AE382" s="202"/>
      <c r="AF382" s="203"/>
      <c r="AG382" s="204" t="str">
        <f>R349</f>
        <v>fj4kersh1pm</v>
      </c>
      <c r="AH382" s="205"/>
      <c r="AI382" s="205"/>
      <c r="AJ382" s="205"/>
      <c r="AK382" s="205"/>
      <c r="AL382" s="205"/>
      <c r="AM382" s="206"/>
      <c r="AW382" s="154"/>
      <c r="AX382" s="70"/>
      <c r="AY382" s="70"/>
      <c r="AZ382" s="70"/>
      <c r="BA382" s="70"/>
    </row>
    <row r="383" spans="1:53" ht="13.5" thickBot="1" x14ac:dyDescent="0.25">
      <c r="A383" s="126">
        <v>2</v>
      </c>
      <c r="B383" s="201" t="str">
        <f>B350</f>
        <v>Magnum 14 Elite</v>
      </c>
      <c r="C383" s="202"/>
      <c r="D383" s="202"/>
      <c r="E383" s="202"/>
      <c r="F383" s="202"/>
      <c r="G383" s="202"/>
      <c r="H383" s="202"/>
      <c r="I383" s="202"/>
      <c r="J383" s="203"/>
      <c r="K383" s="204" t="str">
        <f>H350</f>
        <v>fj4magnm2pm</v>
      </c>
      <c r="L383" s="205"/>
      <c r="M383" s="205"/>
      <c r="N383" s="205"/>
      <c r="O383" s="205"/>
      <c r="P383" s="205"/>
      <c r="Q383" s="206"/>
      <c r="U383" s="207">
        <v>2</v>
      </c>
      <c r="V383" s="208"/>
      <c r="W383" s="209"/>
      <c r="X383" s="201" t="str">
        <f>L350</f>
        <v>Intense 14 Elite Rock Hil</v>
      </c>
      <c r="Y383" s="202"/>
      <c r="Z383" s="202"/>
      <c r="AA383" s="202"/>
      <c r="AB383" s="202"/>
      <c r="AC383" s="202"/>
      <c r="AD383" s="202"/>
      <c r="AE383" s="202"/>
      <c r="AF383" s="203"/>
      <c r="AG383" s="204" t="str">
        <f>R350</f>
        <v>fj4inten6pm</v>
      </c>
      <c r="AH383" s="205"/>
      <c r="AI383" s="205"/>
      <c r="AJ383" s="205"/>
      <c r="AK383" s="205"/>
      <c r="AL383" s="205"/>
      <c r="AM383" s="206"/>
      <c r="AW383" s="154"/>
      <c r="AX383" s="70"/>
      <c r="AY383" s="70"/>
      <c r="AZ383" s="70"/>
      <c r="BA383" s="70"/>
    </row>
    <row r="384" spans="1:53" ht="13.5" thickBot="1" x14ac:dyDescent="0.25">
      <c r="A384" s="126">
        <v>3</v>
      </c>
      <c r="B384" s="201" t="str">
        <f>B351</f>
        <v>Magnum Aiken 14 Green</v>
      </c>
      <c r="C384" s="202"/>
      <c r="D384" s="202"/>
      <c r="E384" s="202"/>
      <c r="F384" s="202"/>
      <c r="G384" s="202"/>
      <c r="H384" s="202"/>
      <c r="I384" s="202"/>
      <c r="J384" s="203"/>
      <c r="K384" s="204" t="str">
        <f>H351</f>
        <v>fj4magnm3pm</v>
      </c>
      <c r="L384" s="205"/>
      <c r="M384" s="205"/>
      <c r="N384" s="205"/>
      <c r="O384" s="205"/>
      <c r="P384" s="205"/>
      <c r="Q384" s="206"/>
      <c r="U384" s="207">
        <v>3</v>
      </c>
      <c r="V384" s="208"/>
      <c r="W384" s="209"/>
      <c r="X384" s="201" t="str">
        <f>L351</f>
        <v>Chas Jrs 14 Red</v>
      </c>
      <c r="Y384" s="202"/>
      <c r="Z384" s="202"/>
      <c r="AA384" s="202"/>
      <c r="AB384" s="202"/>
      <c r="AC384" s="202"/>
      <c r="AD384" s="202"/>
      <c r="AE384" s="202"/>
      <c r="AF384" s="203"/>
      <c r="AG384" s="204" t="str">
        <f>R351</f>
        <v>fj4charl1pm</v>
      </c>
      <c r="AH384" s="205"/>
      <c r="AI384" s="205"/>
      <c r="AJ384" s="205"/>
      <c r="AK384" s="205"/>
      <c r="AL384" s="205"/>
      <c r="AM384" s="206"/>
      <c r="AW384" s="154"/>
      <c r="AX384" s="70"/>
      <c r="AY384" s="70"/>
      <c r="AZ384" s="70"/>
      <c r="BA384" s="70"/>
    </row>
    <row r="385" spans="1:56" ht="13.5" thickBot="1" x14ac:dyDescent="0.25">
      <c r="A385" s="126">
        <v>4</v>
      </c>
      <c r="B385" s="201" t="str">
        <f>B352</f>
        <v>Vision 14-Kristen &amp; Rach</v>
      </c>
      <c r="C385" s="202"/>
      <c r="D385" s="202"/>
      <c r="E385" s="202"/>
      <c r="F385" s="202"/>
      <c r="G385" s="202"/>
      <c r="H385" s="202"/>
      <c r="I385" s="202"/>
      <c r="J385" s="203"/>
      <c r="K385" s="204" t="str">
        <f>H352</f>
        <v>fj4vison2pm</v>
      </c>
      <c r="L385" s="205"/>
      <c r="M385" s="205"/>
      <c r="N385" s="205"/>
      <c r="O385" s="205"/>
      <c r="P385" s="205"/>
      <c r="Q385" s="206"/>
      <c r="U385" s="207">
        <v>4</v>
      </c>
      <c r="V385" s="208"/>
      <c r="W385" s="209"/>
      <c r="X385" s="201" t="str">
        <f>L352</f>
        <v>CSRA Heat 14 Gold</v>
      </c>
      <c r="Y385" s="202"/>
      <c r="Z385" s="202"/>
      <c r="AA385" s="202"/>
      <c r="AB385" s="202"/>
      <c r="AC385" s="202"/>
      <c r="AD385" s="202"/>
      <c r="AE385" s="202"/>
      <c r="AF385" s="203"/>
      <c r="AG385" s="204" t="str">
        <f>R352</f>
        <v>fj4csrah2pm</v>
      </c>
      <c r="AH385" s="205"/>
      <c r="AI385" s="205"/>
      <c r="AJ385" s="205"/>
      <c r="AK385" s="205"/>
      <c r="AL385" s="205"/>
      <c r="AM385" s="206"/>
      <c r="AW385" s="154"/>
      <c r="AX385" s="70"/>
      <c r="AY385" s="70"/>
      <c r="AZ385" s="70"/>
      <c r="BA385" s="70"/>
    </row>
    <row r="386" spans="1:56" ht="13.5" thickBot="1" x14ac:dyDescent="0.25">
      <c r="AW386" s="154"/>
      <c r="AX386" s="70"/>
      <c r="AY386" s="70"/>
      <c r="AZ386" s="70"/>
      <c r="BA386" s="70"/>
    </row>
    <row r="387" spans="1:56" x14ac:dyDescent="0.2">
      <c r="B387" s="210" t="s">
        <v>150</v>
      </c>
      <c r="C387" s="182"/>
      <c r="D387" s="183"/>
      <c r="E387" s="181" t="s">
        <v>150</v>
      </c>
      <c r="F387" s="182"/>
      <c r="G387" s="183"/>
      <c r="H387" s="181" t="s">
        <v>14</v>
      </c>
      <c r="I387" s="182"/>
      <c r="J387" s="184"/>
      <c r="K387" s="185" t="s">
        <v>151</v>
      </c>
      <c r="L387" s="211"/>
      <c r="M387" s="211"/>
      <c r="N387" s="211"/>
      <c r="O387" s="211"/>
      <c r="P387" s="211"/>
      <c r="Q387" s="212"/>
      <c r="R387" s="127"/>
      <c r="S387" s="127"/>
      <c r="T387" s="127"/>
      <c r="U387" s="127"/>
      <c r="W387" s="210" t="s">
        <v>150</v>
      </c>
      <c r="X387" s="182"/>
      <c r="Y387" s="183"/>
      <c r="Z387" s="181" t="s">
        <v>150</v>
      </c>
      <c r="AA387" s="182"/>
      <c r="AB387" s="183"/>
      <c r="AC387" s="181" t="s">
        <v>14</v>
      </c>
      <c r="AD387" s="182"/>
      <c r="AE387" s="184"/>
      <c r="AF387" s="185" t="s">
        <v>151</v>
      </c>
      <c r="AG387" s="186"/>
      <c r="AH387" s="186"/>
      <c r="AI387" s="186"/>
      <c r="AJ387" s="187"/>
      <c r="AW387" s="154"/>
      <c r="AX387" s="70"/>
      <c r="AY387" s="70"/>
      <c r="AZ387" s="70"/>
      <c r="BA387" s="70"/>
    </row>
    <row r="388" spans="1:56" x14ac:dyDescent="0.2">
      <c r="A388" s="56" t="s">
        <v>152</v>
      </c>
      <c r="B388" s="194">
        <v>3</v>
      </c>
      <c r="C388" s="195"/>
      <c r="D388" s="196"/>
      <c r="E388" s="197" t="s">
        <v>153</v>
      </c>
      <c r="F388" s="195"/>
      <c r="G388" s="196"/>
      <c r="H388" s="197" t="s">
        <v>154</v>
      </c>
      <c r="I388" s="195"/>
      <c r="J388" s="198"/>
      <c r="K388" s="213"/>
      <c r="L388" s="214"/>
      <c r="M388" s="214"/>
      <c r="N388" s="214"/>
      <c r="O388" s="214"/>
      <c r="P388" s="214"/>
      <c r="Q388" s="215"/>
      <c r="R388" s="127"/>
      <c r="S388" s="127"/>
      <c r="T388" s="199" t="s">
        <v>152</v>
      </c>
      <c r="U388" s="199"/>
      <c r="V388" s="200"/>
      <c r="W388" s="194">
        <v>3</v>
      </c>
      <c r="X388" s="195"/>
      <c r="Y388" s="196"/>
      <c r="Z388" s="197" t="s">
        <v>153</v>
      </c>
      <c r="AA388" s="195"/>
      <c r="AB388" s="196"/>
      <c r="AC388" s="197" t="s">
        <v>154</v>
      </c>
      <c r="AD388" s="195"/>
      <c r="AE388" s="198"/>
      <c r="AF388" s="188"/>
      <c r="AG388" s="189"/>
      <c r="AH388" s="189"/>
      <c r="AI388" s="189"/>
      <c r="AJ388" s="190"/>
      <c r="AW388" s="154"/>
      <c r="AX388" s="70"/>
      <c r="AY388" s="70"/>
      <c r="AZ388" s="70"/>
      <c r="BA388" s="70"/>
    </row>
    <row r="389" spans="1:56" ht="13.5" thickBot="1" x14ac:dyDescent="0.25">
      <c r="A389" s="8"/>
      <c r="B389" s="179" t="s">
        <v>64</v>
      </c>
      <c r="C389" s="174"/>
      <c r="D389" s="180"/>
      <c r="E389" s="173" t="s">
        <v>155</v>
      </c>
      <c r="F389" s="174"/>
      <c r="G389" s="180"/>
      <c r="H389" s="173" t="s">
        <v>156</v>
      </c>
      <c r="I389" s="174"/>
      <c r="J389" s="175"/>
      <c r="K389" s="216"/>
      <c r="L389" s="217"/>
      <c r="M389" s="217"/>
      <c r="N389" s="217"/>
      <c r="O389" s="217"/>
      <c r="P389" s="217"/>
      <c r="Q389" s="218"/>
      <c r="R389" s="127"/>
      <c r="S389" s="127"/>
      <c r="T389" s="160"/>
      <c r="U389" s="160"/>
      <c r="V389" s="161"/>
      <c r="W389" s="179" t="s">
        <v>64</v>
      </c>
      <c r="X389" s="174"/>
      <c r="Y389" s="180"/>
      <c r="Z389" s="173" t="s">
        <v>155</v>
      </c>
      <c r="AA389" s="174"/>
      <c r="AB389" s="180"/>
      <c r="AC389" s="173" t="s">
        <v>156</v>
      </c>
      <c r="AD389" s="174"/>
      <c r="AE389" s="175"/>
      <c r="AF389" s="191"/>
      <c r="AG389" s="192"/>
      <c r="AH389" s="192"/>
      <c r="AI389" s="192"/>
      <c r="AJ389" s="193"/>
      <c r="AW389" s="154"/>
      <c r="AX389" s="70"/>
      <c r="AY389" s="70"/>
      <c r="AZ389" s="70"/>
      <c r="BA389" s="70"/>
    </row>
    <row r="390" spans="1:56" ht="13.5" thickBot="1" x14ac:dyDescent="0.25">
      <c r="A390" s="8"/>
      <c r="B390" s="128">
        <v>1</v>
      </c>
      <c r="C390" s="129" t="s">
        <v>72</v>
      </c>
      <c r="D390" s="130">
        <v>4</v>
      </c>
      <c r="E390" s="131">
        <v>2</v>
      </c>
      <c r="F390" s="129" t="s">
        <v>72</v>
      </c>
      <c r="G390" s="130">
        <v>3</v>
      </c>
      <c r="H390" s="132">
        <f>IF(OR(AND(OR(B394&gt;0,D394&gt;0),B394&gt;D394),OR(D390="b",D390="B")),B390,IF(OR(AND(OR(B394&gt;0,D394&gt;0),D394&gt;B394),OR(B390="b",B390="B")),D390,"W1"))</f>
        <v>1</v>
      </c>
      <c r="I390" s="133" t="s">
        <v>72</v>
      </c>
      <c r="J390" s="134">
        <f>IF(OR(AND(OR(E394&gt;0,G394&gt;0),E394&gt;G394),OR(G390="b",G390="B")),E390,IF(OR(AND(OR(E394&gt;0,G394&gt;0),G394&gt;E394),OR(E390="b",E390="B")),G390,"W2"))</f>
        <v>2</v>
      </c>
      <c r="K390" s="176" t="s">
        <v>157</v>
      </c>
      <c r="L390" s="177"/>
      <c r="M390" s="177"/>
      <c r="N390" s="178"/>
      <c r="R390" s="127"/>
      <c r="S390" s="127"/>
      <c r="T390" s="160"/>
      <c r="U390" s="160"/>
      <c r="V390" s="161"/>
      <c r="W390" s="128">
        <v>1</v>
      </c>
      <c r="X390" s="129" t="s">
        <v>72</v>
      </c>
      <c r="Y390" s="130">
        <v>4</v>
      </c>
      <c r="Z390" s="131">
        <v>2</v>
      </c>
      <c r="AA390" s="129" t="s">
        <v>72</v>
      </c>
      <c r="AB390" s="130">
        <v>3</v>
      </c>
      <c r="AC390" s="132">
        <f>IF(OR(AND(OR(W394&gt;0,Y394&gt;0),W394&gt;Y394),OR(Y390="b",Y390="B")),W390,IF(OR(AND(OR(W394&gt;0,Y394&gt;0),Y394&gt;W394),OR(W390="b",W390="B")),Y390,"W1"))</f>
        <v>1</v>
      </c>
      <c r="AD390" s="133" t="s">
        <v>72</v>
      </c>
      <c r="AE390" s="134">
        <f>IF(OR(AND(OR(Z394&gt;0,AB394&gt;0),Z394&gt;AB394),OR(AB394="b",AB394="B")),Z390,IF(OR(AND(OR(Z394&gt;0,AB394&gt;0),AB394&gt;Z394),OR(Z394="b",Z394="B")),AB390,"W2"))</f>
        <v>2</v>
      </c>
      <c r="AF390" s="176" t="s">
        <v>157</v>
      </c>
      <c r="AG390" s="178"/>
      <c r="AH390" s="127"/>
      <c r="AI390" s="127"/>
      <c r="AJ390" s="127"/>
      <c r="AW390" s="154"/>
      <c r="AX390" s="70"/>
      <c r="AY390" s="70"/>
      <c r="AZ390" s="70"/>
      <c r="BA390" s="70"/>
    </row>
    <row r="391" spans="1:56" ht="13.5" hidden="1" customHeight="1" x14ac:dyDescent="0.2">
      <c r="A391" s="8"/>
      <c r="B391" s="135">
        <f>IF(B395&gt;D395,1,0)</f>
        <v>1</v>
      </c>
      <c r="C391" s="136"/>
      <c r="D391" s="137">
        <f>IF(D395&gt;B395,1,0)</f>
        <v>0</v>
      </c>
      <c r="E391" s="135">
        <f>IF(E395&gt;G395,1,0)</f>
        <v>1</v>
      </c>
      <c r="F391" s="136"/>
      <c r="G391" s="137">
        <f>IF(G395&gt;E395,1,0)</f>
        <v>0</v>
      </c>
      <c r="H391" s="135">
        <f>IF(H395&gt;J395,1,0)</f>
        <v>1</v>
      </c>
      <c r="I391" s="136"/>
      <c r="J391" s="137">
        <f>IF(J395&gt;H395,1,0)</f>
        <v>0</v>
      </c>
      <c r="K391" s="138"/>
      <c r="L391" s="139"/>
      <c r="M391" s="139"/>
      <c r="N391" s="140"/>
      <c r="R391" s="127"/>
      <c r="S391" s="127"/>
      <c r="T391" s="160"/>
      <c r="U391" s="160"/>
      <c r="V391" s="161"/>
      <c r="W391" s="135">
        <f>IF(W395&gt;Y395,1,0)</f>
        <v>1</v>
      </c>
      <c r="X391" s="136"/>
      <c r="Y391" s="137">
        <f>IF(Y395&gt;W395,1,0)</f>
        <v>0</v>
      </c>
      <c r="Z391" s="135">
        <f>IF(Z395&gt;AB395,1,0)</f>
        <v>1</v>
      </c>
      <c r="AA391" s="136"/>
      <c r="AB391" s="137">
        <f>IF(AB395&gt;Z395,1,0)</f>
        <v>0</v>
      </c>
      <c r="AC391" s="135">
        <f>IF(AC395&gt;AE395,1,0)</f>
        <v>0</v>
      </c>
      <c r="AD391" s="136"/>
      <c r="AE391" s="137">
        <f>IF(AE395&gt;AC395,1,0)</f>
        <v>1</v>
      </c>
      <c r="AF391" s="141"/>
      <c r="AG391" s="142"/>
      <c r="AH391" s="127"/>
      <c r="AI391" s="127"/>
      <c r="AJ391" s="127"/>
      <c r="AW391" s="154"/>
      <c r="AX391" s="70"/>
      <c r="AY391" s="70"/>
      <c r="AZ391" s="70"/>
      <c r="BA391" s="70"/>
    </row>
    <row r="392" spans="1:56" ht="13.5" hidden="1" customHeight="1" x14ac:dyDescent="0.2">
      <c r="A392" s="8"/>
      <c r="B392" s="135">
        <f>IF(B396&gt;D396,1,0)</f>
        <v>1</v>
      </c>
      <c r="C392" s="136"/>
      <c r="D392" s="137">
        <f>IF(D396&gt;B396,1,0)</f>
        <v>0</v>
      </c>
      <c r="E392" s="135">
        <f>IF(E396&gt;G396,1,0)</f>
        <v>0</v>
      </c>
      <c r="F392" s="136"/>
      <c r="G392" s="137">
        <f>IF(G396&gt;E396,1,0)</f>
        <v>0</v>
      </c>
      <c r="H392" s="135">
        <f>IF(H396&gt;J396,1,0)</f>
        <v>1</v>
      </c>
      <c r="I392" s="136"/>
      <c r="J392" s="137">
        <f>IF(J396&gt;H396,1,0)</f>
        <v>0</v>
      </c>
      <c r="K392" s="138"/>
      <c r="L392" s="139"/>
      <c r="M392" s="139"/>
      <c r="N392" s="140"/>
      <c r="R392" s="127"/>
      <c r="S392" s="127"/>
      <c r="T392" s="160"/>
      <c r="U392" s="160"/>
      <c r="V392" s="161"/>
      <c r="W392" s="135">
        <f>IF(W396&gt;Y396,1,0)</f>
        <v>1</v>
      </c>
      <c r="X392" s="136"/>
      <c r="Y392" s="137">
        <f>IF(Y396&gt;W396,1,0)</f>
        <v>0</v>
      </c>
      <c r="Z392" s="135">
        <f>IF(Z396&gt;AB396,1,0)</f>
        <v>0</v>
      </c>
      <c r="AA392" s="136"/>
      <c r="AB392" s="137">
        <f>IF(AB396&gt;Z396,1,0)</f>
        <v>1</v>
      </c>
      <c r="AC392" s="135">
        <f>IF(AC396&gt;AE396,1,0)</f>
        <v>1</v>
      </c>
      <c r="AD392" s="136"/>
      <c r="AE392" s="137">
        <f>IF(AE396&gt;AC396,1,0)</f>
        <v>0</v>
      </c>
      <c r="AF392" s="141"/>
      <c r="AG392" s="142"/>
      <c r="AH392" s="127"/>
      <c r="AI392" s="127"/>
      <c r="AJ392" s="127"/>
      <c r="AW392" s="154"/>
      <c r="AX392" s="70"/>
      <c r="AY392" s="70"/>
      <c r="AZ392" s="70"/>
      <c r="BA392" s="70"/>
    </row>
    <row r="393" spans="1:56" ht="13.5" hidden="1" customHeight="1" x14ac:dyDescent="0.2">
      <c r="A393" s="8"/>
      <c r="B393" s="135">
        <f>IF(B397&gt;D397,1,0)</f>
        <v>0</v>
      </c>
      <c r="C393" s="136"/>
      <c r="D393" s="137">
        <f>IF(D397&gt;B397,1,0)</f>
        <v>0</v>
      </c>
      <c r="E393" s="135">
        <f>IF(E397&gt;G397,1,0)</f>
        <v>0</v>
      </c>
      <c r="F393" s="136"/>
      <c r="G393" s="137">
        <f>IF(G397&gt;E397,1,0)</f>
        <v>0</v>
      </c>
      <c r="H393" s="135">
        <f>IF(H397&gt;J397,1,0)</f>
        <v>0</v>
      </c>
      <c r="I393" s="136"/>
      <c r="J393" s="137">
        <f>IF(J397&gt;H397,1,0)</f>
        <v>0</v>
      </c>
      <c r="K393" s="138"/>
      <c r="L393" s="139"/>
      <c r="M393" s="139"/>
      <c r="N393" s="140"/>
      <c r="R393" s="127"/>
      <c r="S393" s="127"/>
      <c r="T393" s="160"/>
      <c r="U393" s="160"/>
      <c r="V393" s="161"/>
      <c r="W393" s="135">
        <f>IF(W397&gt;Y397,1,0)</f>
        <v>1</v>
      </c>
      <c r="X393" s="136"/>
      <c r="Y393" s="137">
        <f>IF(Y397&gt;W397,1,0)</f>
        <v>0</v>
      </c>
      <c r="Z393" s="135">
        <f>IF(Z397&gt;AB397,1,0)</f>
        <v>1</v>
      </c>
      <c r="AA393" s="136"/>
      <c r="AB393" s="137">
        <f>IF(AB397&gt;Z397,1,0)</f>
        <v>0</v>
      </c>
      <c r="AC393" s="135">
        <f>IF(AC397&gt;AE397,1,0)</f>
        <v>0</v>
      </c>
      <c r="AD393" s="136"/>
      <c r="AE393" s="137">
        <f>IF(AE397&gt;AC397,1,0)</f>
        <v>1</v>
      </c>
      <c r="AF393" s="141"/>
      <c r="AG393" s="142"/>
      <c r="AH393" s="127"/>
      <c r="AI393" s="127"/>
      <c r="AJ393" s="127"/>
      <c r="AW393" s="154"/>
      <c r="AX393" s="70"/>
      <c r="AY393" s="70"/>
      <c r="AZ393" s="70"/>
      <c r="BA393" s="70"/>
    </row>
    <row r="394" spans="1:56" ht="13.5" hidden="1" customHeight="1" x14ac:dyDescent="0.2">
      <c r="A394" s="8"/>
      <c r="B394" s="135">
        <f>SUM(B391:B393)</f>
        <v>2</v>
      </c>
      <c r="C394" s="136"/>
      <c r="D394" s="135">
        <f>SUM(D391:D393)</f>
        <v>0</v>
      </c>
      <c r="E394" s="135">
        <f>SUM(E391:E393)</f>
        <v>1</v>
      </c>
      <c r="F394" s="136"/>
      <c r="G394" s="135">
        <f>SUM(G391:G393)</f>
        <v>0</v>
      </c>
      <c r="H394" s="135">
        <f>SUM(H391:H393)</f>
        <v>2</v>
      </c>
      <c r="I394" s="136"/>
      <c r="J394" s="135">
        <f>SUM(J391:J393)</f>
        <v>0</v>
      </c>
      <c r="K394" s="138"/>
      <c r="L394" s="139"/>
      <c r="M394" s="139"/>
      <c r="N394" s="140"/>
      <c r="R394" s="127"/>
      <c r="S394" s="127"/>
      <c r="T394" s="160"/>
      <c r="U394" s="160"/>
      <c r="V394" s="161"/>
      <c r="W394" s="135">
        <f>SUM(W391:W393)</f>
        <v>3</v>
      </c>
      <c r="X394" s="136"/>
      <c r="Y394" s="135">
        <f>SUM(Y391:Y393)</f>
        <v>0</v>
      </c>
      <c r="Z394" s="135">
        <f>SUM(Z391:Z393)</f>
        <v>2</v>
      </c>
      <c r="AA394" s="136"/>
      <c r="AB394" s="135">
        <f>SUM(AB391:AB393)</f>
        <v>1</v>
      </c>
      <c r="AC394" s="135">
        <f>SUM(AC391:AC393)</f>
        <v>1</v>
      </c>
      <c r="AD394" s="136"/>
      <c r="AE394" s="135">
        <f>SUM(AE391:AE393)</f>
        <v>2</v>
      </c>
      <c r="AF394" s="141"/>
      <c r="AG394" s="142"/>
      <c r="AH394" s="127"/>
      <c r="AI394" s="127"/>
      <c r="AJ394" s="127"/>
      <c r="AW394" s="154"/>
      <c r="AX394" s="70"/>
      <c r="AY394" s="70"/>
      <c r="AZ394" s="70"/>
      <c r="BA394" s="70"/>
    </row>
    <row r="395" spans="1:56" ht="12.75" customHeight="1" x14ac:dyDescent="0.2">
      <c r="A395" s="6" t="s">
        <v>73</v>
      </c>
      <c r="B395" s="143">
        <v>25</v>
      </c>
      <c r="C395" s="66" t="s">
        <v>74</v>
      </c>
      <c r="D395" s="144">
        <v>7</v>
      </c>
      <c r="E395" s="145">
        <v>25</v>
      </c>
      <c r="F395" s="66" t="s">
        <v>74</v>
      </c>
      <c r="G395" s="144">
        <v>21</v>
      </c>
      <c r="H395" s="145">
        <v>35</v>
      </c>
      <c r="I395" s="66" t="s">
        <v>74</v>
      </c>
      <c r="J395" s="146">
        <v>33</v>
      </c>
      <c r="K395" s="162">
        <f>IF(AND(OR(H394&gt;0,J394&gt;0),AND(1&lt;=H390,H390&lt;=4),AND(1&lt;=J390,J390&lt;=4)),IF(H394&gt;J394,H390,IF(J394&gt;H394,J390,"")),"")</f>
        <v>1</v>
      </c>
      <c r="L395" s="163"/>
      <c r="M395" s="163"/>
      <c r="N395" s="164"/>
      <c r="R395" s="127"/>
      <c r="S395" s="127"/>
      <c r="T395" s="147"/>
      <c r="U395" s="147"/>
      <c r="V395" s="6" t="s">
        <v>73</v>
      </c>
      <c r="W395" s="143">
        <v>25</v>
      </c>
      <c r="X395" s="66" t="s">
        <v>74</v>
      </c>
      <c r="Y395" s="144">
        <v>19</v>
      </c>
      <c r="Z395" s="145">
        <v>25</v>
      </c>
      <c r="AA395" s="66" t="s">
        <v>74</v>
      </c>
      <c r="AB395" s="144">
        <v>22</v>
      </c>
      <c r="AC395" s="145">
        <v>20</v>
      </c>
      <c r="AD395" s="66" t="s">
        <v>74</v>
      </c>
      <c r="AE395" s="146">
        <v>25</v>
      </c>
      <c r="AF395" s="162">
        <f>IF(AND(OR(AC394&gt;0,AE394&gt;0),AND(1&lt;=AC390,AC390&lt;=4),AND(1&lt;=AE390,AE390&lt;=4)),IF(AC394&gt;AE394,AC390,IF(AE394&gt;AC394,AE390,"")),"")</f>
        <v>2</v>
      </c>
      <c r="AG395" s="164"/>
      <c r="AH395" s="127"/>
      <c r="AI395" s="127"/>
      <c r="AJ395" s="127"/>
      <c r="AW395" s="154"/>
      <c r="AX395" s="70"/>
      <c r="AY395" s="70"/>
      <c r="AZ395" s="70"/>
      <c r="BA395" s="70"/>
    </row>
    <row r="396" spans="1:56" ht="12.75" customHeight="1" x14ac:dyDescent="0.2">
      <c r="A396" s="6" t="s">
        <v>158</v>
      </c>
      <c r="B396" s="143">
        <v>25</v>
      </c>
      <c r="C396" s="66" t="s">
        <v>74</v>
      </c>
      <c r="D396" s="144">
        <v>17</v>
      </c>
      <c r="E396" s="145">
        <v>0</v>
      </c>
      <c r="F396" s="66" t="s">
        <v>74</v>
      </c>
      <c r="G396" s="144">
        <v>0</v>
      </c>
      <c r="H396" s="145">
        <v>25</v>
      </c>
      <c r="I396" s="66" t="s">
        <v>74</v>
      </c>
      <c r="J396" s="146">
        <v>22</v>
      </c>
      <c r="K396" s="165"/>
      <c r="L396" s="166"/>
      <c r="M396" s="166"/>
      <c r="N396" s="167"/>
      <c r="R396" s="127"/>
      <c r="S396" s="127"/>
      <c r="T396" s="147"/>
      <c r="U396" s="147"/>
      <c r="V396" s="6" t="s">
        <v>158</v>
      </c>
      <c r="W396" s="143">
        <v>25</v>
      </c>
      <c r="X396" s="66" t="s">
        <v>74</v>
      </c>
      <c r="Y396" s="144">
        <v>22</v>
      </c>
      <c r="Z396" s="145">
        <v>21</v>
      </c>
      <c r="AA396" s="66" t="s">
        <v>74</v>
      </c>
      <c r="AB396" s="144">
        <v>25</v>
      </c>
      <c r="AC396" s="145">
        <v>26</v>
      </c>
      <c r="AD396" s="66" t="s">
        <v>74</v>
      </c>
      <c r="AE396" s="146">
        <v>24</v>
      </c>
      <c r="AF396" s="165"/>
      <c r="AG396" s="167"/>
      <c r="AH396" s="127"/>
      <c r="AI396" s="127"/>
      <c r="AJ396" s="127"/>
      <c r="AW396" s="154"/>
      <c r="AX396" s="70"/>
      <c r="AY396" s="70"/>
      <c r="AZ396" s="70"/>
      <c r="BA396" s="70"/>
    </row>
    <row r="397" spans="1:56" ht="13.5" customHeight="1" thickBot="1" x14ac:dyDescent="0.25">
      <c r="A397" s="6" t="s">
        <v>159</v>
      </c>
      <c r="B397" s="148">
        <v>0</v>
      </c>
      <c r="C397" s="149" t="s">
        <v>74</v>
      </c>
      <c r="D397" s="150">
        <v>0</v>
      </c>
      <c r="E397" s="151">
        <v>0</v>
      </c>
      <c r="F397" s="149" t="s">
        <v>74</v>
      </c>
      <c r="G397" s="150">
        <v>0</v>
      </c>
      <c r="H397" s="151">
        <v>0</v>
      </c>
      <c r="I397" s="149" t="s">
        <v>74</v>
      </c>
      <c r="J397" s="152">
        <v>0</v>
      </c>
      <c r="K397" s="168"/>
      <c r="L397" s="169"/>
      <c r="M397" s="169"/>
      <c r="N397" s="170"/>
      <c r="R397" s="127"/>
      <c r="S397" s="127"/>
      <c r="T397" s="147"/>
      <c r="U397" s="147"/>
      <c r="V397" s="6" t="s">
        <v>159</v>
      </c>
      <c r="W397" s="148">
        <v>15</v>
      </c>
      <c r="X397" s="149" t="s">
        <v>74</v>
      </c>
      <c r="Y397" s="150">
        <v>9</v>
      </c>
      <c r="Z397" s="151">
        <v>15</v>
      </c>
      <c r="AA397" s="149" t="s">
        <v>74</v>
      </c>
      <c r="AB397" s="150">
        <v>12</v>
      </c>
      <c r="AC397" s="151">
        <v>13</v>
      </c>
      <c r="AD397" s="149" t="s">
        <v>74</v>
      </c>
      <c r="AE397" s="152">
        <v>15</v>
      </c>
      <c r="AF397" s="168"/>
      <c r="AG397" s="170"/>
      <c r="AH397" s="127"/>
      <c r="AI397" s="127"/>
      <c r="AJ397" s="127"/>
      <c r="AW397" s="154"/>
      <c r="AX397" s="70"/>
      <c r="AY397" s="70"/>
      <c r="AZ397" s="70"/>
      <c r="BA397" s="70"/>
    </row>
    <row r="398" spans="1:56" hidden="1" x14ac:dyDescent="0.2">
      <c r="B398" s="3"/>
      <c r="C398" s="153" t="s">
        <v>108</v>
      </c>
      <c r="D398" s="3" t="s">
        <v>160</v>
      </c>
      <c r="E398" s="3"/>
      <c r="F398" s="153"/>
      <c r="G398" s="4" t="s">
        <v>161</v>
      </c>
      <c r="J398" s="4" t="s">
        <v>162</v>
      </c>
      <c r="W398" s="3"/>
      <c r="X398" s="153" t="s">
        <v>108</v>
      </c>
      <c r="Y398" s="3" t="s">
        <v>160</v>
      </c>
      <c r="Z398" s="3"/>
      <c r="AA398" s="153"/>
      <c r="AB398" s="4" t="s">
        <v>161</v>
      </c>
      <c r="AE398" s="4" t="s">
        <v>162</v>
      </c>
      <c r="AT398" s="4" t="str">
        <f>B399</f>
        <v>SC Midlands 14 National</v>
      </c>
      <c r="AU398" s="4">
        <f>J399</f>
        <v>2355.8674998817319</v>
      </c>
      <c r="AW398" s="154"/>
      <c r="AX398" s="70"/>
      <c r="AY398" s="70"/>
      <c r="AZ398" s="70"/>
      <c r="BA398" s="70"/>
      <c r="BB398" s="154"/>
      <c r="BC398" s="70"/>
      <c r="BD398" s="70"/>
    </row>
    <row r="399" spans="1:56" hidden="1" x14ac:dyDescent="0.2">
      <c r="A399" s="4">
        <v>1</v>
      </c>
      <c r="B399" s="4" t="str">
        <f>B382</f>
        <v>SC Midlands 14 National</v>
      </c>
      <c r="C399" s="4">
        <f>VLOOKUP(B399,AU$2:AY$22,4,FALSE)</f>
        <v>2333.3158352174805</v>
      </c>
      <c r="D399" s="4">
        <f>IF(A399=B390,B405,IF(A399=D390,D405,C399))</f>
        <v>2341.6219954782009</v>
      </c>
      <c r="G399" s="4">
        <f>IF(A399=E390,E405,IF(A399=G390,G405,D399))</f>
        <v>2341.6219954782009</v>
      </c>
      <c r="J399" s="4">
        <f>IF(A399=H390,H405,IF(A399=J390,J405,G399))</f>
        <v>2355.8674998817319</v>
      </c>
      <c r="U399" s="155"/>
      <c r="V399" s="155">
        <v>1</v>
      </c>
      <c r="W399" s="4" t="str">
        <f>X382</f>
        <v>Kershaw 14 Black</v>
      </c>
      <c r="X399" s="4">
        <f>VLOOKUP(W399,AU$2:AY$22,4,FALSE)</f>
        <v>2154.3925152218153</v>
      </c>
      <c r="Y399" s="4">
        <f>IF(V399=W390,W405,IF(V399=Y390,Y405,X399))</f>
        <v>2176.9540584456213</v>
      </c>
      <c r="AB399" s="4">
        <f>IF(V399=Z390,Z405,IF(V399=AB390,AB405,Y399))</f>
        <v>2176.9540584456213</v>
      </c>
      <c r="AE399" s="4">
        <f>IF(V399=AC390,AC405,IF(V399=AE390,AE405,AB399))</f>
        <v>2171.9219347845096</v>
      </c>
      <c r="AT399" s="4" t="str">
        <f>B400</f>
        <v>Magnum 14 Elite</v>
      </c>
      <c r="AU399" s="4">
        <f>J400</f>
        <v>2289.1242881784647</v>
      </c>
      <c r="AW399" s="154"/>
      <c r="AX399" s="70"/>
      <c r="AY399" s="70"/>
      <c r="AZ399" s="70"/>
      <c r="BA399" s="70"/>
      <c r="BB399" s="154"/>
      <c r="BC399" s="70"/>
      <c r="BD399" s="70"/>
    </row>
    <row r="400" spans="1:56" hidden="1" x14ac:dyDescent="0.2">
      <c r="A400" s="4">
        <v>2</v>
      </c>
      <c r="B400" s="4" t="str">
        <f>B383</f>
        <v>Magnum 14 Elite</v>
      </c>
      <c r="C400" s="4">
        <f>VLOOKUP(B400,AU$2:AY$22,4,FALSE)</f>
        <v>2296.2228435311754</v>
      </c>
      <c r="D400" s="4">
        <f>IF(A400=B390,B405,IF(A400=D390,D405,C400))</f>
        <v>2296.2228435311754</v>
      </c>
      <c r="G400" s="4">
        <f>IF(A400=E390,E405,IF(A400=G390,G405,D400))</f>
        <v>2303.3697925819956</v>
      </c>
      <c r="J400" s="4">
        <f>IF(A400=H390,H405,IF(A400=J390,J405,G400))</f>
        <v>2289.1242881784647</v>
      </c>
      <c r="U400" s="155"/>
      <c r="V400" s="155">
        <v>2</v>
      </c>
      <c r="W400" s="4" t="str">
        <f>X383</f>
        <v>Intense 14 Elite Rock Hil</v>
      </c>
      <c r="X400" s="4">
        <f>VLOOKUP(W400,AU$2:AY$22,4,FALSE)</f>
        <v>2212.7891027862961</v>
      </c>
      <c r="Y400" s="4">
        <f>IF(V400=W390,W405,IF(V400=Y390,Y405,X400))</f>
        <v>2212.7891027862961</v>
      </c>
      <c r="AB400" s="4">
        <f>IF(V400=Z390,Z405,IF(V400=AB390,AB405,Y400))</f>
        <v>2220.1395070315007</v>
      </c>
      <c r="AE400" s="4">
        <f>IF(V400=AC390,AC405,IF(V400=AE390,AE405,AB400))</f>
        <v>2225.1716306926123</v>
      </c>
      <c r="AT400" s="4" t="str">
        <f>B401</f>
        <v>Magnum Aiken 14 Green</v>
      </c>
      <c r="AU400" s="4">
        <f>J401</f>
        <v>2251.8869834915113</v>
      </c>
      <c r="AW400" s="154"/>
      <c r="AX400" s="70"/>
      <c r="AY400" s="70"/>
      <c r="AZ400" s="70"/>
      <c r="BA400" s="70"/>
      <c r="BB400" s="154"/>
      <c r="BC400" s="70"/>
      <c r="BD400" s="70"/>
    </row>
    <row r="401" spans="1:56" hidden="1" x14ac:dyDescent="0.2">
      <c r="A401" s="4">
        <v>3</v>
      </c>
      <c r="B401" s="4" t="str">
        <f>B384</f>
        <v>Magnum Aiken 14 Green</v>
      </c>
      <c r="C401" s="4">
        <f>VLOOKUP(B401,AU$2:AY$22,4,FALSE)</f>
        <v>2259.0339325423315</v>
      </c>
      <c r="D401" s="4">
        <f>IF(A401=B390,B405,IF(A401=D390,D405,C401))</f>
        <v>2259.0339325423315</v>
      </c>
      <c r="G401" s="4">
        <f>IF(A401=E390,E405,IF(A401=G390,G405,D401))</f>
        <v>2251.8869834915113</v>
      </c>
      <c r="J401" s="4">
        <f>IF(A401=H390,H405,IF(A401=J390,J405,G401))</f>
        <v>2251.8869834915113</v>
      </c>
      <c r="U401" s="155"/>
      <c r="V401" s="155">
        <v>3</v>
      </c>
      <c r="W401" s="4" t="str">
        <f>X384</f>
        <v>Chas Jrs 14 Red</v>
      </c>
      <c r="X401" s="4">
        <f>VLOOKUP(W401,AU$2:AY$22,4,FALSE)</f>
        <v>2203.3829436435667</v>
      </c>
      <c r="Y401" s="4">
        <f>IF(V401=W390,W405,IF(V401=Y390,Y405,X401))</f>
        <v>2203.3829436435667</v>
      </c>
      <c r="AB401" s="4">
        <f>IF(V401=Z390,Z405,IF(V401=AB390,AB405,Y401))</f>
        <v>2196.0325393983621</v>
      </c>
      <c r="AE401" s="4">
        <f>IF(V401=AC390,AC405,IF(V401=AE390,AE405,AB401))</f>
        <v>2196.0325393983621</v>
      </c>
      <c r="AT401" s="4" t="str">
        <f>B402</f>
        <v>Vision 14-Kristen &amp; Rach</v>
      </c>
      <c r="AU401" s="4">
        <f>J402</f>
        <v>2142.9156187872968</v>
      </c>
      <c r="AW401" s="154"/>
      <c r="AX401" s="70"/>
      <c r="AY401" s="70"/>
      <c r="AZ401" s="70"/>
      <c r="BA401" s="70"/>
      <c r="BB401" s="154"/>
      <c r="BC401" s="70"/>
      <c r="BD401" s="70"/>
    </row>
    <row r="402" spans="1:56" hidden="1" x14ac:dyDescent="0.2">
      <c r="A402" s="4">
        <v>4</v>
      </c>
      <c r="B402" s="4" t="str">
        <f>B385</f>
        <v>Vision 14-Kristen &amp; Rach</v>
      </c>
      <c r="C402" s="4">
        <f>VLOOKUP(B402,AU$2:AY$22,4,FALSE)</f>
        <v>2151.2217790480172</v>
      </c>
      <c r="D402" s="4">
        <f>IF(A402=B390,B405,IF(A402=D390,D405,C402))</f>
        <v>2142.9156187872968</v>
      </c>
      <c r="G402" s="4">
        <f>IF(A402=E390,E405,IF(A402=G390,G405,D402))</f>
        <v>2142.9156187872968</v>
      </c>
      <c r="J402" s="4">
        <f>IF(A402=H390,H405,IF(A402=J390,J405,G402))</f>
        <v>2142.9156187872968</v>
      </c>
      <c r="U402" s="155"/>
      <c r="V402" s="155">
        <v>4</v>
      </c>
      <c r="W402" s="4" t="str">
        <f>X385</f>
        <v>CSRA Heat 14 Gold</v>
      </c>
      <c r="X402" s="4">
        <f>VLOOKUP(W402,AU$2:AY$22,4,FALSE)</f>
        <v>2133.5437316379871</v>
      </c>
      <c r="Y402" s="4">
        <f>IF(V402=W390,W405,IF(V402=Y390,Y405,X402))</f>
        <v>2110.9821884141811</v>
      </c>
      <c r="AB402" s="4">
        <f>IF(V402=Z390,Z405,IF(V402=AB390,AB405,Y402))</f>
        <v>2110.9821884141811</v>
      </c>
      <c r="AE402" s="4">
        <f>IF(V402=AC390,AC405,IF(V402=AE390,AE405,AB402))</f>
        <v>2110.9821884141811</v>
      </c>
      <c r="AT402" s="4" t="str">
        <f>W399</f>
        <v>Kershaw 14 Black</v>
      </c>
      <c r="AU402" s="4">
        <f>AE399</f>
        <v>2171.9219347845096</v>
      </c>
      <c r="AW402" s="154"/>
      <c r="AX402" s="70"/>
      <c r="AY402" s="70"/>
      <c r="AZ402" s="70"/>
      <c r="BA402" s="70"/>
      <c r="BB402" s="154"/>
      <c r="BC402" s="70"/>
      <c r="BD402" s="70"/>
    </row>
    <row r="403" spans="1:56" hidden="1" x14ac:dyDescent="0.2">
      <c r="A403" s="4" t="s">
        <v>110</v>
      </c>
      <c r="B403" s="4">
        <f>VLOOKUP(B390,$A399:$J402,3,FALSE)</f>
        <v>2333.3158352174805</v>
      </c>
      <c r="D403" s="4">
        <f>VLOOKUP(D390,$A399:$J402,3,FALSE)</f>
        <v>2151.2217790480172</v>
      </c>
      <c r="E403" s="4">
        <f>VLOOKUP(E390,$A399:$J402,4,FALSE)</f>
        <v>2296.2228435311754</v>
      </c>
      <c r="G403" s="4">
        <f>VLOOKUP(G390,$A399:$J402,4,FALSE)</f>
        <v>2259.0339325423315</v>
      </c>
      <c r="H403" s="4">
        <f>VLOOKUP(H390,$A399:$J402,7,FALSE)</f>
        <v>2341.6219954782009</v>
      </c>
      <c r="J403" s="4">
        <f>VLOOKUP(J390,$A399:$J402,7,FALSE)</f>
        <v>2303.3697925819956</v>
      </c>
      <c r="T403" s="171" t="s">
        <v>110</v>
      </c>
      <c r="U403" s="171"/>
      <c r="V403" s="171"/>
      <c r="W403" s="4">
        <f>VLOOKUP(W390,$V399:$AE402,3,FALSE)</f>
        <v>2154.3925152218153</v>
      </c>
      <c r="Y403" s="4">
        <f>VLOOKUP(Y390,$V399:$AE402,3,FALSE)</f>
        <v>2133.5437316379871</v>
      </c>
      <c r="Z403" s="4">
        <f>VLOOKUP(Z390,$V399:$AE402,4,FALSE)</f>
        <v>2212.7891027862961</v>
      </c>
      <c r="AB403" s="4">
        <f>VLOOKUP(AB390,$V399:$AE402,4,FALSE)</f>
        <v>2203.3829436435667</v>
      </c>
      <c r="AC403" s="4">
        <f>VLOOKUP(AC390,$V399:$AE402,7,FALSE)</f>
        <v>2176.9540584456213</v>
      </c>
      <c r="AE403" s="4">
        <f>VLOOKUP(AE390,$V399:$AE402,7,FALSE)</f>
        <v>2220.1395070315007</v>
      </c>
      <c r="AT403" s="4" t="str">
        <f>W400</f>
        <v>Intense 14 Elite Rock Hil</v>
      </c>
      <c r="AU403" s="4">
        <f>AE400</f>
        <v>2225.1716306926123</v>
      </c>
      <c r="AW403" s="154"/>
      <c r="AX403" s="70"/>
      <c r="AY403" s="70"/>
      <c r="AZ403" s="70"/>
      <c r="BA403" s="70"/>
      <c r="BB403" s="154"/>
      <c r="BC403" s="70"/>
      <c r="BD403" s="70"/>
    </row>
    <row r="404" spans="1:56" hidden="1" x14ac:dyDescent="0.2">
      <c r="A404" s="84" t="s">
        <v>111</v>
      </c>
      <c r="B404" s="84">
        <f>1/(1+(10^-((B403-D403)/400)))*(B394+D394)</f>
        <v>1.4808649837049763</v>
      </c>
      <c r="C404" s="84"/>
      <c r="D404" s="84">
        <f>1/(1+(10^-((D403-B403)/400)))*(B394+D394)</f>
        <v>0.51913501629502368</v>
      </c>
      <c r="E404" s="84">
        <f>1/(1+(10^-((E403-G403)/400)))*(E394+G394)</f>
        <v>0.55331568432372613</v>
      </c>
      <c r="G404" s="84">
        <f>1/(1+(10^-((G403-E403)/400)))*(E394+G394)</f>
        <v>0.44668431567627387</v>
      </c>
      <c r="H404" s="84">
        <f>1/(1+(10^-((H403-J403)/400)))*(H394+J394)</f>
        <v>1.1096559747793138</v>
      </c>
      <c r="J404" s="84">
        <f>1/(1+(10^-((J403-H403)/400)))*(H394+J394)</f>
        <v>0.89034402522068623</v>
      </c>
      <c r="T404" s="172" t="s">
        <v>111</v>
      </c>
      <c r="U404" s="172"/>
      <c r="V404" s="172"/>
      <c r="W404" s="84">
        <f>1/(1+(10^-((W403-Y403)/400)))*(W394+Y394)</f>
        <v>1.5899035485121289</v>
      </c>
      <c r="X404" s="84"/>
      <c r="Y404" s="84">
        <f>1/(1+(10^-((Y403-W403)/400)))*(W394+Y394)</f>
        <v>1.4100964514878709</v>
      </c>
      <c r="Z404" s="84">
        <f>1/(1+(10^-((Z403-AB403)/400)))*(Z394+AB394)</f>
        <v>1.5405997346747198</v>
      </c>
      <c r="AB404" s="84">
        <f>1/(1+(10^-((AB403-Z403)/400)))*(Z394+AB394)</f>
        <v>1.4594002653252804</v>
      </c>
      <c r="AC404" s="84">
        <f>1/(1+(10^-((AC403-AE403)/400)))*(AC394+AE394)</f>
        <v>1.3145077288194777</v>
      </c>
      <c r="AE404" s="84">
        <f>1/(1+(10^-((AE403-AC403)/400)))*(AC394+AE394)</f>
        <v>1.685492271180522</v>
      </c>
      <c r="AT404" s="4" t="str">
        <f>W401</f>
        <v>Chas Jrs 14 Red</v>
      </c>
      <c r="AU404" s="4">
        <f>AE401</f>
        <v>2196.0325393983621</v>
      </c>
      <c r="AW404" s="154"/>
      <c r="AX404" s="70"/>
      <c r="AY404" s="70"/>
      <c r="AZ404" s="70"/>
      <c r="BA404" s="70"/>
      <c r="BB404" s="154"/>
      <c r="BC404" s="70"/>
      <c r="BD404" s="70"/>
    </row>
    <row r="405" spans="1:56" hidden="1" x14ac:dyDescent="0.2">
      <c r="A405" s="90" t="s">
        <v>112</v>
      </c>
      <c r="B405" s="90">
        <f>B403+(B394-B404)*$BA$2</f>
        <v>2341.6219954782009</v>
      </c>
      <c r="C405" s="90"/>
      <c r="D405" s="90">
        <f>D403+(D394-D404)*$BA$2</f>
        <v>2142.9156187872968</v>
      </c>
      <c r="E405" s="90">
        <f>E403+(E394-E404)*$BA$2</f>
        <v>2303.3697925819956</v>
      </c>
      <c r="G405" s="90">
        <f>G403+(G394-G404)*$BA$2</f>
        <v>2251.8869834915113</v>
      </c>
      <c r="H405" s="90">
        <f>H403+(H394-H404)*$BA$2</f>
        <v>2355.8674998817319</v>
      </c>
      <c r="J405" s="90">
        <f>J403+(J394-J404)*$BA$2</f>
        <v>2289.1242881784647</v>
      </c>
      <c r="T405" s="158" t="s">
        <v>112</v>
      </c>
      <c r="U405" s="158"/>
      <c r="V405" s="158"/>
      <c r="W405" s="90">
        <f>W403+(W394-W404)*$BA$2</f>
        <v>2176.9540584456213</v>
      </c>
      <c r="X405" s="90"/>
      <c r="Y405" s="90">
        <f>Y403+(Y394-Y404)*$BA$2</f>
        <v>2110.9821884141811</v>
      </c>
      <c r="Z405" s="90">
        <f>Z403+(Z394-Z404)*$BA$2</f>
        <v>2220.1395070315007</v>
      </c>
      <c r="AB405" s="90">
        <f>AB403+(AB394-AB404)*$BA$2</f>
        <v>2196.0325393983621</v>
      </c>
      <c r="AC405" s="90">
        <f>AC403+(AC394-AC404)*$BA$2</f>
        <v>2171.9219347845096</v>
      </c>
      <c r="AE405" s="90">
        <f>AE403+(AE394-AE404)*$BA$2</f>
        <v>2225.1716306926123</v>
      </c>
      <c r="AT405" s="4" t="str">
        <f>W402</f>
        <v>CSRA Heat 14 Gold</v>
      </c>
      <c r="AU405" s="4">
        <f>AE402</f>
        <v>2110.9821884141811</v>
      </c>
      <c r="AW405" s="154"/>
      <c r="AX405" s="70"/>
      <c r="AY405" s="70"/>
      <c r="AZ405" s="70"/>
      <c r="BA405" s="70"/>
      <c r="BB405" s="154"/>
      <c r="BC405" s="70"/>
      <c r="BD405" s="70"/>
    </row>
    <row r="406" spans="1:56" x14ac:dyDescent="0.2">
      <c r="A406" s="159" t="s">
        <v>163</v>
      </c>
      <c r="B406" s="159"/>
      <c r="C406" s="159"/>
      <c r="D406" s="159"/>
      <c r="E406" s="159"/>
      <c r="F406" s="159"/>
      <c r="G406" s="159"/>
      <c r="H406" s="159"/>
      <c r="I406" s="159"/>
      <c r="J406" s="159"/>
      <c r="K406" s="159"/>
      <c r="L406" s="159"/>
      <c r="M406" s="159"/>
      <c r="R406" s="127"/>
      <c r="S406" s="127"/>
      <c r="T406" s="147"/>
      <c r="U406" s="147"/>
      <c r="V406" s="159" t="s">
        <v>163</v>
      </c>
      <c r="W406" s="159"/>
      <c r="X406" s="159"/>
      <c r="Y406" s="159"/>
      <c r="Z406" s="159"/>
      <c r="AA406" s="159"/>
      <c r="AB406" s="159"/>
      <c r="AC406" s="159"/>
      <c r="AD406" s="159"/>
      <c r="AE406" s="159"/>
      <c r="AF406" s="159"/>
      <c r="AG406" s="159"/>
      <c r="AH406" s="127"/>
      <c r="AI406" s="127"/>
      <c r="AJ406" s="127"/>
      <c r="AW406" s="154"/>
      <c r="AX406" s="70"/>
      <c r="AY406" s="70"/>
      <c r="AZ406" s="70"/>
      <c r="BA406" s="70"/>
    </row>
    <row r="407" spans="1:56" x14ac:dyDescent="0.2">
      <c r="AW407" s="154"/>
      <c r="AX407" s="70"/>
      <c r="AY407" s="70"/>
      <c r="AZ407" s="70"/>
      <c r="BA407" s="70"/>
    </row>
    <row r="408" spans="1:56" x14ac:dyDescent="0.2">
      <c r="A408" s="259" t="s">
        <v>218</v>
      </c>
      <c r="B408" s="259"/>
      <c r="C408" s="259"/>
      <c r="D408" s="259"/>
      <c r="E408" s="259"/>
      <c r="F408" s="259"/>
      <c r="G408" s="259"/>
      <c r="H408" s="259"/>
      <c r="I408" s="259"/>
      <c r="J408" s="259"/>
      <c r="K408" s="259"/>
      <c r="L408" s="259"/>
      <c r="M408" s="259"/>
      <c r="N408" s="259"/>
      <c r="O408" s="259"/>
      <c r="P408" s="156"/>
      <c r="R408" s="259" t="s">
        <v>219</v>
      </c>
      <c r="S408" s="259"/>
      <c r="T408" s="259"/>
      <c r="U408" s="259"/>
      <c r="V408" s="259"/>
      <c r="W408" s="259"/>
      <c r="X408" s="259"/>
      <c r="Y408" s="259"/>
      <c r="Z408" s="259"/>
      <c r="AA408" s="259"/>
      <c r="AB408" s="259"/>
      <c r="AC408" s="259"/>
      <c r="AD408" s="259"/>
      <c r="AE408" s="259"/>
      <c r="AF408" s="259"/>
      <c r="AW408" s="154"/>
      <c r="AX408" s="70"/>
      <c r="AY408" s="70"/>
      <c r="AZ408" s="70"/>
      <c r="BA408" s="70"/>
    </row>
    <row r="409" spans="1:56" x14ac:dyDescent="0.2">
      <c r="AW409" s="154"/>
      <c r="AX409" s="70"/>
      <c r="AY409" s="70"/>
      <c r="AZ409" s="70"/>
      <c r="BA409" s="70"/>
    </row>
    <row r="410" spans="1:56" ht="13.5" thickBot="1" x14ac:dyDescent="0.25">
      <c r="A410" s="225" t="str">
        <f>IF(B438=1,B430,IF(B438=2,B431,IF(B438=3,B432,IF(B438=4,B433,IF(OR(B438="B",B438="b"),"BYE","invalid")))))</f>
        <v>C1VB 14 Power Grvl</v>
      </c>
      <c r="B410" s="225"/>
      <c r="C410" s="225"/>
      <c r="D410" s="225"/>
      <c r="E410" s="225"/>
      <c r="F410" s="103"/>
      <c r="G410" s="103"/>
      <c r="H410" s="103"/>
      <c r="I410" s="103"/>
      <c r="J410" s="103"/>
      <c r="K410" s="103"/>
      <c r="L410" s="103"/>
      <c r="M410" s="103"/>
      <c r="N410" s="103"/>
      <c r="S410" s="157"/>
      <c r="T410" s="157"/>
      <c r="U410" s="225" t="str">
        <f>IF(W438=1,X430,IF(W438=2,X431,IF(W438=3,X432,IF(W438=4,X433,IF(OR(W438="B",W438="b"),"BYE","invalid")))))</f>
        <v>SC Midlands 14 Perf</v>
      </c>
      <c r="V410" s="225"/>
      <c r="W410" s="225"/>
      <c r="X410" s="225"/>
      <c r="Y410" s="225"/>
      <c r="Z410" s="225"/>
      <c r="AA410" s="225"/>
      <c r="AB410" s="103"/>
      <c r="AC410" s="103"/>
      <c r="AD410" s="103"/>
      <c r="AE410" s="103"/>
      <c r="AW410" s="154"/>
      <c r="AX410" s="70"/>
      <c r="AY410" s="70"/>
      <c r="AZ410" s="70"/>
      <c r="BA410" s="70"/>
    </row>
    <row r="411" spans="1:56" x14ac:dyDescent="0.2">
      <c r="A411" s="227" t="s">
        <v>220</v>
      </c>
      <c r="B411" s="227"/>
      <c r="C411" s="227"/>
      <c r="D411" s="227"/>
      <c r="E411" s="227"/>
      <c r="F411" s="105"/>
      <c r="G411" s="103"/>
      <c r="H411" s="103"/>
      <c r="I411" s="103"/>
      <c r="J411" s="103"/>
      <c r="K411" s="103"/>
      <c r="L411" s="103"/>
      <c r="M411" s="103"/>
      <c r="N411" s="103"/>
      <c r="S411" s="106"/>
      <c r="T411" s="106"/>
      <c r="U411" s="228" t="s">
        <v>221</v>
      </c>
      <c r="V411" s="228"/>
      <c r="W411" s="228"/>
      <c r="X411" s="228"/>
      <c r="Y411" s="228"/>
      <c r="Z411" s="228"/>
      <c r="AA411" s="242"/>
      <c r="AB411" s="103"/>
      <c r="AC411" s="103"/>
      <c r="AD411" s="103"/>
      <c r="AE411" s="103"/>
      <c r="AW411" s="154"/>
      <c r="AX411" s="70"/>
      <c r="AY411" s="70"/>
      <c r="AZ411" s="70"/>
      <c r="BA411" s="70"/>
    </row>
    <row r="412" spans="1:56" x14ac:dyDescent="0.2">
      <c r="A412" s="103"/>
      <c r="B412" s="103"/>
      <c r="C412" s="103"/>
      <c r="D412" s="103"/>
      <c r="E412" s="103"/>
      <c r="F412" s="105"/>
      <c r="G412" s="103"/>
      <c r="H412" s="103"/>
      <c r="I412" s="103"/>
      <c r="J412" s="103"/>
      <c r="K412" s="103"/>
      <c r="L412" s="103"/>
      <c r="M412" s="103"/>
      <c r="N412" s="103"/>
      <c r="R412" s="103"/>
      <c r="S412" s="103"/>
      <c r="T412" s="103"/>
      <c r="U412" s="103"/>
      <c r="V412" s="103"/>
      <c r="W412" s="103"/>
      <c r="X412" s="103"/>
      <c r="Y412" s="103"/>
      <c r="Z412" s="103"/>
      <c r="AA412" s="107"/>
      <c r="AB412" s="103"/>
      <c r="AC412" s="103"/>
      <c r="AD412" s="103"/>
      <c r="AE412" s="103"/>
      <c r="AW412" s="154"/>
      <c r="AX412" s="70"/>
      <c r="AY412" s="70"/>
      <c r="AZ412" s="70"/>
      <c r="BA412" s="70"/>
    </row>
    <row r="413" spans="1:56" ht="13.5" thickBot="1" x14ac:dyDescent="0.25">
      <c r="A413" s="228" t="str">
        <f>B432&amp;" ref"</f>
        <v>MOTO 14-1 IGNITE ref</v>
      </c>
      <c r="B413" s="228"/>
      <c r="C413" s="228"/>
      <c r="D413" s="228"/>
      <c r="E413" s="242"/>
      <c r="F413" s="237" t="str">
        <f>IF(H438=1,B430,IF(H438=2,B431,IF(H438=3,B432,IF(H438=4,B433,"Winner Match 1"))))</f>
        <v>C1VB 14 Power Grvl</v>
      </c>
      <c r="G413" s="238"/>
      <c r="H413" s="238"/>
      <c r="I413" s="238"/>
      <c r="J413" s="238"/>
      <c r="K413" s="238"/>
      <c r="L413" s="238"/>
      <c r="M413" s="238"/>
      <c r="N413" s="238"/>
      <c r="P413" s="108"/>
      <c r="Q413" s="108"/>
      <c r="R413" s="108"/>
      <c r="S413" s="108"/>
      <c r="T413" s="228" t="str">
        <f>X432&amp;" ref"</f>
        <v>Intense 14 Elite ref</v>
      </c>
      <c r="U413" s="228"/>
      <c r="V413" s="228"/>
      <c r="W413" s="228"/>
      <c r="X413" s="228"/>
      <c r="Y413" s="228"/>
      <c r="Z413" s="228"/>
      <c r="AA413" s="242"/>
      <c r="AB413" s="237" t="str">
        <f>IF(AC438=1,X430,IF(AC438=2,X431,IF(AC438=3,X432,IF(AC438=4,X433,"Winner Match 1"))))</f>
        <v>Crossfire 14 Power</v>
      </c>
      <c r="AC413" s="238"/>
      <c r="AD413" s="238"/>
      <c r="AE413" s="238"/>
      <c r="AF413" s="238"/>
      <c r="AG413" s="238"/>
      <c r="AH413" s="238"/>
      <c r="AW413" s="154"/>
      <c r="AX413" s="70"/>
      <c r="AY413" s="70"/>
      <c r="AZ413" s="70"/>
      <c r="BA413" s="70"/>
    </row>
    <row r="414" spans="1:56" x14ac:dyDescent="0.2">
      <c r="A414" s="239" t="s">
        <v>222</v>
      </c>
      <c r="B414" s="239"/>
      <c r="C414" s="239"/>
      <c r="D414" s="239"/>
      <c r="E414" s="239"/>
      <c r="F414" s="251"/>
      <c r="G414" s="252"/>
      <c r="H414" s="252"/>
      <c r="I414" s="253"/>
      <c r="J414" s="233"/>
      <c r="K414" s="234"/>
      <c r="L414" s="234"/>
      <c r="M414" s="234"/>
      <c r="N414" s="234"/>
      <c r="O414" s="103"/>
      <c r="P414" s="114"/>
      <c r="Q414" s="7"/>
      <c r="R414" s="115"/>
      <c r="S414" s="115"/>
      <c r="T414" s="254" t="s">
        <v>223</v>
      </c>
      <c r="U414" s="254"/>
      <c r="V414" s="254"/>
      <c r="W414" s="254"/>
      <c r="X414" s="254"/>
      <c r="Y414" s="254"/>
      <c r="Z414" s="254"/>
      <c r="AA414" s="107"/>
      <c r="AB414" s="251"/>
      <c r="AC414" s="252"/>
      <c r="AD414" s="252"/>
      <c r="AE414" s="253"/>
      <c r="AF414" s="233"/>
      <c r="AG414" s="234"/>
      <c r="AH414" s="234"/>
      <c r="AW414" s="154"/>
      <c r="AX414" s="70"/>
      <c r="AY414" s="70"/>
      <c r="AZ414" s="70"/>
      <c r="BA414" s="70"/>
    </row>
    <row r="415" spans="1:56" ht="13.5" thickBot="1" x14ac:dyDescent="0.25">
      <c r="A415" s="225" t="str">
        <f>IF(D438=1,B430,IF(D438=2,B431,IF(D438=3,B432,IF(D438=4,B433,IF(OR(D438="B",D438="b"),"BYE","invalid")))))</f>
        <v>Intense 14 Hyper Elite</v>
      </c>
      <c r="B415" s="225"/>
      <c r="C415" s="225"/>
      <c r="D415" s="225"/>
      <c r="E415" s="226"/>
      <c r="F415" s="105"/>
      <c r="G415" s="103"/>
      <c r="H415" s="103"/>
      <c r="I415" s="103"/>
      <c r="J415" s="105"/>
      <c r="K415" s="103"/>
      <c r="L415" s="103"/>
      <c r="M415" s="103"/>
      <c r="N415" s="103"/>
      <c r="O415" s="103"/>
      <c r="P415" s="103"/>
      <c r="T415" s="103"/>
      <c r="U415" s="225" t="str">
        <f>IF(Y438=1,X430,IF(Y438=2,X431,IF(Y438=3,X432,IF(Y438=4,X433,IF(OR(Y438="B",Y438="b"),"BYE","invalid")))))</f>
        <v>Crossfire 14 Power</v>
      </c>
      <c r="V415" s="225"/>
      <c r="W415" s="225"/>
      <c r="X415" s="225"/>
      <c r="Y415" s="225"/>
      <c r="Z415" s="225"/>
      <c r="AA415" s="226"/>
      <c r="AB415" s="103"/>
      <c r="AC415" s="103"/>
      <c r="AD415" s="103"/>
      <c r="AE415" s="107"/>
      <c r="AF415" s="103"/>
      <c r="AG415" s="103"/>
      <c r="AT415" s="116"/>
      <c r="AU415" s="116"/>
      <c r="AW415" s="154"/>
      <c r="AX415" s="70"/>
      <c r="AY415" s="70"/>
      <c r="AZ415" s="70"/>
      <c r="BA415" s="70"/>
    </row>
    <row r="416" spans="1:56" x14ac:dyDescent="0.2">
      <c r="A416" s="227" t="s">
        <v>224</v>
      </c>
      <c r="B416" s="227"/>
      <c r="C416" s="227"/>
      <c r="D416" s="227"/>
      <c r="E416" s="227"/>
      <c r="F416" s="103"/>
      <c r="G416" s="103"/>
      <c r="H416" s="103"/>
      <c r="I416" s="103"/>
      <c r="J416" s="105"/>
      <c r="K416" s="103"/>
      <c r="L416" s="103"/>
      <c r="M416" s="103"/>
      <c r="N416" s="103"/>
      <c r="O416" s="103"/>
      <c r="P416" s="103"/>
      <c r="U416" s="249" t="s">
        <v>225</v>
      </c>
      <c r="V416" s="249"/>
      <c r="W416" s="249"/>
      <c r="X416" s="249"/>
      <c r="Y416" s="249"/>
      <c r="Z416" s="249"/>
      <c r="AA416" s="249"/>
      <c r="AB416" s="103"/>
      <c r="AC416" s="103"/>
      <c r="AD416" s="103"/>
      <c r="AE416" s="107"/>
      <c r="AF416" s="103"/>
      <c r="AG416" s="103"/>
      <c r="AQ416" s="116"/>
      <c r="AR416" s="116"/>
      <c r="AS416" s="116"/>
      <c r="AW416" s="154"/>
      <c r="AX416" s="70"/>
      <c r="AY416" s="70"/>
      <c r="AZ416" s="70"/>
      <c r="BA416" s="70"/>
    </row>
    <row r="417" spans="1:53" x14ac:dyDescent="0.2">
      <c r="A417" s="103"/>
      <c r="B417" s="103"/>
      <c r="C417" s="103"/>
      <c r="D417" s="103"/>
      <c r="E417" s="103"/>
      <c r="F417" s="241" t="s">
        <v>135</v>
      </c>
      <c r="G417" s="241"/>
      <c r="H417" s="241"/>
      <c r="I417" s="250"/>
      <c r="J417" s="105"/>
      <c r="K417" s="103"/>
      <c r="L417" s="103"/>
      <c r="M417" s="103"/>
      <c r="N417" s="103"/>
      <c r="O417" s="103"/>
      <c r="P417" s="103"/>
      <c r="R417" s="103"/>
      <c r="S417" s="103"/>
      <c r="T417" s="103"/>
      <c r="U417" s="103"/>
      <c r="V417" s="103"/>
      <c r="W417" s="108"/>
      <c r="X417" s="108"/>
      <c r="Y417" s="108"/>
      <c r="AA417" s="108"/>
      <c r="AB417" s="241" t="s">
        <v>135</v>
      </c>
      <c r="AC417" s="241"/>
      <c r="AD417" s="241"/>
      <c r="AE417" s="250"/>
      <c r="AF417" s="103"/>
      <c r="AG417" s="103"/>
    </row>
    <row r="418" spans="1:53" ht="13.5" thickBot="1" x14ac:dyDescent="0.25">
      <c r="A418" s="103"/>
      <c r="B418" s="103"/>
      <c r="C418" s="103"/>
      <c r="D418" s="103"/>
      <c r="E418" s="103"/>
      <c r="F418" s="103"/>
      <c r="G418" s="103"/>
      <c r="H418" s="103"/>
      <c r="I418" s="103"/>
      <c r="J418" s="244" t="str">
        <f>IF(K443=1,B430,IF(K443=2,B431,IF(K443=3,B432,IF(K443=4,B433,"Division Winner"))))</f>
        <v>C1VB 14 Power Grvl</v>
      </c>
      <c r="K418" s="245"/>
      <c r="L418" s="245"/>
      <c r="M418" s="245"/>
      <c r="N418" s="245"/>
      <c r="O418" s="245"/>
      <c r="P418" s="245"/>
      <c r="Q418" s="157"/>
      <c r="R418" s="103"/>
      <c r="S418" s="103"/>
      <c r="T418" s="103"/>
      <c r="U418" s="103"/>
      <c r="V418" s="103"/>
      <c r="W418" s="103"/>
      <c r="X418" s="103"/>
      <c r="Y418" s="103"/>
      <c r="Z418" s="103"/>
      <c r="AA418" s="118"/>
      <c r="AB418" s="118"/>
      <c r="AC418" s="118"/>
      <c r="AD418" s="118"/>
      <c r="AE418" s="119"/>
      <c r="AF418" s="245" t="str">
        <f>IF(AF443=1,X430,IF(AF443=2,X431,IF(AF443=3,X432,IF(AF443=4,X433,"Division Winner"))))</f>
        <v>Crossfire 14 Power</v>
      </c>
      <c r="AG418" s="245"/>
      <c r="AH418" s="245"/>
      <c r="AI418" s="245"/>
      <c r="AJ418" s="245"/>
      <c r="AK418" s="118"/>
      <c r="AW418" s="81"/>
      <c r="AX418" s="77"/>
      <c r="AY418" s="77"/>
      <c r="AZ418" s="77"/>
      <c r="BA418" s="77"/>
    </row>
    <row r="419" spans="1:53" ht="13.5" thickBot="1" x14ac:dyDescent="0.25">
      <c r="A419" s="225" t="str">
        <f>IF(E438=1,B430,IF(E438=2,B431,IF(E438=3,B432,IF(E438=4,B433,IF(OR(E438="B",E438="b"),"BYE","invalid")))))</f>
        <v>Fort Mill 14 Bayley</v>
      </c>
      <c r="B419" s="225"/>
      <c r="C419" s="225"/>
      <c r="D419" s="225"/>
      <c r="E419" s="225"/>
      <c r="F419" s="239" t="s">
        <v>226</v>
      </c>
      <c r="G419" s="239"/>
      <c r="H419" s="239"/>
      <c r="I419" s="239"/>
      <c r="J419" s="240" t="s">
        <v>227</v>
      </c>
      <c r="K419" s="241"/>
      <c r="L419" s="241"/>
      <c r="M419" s="241"/>
      <c r="N419" s="241"/>
      <c r="O419" s="241"/>
      <c r="P419" s="241"/>
      <c r="R419" s="118"/>
      <c r="S419" s="118"/>
      <c r="T419" s="118"/>
      <c r="U419" s="225" t="str">
        <f>IF(Z438=1,X430,IF(Z438=2,X431,IF(Z438=3,X432,IF(Z438=4,X433,IF(OR(Z438="B",Z438="b"),"BYE","invalid")))))</f>
        <v>Intense 14 performace</v>
      </c>
      <c r="V419" s="225"/>
      <c r="W419" s="225"/>
      <c r="X419" s="225"/>
      <c r="Y419" s="225"/>
      <c r="Z419" s="225"/>
      <c r="AA419" s="225"/>
      <c r="AB419" s="239" t="s">
        <v>228</v>
      </c>
      <c r="AC419" s="239"/>
      <c r="AD419" s="239"/>
      <c r="AE419" s="246"/>
      <c r="AF419" s="247" t="s">
        <v>229</v>
      </c>
      <c r="AG419" s="248"/>
      <c r="AH419" s="248"/>
      <c r="AI419" s="248"/>
      <c r="AJ419" s="248"/>
      <c r="AW419" s="81"/>
      <c r="AX419" s="77"/>
      <c r="AY419" s="77"/>
      <c r="AZ419" s="77"/>
      <c r="BA419" s="77"/>
    </row>
    <row r="420" spans="1:53" x14ac:dyDescent="0.2">
      <c r="A420" s="227" t="s">
        <v>230</v>
      </c>
      <c r="B420" s="227"/>
      <c r="C420" s="227"/>
      <c r="D420" s="227"/>
      <c r="E420" s="227"/>
      <c r="F420" s="105"/>
      <c r="G420" s="103"/>
      <c r="H420" s="103"/>
      <c r="I420" s="103"/>
      <c r="J420" s="240"/>
      <c r="K420" s="241"/>
      <c r="L420" s="241"/>
      <c r="M420" s="241"/>
      <c r="N420" s="241"/>
      <c r="O420" s="241"/>
      <c r="P420" s="241"/>
      <c r="Q420" s="103"/>
      <c r="R420" s="116"/>
      <c r="S420" s="116"/>
      <c r="T420" s="116"/>
      <c r="U420" s="228" t="s">
        <v>231</v>
      </c>
      <c r="V420" s="228"/>
      <c r="W420" s="228"/>
      <c r="X420" s="228"/>
      <c r="Y420" s="228"/>
      <c r="Z420" s="228"/>
      <c r="AA420" s="242"/>
      <c r="AB420" s="103"/>
      <c r="AC420" s="103"/>
      <c r="AD420" s="103"/>
      <c r="AE420" s="107"/>
      <c r="AF420" s="103"/>
      <c r="AG420" s="103"/>
      <c r="AW420" s="81"/>
      <c r="AX420" s="77"/>
      <c r="AY420" s="77"/>
      <c r="AZ420" s="77"/>
      <c r="BA420" s="77"/>
    </row>
    <row r="421" spans="1:53" x14ac:dyDescent="0.2">
      <c r="A421" s="103"/>
      <c r="B421" s="103"/>
      <c r="C421" s="103"/>
      <c r="D421" s="103"/>
      <c r="E421" s="103"/>
      <c r="F421" s="105"/>
      <c r="G421" s="103"/>
      <c r="H421" s="103"/>
      <c r="I421" s="103"/>
      <c r="J421" s="105"/>
      <c r="K421" s="103"/>
      <c r="L421" s="103"/>
      <c r="M421" s="103"/>
      <c r="N421" s="103"/>
      <c r="P421" s="103"/>
      <c r="Q421" s="103"/>
      <c r="R421" s="103"/>
      <c r="S421" s="103"/>
      <c r="T421" s="103"/>
      <c r="U421" s="103"/>
      <c r="V421" s="103"/>
      <c r="W421" s="103"/>
      <c r="X421" s="103"/>
      <c r="Y421" s="103"/>
      <c r="Z421" s="103"/>
      <c r="AA421" s="107"/>
      <c r="AB421" s="105"/>
      <c r="AC421" s="103"/>
      <c r="AD421" s="103"/>
      <c r="AE421" s="107"/>
      <c r="AF421" s="103"/>
      <c r="AG421" s="103"/>
      <c r="AW421" s="81"/>
      <c r="AX421" s="77"/>
      <c r="AY421" s="77"/>
      <c r="AZ421" s="77"/>
      <c r="BA421" s="77"/>
    </row>
    <row r="422" spans="1:53" ht="13.5" thickBot="1" x14ac:dyDescent="0.25">
      <c r="A422" s="241" t="s">
        <v>142</v>
      </c>
      <c r="B422" s="241"/>
      <c r="C422" s="241"/>
      <c r="D422" s="241"/>
      <c r="E422" s="114"/>
      <c r="F422" s="230"/>
      <c r="G422" s="231"/>
      <c r="H422" s="231"/>
      <c r="I422" s="232"/>
      <c r="J422" s="233"/>
      <c r="K422" s="234"/>
      <c r="L422" s="234"/>
      <c r="M422" s="234"/>
      <c r="N422" s="234"/>
      <c r="Q422" s="108"/>
      <c r="R422" s="108"/>
      <c r="S422" s="108"/>
      <c r="T422" s="241" t="s">
        <v>142</v>
      </c>
      <c r="U422" s="241"/>
      <c r="V422" s="241"/>
      <c r="W422" s="241"/>
      <c r="X422" s="241"/>
      <c r="Y422" s="241"/>
      <c r="Z422" s="241"/>
      <c r="AA422" s="103"/>
      <c r="AB422" s="230"/>
      <c r="AC422" s="231"/>
      <c r="AD422" s="231"/>
      <c r="AE422" s="232"/>
      <c r="AF422" s="233"/>
      <c r="AG422" s="234"/>
      <c r="AH422" s="234"/>
      <c r="AW422" s="81"/>
      <c r="AX422" s="77"/>
      <c r="AY422" s="77"/>
      <c r="AZ422" s="77"/>
      <c r="BA422" s="77"/>
    </row>
    <row r="423" spans="1:53" x14ac:dyDescent="0.2">
      <c r="A423" s="239" t="s">
        <v>222</v>
      </c>
      <c r="B423" s="239"/>
      <c r="C423" s="239"/>
      <c r="D423" s="239"/>
      <c r="E423" s="246"/>
      <c r="F423" s="237" t="str">
        <f>IF(J438=1,B430,IF(J438=2,B431,IF(J438=3,B432,IF(J438=4,B433,"Winner Match 2"))))</f>
        <v>MOTO 14-1 IGNITE</v>
      </c>
      <c r="G423" s="238"/>
      <c r="H423" s="238"/>
      <c r="I423" s="238"/>
      <c r="J423" s="238"/>
      <c r="K423" s="238"/>
      <c r="L423" s="238"/>
      <c r="M423" s="238"/>
      <c r="N423" s="238"/>
      <c r="P423" s="114"/>
      <c r="Q423" s="114"/>
      <c r="S423" s="115"/>
      <c r="T423" s="239" t="s">
        <v>223</v>
      </c>
      <c r="U423" s="239"/>
      <c r="V423" s="239"/>
      <c r="W423" s="239"/>
      <c r="X423" s="239"/>
      <c r="Y423" s="239"/>
      <c r="Z423" s="239"/>
      <c r="AA423" s="107"/>
      <c r="AB423" s="237" t="str">
        <f>IF(AE438=1,X430,IF(AE438=2,X431,IF(AE438=3,X432,IF(AE438=4,X433,"Winner Match 2"))))</f>
        <v>Intense 14 Elite</v>
      </c>
      <c r="AC423" s="238"/>
      <c r="AD423" s="238"/>
      <c r="AE423" s="238"/>
      <c r="AF423" s="238"/>
      <c r="AG423" s="238"/>
      <c r="AH423" s="238"/>
      <c r="AW423" s="81"/>
      <c r="AX423" s="77"/>
      <c r="AY423" s="77"/>
      <c r="AZ423" s="77"/>
      <c r="BA423" s="77"/>
    </row>
    <row r="424" spans="1:53" ht="13.5" thickBot="1" x14ac:dyDescent="0.25">
      <c r="A424" s="225" t="str">
        <f>IF(G438=1,B430,IF(G438=2,B431,IF(G438=3,B432,IF(G438=4,B433,IF(OR(G438="B",G438="b"),"BYE","invalid")))))</f>
        <v>MOTO 14-1 IGNITE</v>
      </c>
      <c r="B424" s="225"/>
      <c r="C424" s="225"/>
      <c r="D424" s="225"/>
      <c r="E424" s="226"/>
      <c r="F424" s="105"/>
      <c r="G424" s="103"/>
      <c r="H424" s="103"/>
      <c r="I424" s="103"/>
      <c r="J424" s="103"/>
      <c r="K424" s="103"/>
      <c r="L424" s="103"/>
      <c r="M424" s="103"/>
      <c r="N424" s="103"/>
      <c r="P424" s="103"/>
      <c r="Q424" s="103"/>
      <c r="R424" s="103"/>
      <c r="S424" s="118"/>
      <c r="T424" s="118"/>
      <c r="U424" s="225" t="str">
        <f>IF(AB438=1,X430,IF(AB438=2,X431,IF(AB438=3,X432,IF(AB438=4,X433,IF(OR(AB438="B",AB438="b"),"BYE","invalid")))))</f>
        <v>Intense 14 Elite</v>
      </c>
      <c r="V424" s="225"/>
      <c r="W424" s="225"/>
      <c r="X424" s="225"/>
      <c r="Y424" s="225"/>
      <c r="Z424" s="225"/>
      <c r="AA424" s="226"/>
      <c r="AB424" s="103"/>
      <c r="AC424" s="103"/>
      <c r="AD424" s="103"/>
      <c r="AE424" s="103"/>
      <c r="AW424" s="81"/>
      <c r="AX424" s="77"/>
      <c r="AY424" s="77"/>
      <c r="AZ424" s="77"/>
      <c r="BA424" s="77"/>
    </row>
    <row r="425" spans="1:53" x14ac:dyDescent="0.2">
      <c r="A425" s="227" t="s">
        <v>232</v>
      </c>
      <c r="B425" s="227"/>
      <c r="C425" s="227"/>
      <c r="D425" s="227"/>
      <c r="E425" s="227"/>
      <c r="S425" s="116"/>
      <c r="T425" s="116"/>
      <c r="U425" s="228" t="s">
        <v>233</v>
      </c>
      <c r="V425" s="228"/>
      <c r="W425" s="228"/>
      <c r="X425" s="228"/>
      <c r="Y425" s="228"/>
      <c r="Z425" s="228"/>
      <c r="AA425" s="228"/>
      <c r="AW425" s="81"/>
      <c r="AX425" s="77"/>
      <c r="AY425" s="77"/>
      <c r="AZ425" s="77"/>
      <c r="BA425" s="77"/>
    </row>
    <row r="426" spans="1:53" x14ac:dyDescent="0.2">
      <c r="AW426" s="88"/>
      <c r="AX426" s="87"/>
      <c r="AY426" s="87"/>
      <c r="AZ426" s="87"/>
      <c r="BA426" s="87"/>
    </row>
    <row r="427" spans="1:53" x14ac:dyDescent="0.2">
      <c r="AW427" s="94"/>
      <c r="AX427" s="93"/>
      <c r="AY427" s="93"/>
      <c r="AZ427" s="93"/>
      <c r="BA427" s="93"/>
    </row>
    <row r="428" spans="1:53" ht="16.5" thickBot="1" x14ac:dyDescent="0.3">
      <c r="A428" s="229" t="s">
        <v>234</v>
      </c>
      <c r="B428" s="229"/>
      <c r="C428" s="229"/>
      <c r="D428" s="229"/>
      <c r="E428" s="229"/>
      <c r="F428" s="229"/>
      <c r="G428" s="229"/>
      <c r="H428" s="229"/>
      <c r="I428" s="229"/>
      <c r="J428" s="229"/>
      <c r="Q428" s="125"/>
      <c r="R428" s="125"/>
      <c r="S428" s="125"/>
      <c r="U428" s="229" t="s">
        <v>235</v>
      </c>
      <c r="V428" s="229"/>
      <c r="W428" s="229"/>
      <c r="X428" s="229"/>
      <c r="Y428" s="229"/>
      <c r="Z428" s="229"/>
      <c r="AA428" s="229"/>
      <c r="AB428" s="229"/>
      <c r="AC428" s="229"/>
      <c r="AD428" s="229"/>
      <c r="AE428" s="229"/>
      <c r="AF428" s="229"/>
      <c r="AW428" s="94"/>
      <c r="AX428" s="93"/>
      <c r="AY428" s="93"/>
      <c r="AZ428" s="93"/>
      <c r="BA428" s="93"/>
    </row>
    <row r="429" spans="1:53" ht="13.5" thickBot="1" x14ac:dyDescent="0.25">
      <c r="A429" s="126" t="s">
        <v>147</v>
      </c>
      <c r="B429" s="219" t="s">
        <v>148</v>
      </c>
      <c r="C429" s="220"/>
      <c r="D429" s="220"/>
      <c r="E429" s="220"/>
      <c r="F429" s="220"/>
      <c r="G429" s="220"/>
      <c r="H429" s="220"/>
      <c r="I429" s="220"/>
      <c r="J429" s="221"/>
      <c r="K429" s="222" t="s">
        <v>149</v>
      </c>
      <c r="L429" s="223"/>
      <c r="M429" s="223"/>
      <c r="N429" s="223"/>
      <c r="O429" s="223"/>
      <c r="P429" s="223"/>
      <c r="Q429" s="224"/>
      <c r="U429" s="207" t="s">
        <v>147</v>
      </c>
      <c r="V429" s="208"/>
      <c r="W429" s="209"/>
      <c r="X429" s="219" t="s">
        <v>148</v>
      </c>
      <c r="Y429" s="220"/>
      <c r="Z429" s="220"/>
      <c r="AA429" s="220"/>
      <c r="AB429" s="220"/>
      <c r="AC429" s="220"/>
      <c r="AD429" s="220"/>
      <c r="AE429" s="220"/>
      <c r="AF429" s="221"/>
      <c r="AG429" s="222" t="s">
        <v>149</v>
      </c>
      <c r="AH429" s="223"/>
      <c r="AI429" s="223"/>
      <c r="AJ429" s="223"/>
      <c r="AK429" s="223"/>
      <c r="AL429" s="223"/>
      <c r="AM429" s="224"/>
      <c r="AW429" s="81"/>
      <c r="AX429" s="77"/>
      <c r="AY429" s="77"/>
      <c r="AZ429" s="77"/>
      <c r="BA429" s="77"/>
    </row>
    <row r="430" spans="1:53" ht="13.5" thickBot="1" x14ac:dyDescent="0.25">
      <c r="A430" s="126">
        <v>1</v>
      </c>
      <c r="B430" s="201" t="str">
        <f>V349</f>
        <v>C1VB 14 Power Grvl</v>
      </c>
      <c r="C430" s="202"/>
      <c r="D430" s="202"/>
      <c r="E430" s="202"/>
      <c r="F430" s="202"/>
      <c r="G430" s="202"/>
      <c r="H430" s="202"/>
      <c r="I430" s="202"/>
      <c r="J430" s="203"/>
      <c r="K430" s="204" t="str">
        <f>AB349</f>
        <v>fj4crone2pm</v>
      </c>
      <c r="L430" s="205"/>
      <c r="M430" s="205"/>
      <c r="N430" s="205"/>
      <c r="O430" s="205"/>
      <c r="P430" s="205"/>
      <c r="Q430" s="206"/>
      <c r="U430" s="207">
        <v>1</v>
      </c>
      <c r="V430" s="208"/>
      <c r="W430" s="209"/>
      <c r="X430" s="201" t="str">
        <f>AF349</f>
        <v>SC Midlands 14 Perf</v>
      </c>
      <c r="Y430" s="202"/>
      <c r="Z430" s="202"/>
      <c r="AA430" s="202"/>
      <c r="AB430" s="202"/>
      <c r="AC430" s="202"/>
      <c r="AD430" s="202"/>
      <c r="AE430" s="202"/>
      <c r="AF430" s="203"/>
      <c r="AG430" s="204" t="str">
        <f>AL349</f>
        <v>fj4scmid2pm</v>
      </c>
      <c r="AH430" s="205"/>
      <c r="AI430" s="205"/>
      <c r="AJ430" s="205"/>
      <c r="AK430" s="205"/>
      <c r="AL430" s="205"/>
      <c r="AM430" s="206"/>
      <c r="AW430" s="81"/>
      <c r="AX430" s="77"/>
      <c r="AY430" s="77"/>
      <c r="AZ430" s="77"/>
      <c r="BA430" s="77"/>
    </row>
    <row r="431" spans="1:53" ht="13.5" thickBot="1" x14ac:dyDescent="0.25">
      <c r="A431" s="126">
        <v>2</v>
      </c>
      <c r="B431" s="201" t="str">
        <f>V350</f>
        <v>Fort Mill 14 Bayley</v>
      </c>
      <c r="C431" s="202"/>
      <c r="D431" s="202"/>
      <c r="E431" s="202"/>
      <c r="F431" s="202"/>
      <c r="G431" s="202"/>
      <c r="H431" s="202"/>
      <c r="I431" s="202"/>
      <c r="J431" s="203"/>
      <c r="K431" s="204" t="str">
        <f>AB350</f>
        <v>fj4fortm1pm</v>
      </c>
      <c r="L431" s="205"/>
      <c r="M431" s="205"/>
      <c r="N431" s="205"/>
      <c r="O431" s="205"/>
      <c r="P431" s="205"/>
      <c r="Q431" s="206"/>
      <c r="U431" s="207">
        <v>2</v>
      </c>
      <c r="V431" s="208"/>
      <c r="W431" s="209"/>
      <c r="X431" s="201" t="str">
        <f>AF350</f>
        <v>Intense 14 performace</v>
      </c>
      <c r="Y431" s="202"/>
      <c r="Z431" s="202"/>
      <c r="AA431" s="202"/>
      <c r="AB431" s="202"/>
      <c r="AC431" s="202"/>
      <c r="AD431" s="202"/>
      <c r="AE431" s="202"/>
      <c r="AF431" s="203"/>
      <c r="AG431" s="204" t="str">
        <f>AL350</f>
        <v>fj4inten3pm</v>
      </c>
      <c r="AH431" s="205"/>
      <c r="AI431" s="205"/>
      <c r="AJ431" s="205"/>
      <c r="AK431" s="205"/>
      <c r="AL431" s="205"/>
      <c r="AM431" s="206"/>
    </row>
    <row r="432" spans="1:53" ht="13.5" thickBot="1" x14ac:dyDescent="0.25">
      <c r="A432" s="126">
        <v>3</v>
      </c>
      <c r="B432" s="201" t="str">
        <f>V351</f>
        <v>MOTO 14-1 IGNITE</v>
      </c>
      <c r="C432" s="202"/>
      <c r="D432" s="202"/>
      <c r="E432" s="202"/>
      <c r="F432" s="202"/>
      <c r="G432" s="202"/>
      <c r="H432" s="202"/>
      <c r="I432" s="202"/>
      <c r="J432" s="203"/>
      <c r="K432" s="204" t="str">
        <f>AB351</f>
        <v>fj4motoj1pm</v>
      </c>
      <c r="L432" s="205"/>
      <c r="M432" s="205"/>
      <c r="N432" s="205"/>
      <c r="O432" s="205"/>
      <c r="P432" s="205"/>
      <c r="Q432" s="206"/>
      <c r="U432" s="207">
        <v>3</v>
      </c>
      <c r="V432" s="208"/>
      <c r="W432" s="209"/>
      <c r="X432" s="201" t="str">
        <f>AF351</f>
        <v>Intense 14 Elite</v>
      </c>
      <c r="Y432" s="202"/>
      <c r="Z432" s="202"/>
      <c r="AA432" s="202"/>
      <c r="AB432" s="202"/>
      <c r="AC432" s="202"/>
      <c r="AD432" s="202"/>
      <c r="AE432" s="202"/>
      <c r="AF432" s="203"/>
      <c r="AG432" s="204" t="str">
        <f>AL351</f>
        <v>fj4inten2pm</v>
      </c>
      <c r="AH432" s="205"/>
      <c r="AI432" s="205"/>
      <c r="AJ432" s="205"/>
      <c r="AK432" s="205"/>
      <c r="AL432" s="205"/>
      <c r="AM432" s="206"/>
    </row>
    <row r="433" spans="1:56" ht="13.5" thickBot="1" x14ac:dyDescent="0.25">
      <c r="A433" s="126">
        <v>4</v>
      </c>
      <c r="B433" s="201" t="str">
        <f>V352</f>
        <v>Intense 14 Hyper Elite</v>
      </c>
      <c r="C433" s="202"/>
      <c r="D433" s="202"/>
      <c r="E433" s="202"/>
      <c r="F433" s="202"/>
      <c r="G433" s="202"/>
      <c r="H433" s="202"/>
      <c r="I433" s="202"/>
      <c r="J433" s="203"/>
      <c r="K433" s="204" t="str">
        <f>AB352</f>
        <v>fj4inten1pm</v>
      </c>
      <c r="L433" s="205"/>
      <c r="M433" s="205"/>
      <c r="N433" s="205"/>
      <c r="O433" s="205"/>
      <c r="P433" s="205"/>
      <c r="Q433" s="206"/>
      <c r="U433" s="207">
        <v>4</v>
      </c>
      <c r="V433" s="208"/>
      <c r="W433" s="209"/>
      <c r="X433" s="201" t="str">
        <f>AF352</f>
        <v>Crossfire 14 Power</v>
      </c>
      <c r="Y433" s="202"/>
      <c r="Z433" s="202"/>
      <c r="AA433" s="202"/>
      <c r="AB433" s="202"/>
      <c r="AC433" s="202"/>
      <c r="AD433" s="202"/>
      <c r="AE433" s="202"/>
      <c r="AF433" s="203"/>
      <c r="AG433" s="204" t="str">
        <f>AL352</f>
        <v>fj4crosf1pm</v>
      </c>
      <c r="AH433" s="205"/>
      <c r="AI433" s="205"/>
      <c r="AJ433" s="205"/>
      <c r="AK433" s="205"/>
      <c r="AL433" s="205"/>
      <c r="AM433" s="206"/>
    </row>
    <row r="434" spans="1:56" ht="13.5" thickBot="1" x14ac:dyDescent="0.25"/>
    <row r="435" spans="1:56" x14ac:dyDescent="0.2">
      <c r="B435" s="210" t="s">
        <v>150</v>
      </c>
      <c r="C435" s="182"/>
      <c r="D435" s="183"/>
      <c r="E435" s="181" t="s">
        <v>150</v>
      </c>
      <c r="F435" s="182"/>
      <c r="G435" s="183"/>
      <c r="H435" s="181" t="s">
        <v>14</v>
      </c>
      <c r="I435" s="182"/>
      <c r="J435" s="184"/>
      <c r="K435" s="185" t="s">
        <v>151</v>
      </c>
      <c r="L435" s="211"/>
      <c r="M435" s="211"/>
      <c r="N435" s="211"/>
      <c r="O435" s="211"/>
      <c r="P435" s="211"/>
      <c r="Q435" s="212"/>
      <c r="R435" s="127"/>
      <c r="S435" s="127"/>
      <c r="T435" s="127"/>
      <c r="U435" s="127"/>
      <c r="W435" s="210" t="s">
        <v>150</v>
      </c>
      <c r="X435" s="182"/>
      <c r="Y435" s="183"/>
      <c r="Z435" s="181" t="s">
        <v>150</v>
      </c>
      <c r="AA435" s="182"/>
      <c r="AB435" s="183"/>
      <c r="AC435" s="181" t="s">
        <v>14</v>
      </c>
      <c r="AD435" s="182"/>
      <c r="AE435" s="184"/>
      <c r="AF435" s="185" t="s">
        <v>151</v>
      </c>
      <c r="AG435" s="186"/>
      <c r="AH435" s="186"/>
      <c r="AI435" s="186"/>
      <c r="AJ435" s="187"/>
    </row>
    <row r="436" spans="1:56" x14ac:dyDescent="0.2">
      <c r="A436" s="56" t="s">
        <v>152</v>
      </c>
      <c r="B436" s="194">
        <v>3</v>
      </c>
      <c r="C436" s="195"/>
      <c r="D436" s="196"/>
      <c r="E436" s="197" t="s">
        <v>153</v>
      </c>
      <c r="F436" s="195"/>
      <c r="G436" s="196"/>
      <c r="H436" s="197" t="s">
        <v>154</v>
      </c>
      <c r="I436" s="195"/>
      <c r="J436" s="198"/>
      <c r="K436" s="213"/>
      <c r="L436" s="214"/>
      <c r="M436" s="214"/>
      <c r="N436" s="214"/>
      <c r="O436" s="214"/>
      <c r="P436" s="214"/>
      <c r="Q436" s="215"/>
      <c r="R436" s="127"/>
      <c r="S436" s="127"/>
      <c r="T436" s="199" t="s">
        <v>152</v>
      </c>
      <c r="U436" s="199"/>
      <c r="V436" s="200"/>
      <c r="W436" s="194">
        <v>3</v>
      </c>
      <c r="X436" s="195"/>
      <c r="Y436" s="196"/>
      <c r="Z436" s="197" t="s">
        <v>153</v>
      </c>
      <c r="AA436" s="195"/>
      <c r="AB436" s="196"/>
      <c r="AC436" s="197" t="s">
        <v>154</v>
      </c>
      <c r="AD436" s="195"/>
      <c r="AE436" s="198"/>
      <c r="AF436" s="188"/>
      <c r="AG436" s="189"/>
      <c r="AH436" s="189"/>
      <c r="AI436" s="189"/>
      <c r="AJ436" s="190"/>
    </row>
    <row r="437" spans="1:56" ht="13.5" thickBot="1" x14ac:dyDescent="0.25">
      <c r="A437" s="8"/>
      <c r="B437" s="179" t="s">
        <v>64</v>
      </c>
      <c r="C437" s="174"/>
      <c r="D437" s="180"/>
      <c r="E437" s="173" t="s">
        <v>155</v>
      </c>
      <c r="F437" s="174"/>
      <c r="G437" s="180"/>
      <c r="H437" s="173" t="s">
        <v>156</v>
      </c>
      <c r="I437" s="174"/>
      <c r="J437" s="175"/>
      <c r="K437" s="216"/>
      <c r="L437" s="217"/>
      <c r="M437" s="217"/>
      <c r="N437" s="217"/>
      <c r="O437" s="217"/>
      <c r="P437" s="217"/>
      <c r="Q437" s="218"/>
      <c r="R437" s="127"/>
      <c r="S437" s="127"/>
      <c r="T437" s="160"/>
      <c r="U437" s="160"/>
      <c r="V437" s="161"/>
      <c r="W437" s="179" t="s">
        <v>64</v>
      </c>
      <c r="X437" s="174"/>
      <c r="Y437" s="180"/>
      <c r="Z437" s="173" t="s">
        <v>155</v>
      </c>
      <c r="AA437" s="174"/>
      <c r="AB437" s="180"/>
      <c r="AC437" s="173" t="s">
        <v>156</v>
      </c>
      <c r="AD437" s="174"/>
      <c r="AE437" s="175"/>
      <c r="AF437" s="191"/>
      <c r="AG437" s="192"/>
      <c r="AH437" s="192"/>
      <c r="AI437" s="192"/>
      <c r="AJ437" s="193"/>
    </row>
    <row r="438" spans="1:56" ht="13.5" thickBot="1" x14ac:dyDescent="0.25">
      <c r="A438" s="8"/>
      <c r="B438" s="128">
        <v>1</v>
      </c>
      <c r="C438" s="129" t="s">
        <v>72</v>
      </c>
      <c r="D438" s="130">
        <v>4</v>
      </c>
      <c r="E438" s="131">
        <v>2</v>
      </c>
      <c r="F438" s="129" t="s">
        <v>72</v>
      </c>
      <c r="G438" s="130">
        <v>3</v>
      </c>
      <c r="H438" s="132">
        <f>IF(OR(AND(OR(B442&gt;0,D442&gt;0),B442&gt;D442),OR(D438="b",D438="B")),B438,IF(OR(AND(OR(B442&gt;0,D442&gt;0),D442&gt;B442),OR(B438="b",B438="B")),D438,"W1"))</f>
        <v>1</v>
      </c>
      <c r="I438" s="133" t="s">
        <v>72</v>
      </c>
      <c r="J438" s="134">
        <f>IF(OR(AND(OR(E442&gt;0,G442&gt;0),E442&gt;G442),OR(G438="b",G438="B")),E438,IF(OR(AND(OR(E442&gt;0,G442&gt;0),G442&gt;E442),OR(E438="b",E438="B")),G438,"W2"))</f>
        <v>3</v>
      </c>
      <c r="K438" s="176" t="s">
        <v>157</v>
      </c>
      <c r="L438" s="177"/>
      <c r="M438" s="177"/>
      <c r="N438" s="178"/>
      <c r="R438" s="127"/>
      <c r="S438" s="127"/>
      <c r="T438" s="160"/>
      <c r="U438" s="160"/>
      <c r="V438" s="161"/>
      <c r="W438" s="128">
        <v>1</v>
      </c>
      <c r="X438" s="129" t="s">
        <v>72</v>
      </c>
      <c r="Y438" s="130">
        <v>4</v>
      </c>
      <c r="Z438" s="131">
        <v>2</v>
      </c>
      <c r="AA438" s="129" t="s">
        <v>72</v>
      </c>
      <c r="AB438" s="130">
        <v>3</v>
      </c>
      <c r="AC438" s="132">
        <f>IF(OR(AND(OR(W442&gt;0,Y442&gt;0),W442&gt;Y442),OR(Y438="b",Y438="B")),W438,IF(OR(AND(OR(W442&gt;0,Y442&gt;0),Y442&gt;W442),OR(W438="b",W438="B")),Y438,"W1"))</f>
        <v>4</v>
      </c>
      <c r="AD438" s="133" t="s">
        <v>72</v>
      </c>
      <c r="AE438" s="134">
        <f>IF(OR(AND(OR(Z442&gt;0,AB442&gt;0),Z442&gt;AB442),OR(AB438="b",AB438="B")),Z438,IF(OR(AND(OR(Z442&gt;0,AB442&gt;0),AB442&gt;Z442),OR(Z438="b",Z438="B")),AB438,"W2"))</f>
        <v>3</v>
      </c>
      <c r="AF438" s="176" t="s">
        <v>157</v>
      </c>
      <c r="AG438" s="178"/>
      <c r="AH438" s="127"/>
      <c r="AI438" s="127"/>
      <c r="AJ438" s="127"/>
    </row>
    <row r="439" spans="1:56" ht="13.5" hidden="1" customHeight="1" x14ac:dyDescent="0.2">
      <c r="A439" s="8"/>
      <c r="B439" s="135">
        <f>IF(B443&gt;D443,1,0)</f>
        <v>1</v>
      </c>
      <c r="C439" s="136"/>
      <c r="D439" s="137">
        <f>IF(D443&gt;B443,1,0)</f>
        <v>0</v>
      </c>
      <c r="E439" s="135">
        <f>IF(E443&gt;G443,1,0)</f>
        <v>1</v>
      </c>
      <c r="F439" s="136"/>
      <c r="G439" s="137">
        <f>IF(G443&gt;E443,1,0)</f>
        <v>0</v>
      </c>
      <c r="H439" s="135">
        <f>IF(H443&gt;J443,1,0)</f>
        <v>1</v>
      </c>
      <c r="I439" s="136"/>
      <c r="J439" s="137">
        <f>IF(J443&gt;H443,1,0)</f>
        <v>0</v>
      </c>
      <c r="K439" s="138"/>
      <c r="L439" s="139"/>
      <c r="M439" s="139"/>
      <c r="N439" s="140"/>
      <c r="R439" s="127"/>
      <c r="S439" s="127"/>
      <c r="T439" s="160"/>
      <c r="U439" s="160"/>
      <c r="V439" s="161"/>
      <c r="W439" s="135">
        <f>IF(W443&gt;Y443,1,0)</f>
        <v>0</v>
      </c>
      <c r="X439" s="136"/>
      <c r="Y439" s="137">
        <f>IF(Y443&gt;W443,1,0)</f>
        <v>1</v>
      </c>
      <c r="Z439" s="135">
        <f>IF(Z443&gt;AB443,1,0)</f>
        <v>0</v>
      </c>
      <c r="AA439" s="136"/>
      <c r="AB439" s="137">
        <f>IF(AB443&gt;Z443,1,0)</f>
        <v>1</v>
      </c>
      <c r="AC439" s="135">
        <f>IF(AC443&gt;AE443,1,0)</f>
        <v>0</v>
      </c>
      <c r="AD439" s="136"/>
      <c r="AE439" s="137">
        <f>IF(AE443&gt;AC443,1,0)</f>
        <v>1</v>
      </c>
      <c r="AF439" s="141"/>
      <c r="AG439" s="142"/>
      <c r="AH439" s="127"/>
      <c r="AI439" s="127"/>
      <c r="AJ439" s="127"/>
    </row>
    <row r="440" spans="1:56" ht="13.5" hidden="1" customHeight="1" x14ac:dyDescent="0.2">
      <c r="A440" s="8"/>
      <c r="B440" s="135">
        <f>IF(B444&gt;D444,1,0)</f>
        <v>1</v>
      </c>
      <c r="C440" s="136"/>
      <c r="D440" s="137">
        <f>IF(D444&gt;B444,1,0)</f>
        <v>0</v>
      </c>
      <c r="E440" s="135">
        <f>IF(E444&gt;G444,1,0)</f>
        <v>0</v>
      </c>
      <c r="F440" s="136"/>
      <c r="G440" s="137">
        <f>IF(G444&gt;E444,1,0)</f>
        <v>1</v>
      </c>
      <c r="H440" s="135">
        <f>IF(H444&gt;J444,1,0)</f>
        <v>1</v>
      </c>
      <c r="I440" s="136"/>
      <c r="J440" s="137">
        <f>IF(J444&gt;H444,1,0)</f>
        <v>0</v>
      </c>
      <c r="K440" s="138"/>
      <c r="L440" s="139"/>
      <c r="M440" s="139"/>
      <c r="N440" s="140"/>
      <c r="R440" s="127"/>
      <c r="S440" s="127"/>
      <c r="T440" s="160"/>
      <c r="U440" s="160"/>
      <c r="V440" s="161"/>
      <c r="W440" s="135">
        <f>IF(W444&gt;Y444,1,0)</f>
        <v>0</v>
      </c>
      <c r="X440" s="136"/>
      <c r="Y440" s="137">
        <f>IF(Y444&gt;W444,1,0)</f>
        <v>1</v>
      </c>
      <c r="Z440" s="135">
        <f>IF(Z444&gt;AB444,1,0)</f>
        <v>0</v>
      </c>
      <c r="AA440" s="136"/>
      <c r="AB440" s="137">
        <f>IF(AB444&gt;Z444,1,0)</f>
        <v>1</v>
      </c>
      <c r="AC440" s="135">
        <f>IF(AC444&gt;AE444,1,0)</f>
        <v>1</v>
      </c>
      <c r="AD440" s="136"/>
      <c r="AE440" s="137">
        <f>IF(AE444&gt;AC444,1,0)</f>
        <v>0</v>
      </c>
      <c r="AF440" s="141"/>
      <c r="AG440" s="142"/>
      <c r="AH440" s="127"/>
      <c r="AI440" s="127"/>
      <c r="AJ440" s="127"/>
    </row>
    <row r="441" spans="1:56" ht="13.5" hidden="1" customHeight="1" x14ac:dyDescent="0.2">
      <c r="A441" s="8"/>
      <c r="B441" s="135">
        <f>IF(B445&gt;D445,1,0)</f>
        <v>0</v>
      </c>
      <c r="C441" s="136"/>
      <c r="D441" s="137">
        <f>IF(D445&gt;B445,1,0)</f>
        <v>0</v>
      </c>
      <c r="E441" s="135">
        <f>IF(E445&gt;G445,1,0)</f>
        <v>0</v>
      </c>
      <c r="F441" s="136"/>
      <c r="G441" s="137">
        <f>IF(G445&gt;E445,1,0)</f>
        <v>1</v>
      </c>
      <c r="H441" s="135">
        <f>IF(H445&gt;J445,1,0)</f>
        <v>0</v>
      </c>
      <c r="I441" s="136"/>
      <c r="J441" s="137">
        <f>IF(J445&gt;H445,1,0)</f>
        <v>0</v>
      </c>
      <c r="K441" s="138"/>
      <c r="L441" s="139"/>
      <c r="M441" s="139"/>
      <c r="N441" s="140"/>
      <c r="R441" s="127"/>
      <c r="S441" s="127"/>
      <c r="T441" s="160"/>
      <c r="U441" s="160"/>
      <c r="V441" s="161"/>
      <c r="W441" s="135">
        <f>IF(W445&gt;Y445,1,0)</f>
        <v>0</v>
      </c>
      <c r="X441" s="136"/>
      <c r="Y441" s="137">
        <f>IF(Y445&gt;W445,1,0)</f>
        <v>0</v>
      </c>
      <c r="Z441" s="135">
        <f>IF(Z445&gt;AB445,1,0)</f>
        <v>0</v>
      </c>
      <c r="AA441" s="136"/>
      <c r="AB441" s="137">
        <f>IF(AB445&gt;Z445,1,0)</f>
        <v>0</v>
      </c>
      <c r="AC441" s="135">
        <f>IF(AC445&gt;AE445,1,0)</f>
        <v>1</v>
      </c>
      <c r="AD441" s="136"/>
      <c r="AE441" s="137">
        <f>IF(AE445&gt;AC445,1,0)</f>
        <v>0</v>
      </c>
      <c r="AF441" s="141"/>
      <c r="AG441" s="142"/>
      <c r="AH441" s="127"/>
      <c r="AI441" s="127"/>
      <c r="AJ441" s="127"/>
    </row>
    <row r="442" spans="1:56" ht="13.5" hidden="1" customHeight="1" x14ac:dyDescent="0.2">
      <c r="A442" s="8"/>
      <c r="B442" s="135">
        <f>SUM(B439:B441)</f>
        <v>2</v>
      </c>
      <c r="C442" s="136"/>
      <c r="D442" s="135">
        <f>SUM(D439:D441)</f>
        <v>0</v>
      </c>
      <c r="E442" s="135">
        <f>SUM(E439:E441)</f>
        <v>1</v>
      </c>
      <c r="F442" s="136"/>
      <c r="G442" s="135">
        <f>SUM(G439:G441)</f>
        <v>2</v>
      </c>
      <c r="H442" s="135">
        <f>SUM(H439:H441)</f>
        <v>2</v>
      </c>
      <c r="I442" s="136"/>
      <c r="J442" s="135">
        <f>SUM(J439:J441)</f>
        <v>0</v>
      </c>
      <c r="K442" s="138"/>
      <c r="L442" s="139"/>
      <c r="M442" s="139"/>
      <c r="N442" s="140"/>
      <c r="R442" s="127"/>
      <c r="S442" s="127"/>
      <c r="T442" s="160"/>
      <c r="U442" s="160"/>
      <c r="V442" s="161"/>
      <c r="W442" s="135">
        <f>SUM(W439:W441)</f>
        <v>0</v>
      </c>
      <c r="X442" s="136"/>
      <c r="Y442" s="135">
        <f>SUM(Y439:Y441)</f>
        <v>2</v>
      </c>
      <c r="Z442" s="135">
        <f>SUM(Z439:Z441)</f>
        <v>0</v>
      </c>
      <c r="AA442" s="136"/>
      <c r="AB442" s="135">
        <f>SUM(AB439:AB441)</f>
        <v>2</v>
      </c>
      <c r="AC442" s="135">
        <f>SUM(AC439:AC441)</f>
        <v>2</v>
      </c>
      <c r="AD442" s="136"/>
      <c r="AE442" s="135">
        <f>SUM(AE439:AE441)</f>
        <v>1</v>
      </c>
      <c r="AF442" s="141"/>
      <c r="AG442" s="142"/>
      <c r="AH442" s="127"/>
      <c r="AI442" s="127"/>
      <c r="AJ442" s="127"/>
    </row>
    <row r="443" spans="1:56" ht="12.75" customHeight="1" x14ac:dyDescent="0.2">
      <c r="A443" s="6" t="s">
        <v>73</v>
      </c>
      <c r="B443" s="143">
        <v>25</v>
      </c>
      <c r="C443" s="66" t="s">
        <v>74</v>
      </c>
      <c r="D443" s="144">
        <v>23</v>
      </c>
      <c r="E443" s="145">
        <v>27</v>
      </c>
      <c r="F443" s="66" t="s">
        <v>74</v>
      </c>
      <c r="G443" s="144">
        <v>25</v>
      </c>
      <c r="H443" s="145">
        <v>25</v>
      </c>
      <c r="I443" s="66" t="s">
        <v>74</v>
      </c>
      <c r="J443" s="146">
        <v>23</v>
      </c>
      <c r="K443" s="162">
        <f>IF(AND(OR(H442&gt;0,J442&gt;0),AND(1&lt;=H438,H438&lt;=4),AND(1&lt;=J438,J438&lt;=4)),IF(H442&gt;J442,H438,IF(J442&gt;H442,J438,"")),"")</f>
        <v>1</v>
      </c>
      <c r="L443" s="163"/>
      <c r="M443" s="163"/>
      <c r="N443" s="164"/>
      <c r="R443" s="127"/>
      <c r="S443" s="127"/>
      <c r="T443" s="147"/>
      <c r="U443" s="147"/>
      <c r="V443" s="6" t="s">
        <v>73</v>
      </c>
      <c r="W443" s="143">
        <v>18</v>
      </c>
      <c r="X443" s="66" t="s">
        <v>74</v>
      </c>
      <c r="Y443" s="144">
        <v>25</v>
      </c>
      <c r="Z443" s="145">
        <v>14</v>
      </c>
      <c r="AA443" s="66" t="s">
        <v>74</v>
      </c>
      <c r="AB443" s="144">
        <v>25</v>
      </c>
      <c r="AC443" s="145">
        <v>23</v>
      </c>
      <c r="AD443" s="66" t="s">
        <v>74</v>
      </c>
      <c r="AE443" s="146">
        <v>25</v>
      </c>
      <c r="AF443" s="162">
        <f>IF(AND(OR(AC442&gt;0,AE442&gt;0),AND(1&lt;=AC438,AC438&lt;=4),AND(1&lt;=AE438,AE438&lt;=4)),IF(AC442&gt;AE442,AC438,IF(AE442&gt;AC442,AE438,"")),"")</f>
        <v>4</v>
      </c>
      <c r="AG443" s="164"/>
      <c r="AH443" s="127"/>
      <c r="AI443" s="127"/>
      <c r="AJ443" s="127"/>
    </row>
    <row r="444" spans="1:56" ht="12.75" customHeight="1" x14ac:dyDescent="0.2">
      <c r="A444" s="6" t="s">
        <v>158</v>
      </c>
      <c r="B444" s="143">
        <v>25</v>
      </c>
      <c r="C444" s="66" t="s">
        <v>74</v>
      </c>
      <c r="D444" s="144">
        <v>15</v>
      </c>
      <c r="E444" s="145">
        <v>24</v>
      </c>
      <c r="F444" s="66" t="s">
        <v>74</v>
      </c>
      <c r="G444" s="144">
        <v>26</v>
      </c>
      <c r="H444" s="145">
        <v>25</v>
      </c>
      <c r="I444" s="66" t="s">
        <v>74</v>
      </c>
      <c r="J444" s="146">
        <v>16</v>
      </c>
      <c r="K444" s="165"/>
      <c r="L444" s="166"/>
      <c r="M444" s="166"/>
      <c r="N444" s="167"/>
      <c r="R444" s="127"/>
      <c r="S444" s="127"/>
      <c r="T444" s="147"/>
      <c r="U444" s="147"/>
      <c r="V444" s="6" t="s">
        <v>158</v>
      </c>
      <c r="W444" s="143">
        <v>13</v>
      </c>
      <c r="X444" s="66" t="s">
        <v>74</v>
      </c>
      <c r="Y444" s="144">
        <v>25</v>
      </c>
      <c r="Z444" s="145">
        <v>19</v>
      </c>
      <c r="AA444" s="66" t="s">
        <v>74</v>
      </c>
      <c r="AB444" s="144">
        <v>25</v>
      </c>
      <c r="AC444" s="145">
        <v>25</v>
      </c>
      <c r="AD444" s="66" t="s">
        <v>74</v>
      </c>
      <c r="AE444" s="146">
        <v>18</v>
      </c>
      <c r="AF444" s="165"/>
      <c r="AG444" s="167"/>
      <c r="AH444" s="127"/>
      <c r="AI444" s="127"/>
      <c r="AJ444" s="127"/>
    </row>
    <row r="445" spans="1:56" ht="13.5" customHeight="1" thickBot="1" x14ac:dyDescent="0.25">
      <c r="A445" s="6" t="s">
        <v>159</v>
      </c>
      <c r="B445" s="148">
        <v>0</v>
      </c>
      <c r="C445" s="149" t="s">
        <v>74</v>
      </c>
      <c r="D445" s="150">
        <v>0</v>
      </c>
      <c r="E445" s="151">
        <v>7</v>
      </c>
      <c r="F445" s="149" t="s">
        <v>74</v>
      </c>
      <c r="G445" s="150">
        <v>15</v>
      </c>
      <c r="H445" s="151">
        <v>0</v>
      </c>
      <c r="I445" s="149" t="s">
        <v>74</v>
      </c>
      <c r="J445" s="152">
        <v>0</v>
      </c>
      <c r="K445" s="168"/>
      <c r="L445" s="169"/>
      <c r="M445" s="169"/>
      <c r="N445" s="170"/>
      <c r="R445" s="127"/>
      <c r="S445" s="127"/>
      <c r="T445" s="147"/>
      <c r="U445" s="147"/>
      <c r="V445" s="6" t="s">
        <v>159</v>
      </c>
      <c r="W445" s="148"/>
      <c r="X445" s="149" t="s">
        <v>74</v>
      </c>
      <c r="Y445" s="150"/>
      <c r="Z445" s="151"/>
      <c r="AA445" s="149" t="s">
        <v>74</v>
      </c>
      <c r="AB445" s="150"/>
      <c r="AC445" s="151">
        <v>15</v>
      </c>
      <c r="AD445" s="149" t="s">
        <v>74</v>
      </c>
      <c r="AE445" s="152">
        <v>11</v>
      </c>
      <c r="AF445" s="168"/>
      <c r="AG445" s="170"/>
      <c r="AH445" s="127"/>
      <c r="AI445" s="127"/>
      <c r="AJ445" s="127"/>
    </row>
    <row r="446" spans="1:56" hidden="1" x14ac:dyDescent="0.2">
      <c r="B446" s="3"/>
      <c r="C446" s="153" t="s">
        <v>108</v>
      </c>
      <c r="D446" s="3" t="s">
        <v>160</v>
      </c>
      <c r="E446" s="3"/>
      <c r="F446" s="153"/>
      <c r="G446" s="4" t="s">
        <v>161</v>
      </c>
      <c r="J446" s="4" t="s">
        <v>162</v>
      </c>
      <c r="W446" s="3"/>
      <c r="X446" s="153" t="s">
        <v>108</v>
      </c>
      <c r="Y446" s="3" t="s">
        <v>160</v>
      </c>
      <c r="Z446" s="3"/>
      <c r="AA446" s="153"/>
      <c r="AB446" s="4" t="s">
        <v>161</v>
      </c>
      <c r="AE446" s="4" t="s">
        <v>162</v>
      </c>
      <c r="AT446" s="4" t="str">
        <f>B447</f>
        <v>C1VB 14 Power Grvl</v>
      </c>
      <c r="AU446" s="4">
        <f>J447</f>
        <v>2173.2017572431046</v>
      </c>
      <c r="BB446" s="154"/>
      <c r="BC446" s="70"/>
      <c r="BD446" s="70"/>
    </row>
    <row r="447" spans="1:56" hidden="1" x14ac:dyDescent="0.2">
      <c r="A447" s="4">
        <v>1</v>
      </c>
      <c r="B447" s="4" t="str">
        <f>B430</f>
        <v>C1VB 14 Power Grvl</v>
      </c>
      <c r="C447" s="4">
        <f>VLOOKUP(B447,AU$2:AY$22,4,FALSE)</f>
        <v>2143.2394068330118</v>
      </c>
      <c r="D447" s="4">
        <f>IF(A447=B438,B453,IF(A447=D438,D453,C447))</f>
        <v>2160.1595557307737</v>
      </c>
      <c r="G447" s="4">
        <f>IF(A447=E438,E453,IF(A447=G438,G453,D447))</f>
        <v>2160.1595557307737</v>
      </c>
      <c r="J447" s="4">
        <f>IF(A447=H438,H453,IF(A447=J438,J453,G447))</f>
        <v>2173.2017572431046</v>
      </c>
      <c r="U447" s="155"/>
      <c r="V447" s="155">
        <v>1</v>
      </c>
      <c r="W447" s="4" t="str">
        <f>X430</f>
        <v>SC Midlands 14 Perf</v>
      </c>
      <c r="X447" s="4">
        <f>VLOOKUP(W447,AU$2:AY$22,4,FALSE)</f>
        <v>2023.7265315933423</v>
      </c>
      <c r="Y447" s="4">
        <f>IF(V447=W438,W453,IF(V447=Y438,Y453,X447))</f>
        <v>2014.1456827590919</v>
      </c>
      <c r="AB447" s="4">
        <f>IF(V447=Z438,Z453,IF(V447=AB438,AB453,Y447))</f>
        <v>2014.1456827590919</v>
      </c>
      <c r="AE447" s="4">
        <f>IF(V447=AC438,AC453,IF(V447=AE438,AE453,AB447))</f>
        <v>2014.1456827590919</v>
      </c>
      <c r="AT447" s="4" t="str">
        <f>B448</f>
        <v>Fort Mill 14 Bayley</v>
      </c>
      <c r="AU447" s="4">
        <f>J448</f>
        <v>2138.4450849967739</v>
      </c>
      <c r="BB447" s="154"/>
      <c r="BC447" s="70"/>
      <c r="BD447" s="70"/>
    </row>
    <row r="448" spans="1:56" hidden="1" x14ac:dyDescent="0.2">
      <c r="A448" s="4">
        <v>2</v>
      </c>
      <c r="B448" s="4" t="str">
        <f>B431</f>
        <v>Fort Mill 14 Bayley</v>
      </c>
      <c r="C448" s="4">
        <f>VLOOKUP(B448,AU$2:AY$22,4,FALSE)</f>
        <v>2151.1244349589101</v>
      </c>
      <c r="D448" s="4">
        <f>IF(A448=B438,B453,IF(A448=D438,D453,C448))</f>
        <v>2151.1244349589101</v>
      </c>
      <c r="G448" s="4">
        <f>IF(A448=E438,E453,IF(A448=G438,G453,D448))</f>
        <v>2138.4450849967739</v>
      </c>
      <c r="J448" s="4">
        <f>IF(A448=H438,H453,IF(A448=J438,J453,G448))</f>
        <v>2138.4450849967739</v>
      </c>
      <c r="U448" s="155"/>
      <c r="V448" s="155">
        <v>2</v>
      </c>
      <c r="W448" s="4" t="str">
        <f>X431</f>
        <v>Intense 14 performace</v>
      </c>
      <c r="X448" s="4">
        <f>VLOOKUP(W448,AU$2:AY$22,4,FALSE)</f>
        <v>2011.2459103995855</v>
      </c>
      <c r="Y448" s="4">
        <f>IF(V448=W438,W453,IF(V448=Y438,Y453,X448))</f>
        <v>2011.2459103995855</v>
      </c>
      <c r="AB448" s="4">
        <f>IF(V448=Z438,Z453,IF(V448=AB438,AB453,Y448))</f>
        <v>1999.2074170421029</v>
      </c>
      <c r="AE448" s="4">
        <f>IF(V448=AC438,AC453,IF(V448=AE438,AE453,AB448))</f>
        <v>1999.2074170421029</v>
      </c>
      <c r="AT448" s="4" t="str">
        <f>B449</f>
        <v>MOTO 14-1 IGNITE</v>
      </c>
      <c r="AU448" s="4">
        <f>J449</f>
        <v>2082.1425556197441</v>
      </c>
      <c r="BB448" s="154"/>
      <c r="BC448" s="70"/>
      <c r="BD448" s="70"/>
    </row>
    <row r="449" spans="1:56" hidden="1" x14ac:dyDescent="0.2">
      <c r="A449" s="4">
        <v>3</v>
      </c>
      <c r="B449" s="4" t="str">
        <f>B432</f>
        <v>MOTO 14-1 IGNITE</v>
      </c>
      <c r="C449" s="4">
        <f>VLOOKUP(B449,AU$2:AY$22,4,FALSE)</f>
        <v>2082.5054071699387</v>
      </c>
      <c r="D449" s="4">
        <f>IF(A449=B438,B453,IF(A449=D438,D453,C449))</f>
        <v>2082.5054071699387</v>
      </c>
      <c r="G449" s="4">
        <f>IF(A449=E438,E453,IF(A449=G438,G453,D449))</f>
        <v>2095.184757132075</v>
      </c>
      <c r="J449" s="4">
        <f>IF(A449=H438,H453,IF(A449=J438,J453,G449))</f>
        <v>2082.1425556197441</v>
      </c>
      <c r="U449" s="155"/>
      <c r="V449" s="155">
        <v>3</v>
      </c>
      <c r="W449" s="4" t="str">
        <f>X432</f>
        <v>Intense 14 Elite</v>
      </c>
      <c r="X449" s="4">
        <f>VLOOKUP(W449,AU$2:AY$22,4,FALSE)</f>
        <v>2099.0943824558949</v>
      </c>
      <c r="Y449" s="4">
        <f>IF(V449=W438,W453,IF(V449=Y438,Y453,X449))</f>
        <v>2099.0943824558949</v>
      </c>
      <c r="AB449" s="4">
        <f>IF(V449=Z438,Z453,IF(V449=AB438,AB453,Y449))</f>
        <v>2111.1328758133777</v>
      </c>
      <c r="AE449" s="4">
        <f>IF(V449=AC438,AC453,IF(V449=AE438,AE453,AB449))</f>
        <v>2107.8946708286217</v>
      </c>
      <c r="AT449" s="4" t="str">
        <f>B450</f>
        <v>Intense 14 Hyper Elite</v>
      </c>
      <c r="AU449" s="4">
        <f>J450</f>
        <v>2146.3221088039863</v>
      </c>
      <c r="BB449" s="154"/>
      <c r="BC449" s="70"/>
      <c r="BD449" s="70"/>
    </row>
    <row r="450" spans="1:56" hidden="1" x14ac:dyDescent="0.2">
      <c r="A450" s="4">
        <v>4</v>
      </c>
      <c r="B450" s="4" t="str">
        <f>B433</f>
        <v>Intense 14 Hyper Elite</v>
      </c>
      <c r="C450" s="4">
        <f>VLOOKUP(B450,AU$2:AY$22,4,FALSE)</f>
        <v>2163.2422577017483</v>
      </c>
      <c r="D450" s="4">
        <f>IF(A450=B438,B453,IF(A450=D438,D453,C450))</f>
        <v>2146.3221088039863</v>
      </c>
      <c r="G450" s="4">
        <f>IF(A450=E438,E453,IF(A450=G438,G453,D450))</f>
        <v>2146.3221088039863</v>
      </c>
      <c r="J450" s="4">
        <f>IF(A450=H438,H453,IF(A450=J438,J453,G450))</f>
        <v>2146.3221088039863</v>
      </c>
      <c r="U450" s="155"/>
      <c r="V450" s="155">
        <v>4</v>
      </c>
      <c r="W450" s="4" t="str">
        <f>X433</f>
        <v>Crossfire 14 Power</v>
      </c>
      <c r="X450" s="4">
        <f>VLOOKUP(W450,AU$2:AY$22,4,FALSE)</f>
        <v>2171.4126025310011</v>
      </c>
      <c r="Y450" s="4">
        <f>IF(V450=W438,W453,IF(V450=Y438,Y453,X450))</f>
        <v>2180.9934513652515</v>
      </c>
      <c r="AB450" s="4">
        <f>IF(V450=Z438,Z453,IF(V450=AB438,AB453,Y450))</f>
        <v>2180.9934513652515</v>
      </c>
      <c r="AE450" s="4">
        <f>IF(V450=AC438,AC453,IF(V450=AE438,AE453,AB450))</f>
        <v>2184.2316563500076</v>
      </c>
      <c r="AT450" s="4" t="str">
        <f>W447</f>
        <v>SC Midlands 14 Perf</v>
      </c>
      <c r="AU450" s="4">
        <f>AE447</f>
        <v>2014.1456827590919</v>
      </c>
      <c r="BB450" s="154"/>
      <c r="BC450" s="70"/>
      <c r="BD450" s="70"/>
    </row>
    <row r="451" spans="1:56" hidden="1" x14ac:dyDescent="0.2">
      <c r="A451" s="4" t="s">
        <v>110</v>
      </c>
      <c r="B451" s="4">
        <f>VLOOKUP(B438,$A447:$J450,3,FALSE)</f>
        <v>2143.2394068330118</v>
      </c>
      <c r="D451" s="4">
        <f>VLOOKUP(D438,$A447:$J450,3,FALSE)</f>
        <v>2163.2422577017483</v>
      </c>
      <c r="E451" s="4">
        <f>VLOOKUP(E438,$A447:$J450,4,FALSE)</f>
        <v>2151.1244349589101</v>
      </c>
      <c r="G451" s="4">
        <f>VLOOKUP(G438,$A447:$J450,4,FALSE)</f>
        <v>2082.5054071699387</v>
      </c>
      <c r="H451" s="4">
        <f>VLOOKUP(H438,$A447:$J450,7,FALSE)</f>
        <v>2160.1595557307737</v>
      </c>
      <c r="J451" s="4">
        <f>VLOOKUP(J438,$A447:$J450,7,FALSE)</f>
        <v>2095.184757132075</v>
      </c>
      <c r="T451" s="171" t="s">
        <v>110</v>
      </c>
      <c r="U451" s="171"/>
      <c r="V451" s="171"/>
      <c r="W451" s="4">
        <f>VLOOKUP(W438,$V447:$AE450,3,FALSE)</f>
        <v>2023.7265315933423</v>
      </c>
      <c r="Y451" s="4">
        <f>VLOOKUP(Y438,$V447:$AE450,3,FALSE)</f>
        <v>2171.4126025310011</v>
      </c>
      <c r="Z451" s="4">
        <f>VLOOKUP(Z438,$V447:$AE450,4,FALSE)</f>
        <v>2011.2459103995855</v>
      </c>
      <c r="AB451" s="4">
        <f>VLOOKUP(AB438,$V447:$AE450,4,FALSE)</f>
        <v>2099.0943824558949</v>
      </c>
      <c r="AC451" s="4">
        <f>VLOOKUP(AC438,$V447:$AE450,7,FALSE)</f>
        <v>2180.9934513652515</v>
      </c>
      <c r="AE451" s="4">
        <f>VLOOKUP(AE438,$V447:$AE450,7,FALSE)</f>
        <v>2111.1328758133777</v>
      </c>
      <c r="AT451" s="4" t="str">
        <f>W448</f>
        <v>Intense 14 performace</v>
      </c>
      <c r="AU451" s="4">
        <f>AE448</f>
        <v>1999.2074170421029</v>
      </c>
      <c r="BB451" s="154"/>
      <c r="BC451" s="70"/>
      <c r="BD451" s="70"/>
    </row>
    <row r="452" spans="1:56" hidden="1" x14ac:dyDescent="0.2">
      <c r="A452" s="84" t="s">
        <v>111</v>
      </c>
      <c r="B452" s="84">
        <f>1/(1+(10^-((B451-D451)/400)))*(B442+D442)</f>
        <v>0.94249069388986906</v>
      </c>
      <c r="C452" s="84"/>
      <c r="D452" s="84">
        <f>1/(1+(10^-((D451-B451)/400)))*(B442+D442)</f>
        <v>1.0575093061101308</v>
      </c>
      <c r="E452" s="84">
        <f>1/(1+(10^-((E451-G451)/400)))*(E442+G442)</f>
        <v>1.7924593726335289</v>
      </c>
      <c r="G452" s="84">
        <f>1/(1+(10^-((G451-E451)/400)))*(E442+G442)</f>
        <v>1.2075406273664706</v>
      </c>
      <c r="H452" s="84">
        <f>1/(1+(10^-((H451-J451)/400)))*(H442+J442)</f>
        <v>1.1848624054793102</v>
      </c>
      <c r="J452" s="84">
        <f>1/(1+(10^-((J451-H451)/400)))*(H442+J442)</f>
        <v>0.81513759452069001</v>
      </c>
      <c r="T452" s="172" t="s">
        <v>111</v>
      </c>
      <c r="U452" s="172"/>
      <c r="V452" s="172"/>
      <c r="W452" s="84">
        <f>1/(1+(10^-((W451-Y451)/400)))*(W442+Y442)</f>
        <v>0.59880305214065399</v>
      </c>
      <c r="X452" s="84"/>
      <c r="Y452" s="84">
        <f>1/(1+(10^-((Y451-W451)/400)))*(W442+Y442)</f>
        <v>1.401196947859346</v>
      </c>
      <c r="Z452" s="84">
        <f>1/(1+(10^-((Z451-AB451)/400)))*(Z442+AB442)</f>
        <v>0.75240583484266843</v>
      </c>
      <c r="AB452" s="84">
        <f>1/(1+(10^-((AB451-Z451)/400)))*(Z442+AB442)</f>
        <v>1.2475941651573317</v>
      </c>
      <c r="AC452" s="84">
        <f>1/(1+(10^-((AC451-AE451)/400)))*(AC442+AE442)</f>
        <v>1.7976121884527376</v>
      </c>
      <c r="AE452" s="84">
        <f>1/(1+(10^-((AE451-AC451)/400)))*(AC442+AE442)</f>
        <v>1.2023878115472622</v>
      </c>
      <c r="AT452" s="4" t="str">
        <f>W449</f>
        <v>Intense 14 Elite</v>
      </c>
      <c r="AU452" s="4">
        <f>AE449</f>
        <v>2107.8946708286217</v>
      </c>
      <c r="BB452" s="154"/>
      <c r="BC452" s="70"/>
      <c r="BD452" s="70"/>
    </row>
    <row r="453" spans="1:56" hidden="1" x14ac:dyDescent="0.2">
      <c r="A453" s="90" t="s">
        <v>112</v>
      </c>
      <c r="B453" s="90">
        <f>B451+(B442-B452)*$BA$2</f>
        <v>2160.1595557307737</v>
      </c>
      <c r="C453" s="90"/>
      <c r="D453" s="90">
        <f>D451+(D442-D452)*$BA$2</f>
        <v>2146.3221088039863</v>
      </c>
      <c r="E453" s="90">
        <f>E451+(E442-E452)*$BA$2</f>
        <v>2138.4450849967739</v>
      </c>
      <c r="G453" s="90">
        <f>G451+(G442-G452)*$BA$2</f>
        <v>2095.184757132075</v>
      </c>
      <c r="H453" s="90">
        <f>H451+(H442-H452)*$BA$2</f>
        <v>2173.2017572431046</v>
      </c>
      <c r="J453" s="90">
        <f>J451+(J442-J452)*$BA$2</f>
        <v>2082.1425556197441</v>
      </c>
      <c r="T453" s="158" t="s">
        <v>112</v>
      </c>
      <c r="U453" s="158"/>
      <c r="V453" s="158"/>
      <c r="W453" s="90">
        <f>W451+(W442-W452)*$BA$2</f>
        <v>2014.1456827590919</v>
      </c>
      <c r="X453" s="90"/>
      <c r="Y453" s="90">
        <f>Y451+(Y442-Y452)*$BA$2</f>
        <v>2180.9934513652515</v>
      </c>
      <c r="Z453" s="90">
        <f>Z451+(Z442-Z452)*$BA$2</f>
        <v>1999.2074170421029</v>
      </c>
      <c r="AB453" s="90">
        <f>AB451+(AB442-AB452)*$BA$2</f>
        <v>2111.1328758133777</v>
      </c>
      <c r="AC453" s="90">
        <f>AC451+(AC442-AC452)*$BA$2</f>
        <v>2184.2316563500076</v>
      </c>
      <c r="AE453" s="90">
        <f>AE451+(AE442-AE452)*$BA$2</f>
        <v>2107.8946708286217</v>
      </c>
      <c r="AT453" s="4" t="str">
        <f>W450</f>
        <v>Crossfire 14 Power</v>
      </c>
      <c r="AU453" s="4">
        <f>AE450</f>
        <v>2184.2316563500076</v>
      </c>
      <c r="BB453" s="154"/>
      <c r="BC453" s="70"/>
      <c r="BD453" s="70"/>
    </row>
    <row r="454" spans="1:56" x14ac:dyDescent="0.2">
      <c r="A454" s="159" t="s">
        <v>163</v>
      </c>
      <c r="B454" s="159"/>
      <c r="C454" s="159"/>
      <c r="D454" s="159"/>
      <c r="E454" s="159"/>
      <c r="F454" s="159"/>
      <c r="G454" s="159"/>
      <c r="H454" s="159"/>
      <c r="I454" s="159"/>
      <c r="J454" s="159"/>
      <c r="K454" s="159"/>
      <c r="L454" s="159"/>
      <c r="M454" s="159"/>
      <c r="R454" s="127"/>
      <c r="S454" s="127"/>
      <c r="T454" s="147"/>
      <c r="U454" s="147"/>
      <c r="V454" s="159" t="s">
        <v>163</v>
      </c>
      <c r="W454" s="159"/>
      <c r="X454" s="159"/>
      <c r="Y454" s="159"/>
      <c r="Z454" s="159"/>
      <c r="AA454" s="159"/>
      <c r="AB454" s="159"/>
      <c r="AC454" s="159"/>
      <c r="AD454" s="159"/>
      <c r="AE454" s="159"/>
      <c r="AF454" s="159"/>
      <c r="AG454" s="159"/>
      <c r="AH454" s="127"/>
      <c r="AI454" s="127"/>
      <c r="AJ454" s="127"/>
    </row>
    <row r="488" spans="49:49" x14ac:dyDescent="0.2">
      <c r="AW488" s="4"/>
    </row>
    <row r="489" spans="49:49" x14ac:dyDescent="0.2">
      <c r="AW489" s="4"/>
    </row>
    <row r="490" spans="49:49" x14ac:dyDescent="0.2">
      <c r="AW490" s="4"/>
    </row>
    <row r="491" spans="49:49" x14ac:dyDescent="0.2">
      <c r="AW491" s="4"/>
    </row>
    <row r="492" spans="49:49" x14ac:dyDescent="0.2">
      <c r="AW492" s="4"/>
    </row>
    <row r="493" spans="49:49" x14ac:dyDescent="0.2">
      <c r="AW493" s="4"/>
    </row>
    <row r="494" spans="49:49" x14ac:dyDescent="0.2">
      <c r="AW494" s="4"/>
    </row>
    <row r="495" spans="49:49" x14ac:dyDescent="0.2">
      <c r="AW495" s="4"/>
    </row>
    <row r="496" spans="49:49" x14ac:dyDescent="0.2">
      <c r="AW496" s="4"/>
    </row>
    <row r="542" spans="49:49" x14ac:dyDescent="0.2">
      <c r="AW542" s="4"/>
    </row>
    <row r="543" spans="49:49" x14ac:dyDescent="0.2">
      <c r="AW543" s="4"/>
    </row>
    <row r="544" spans="49:49" x14ac:dyDescent="0.2">
      <c r="AW544" s="4"/>
    </row>
    <row r="545" spans="49:49" x14ac:dyDescent="0.2">
      <c r="AW545" s="4"/>
    </row>
    <row r="546" spans="49:49" x14ac:dyDescent="0.2">
      <c r="AW546" s="4"/>
    </row>
    <row r="547" spans="49:49" x14ac:dyDescent="0.2">
      <c r="AW547" s="4"/>
    </row>
    <row r="548" spans="49:49" x14ac:dyDescent="0.2">
      <c r="AW548" s="4"/>
    </row>
    <row r="549" spans="49:49" x14ac:dyDescent="0.2">
      <c r="AW549" s="4"/>
    </row>
    <row r="550" spans="49:49" x14ac:dyDescent="0.2">
      <c r="AW550" s="4"/>
    </row>
    <row r="596" spans="49:49" x14ac:dyDescent="0.2">
      <c r="AW596" s="4"/>
    </row>
    <row r="597" spans="49:49" x14ac:dyDescent="0.2">
      <c r="AW597" s="4"/>
    </row>
    <row r="598" spans="49:49" x14ac:dyDescent="0.2">
      <c r="AW598" s="4"/>
    </row>
    <row r="599" spans="49:49" x14ac:dyDescent="0.2">
      <c r="AW599" s="4"/>
    </row>
    <row r="600" spans="49:49" x14ac:dyDescent="0.2">
      <c r="AW600" s="4"/>
    </row>
    <row r="601" spans="49:49" x14ac:dyDescent="0.2">
      <c r="AW601" s="4"/>
    </row>
    <row r="602" spans="49:49" x14ac:dyDescent="0.2">
      <c r="AW602" s="4"/>
    </row>
    <row r="603" spans="49:49" x14ac:dyDescent="0.2">
      <c r="AW603" s="4"/>
    </row>
    <row r="604" spans="49:49" x14ac:dyDescent="0.2">
      <c r="AW604" s="4"/>
    </row>
    <row r="650" spans="49:49" x14ac:dyDescent="0.2">
      <c r="AW650" s="4"/>
    </row>
    <row r="651" spans="49:49" x14ac:dyDescent="0.2">
      <c r="AW651" s="4"/>
    </row>
    <row r="652" spans="49:49" x14ac:dyDescent="0.2">
      <c r="AW652" s="4"/>
    </row>
    <row r="653" spans="49:49" x14ac:dyDescent="0.2">
      <c r="AW653" s="4"/>
    </row>
    <row r="654" spans="49:49" x14ac:dyDescent="0.2">
      <c r="AW654" s="4"/>
    </row>
    <row r="655" spans="49:49" x14ac:dyDescent="0.2">
      <c r="AW655" s="4"/>
    </row>
    <row r="656" spans="49:49" x14ac:dyDescent="0.2">
      <c r="AW656" s="4"/>
    </row>
    <row r="657" spans="49:49" x14ac:dyDescent="0.2">
      <c r="AW657" s="4"/>
    </row>
    <row r="658" spans="49:49" x14ac:dyDescent="0.2">
      <c r="AW658" s="4"/>
    </row>
  </sheetData>
  <sheetProtection sheet="1" objects="1" scenarios="1" formatCells="0" selectLockedCells="1"/>
  <mergeCells count="817">
    <mergeCell ref="T453:V453"/>
    <mergeCell ref="A454:M454"/>
    <mergeCell ref="V454:AG454"/>
    <mergeCell ref="T441:V441"/>
    <mergeCell ref="T442:V442"/>
    <mergeCell ref="K443:N445"/>
    <mergeCell ref="AF443:AG445"/>
    <mergeCell ref="T451:V451"/>
    <mergeCell ref="T452:V452"/>
    <mergeCell ref="AC437:AE437"/>
    <mergeCell ref="K438:N438"/>
    <mergeCell ref="T438:V438"/>
    <mergeCell ref="AF438:AG438"/>
    <mergeCell ref="T439:V439"/>
    <mergeCell ref="T440:V440"/>
    <mergeCell ref="B437:D437"/>
    <mergeCell ref="E437:G437"/>
    <mergeCell ref="H437:J437"/>
    <mergeCell ref="T437:V437"/>
    <mergeCell ref="W437:Y437"/>
    <mergeCell ref="Z437:AB437"/>
    <mergeCell ref="Z435:AB435"/>
    <mergeCell ref="AC435:AE435"/>
    <mergeCell ref="AF435:AJ437"/>
    <mergeCell ref="B436:D436"/>
    <mergeCell ref="E436:G436"/>
    <mergeCell ref="H436:J436"/>
    <mergeCell ref="T436:V436"/>
    <mergeCell ref="W436:Y436"/>
    <mergeCell ref="Z436:AB436"/>
    <mergeCell ref="AC436:AE436"/>
    <mergeCell ref="B433:J433"/>
    <mergeCell ref="K433:Q433"/>
    <mergeCell ref="U433:W433"/>
    <mergeCell ref="X433:AF433"/>
    <mergeCell ref="AG433:AM433"/>
    <mergeCell ref="B435:D435"/>
    <mergeCell ref="E435:G435"/>
    <mergeCell ref="H435:J435"/>
    <mergeCell ref="K435:Q437"/>
    <mergeCell ref="W435:Y435"/>
    <mergeCell ref="B431:J431"/>
    <mergeCell ref="K431:Q431"/>
    <mergeCell ref="U431:W431"/>
    <mergeCell ref="X431:AF431"/>
    <mergeCell ref="AG431:AM431"/>
    <mergeCell ref="B432:J432"/>
    <mergeCell ref="K432:Q432"/>
    <mergeCell ref="U432:W432"/>
    <mergeCell ref="X432:AF432"/>
    <mergeCell ref="AG432:AM432"/>
    <mergeCell ref="B429:J429"/>
    <mergeCell ref="K429:Q429"/>
    <mergeCell ref="U429:W429"/>
    <mergeCell ref="X429:AF429"/>
    <mergeCell ref="AG429:AM429"/>
    <mergeCell ref="B430:J430"/>
    <mergeCell ref="K430:Q430"/>
    <mergeCell ref="U430:W430"/>
    <mergeCell ref="X430:AF430"/>
    <mergeCell ref="AG430:AM430"/>
    <mergeCell ref="A424:E424"/>
    <mergeCell ref="U424:AA424"/>
    <mergeCell ref="A425:E425"/>
    <mergeCell ref="U425:AA425"/>
    <mergeCell ref="A428:J428"/>
    <mergeCell ref="U428:AF428"/>
    <mergeCell ref="AB422:AE422"/>
    <mergeCell ref="AF422:AH422"/>
    <mergeCell ref="A423:E423"/>
    <mergeCell ref="F423:N423"/>
    <mergeCell ref="T423:Z423"/>
    <mergeCell ref="AB423:AH423"/>
    <mergeCell ref="A420:E420"/>
    <mergeCell ref="J420:P420"/>
    <mergeCell ref="U420:AA420"/>
    <mergeCell ref="A422:D422"/>
    <mergeCell ref="F422:I422"/>
    <mergeCell ref="J422:N422"/>
    <mergeCell ref="T422:Z422"/>
    <mergeCell ref="J418:P418"/>
    <mergeCell ref="AF418:AJ418"/>
    <mergeCell ref="A419:E419"/>
    <mergeCell ref="F419:I419"/>
    <mergeCell ref="J419:P419"/>
    <mergeCell ref="U419:AA419"/>
    <mergeCell ref="AB419:AE419"/>
    <mergeCell ref="AF419:AJ419"/>
    <mergeCell ref="A415:E415"/>
    <mergeCell ref="U415:AA415"/>
    <mergeCell ref="A416:E416"/>
    <mergeCell ref="U416:AA416"/>
    <mergeCell ref="F417:I417"/>
    <mergeCell ref="AB417:AE417"/>
    <mergeCell ref="A414:E414"/>
    <mergeCell ref="F414:I414"/>
    <mergeCell ref="J414:N414"/>
    <mergeCell ref="T414:Z414"/>
    <mergeCell ref="AB414:AE414"/>
    <mergeCell ref="AF414:AH414"/>
    <mergeCell ref="A411:E411"/>
    <mergeCell ref="U411:AA411"/>
    <mergeCell ref="A413:E413"/>
    <mergeCell ref="F413:N413"/>
    <mergeCell ref="T413:AA413"/>
    <mergeCell ref="AB413:AH413"/>
    <mergeCell ref="T405:V405"/>
    <mergeCell ref="A406:M406"/>
    <mergeCell ref="V406:AG406"/>
    <mergeCell ref="A408:O408"/>
    <mergeCell ref="R408:AF408"/>
    <mergeCell ref="A410:E410"/>
    <mergeCell ref="U410:AA410"/>
    <mergeCell ref="T393:V393"/>
    <mergeCell ref="T394:V394"/>
    <mergeCell ref="K395:N397"/>
    <mergeCell ref="AF395:AG397"/>
    <mergeCell ref="T403:V403"/>
    <mergeCell ref="T404:V404"/>
    <mergeCell ref="AC389:AE389"/>
    <mergeCell ref="K390:N390"/>
    <mergeCell ref="T390:V390"/>
    <mergeCell ref="AF390:AG390"/>
    <mergeCell ref="T391:V391"/>
    <mergeCell ref="T392:V392"/>
    <mergeCell ref="B389:D389"/>
    <mergeCell ref="E389:G389"/>
    <mergeCell ref="H389:J389"/>
    <mergeCell ref="T389:V389"/>
    <mergeCell ref="W389:Y389"/>
    <mergeCell ref="Z389:AB389"/>
    <mergeCell ref="Z387:AB387"/>
    <mergeCell ref="AC387:AE387"/>
    <mergeCell ref="AF387:AJ389"/>
    <mergeCell ref="B388:D388"/>
    <mergeCell ref="E388:G388"/>
    <mergeCell ref="H388:J388"/>
    <mergeCell ref="T388:V388"/>
    <mergeCell ref="W388:Y388"/>
    <mergeCell ref="Z388:AB388"/>
    <mergeCell ref="AC388:AE388"/>
    <mergeCell ref="B385:J385"/>
    <mergeCell ref="K385:Q385"/>
    <mergeCell ref="U385:W385"/>
    <mergeCell ref="X385:AF385"/>
    <mergeCell ref="AG385:AM385"/>
    <mergeCell ref="B387:D387"/>
    <mergeCell ref="E387:G387"/>
    <mergeCell ref="H387:J387"/>
    <mergeCell ref="K387:Q389"/>
    <mergeCell ref="W387:Y387"/>
    <mergeCell ref="B383:J383"/>
    <mergeCell ref="K383:Q383"/>
    <mergeCell ref="U383:W383"/>
    <mergeCell ref="X383:AF383"/>
    <mergeCell ref="AG383:AM383"/>
    <mergeCell ref="B384:J384"/>
    <mergeCell ref="K384:Q384"/>
    <mergeCell ref="U384:W384"/>
    <mergeCell ref="X384:AF384"/>
    <mergeCell ref="AG384:AM384"/>
    <mergeCell ref="AG381:AM381"/>
    <mergeCell ref="B382:J382"/>
    <mergeCell ref="K382:Q382"/>
    <mergeCell ref="U382:W382"/>
    <mergeCell ref="X382:AF382"/>
    <mergeCell ref="AG382:AM382"/>
    <mergeCell ref="A377:E377"/>
    <mergeCell ref="U377:AA377"/>
    <mergeCell ref="A380:J380"/>
    <mergeCell ref="U380:AF380"/>
    <mergeCell ref="B381:J381"/>
    <mergeCell ref="K381:Q381"/>
    <mergeCell ref="U381:W381"/>
    <mergeCell ref="X381:AF381"/>
    <mergeCell ref="A375:E375"/>
    <mergeCell ref="F375:M375"/>
    <mergeCell ref="U375:AA375"/>
    <mergeCell ref="AB375:AH375"/>
    <mergeCell ref="A376:E376"/>
    <mergeCell ref="U376:AA376"/>
    <mergeCell ref="A372:E372"/>
    <mergeCell ref="J372:P372"/>
    <mergeCell ref="U372:AA372"/>
    <mergeCell ref="A374:D374"/>
    <mergeCell ref="F374:I374"/>
    <mergeCell ref="J374:M374"/>
    <mergeCell ref="U374:Z374"/>
    <mergeCell ref="A371:E371"/>
    <mergeCell ref="F371:I371"/>
    <mergeCell ref="J371:P371"/>
    <mergeCell ref="U371:AA371"/>
    <mergeCell ref="AB371:AE371"/>
    <mergeCell ref="AF371:AJ371"/>
    <mergeCell ref="A368:E368"/>
    <mergeCell ref="U368:AA368"/>
    <mergeCell ref="F369:I369"/>
    <mergeCell ref="AB369:AE369"/>
    <mergeCell ref="J370:P370"/>
    <mergeCell ref="AF370:AJ370"/>
    <mergeCell ref="AB365:AH365"/>
    <mergeCell ref="A366:E366"/>
    <mergeCell ref="F366:I366"/>
    <mergeCell ref="J366:M366"/>
    <mergeCell ref="U366:AA366"/>
    <mergeCell ref="A367:E367"/>
    <mergeCell ref="U367:AA367"/>
    <mergeCell ref="A362:E362"/>
    <mergeCell ref="U362:AA362"/>
    <mergeCell ref="A363:E363"/>
    <mergeCell ref="U363:AA363"/>
    <mergeCell ref="A365:E365"/>
    <mergeCell ref="F365:M365"/>
    <mergeCell ref="U365:AA365"/>
    <mergeCell ref="A354:AQ354"/>
    <mergeCell ref="A355:AQ355"/>
    <mergeCell ref="A356:AQ356"/>
    <mergeCell ref="A357:AQ357"/>
    <mergeCell ref="A358:K358"/>
    <mergeCell ref="A360:O360"/>
    <mergeCell ref="R360:AF360"/>
    <mergeCell ref="AF351:AK351"/>
    <mergeCell ref="AL351:AO351"/>
    <mergeCell ref="B352:G352"/>
    <mergeCell ref="H352:K352"/>
    <mergeCell ref="L352:Q352"/>
    <mergeCell ref="R352:U352"/>
    <mergeCell ref="V352:AA352"/>
    <mergeCell ref="AB352:AE352"/>
    <mergeCell ref="AF352:AK352"/>
    <mergeCell ref="AL352:AO352"/>
    <mergeCell ref="B351:G351"/>
    <mergeCell ref="H351:K351"/>
    <mergeCell ref="L351:Q351"/>
    <mergeCell ref="R351:U351"/>
    <mergeCell ref="V351:AA351"/>
    <mergeCell ref="AB351:AE351"/>
    <mergeCell ref="AF349:AK349"/>
    <mergeCell ref="AL349:AO349"/>
    <mergeCell ref="B350:G350"/>
    <mergeCell ref="H350:K350"/>
    <mergeCell ref="L350:Q350"/>
    <mergeCell ref="R350:U350"/>
    <mergeCell ref="V350:AA350"/>
    <mergeCell ref="AB350:AE350"/>
    <mergeCell ref="AF350:AK350"/>
    <mergeCell ref="AL350:AO350"/>
    <mergeCell ref="V348:AA348"/>
    <mergeCell ref="AB348:AE348"/>
    <mergeCell ref="AF348:AK348"/>
    <mergeCell ref="AL348:AO348"/>
    <mergeCell ref="B349:G349"/>
    <mergeCell ref="H349:K349"/>
    <mergeCell ref="L349:Q349"/>
    <mergeCell ref="R349:U349"/>
    <mergeCell ref="V349:AA349"/>
    <mergeCell ref="AB349:AE349"/>
    <mergeCell ref="A346:AQ346"/>
    <mergeCell ref="A347:A348"/>
    <mergeCell ref="B347:K347"/>
    <mergeCell ref="L347:U347"/>
    <mergeCell ref="V347:AE347"/>
    <mergeCell ref="AF347:AO347"/>
    <mergeCell ref="B348:G348"/>
    <mergeCell ref="H348:K348"/>
    <mergeCell ref="L348:Q348"/>
    <mergeCell ref="R348:U348"/>
    <mergeCell ref="Z278:AB278"/>
    <mergeCell ref="AC278:AE278"/>
    <mergeCell ref="AG312:AK312"/>
    <mergeCell ref="A344:AM344"/>
    <mergeCell ref="AN344:AQ344"/>
    <mergeCell ref="A345:AQ345"/>
    <mergeCell ref="Z277:AB277"/>
    <mergeCell ref="AC277:AE277"/>
    <mergeCell ref="B278:D278"/>
    <mergeCell ref="E278:G278"/>
    <mergeCell ref="H278:J278"/>
    <mergeCell ref="K278:M278"/>
    <mergeCell ref="N278:P278"/>
    <mergeCell ref="Q278:S278"/>
    <mergeCell ref="T278:V278"/>
    <mergeCell ref="W278:Y278"/>
    <mergeCell ref="Z276:AB276"/>
    <mergeCell ref="AC276:AE276"/>
    <mergeCell ref="B277:D277"/>
    <mergeCell ref="E277:G277"/>
    <mergeCell ref="H277:J277"/>
    <mergeCell ref="K277:M277"/>
    <mergeCell ref="N277:P277"/>
    <mergeCell ref="Q277:S277"/>
    <mergeCell ref="T277:V277"/>
    <mergeCell ref="W277:Y277"/>
    <mergeCell ref="Z275:AB275"/>
    <mergeCell ref="AC275:AE275"/>
    <mergeCell ref="B276:D276"/>
    <mergeCell ref="E276:G276"/>
    <mergeCell ref="H276:J276"/>
    <mergeCell ref="K276:M276"/>
    <mergeCell ref="N276:P276"/>
    <mergeCell ref="Q276:S276"/>
    <mergeCell ref="T276:V276"/>
    <mergeCell ref="W276:Y276"/>
    <mergeCell ref="AC274:AE274"/>
    <mergeCell ref="AF274:AQ277"/>
    <mergeCell ref="B275:D275"/>
    <mergeCell ref="E275:G275"/>
    <mergeCell ref="H275:J275"/>
    <mergeCell ref="K275:M275"/>
    <mergeCell ref="N275:P275"/>
    <mergeCell ref="Q275:S275"/>
    <mergeCell ref="T275:V275"/>
    <mergeCell ref="W275:Y275"/>
    <mergeCell ref="B273:AI273"/>
    <mergeCell ref="B274:D274"/>
    <mergeCell ref="E274:G274"/>
    <mergeCell ref="H274:J274"/>
    <mergeCell ref="K274:M274"/>
    <mergeCell ref="N274:P274"/>
    <mergeCell ref="Q274:S274"/>
    <mergeCell ref="T274:V274"/>
    <mergeCell ref="W274:Y274"/>
    <mergeCell ref="Z274:AB274"/>
    <mergeCell ref="Z271:AB272"/>
    <mergeCell ref="AC271:AE272"/>
    <mergeCell ref="AF271:AF272"/>
    <mergeCell ref="AG271:AG272"/>
    <mergeCell ref="AH271:AI272"/>
    <mergeCell ref="B272:D272"/>
    <mergeCell ref="E272:K272"/>
    <mergeCell ref="A271:A272"/>
    <mergeCell ref="B271:D271"/>
    <mergeCell ref="E271:K271"/>
    <mergeCell ref="L271:P272"/>
    <mergeCell ref="R271:V272"/>
    <mergeCell ref="W271:Y272"/>
    <mergeCell ref="Z269:AB270"/>
    <mergeCell ref="AC269:AE270"/>
    <mergeCell ref="AF269:AF270"/>
    <mergeCell ref="AG269:AG270"/>
    <mergeCell ref="AH269:AI270"/>
    <mergeCell ref="B270:D270"/>
    <mergeCell ref="E270:K270"/>
    <mergeCell ref="A269:A270"/>
    <mergeCell ref="B269:D269"/>
    <mergeCell ref="E269:K269"/>
    <mergeCell ref="L269:P270"/>
    <mergeCell ref="R269:V270"/>
    <mergeCell ref="W269:Y270"/>
    <mergeCell ref="Z267:AB268"/>
    <mergeCell ref="AC267:AE268"/>
    <mergeCell ref="AF267:AF268"/>
    <mergeCell ref="AG267:AG268"/>
    <mergeCell ref="AH267:AI268"/>
    <mergeCell ref="B268:D268"/>
    <mergeCell ref="E268:K268"/>
    <mergeCell ref="A267:A268"/>
    <mergeCell ref="B267:D267"/>
    <mergeCell ref="E267:K267"/>
    <mergeCell ref="L267:P268"/>
    <mergeCell ref="R267:V268"/>
    <mergeCell ref="W267:Y268"/>
    <mergeCell ref="Z265:AB266"/>
    <mergeCell ref="AC265:AE266"/>
    <mergeCell ref="AF265:AF266"/>
    <mergeCell ref="AG265:AG266"/>
    <mergeCell ref="AH265:AI266"/>
    <mergeCell ref="B266:D266"/>
    <mergeCell ref="E266:K266"/>
    <mergeCell ref="AG263:AG264"/>
    <mergeCell ref="AH263:AI264"/>
    <mergeCell ref="B264:D264"/>
    <mergeCell ref="E264:K264"/>
    <mergeCell ref="A265:A266"/>
    <mergeCell ref="B265:D265"/>
    <mergeCell ref="E265:K265"/>
    <mergeCell ref="L265:P266"/>
    <mergeCell ref="R265:V266"/>
    <mergeCell ref="W265:Y266"/>
    <mergeCell ref="AH262:AI262"/>
    <mergeCell ref="A263:A264"/>
    <mergeCell ref="B263:D263"/>
    <mergeCell ref="E263:K263"/>
    <mergeCell ref="L263:P264"/>
    <mergeCell ref="R263:V264"/>
    <mergeCell ref="W263:Y264"/>
    <mergeCell ref="Z263:AB264"/>
    <mergeCell ref="AC263:AE264"/>
    <mergeCell ref="AF263:AF264"/>
    <mergeCell ref="C261:H261"/>
    <mergeCell ref="I261:J261"/>
    <mergeCell ref="K261:AI261"/>
    <mergeCell ref="B262:K262"/>
    <mergeCell ref="L262:P262"/>
    <mergeCell ref="Q262:Q272"/>
    <mergeCell ref="R262:V262"/>
    <mergeCell ref="W262:Y262"/>
    <mergeCell ref="Z262:AB262"/>
    <mergeCell ref="AC262:AE262"/>
    <mergeCell ref="Z193:AB193"/>
    <mergeCell ref="AC193:AE193"/>
    <mergeCell ref="AG227:AK227"/>
    <mergeCell ref="A259:AM259"/>
    <mergeCell ref="AN259:AQ259"/>
    <mergeCell ref="A260:AQ260"/>
    <mergeCell ref="Z192:AB192"/>
    <mergeCell ref="AC192:AE192"/>
    <mergeCell ref="B193:D193"/>
    <mergeCell ref="E193:G193"/>
    <mergeCell ref="H193:J193"/>
    <mergeCell ref="K193:M193"/>
    <mergeCell ref="N193:P193"/>
    <mergeCell ref="Q193:S193"/>
    <mergeCell ref="T193:V193"/>
    <mergeCell ref="W193:Y193"/>
    <mergeCell ref="Z191:AB191"/>
    <mergeCell ref="AC191:AE191"/>
    <mergeCell ref="B192:D192"/>
    <mergeCell ref="E192:G192"/>
    <mergeCell ref="H192:J192"/>
    <mergeCell ref="K192:M192"/>
    <mergeCell ref="N192:P192"/>
    <mergeCell ref="Q192:S192"/>
    <mergeCell ref="T192:V192"/>
    <mergeCell ref="W192:Y192"/>
    <mergeCell ref="Z190:AB190"/>
    <mergeCell ref="AC190:AE190"/>
    <mergeCell ref="B191:D191"/>
    <mergeCell ref="E191:G191"/>
    <mergeCell ref="H191:J191"/>
    <mergeCell ref="K191:M191"/>
    <mergeCell ref="N191:P191"/>
    <mergeCell ref="Q191:S191"/>
    <mergeCell ref="T191:V191"/>
    <mergeCell ref="W191:Y191"/>
    <mergeCell ref="AC189:AE189"/>
    <mergeCell ref="AF189:AQ192"/>
    <mergeCell ref="B190:D190"/>
    <mergeCell ref="E190:G190"/>
    <mergeCell ref="H190:J190"/>
    <mergeCell ref="K190:M190"/>
    <mergeCell ref="N190:P190"/>
    <mergeCell ref="Q190:S190"/>
    <mergeCell ref="T190:V190"/>
    <mergeCell ref="W190:Y190"/>
    <mergeCell ref="B188:AI188"/>
    <mergeCell ref="B189:D189"/>
    <mergeCell ref="E189:G189"/>
    <mergeCell ref="H189:J189"/>
    <mergeCell ref="K189:M189"/>
    <mergeCell ref="N189:P189"/>
    <mergeCell ref="Q189:S189"/>
    <mergeCell ref="T189:V189"/>
    <mergeCell ref="W189:Y189"/>
    <mergeCell ref="Z189:AB189"/>
    <mergeCell ref="Z186:AB187"/>
    <mergeCell ref="AC186:AE187"/>
    <mergeCell ref="AF186:AF187"/>
    <mergeCell ref="AG186:AG187"/>
    <mergeCell ref="AH186:AI187"/>
    <mergeCell ref="B187:D187"/>
    <mergeCell ref="E187:K187"/>
    <mergeCell ref="A186:A187"/>
    <mergeCell ref="B186:D186"/>
    <mergeCell ref="E186:K186"/>
    <mergeCell ref="L186:P187"/>
    <mergeCell ref="R186:V187"/>
    <mergeCell ref="W186:Y187"/>
    <mergeCell ref="Z184:AB185"/>
    <mergeCell ref="AC184:AE185"/>
    <mergeCell ref="AF184:AF185"/>
    <mergeCell ref="AG184:AG185"/>
    <mergeCell ref="AH184:AI185"/>
    <mergeCell ref="B185:D185"/>
    <mergeCell ref="E185:K185"/>
    <mergeCell ref="A184:A185"/>
    <mergeCell ref="B184:D184"/>
    <mergeCell ref="E184:K184"/>
    <mergeCell ref="L184:P185"/>
    <mergeCell ref="R184:V185"/>
    <mergeCell ref="W184:Y185"/>
    <mergeCell ref="Z182:AB183"/>
    <mergeCell ref="AC182:AE183"/>
    <mergeCell ref="AF182:AF183"/>
    <mergeCell ref="AG182:AG183"/>
    <mergeCell ref="AH182:AI183"/>
    <mergeCell ref="B183:D183"/>
    <mergeCell ref="E183:K183"/>
    <mergeCell ref="A182:A183"/>
    <mergeCell ref="B182:D182"/>
    <mergeCell ref="E182:K182"/>
    <mergeCell ref="L182:P183"/>
    <mergeCell ref="R182:V183"/>
    <mergeCell ref="W182:Y183"/>
    <mergeCell ref="Z180:AB181"/>
    <mergeCell ref="AC180:AE181"/>
    <mergeCell ref="AF180:AF181"/>
    <mergeCell ref="AG180:AG181"/>
    <mergeCell ref="AH180:AI181"/>
    <mergeCell ref="B181:D181"/>
    <mergeCell ref="E181:K181"/>
    <mergeCell ref="AG178:AG179"/>
    <mergeCell ref="AH178:AI179"/>
    <mergeCell ref="B179:D179"/>
    <mergeCell ref="E179:K179"/>
    <mergeCell ref="A180:A181"/>
    <mergeCell ref="B180:D180"/>
    <mergeCell ref="E180:K180"/>
    <mergeCell ref="L180:P181"/>
    <mergeCell ref="R180:V181"/>
    <mergeCell ref="W180:Y181"/>
    <mergeCell ref="AH177:AI177"/>
    <mergeCell ref="A178:A179"/>
    <mergeCell ref="B178:D178"/>
    <mergeCell ref="E178:K178"/>
    <mergeCell ref="L178:P179"/>
    <mergeCell ref="R178:V179"/>
    <mergeCell ref="W178:Y179"/>
    <mergeCell ref="Z178:AB179"/>
    <mergeCell ref="AC178:AE179"/>
    <mergeCell ref="AF178:AF179"/>
    <mergeCell ref="C176:H176"/>
    <mergeCell ref="I176:J176"/>
    <mergeCell ref="K176:AI176"/>
    <mergeCell ref="B177:K177"/>
    <mergeCell ref="L177:P177"/>
    <mergeCell ref="Q177:Q187"/>
    <mergeCell ref="R177:V177"/>
    <mergeCell ref="W177:Y177"/>
    <mergeCell ref="Z177:AB177"/>
    <mergeCell ref="AC177:AE177"/>
    <mergeCell ref="Z108:AB108"/>
    <mergeCell ref="AC108:AE108"/>
    <mergeCell ref="AG142:AK142"/>
    <mergeCell ref="A174:AM174"/>
    <mergeCell ref="AN174:AQ174"/>
    <mergeCell ref="A175:AQ175"/>
    <mergeCell ref="Z107:AB107"/>
    <mergeCell ref="AC107:AE107"/>
    <mergeCell ref="B108:D108"/>
    <mergeCell ref="E108:G108"/>
    <mergeCell ref="H108:J108"/>
    <mergeCell ref="K108:M108"/>
    <mergeCell ref="N108:P108"/>
    <mergeCell ref="Q108:S108"/>
    <mergeCell ref="T108:V108"/>
    <mergeCell ref="W108:Y108"/>
    <mergeCell ref="Z106:AB106"/>
    <mergeCell ref="AC106:AE106"/>
    <mergeCell ref="B107:D107"/>
    <mergeCell ref="E107:G107"/>
    <mergeCell ref="H107:J107"/>
    <mergeCell ref="K107:M107"/>
    <mergeCell ref="N107:P107"/>
    <mergeCell ref="Q107:S107"/>
    <mergeCell ref="T107:V107"/>
    <mergeCell ref="W107:Y107"/>
    <mergeCell ref="Z105:AB105"/>
    <mergeCell ref="AC105:AE105"/>
    <mergeCell ref="B106:D106"/>
    <mergeCell ref="E106:G106"/>
    <mergeCell ref="H106:J106"/>
    <mergeCell ref="K106:M106"/>
    <mergeCell ref="N106:P106"/>
    <mergeCell ref="Q106:S106"/>
    <mergeCell ref="T106:V106"/>
    <mergeCell ref="W106:Y106"/>
    <mergeCell ref="AC104:AE104"/>
    <mergeCell ref="AF104:AQ107"/>
    <mergeCell ref="B105:D105"/>
    <mergeCell ref="E105:G105"/>
    <mergeCell ref="H105:J105"/>
    <mergeCell ref="K105:M105"/>
    <mergeCell ref="N105:P105"/>
    <mergeCell ref="Q105:S105"/>
    <mergeCell ref="T105:V105"/>
    <mergeCell ref="W105:Y105"/>
    <mergeCell ref="B103:AI103"/>
    <mergeCell ref="B104:D104"/>
    <mergeCell ref="E104:G104"/>
    <mergeCell ref="H104:J104"/>
    <mergeCell ref="K104:M104"/>
    <mergeCell ref="N104:P104"/>
    <mergeCell ref="Q104:S104"/>
    <mergeCell ref="T104:V104"/>
    <mergeCell ref="W104:Y104"/>
    <mergeCell ref="Z104:AB104"/>
    <mergeCell ref="Z101:AB102"/>
    <mergeCell ref="AC101:AE102"/>
    <mergeCell ref="AF101:AF102"/>
    <mergeCell ref="AG101:AG102"/>
    <mergeCell ref="AH101:AI102"/>
    <mergeCell ref="B102:D102"/>
    <mergeCell ref="E102:K102"/>
    <mergeCell ref="A101:A102"/>
    <mergeCell ref="B101:D101"/>
    <mergeCell ref="E101:K101"/>
    <mergeCell ref="L101:P102"/>
    <mergeCell ref="R101:V102"/>
    <mergeCell ref="W101:Y102"/>
    <mergeCell ref="AC99:AE100"/>
    <mergeCell ref="AF99:AF100"/>
    <mergeCell ref="AG99:AG100"/>
    <mergeCell ref="AH99:AI100"/>
    <mergeCell ref="B100:D100"/>
    <mergeCell ref="E100:K100"/>
    <mergeCell ref="AH97:AI98"/>
    <mergeCell ref="B98:D98"/>
    <mergeCell ref="E98:K98"/>
    <mergeCell ref="A99:A100"/>
    <mergeCell ref="B99:D99"/>
    <mergeCell ref="E99:K99"/>
    <mergeCell ref="L99:P100"/>
    <mergeCell ref="R99:V100"/>
    <mergeCell ref="W99:Y100"/>
    <mergeCell ref="Z99:AB100"/>
    <mergeCell ref="R97:V98"/>
    <mergeCell ref="W97:Y98"/>
    <mergeCell ref="Z97:AB98"/>
    <mergeCell ref="AC97:AE98"/>
    <mergeCell ref="AF97:AF98"/>
    <mergeCell ref="AG97:AG98"/>
    <mergeCell ref="B96:D96"/>
    <mergeCell ref="E96:K96"/>
    <mergeCell ref="A97:A98"/>
    <mergeCell ref="B97:D97"/>
    <mergeCell ref="E97:K97"/>
    <mergeCell ref="L97:P98"/>
    <mergeCell ref="W95:Y96"/>
    <mergeCell ref="Z95:AB96"/>
    <mergeCell ref="AC95:AE96"/>
    <mergeCell ref="AF95:AF96"/>
    <mergeCell ref="AG95:AG96"/>
    <mergeCell ref="AH95:AI96"/>
    <mergeCell ref="AF93:AF94"/>
    <mergeCell ref="AG93:AG94"/>
    <mergeCell ref="AH93:AI94"/>
    <mergeCell ref="B94:D94"/>
    <mergeCell ref="E94:K94"/>
    <mergeCell ref="A95:A96"/>
    <mergeCell ref="B95:D95"/>
    <mergeCell ref="E95:K95"/>
    <mergeCell ref="L95:P96"/>
    <mergeCell ref="R95:V96"/>
    <mergeCell ref="AC92:AE92"/>
    <mergeCell ref="AH92:AI92"/>
    <mergeCell ref="A93:A94"/>
    <mergeCell ref="B93:D93"/>
    <mergeCell ref="E93:K93"/>
    <mergeCell ref="L93:P94"/>
    <mergeCell ref="R93:V94"/>
    <mergeCell ref="W93:Y94"/>
    <mergeCell ref="Z93:AB94"/>
    <mergeCell ref="AC93:AE94"/>
    <mergeCell ref="A90:AQ90"/>
    <mergeCell ref="C91:H91"/>
    <mergeCell ref="I91:J91"/>
    <mergeCell ref="K91:AI91"/>
    <mergeCell ref="B92:K92"/>
    <mergeCell ref="L92:P92"/>
    <mergeCell ref="Q92:Q102"/>
    <mergeCell ref="R92:V92"/>
    <mergeCell ref="W92:Y92"/>
    <mergeCell ref="Z92:AB92"/>
    <mergeCell ref="Z23:AB23"/>
    <mergeCell ref="AC23:AE23"/>
    <mergeCell ref="AT23:AY24"/>
    <mergeCell ref="AG57:AK57"/>
    <mergeCell ref="A89:AM89"/>
    <mergeCell ref="AN89:AQ89"/>
    <mergeCell ref="Z22:AB22"/>
    <mergeCell ref="AC22:AE22"/>
    <mergeCell ref="B23:D23"/>
    <mergeCell ref="E23:G23"/>
    <mergeCell ref="H23:J23"/>
    <mergeCell ref="K23:M23"/>
    <mergeCell ref="N23:P23"/>
    <mergeCell ref="Q23:S23"/>
    <mergeCell ref="T23:V23"/>
    <mergeCell ref="W23:Y23"/>
    <mergeCell ref="Z21:AB21"/>
    <mergeCell ref="AC21:AE21"/>
    <mergeCell ref="B22:D22"/>
    <mergeCell ref="E22:G22"/>
    <mergeCell ref="H22:J22"/>
    <mergeCell ref="K22:M22"/>
    <mergeCell ref="N22:P22"/>
    <mergeCell ref="Q22:S22"/>
    <mergeCell ref="T22:V22"/>
    <mergeCell ref="W22:Y22"/>
    <mergeCell ref="Z20:AB20"/>
    <mergeCell ref="AC20:AE20"/>
    <mergeCell ref="B21:D21"/>
    <mergeCell ref="E21:G21"/>
    <mergeCell ref="H21:J21"/>
    <mergeCell ref="K21:M21"/>
    <mergeCell ref="N21:P21"/>
    <mergeCell ref="Q21:S21"/>
    <mergeCell ref="T21:V21"/>
    <mergeCell ref="W21:Y21"/>
    <mergeCell ref="AC19:AE19"/>
    <mergeCell ref="AF19:AQ22"/>
    <mergeCell ref="B20:D20"/>
    <mergeCell ref="E20:G20"/>
    <mergeCell ref="H20:J20"/>
    <mergeCell ref="K20:M20"/>
    <mergeCell ref="N20:P20"/>
    <mergeCell ref="Q20:S20"/>
    <mergeCell ref="T20:V20"/>
    <mergeCell ref="W20:Y20"/>
    <mergeCell ref="B18:AI18"/>
    <mergeCell ref="B19:D19"/>
    <mergeCell ref="E19:G19"/>
    <mergeCell ref="H19:J19"/>
    <mergeCell ref="K19:M19"/>
    <mergeCell ref="N19:P19"/>
    <mergeCell ref="Q19:S19"/>
    <mergeCell ref="T19:V19"/>
    <mergeCell ref="W19:Y19"/>
    <mergeCell ref="Z19:AB19"/>
    <mergeCell ref="Z16:AB17"/>
    <mergeCell ref="AC16:AE17"/>
    <mergeCell ref="AF16:AF17"/>
    <mergeCell ref="AG16:AG17"/>
    <mergeCell ref="AH16:AI17"/>
    <mergeCell ref="B17:D17"/>
    <mergeCell ref="E17:K17"/>
    <mergeCell ref="A16:A17"/>
    <mergeCell ref="B16:D16"/>
    <mergeCell ref="E16:K16"/>
    <mergeCell ref="L16:P17"/>
    <mergeCell ref="R16:V17"/>
    <mergeCell ref="W16:Y17"/>
    <mergeCell ref="Z14:AB15"/>
    <mergeCell ref="AC14:AE15"/>
    <mergeCell ref="AF14:AF15"/>
    <mergeCell ref="AG14:AG15"/>
    <mergeCell ref="AH14:AI15"/>
    <mergeCell ref="B15:D15"/>
    <mergeCell ref="E15:K15"/>
    <mergeCell ref="A14:A15"/>
    <mergeCell ref="B14:D14"/>
    <mergeCell ref="E14:K14"/>
    <mergeCell ref="L14:P15"/>
    <mergeCell ref="R14:V15"/>
    <mergeCell ref="W14:Y15"/>
    <mergeCell ref="Z12:AB13"/>
    <mergeCell ref="AC12:AE13"/>
    <mergeCell ref="AF12:AF13"/>
    <mergeCell ref="AG12:AG13"/>
    <mergeCell ref="AH12:AI13"/>
    <mergeCell ref="B13:D13"/>
    <mergeCell ref="E13:K13"/>
    <mergeCell ref="A12:A13"/>
    <mergeCell ref="B12:D12"/>
    <mergeCell ref="E12:K12"/>
    <mergeCell ref="L12:P13"/>
    <mergeCell ref="R12:V13"/>
    <mergeCell ref="W12:Y13"/>
    <mergeCell ref="Z10:AB11"/>
    <mergeCell ref="AC10:AE11"/>
    <mergeCell ref="AF10:AF11"/>
    <mergeCell ref="AG10:AG11"/>
    <mergeCell ref="AH10:AI11"/>
    <mergeCell ref="B11:D11"/>
    <mergeCell ref="E11:K11"/>
    <mergeCell ref="A10:A11"/>
    <mergeCell ref="B10:D10"/>
    <mergeCell ref="E10:K10"/>
    <mergeCell ref="L10:P11"/>
    <mergeCell ref="R10:V11"/>
    <mergeCell ref="W10:Y11"/>
    <mergeCell ref="AC8:AE9"/>
    <mergeCell ref="AF8:AF9"/>
    <mergeCell ref="AG8:AG9"/>
    <mergeCell ref="AH8:AI9"/>
    <mergeCell ref="B9:D9"/>
    <mergeCell ref="E9:K9"/>
    <mergeCell ref="Z7:AB7"/>
    <mergeCell ref="AC7:AE7"/>
    <mergeCell ref="AH7:AI7"/>
    <mergeCell ref="A8:A9"/>
    <mergeCell ref="B8:D8"/>
    <mergeCell ref="E8:K8"/>
    <mergeCell ref="L8:P9"/>
    <mergeCell ref="R8:V9"/>
    <mergeCell ref="W8:Y9"/>
    <mergeCell ref="Z8:AB9"/>
    <mergeCell ref="B5:J5"/>
    <mergeCell ref="K5:AE5"/>
    <mergeCell ref="C6:H6"/>
    <mergeCell ref="I6:J6"/>
    <mergeCell ref="K6:AI6"/>
    <mergeCell ref="B7:K7"/>
    <mergeCell ref="L7:P7"/>
    <mergeCell ref="Q7:Q17"/>
    <mergeCell ref="R7:V7"/>
    <mergeCell ref="W7:Y7"/>
    <mergeCell ref="A4:D4"/>
    <mergeCell ref="E4:M4"/>
    <mergeCell ref="N4:Q4"/>
    <mergeCell ref="R4:AA4"/>
    <mergeCell ref="AB4:AE4"/>
    <mergeCell ref="AF4:AI4"/>
    <mergeCell ref="B3:O3"/>
    <mergeCell ref="P3:R3"/>
    <mergeCell ref="S3:X3"/>
    <mergeCell ref="Y3:AD3"/>
    <mergeCell ref="AE3:AF3"/>
    <mergeCell ref="AG3:AI3"/>
    <mergeCell ref="A1:AI1"/>
    <mergeCell ref="AT1:AW1"/>
    <mergeCell ref="AX1:AY1"/>
    <mergeCell ref="A2:I2"/>
    <mergeCell ref="J2:X2"/>
    <mergeCell ref="Y2:AC2"/>
    <mergeCell ref="AD2:AI2"/>
  </mergeCells>
  <conditionalFormatting sqref="A93 A178 A8 A263">
    <cfRule type="expression" dxfId="4792" priority="5" stopIfTrue="1">
      <formula>IF(AK9&gt;0,0,1)</formula>
    </cfRule>
  </conditionalFormatting>
  <conditionalFormatting sqref="A95:A96 A180:A181 A10:A11 A265:A266">
    <cfRule type="expression" dxfId="4791" priority="6" stopIfTrue="1">
      <formula>IF(AK9&gt;1,0,1)</formula>
    </cfRule>
  </conditionalFormatting>
  <conditionalFormatting sqref="A97:A98 A182:A183 A12:A13 A267:A268">
    <cfRule type="expression" dxfId="4790" priority="7" stopIfTrue="1">
      <formula>IF(AK9&gt;2,0,1)</formula>
    </cfRule>
  </conditionalFormatting>
  <conditionalFormatting sqref="A99:A100 A184:A185 A14:A15 A269:A270">
    <cfRule type="expression" dxfId="4789" priority="8" stopIfTrue="1">
      <formula>IF(AK9&gt;3,0,1)</formula>
    </cfRule>
  </conditionalFormatting>
  <conditionalFormatting sqref="A101:A102 A186:A187 A16:A17 A271:A272">
    <cfRule type="expression" dxfId="4788" priority="9" stopIfTrue="1">
      <formula>IF(AK9&gt;4,0,1)</formula>
    </cfRule>
  </conditionalFormatting>
  <conditionalFormatting sqref="B8 B178 B93 B263">
    <cfRule type="expression" dxfId="4787" priority="10" stopIfTrue="1">
      <formula>IF(AK9&gt;0,0,1)</formula>
    </cfRule>
  </conditionalFormatting>
  <conditionalFormatting sqref="B9 B179 B94 B264">
    <cfRule type="expression" dxfId="4786" priority="11" stopIfTrue="1">
      <formula>IF(AK9&gt;0,0,1)</formula>
    </cfRule>
  </conditionalFormatting>
  <conditionalFormatting sqref="B10 B180 B95 B265">
    <cfRule type="expression" dxfId="4785" priority="12" stopIfTrue="1">
      <formula>IF(AK9&gt;1,0,1)</formula>
    </cfRule>
  </conditionalFormatting>
  <conditionalFormatting sqref="B11:D11 B181:D181 B96:D96 B266:D266">
    <cfRule type="expression" dxfId="4784" priority="13" stopIfTrue="1">
      <formula>IF(AK9&gt;1,0,1)</formula>
    </cfRule>
  </conditionalFormatting>
  <conditionalFormatting sqref="B12:D12 B182:D182 B97:D97 B267:D267">
    <cfRule type="expression" dxfId="4783" priority="14" stopIfTrue="1">
      <formula>IF(AK9&gt;2,0,1)</formula>
    </cfRule>
  </conditionalFormatting>
  <conditionalFormatting sqref="B13:D13 B183:D183 B98:D98 B268:D268">
    <cfRule type="expression" dxfId="4782" priority="15" stopIfTrue="1">
      <formula>IF(AK9&gt;2,0,1)</formula>
    </cfRule>
  </conditionalFormatting>
  <conditionalFormatting sqref="B14:D14 B184:D184 B99:D99 B269:D269">
    <cfRule type="expression" dxfId="4781" priority="16" stopIfTrue="1">
      <formula>IF(AK9&gt;3,0,1)</formula>
    </cfRule>
  </conditionalFormatting>
  <conditionalFormatting sqref="B15:D15 B185:D185 B100:D100 B270:D270">
    <cfRule type="expression" dxfId="4780" priority="17" stopIfTrue="1">
      <formula>IF(AK9&gt;3,0,1)</formula>
    </cfRule>
  </conditionalFormatting>
  <conditionalFormatting sqref="B16:D16 B186:D186 B101:D101 B271:D271">
    <cfRule type="expression" dxfId="4779" priority="18" stopIfTrue="1">
      <formula>IF(AK9&gt;4,0,1)</formula>
    </cfRule>
  </conditionalFormatting>
  <conditionalFormatting sqref="B17:D17 B187:D187 B102:D102 B272:D272">
    <cfRule type="expression" dxfId="4778" priority="19" stopIfTrue="1">
      <formula>IF(AK9&gt;4,0,1)</formula>
    </cfRule>
  </conditionalFormatting>
  <conditionalFormatting sqref="E8 E93 E178 E263">
    <cfRule type="expression" dxfId="4777" priority="20" stopIfTrue="1">
      <formula>IF(AK9&gt;0,0,1)</formula>
    </cfRule>
  </conditionalFormatting>
  <conditionalFormatting sqref="E9 E94 E179 E264">
    <cfRule type="expression" dxfId="4776" priority="21" stopIfTrue="1">
      <formula>IF(AK9&gt;0,0,1)</formula>
    </cfRule>
  </conditionalFormatting>
  <conditionalFormatting sqref="E10 E95 E180 E265">
    <cfRule type="expression" dxfId="4775" priority="22" stopIfTrue="1">
      <formula>IF(AK9&gt;1,0,1)</formula>
    </cfRule>
  </conditionalFormatting>
  <conditionalFormatting sqref="E11 E96 E181 E266">
    <cfRule type="expression" dxfId="4774" priority="23" stopIfTrue="1">
      <formula>IF(AK9&gt;1,0,1)</formula>
    </cfRule>
  </conditionalFormatting>
  <conditionalFormatting sqref="E12 E97 E182 E267">
    <cfRule type="expression" dxfId="4773" priority="24" stopIfTrue="1">
      <formula>IF(AK9&gt;2,0,1)</formula>
    </cfRule>
  </conditionalFormatting>
  <conditionalFormatting sqref="E13 E98 E183 E268">
    <cfRule type="expression" dxfId="4772" priority="25" stopIfTrue="1">
      <formula>IF(AK9&gt;2,0,1)</formula>
    </cfRule>
  </conditionalFormatting>
  <conditionalFormatting sqref="E14 E99 E184 E269">
    <cfRule type="expression" dxfId="4771" priority="26" stopIfTrue="1">
      <formula>IF(AK9&gt;3,0,1)</formula>
    </cfRule>
  </conditionalFormatting>
  <conditionalFormatting sqref="E15 E100 E185 E270">
    <cfRule type="expression" dxfId="4770" priority="27" stopIfTrue="1">
      <formula>IF(AK9&gt;3,0,1)</formula>
    </cfRule>
  </conditionalFormatting>
  <conditionalFormatting sqref="E101 E16 E186 E271">
    <cfRule type="expression" dxfId="4769" priority="28" stopIfTrue="1">
      <formula>IF(AK9&gt;4,0,1)</formula>
    </cfRule>
  </conditionalFormatting>
  <conditionalFormatting sqref="E102 E17 E187 E272">
    <cfRule type="expression" dxfId="4768" priority="29" stopIfTrue="1">
      <formula>IF(AK9&gt;4,0,1)</formula>
    </cfRule>
  </conditionalFormatting>
  <conditionalFormatting sqref="AC93 AC178 AC8 AC263">
    <cfRule type="expression" dxfId="4767" priority="30" stopIfTrue="1">
      <formula>IF(AK11=1,IF(AK9&gt;0,0,1),1)</formula>
    </cfRule>
  </conditionalFormatting>
  <conditionalFormatting sqref="AC95:AE96 AC180:AE181 AC10:AE11 AC265:AE266">
    <cfRule type="expression" dxfId="4766" priority="31" stopIfTrue="1">
      <formula>IF(AK11=1,IF(AK9&gt;1,0,1),1)</formula>
    </cfRule>
  </conditionalFormatting>
  <conditionalFormatting sqref="AC97:AE98 AC182:AE183 AC12:AE13 AC267:AE268">
    <cfRule type="expression" dxfId="4765" priority="32" stopIfTrue="1">
      <formula>IF(AK11=1,IF(AK9&gt;2,0,1),1)</formula>
    </cfRule>
  </conditionalFormatting>
  <conditionalFormatting sqref="AC99:AE100 AC184:AE185 AC14:AE15 AC269:AE270">
    <cfRule type="expression" dxfId="4764" priority="33" stopIfTrue="1">
      <formula>IF(AK11=1,IF(AK9&gt;3,0,1),1)</formula>
    </cfRule>
  </conditionalFormatting>
  <conditionalFormatting sqref="AC101:AE102 AC186:AE187 AC16:AE17 AC271:AE272">
    <cfRule type="expression" dxfId="4763" priority="34" stopIfTrue="1">
      <formula>IF(AK11=1,IF(AK9&gt;4,0,1),1)</formula>
    </cfRule>
  </conditionalFormatting>
  <conditionalFormatting sqref="AH93 AH178 AH8 AH263">
    <cfRule type="expression" dxfId="4762" priority="35" stopIfTrue="1">
      <formula>IF(AK9&gt;0,0,1)</formula>
    </cfRule>
  </conditionalFormatting>
  <conditionalFormatting sqref="AH95:AI96 AH180:AI181 AH10:AI11 AH265:AI266">
    <cfRule type="expression" dxfId="4761" priority="36" stopIfTrue="1">
      <formula>IF(AK9&gt;1,0,1)</formula>
    </cfRule>
  </conditionalFormatting>
  <conditionalFormatting sqref="AH97:AI98 AH182:AI183 AH12:AI13 AH267:AI268">
    <cfRule type="expression" dxfId="4760" priority="37" stopIfTrue="1">
      <formula>IF(AK9&gt;2,0,1)</formula>
    </cfRule>
  </conditionalFormatting>
  <conditionalFormatting sqref="AH99:AI100 AH184:AI185 AH14:AI15 AH269:AI270">
    <cfRule type="expression" dxfId="4759" priority="38" stopIfTrue="1">
      <formula>IF(AK9&gt;3,0,1)</formula>
    </cfRule>
  </conditionalFormatting>
  <conditionalFormatting sqref="AH101:AI102 AH186:AI187 AH16:AI17 AH271:AI272">
    <cfRule type="expression" dxfId="4758" priority="39" stopIfTrue="1">
      <formula>IF(AK9&gt;4,0,1)</formula>
    </cfRule>
  </conditionalFormatting>
  <conditionalFormatting sqref="B189:D189 B19:D19 B104:D104 B274:D274">
    <cfRule type="expression" dxfId="4757" priority="40" stopIfTrue="1">
      <formula>IF(AK8&gt;0,0,1)</formula>
    </cfRule>
  </conditionalFormatting>
  <conditionalFormatting sqref="E189:G189 E19:G19 E104:G104 E274:G274">
    <cfRule type="expression" dxfId="4756" priority="41" stopIfTrue="1">
      <formula>IF(AK8&gt;1,0,1)</formula>
    </cfRule>
  </conditionalFormatting>
  <conditionalFormatting sqref="H189:J189 H19:J19 H104:J104 H274:J274">
    <cfRule type="expression" dxfId="4755" priority="42" stopIfTrue="1">
      <formula>IF(AK8&gt;2,0,1)</formula>
    </cfRule>
  </conditionalFormatting>
  <conditionalFormatting sqref="K189:M189 K19:M19 K104:M104 K274:M274">
    <cfRule type="expression" dxfId="4754" priority="43" stopIfTrue="1">
      <formula>IF(AK8&gt;3,0,1)</formula>
    </cfRule>
  </conditionalFormatting>
  <conditionalFormatting sqref="N189:P189 N19:P19 N104:P104 N274:P274">
    <cfRule type="expression" dxfId="4753" priority="44" stopIfTrue="1">
      <formula>IF(AK8&gt;4,0,1)</formula>
    </cfRule>
  </conditionalFormatting>
  <conditionalFormatting sqref="Q189:S189 Q19:S19 Q104:S104 Q274:S274">
    <cfRule type="expression" dxfId="4752" priority="45" stopIfTrue="1">
      <formula>IF(AK8&gt;5,0,1)</formula>
    </cfRule>
  </conditionalFormatting>
  <conditionalFormatting sqref="T189:V189 T19:V19 T104:V104 T274:V274">
    <cfRule type="expression" dxfId="4751" priority="46" stopIfTrue="1">
      <formula>IF(AK8&gt;6,0,1)</formula>
    </cfRule>
  </conditionalFormatting>
  <conditionalFormatting sqref="W189:Y189 W19:Y19 W104:Y104 W274:Y274">
    <cfRule type="expression" dxfId="4750" priority="47" stopIfTrue="1">
      <formula>IF(AK8&gt;7,0,1)</formula>
    </cfRule>
  </conditionalFormatting>
  <conditionalFormatting sqref="Z189:AB189 Z19:AB19 Z104:AB104 Z274:AB274">
    <cfRule type="expression" dxfId="4749" priority="48" stopIfTrue="1">
      <formula>IF(AK8&gt;8,0,1)</formula>
    </cfRule>
  </conditionalFormatting>
  <conditionalFormatting sqref="AC189:AE189 AC19:AE19 AC104:AE104 AC274:AE274">
    <cfRule type="expression" dxfId="4748" priority="49" stopIfTrue="1">
      <formula>IF(AK8&gt;9,0,1)</formula>
    </cfRule>
  </conditionalFormatting>
  <conditionalFormatting sqref="B190:D190 B105:D105 B20:D20 B275:D275">
    <cfRule type="expression" dxfId="4747" priority="50" stopIfTrue="1">
      <formula>IF(AK8&gt;0,0,1)</formula>
    </cfRule>
  </conditionalFormatting>
  <conditionalFormatting sqref="E190:G190 E105:G105 E20:G20 E275:G275">
    <cfRule type="expression" dxfId="4746" priority="51" stopIfTrue="1">
      <formula>IF(AK8&gt;1,0,1)</formula>
    </cfRule>
  </conditionalFormatting>
  <conditionalFormatting sqref="H190:J190 H105:J105 H20:J20 H275:J275">
    <cfRule type="expression" dxfId="4745" priority="52" stopIfTrue="1">
      <formula>IF(AK8&gt;2,0,1)</formula>
    </cfRule>
  </conditionalFormatting>
  <conditionalFormatting sqref="K190:M190 K105:M105 K20:M20 K275:M275">
    <cfRule type="expression" dxfId="4744" priority="53" stopIfTrue="1">
      <formula>IF(AK8&gt;3,0,1)</formula>
    </cfRule>
  </conditionalFormatting>
  <conditionalFormatting sqref="N190:P190 N105:P105 N20:P20 N275:P275">
    <cfRule type="expression" dxfId="4743" priority="54" stopIfTrue="1">
      <formula>IF(AK8&gt;4,0,1)</formula>
    </cfRule>
  </conditionalFormatting>
  <conditionalFormatting sqref="Q190:S190 Q105:S105 Q20:S20 Q275:S275">
    <cfRule type="expression" dxfId="4742" priority="55" stopIfTrue="1">
      <formula>IF(AK8&gt;5,0,1)</formula>
    </cfRule>
  </conditionalFormatting>
  <conditionalFormatting sqref="T190:V190 T105:V105 T20:V20 T275:V275">
    <cfRule type="expression" dxfId="4741" priority="56" stopIfTrue="1">
      <formula>IF(AK8&gt;6,0,1)</formula>
    </cfRule>
  </conditionalFormatting>
  <conditionalFormatting sqref="W190:Y190 W105:Y105 W20:Y20 W275:Y275">
    <cfRule type="expression" dxfId="4740" priority="57" stopIfTrue="1">
      <formula>IF(AK8&gt;7,0,1)</formula>
    </cfRule>
  </conditionalFormatting>
  <conditionalFormatting sqref="Z190:AB190 Z105:AB105 Z20:AB20 Z275:AB275">
    <cfRule type="expression" dxfId="4739" priority="58" stopIfTrue="1">
      <formula>IF(AK8&gt;8,0,1)</formula>
    </cfRule>
  </conditionalFormatting>
  <conditionalFormatting sqref="AC190:AE190 AC105:AE105 AC20:AE20 AC275:AE275">
    <cfRule type="expression" dxfId="4738" priority="59" stopIfTrue="1">
      <formula>IF(AK8&gt;9,0,1)</formula>
    </cfRule>
  </conditionalFormatting>
  <conditionalFormatting sqref="E22:G22 E192:G192 E107:G107 E277:G277">
    <cfRule type="expression" dxfId="4737" priority="60" stopIfTrue="1">
      <formula>IF(AK8&gt;1,0,1)</formula>
    </cfRule>
  </conditionalFormatting>
  <conditionalFormatting sqref="H22:J22 H192:J192 H107:J107 H277:J277">
    <cfRule type="expression" dxfId="4736" priority="61" stopIfTrue="1">
      <formula>IF(AK8&gt;2,0,1)</formula>
    </cfRule>
  </conditionalFormatting>
  <conditionalFormatting sqref="K22:M22 K192:M192 K107:M107 K277:M277">
    <cfRule type="expression" dxfId="4735" priority="62" stopIfTrue="1">
      <formula>IF(AK8&gt;3,0,1)</formula>
    </cfRule>
  </conditionalFormatting>
  <conditionalFormatting sqref="N22:P22 N192:P192 N107:P107 N277:P277">
    <cfRule type="expression" dxfId="4734" priority="63" stopIfTrue="1">
      <formula>IF(AK8&gt;4,0,1)</formula>
    </cfRule>
  </conditionalFormatting>
  <conditionalFormatting sqref="Q22:S22 Q192:S192 Q107:S107 Q277:S277">
    <cfRule type="expression" dxfId="4733" priority="64" stopIfTrue="1">
      <formula>IF(AK8&gt;5,0,1)</formula>
    </cfRule>
  </conditionalFormatting>
  <conditionalFormatting sqref="T22:V22 T192:V192 T107:V107 T277:V277">
    <cfRule type="expression" dxfId="4732" priority="65" stopIfTrue="1">
      <formula>IF(AK8&gt;6,0,1)</formula>
    </cfRule>
  </conditionalFormatting>
  <conditionalFormatting sqref="W22:Y22 W192:Y192 W107:Y107 W277:Y277">
    <cfRule type="expression" dxfId="4731" priority="66" stopIfTrue="1">
      <formula>IF(AK8&gt;7,0,1)</formula>
    </cfRule>
  </conditionalFormatting>
  <conditionalFormatting sqref="Z22:AB22 Z192:AB192 Z107:AB107 Z277:AB277">
    <cfRule type="expression" dxfId="4730" priority="67" stopIfTrue="1">
      <formula>IF(AK8&gt;8,0,1)</formula>
    </cfRule>
  </conditionalFormatting>
  <conditionalFormatting sqref="AC22:AE22 AC192:AE192 AC107:AE107 AC277:AE277">
    <cfRule type="expression" dxfId="4729" priority="68" stopIfTrue="1">
      <formula>IF(AK8&gt;9,0,1)</formula>
    </cfRule>
  </conditionalFormatting>
  <conditionalFormatting sqref="B24 B194 B109 B279">
    <cfRule type="expression" dxfId="4728" priority="69" stopIfTrue="1">
      <formula>IF(AK8&gt;0,0,1)</formula>
    </cfRule>
  </conditionalFormatting>
  <conditionalFormatting sqref="C24 C194 C109 C279">
    <cfRule type="expression" dxfId="4727" priority="70" stopIfTrue="1">
      <formula>IF(AK8&gt;0,0,1)</formula>
    </cfRule>
  </conditionalFormatting>
  <conditionalFormatting sqref="D24 D194 D109 D279">
    <cfRule type="expression" dxfId="4726" priority="71" stopIfTrue="1">
      <formula>IF(AK8&gt;0,0,1)</formula>
    </cfRule>
  </conditionalFormatting>
  <conditionalFormatting sqref="E108:G108 E23:G23 E278:G278 E193:G193">
    <cfRule type="expression" dxfId="4725" priority="72" stopIfTrue="1">
      <formula>IF(AK8&gt;1,0,1)</formula>
    </cfRule>
  </conditionalFormatting>
  <conditionalFormatting sqref="F24 F194 F109 F279">
    <cfRule type="expression" dxfId="4724" priority="73" stopIfTrue="1">
      <formula>IF(AK8&gt;1,0,1)</formula>
    </cfRule>
  </conditionalFormatting>
  <conditionalFormatting sqref="G24 G194 G109 G279">
    <cfRule type="expression" dxfId="4723" priority="74" stopIfTrue="1">
      <formula>IF(AK8&gt;1,0,1)</formula>
    </cfRule>
  </conditionalFormatting>
  <conditionalFormatting sqref="H108:J108 H23:J23 H278:J278 H193:J193">
    <cfRule type="expression" dxfId="4722" priority="75" stopIfTrue="1">
      <formula>IF(AK8&gt;2,0,1)</formula>
    </cfRule>
  </conditionalFormatting>
  <conditionalFormatting sqref="I24 I194 I109 I279">
    <cfRule type="expression" dxfId="4721" priority="76" stopIfTrue="1">
      <formula>IF(AK8&gt;2,0,1)</formula>
    </cfRule>
  </conditionalFormatting>
  <conditionalFormatting sqref="J24 J194 J109 J279">
    <cfRule type="expression" dxfId="4720" priority="77" stopIfTrue="1">
      <formula>IF(AK8&gt;2,0,1)</formula>
    </cfRule>
  </conditionalFormatting>
  <conditionalFormatting sqref="K108:M108 K23:M23 K278:M278 K193:M193">
    <cfRule type="expression" dxfId="4719" priority="78" stopIfTrue="1">
      <formula>IF(AK8&gt;3,0,1)</formula>
    </cfRule>
  </conditionalFormatting>
  <conditionalFormatting sqref="L24 L194 L109 L279">
    <cfRule type="expression" dxfId="4718" priority="79" stopIfTrue="1">
      <formula>IF(AK8&gt;3,0,1)</formula>
    </cfRule>
  </conditionalFormatting>
  <conditionalFormatting sqref="M24 M194 M109 M279">
    <cfRule type="expression" dxfId="4717" priority="80" stopIfTrue="1">
      <formula>IF(AK8&gt;3,0,1)</formula>
    </cfRule>
  </conditionalFormatting>
  <conditionalFormatting sqref="N108:P108 N23:P23 N278:P278 N193:P193">
    <cfRule type="expression" dxfId="4716" priority="81" stopIfTrue="1">
      <formula>IF(AK8&gt;4,0,1)</formula>
    </cfRule>
  </conditionalFormatting>
  <conditionalFormatting sqref="O24 O194 O109 O279">
    <cfRule type="expression" dxfId="4715" priority="82" stopIfTrue="1">
      <formula>IF(AK8&gt;4,0,1)</formula>
    </cfRule>
  </conditionalFormatting>
  <conditionalFormatting sqref="P24 P194 P109 P279">
    <cfRule type="expression" dxfId="4714" priority="83" stopIfTrue="1">
      <formula>IF(AK8&gt;4,0,1)</formula>
    </cfRule>
  </conditionalFormatting>
  <conditionalFormatting sqref="Q108:S108 Q23:S23 Q278:S278 Q193:S193">
    <cfRule type="expression" dxfId="4713" priority="84" stopIfTrue="1">
      <formula>IF(AK8&gt;5,0,1)</formula>
    </cfRule>
  </conditionalFormatting>
  <conditionalFormatting sqref="R24 R194 R109 R279">
    <cfRule type="expression" dxfId="4712" priority="85" stopIfTrue="1">
      <formula>IF(AK8&gt;5,0,1)</formula>
    </cfRule>
  </conditionalFormatting>
  <conditionalFormatting sqref="S24 S194 S109 S279">
    <cfRule type="expression" dxfId="4711" priority="86" stopIfTrue="1">
      <formula>IF(AK8&gt;5,0,1)</formula>
    </cfRule>
  </conditionalFormatting>
  <conditionalFormatting sqref="T108:V108 T23:V23 T278:V278 T193:V193">
    <cfRule type="expression" dxfId="4710" priority="87" stopIfTrue="1">
      <formula>IF(AK8&gt;6,0,1)</formula>
    </cfRule>
  </conditionalFormatting>
  <conditionalFormatting sqref="U24 U194 U109 U279">
    <cfRule type="expression" dxfId="4709" priority="88" stopIfTrue="1">
      <formula>IF(AK8&gt;6,0,1)</formula>
    </cfRule>
  </conditionalFormatting>
  <conditionalFormatting sqref="V24 V194 V109 V279">
    <cfRule type="expression" dxfId="4708" priority="89" stopIfTrue="1">
      <formula>IF(AK8&gt;6,0,1)</formula>
    </cfRule>
  </conditionalFormatting>
  <conditionalFormatting sqref="W108:Y108 W23:Y23 W278:Y278 W193:Y193">
    <cfRule type="expression" dxfId="4707" priority="90" stopIfTrue="1">
      <formula>IF(AK8&gt;7,0,1)</formula>
    </cfRule>
  </conditionalFormatting>
  <conditionalFormatting sqref="X24 X194 X109 X279">
    <cfRule type="expression" dxfId="4706" priority="91" stopIfTrue="1">
      <formula>IF(AK8&gt;7,0,1)</formula>
    </cfRule>
  </conditionalFormatting>
  <conditionalFormatting sqref="Y24 Y194 Y109 Y279">
    <cfRule type="expression" dxfId="4705" priority="92" stopIfTrue="1">
      <formula>IF(AK8&gt;7,0,1)</formula>
    </cfRule>
  </conditionalFormatting>
  <conditionalFormatting sqref="Z108:AB108 Z23:AB23 Z278:AB278 Z193:AB193">
    <cfRule type="expression" dxfId="4704" priority="93" stopIfTrue="1">
      <formula>IF(AK8&gt;8,0,1)</formula>
    </cfRule>
  </conditionalFormatting>
  <conditionalFormatting sqref="AA24 AA194 AA109 AA279">
    <cfRule type="expression" dxfId="4703" priority="94" stopIfTrue="1">
      <formula>IF(AK8&gt;8,0,1)</formula>
    </cfRule>
  </conditionalFormatting>
  <conditionalFormatting sqref="AB24 AB194 AB109 AB279">
    <cfRule type="expression" dxfId="4702" priority="95" stopIfTrue="1">
      <formula>IF(AK8&gt;8,0,1)</formula>
    </cfRule>
  </conditionalFormatting>
  <conditionalFormatting sqref="AC108:AE108 AC23:AE23 AC278:AE278 AC193:AE193">
    <cfRule type="expression" dxfId="4701" priority="96" stopIfTrue="1">
      <formula>IF(AK8&gt;9,0,1)</formula>
    </cfRule>
  </conditionalFormatting>
  <conditionalFormatting sqref="AD24 AD194 AD109 AD279">
    <cfRule type="expression" dxfId="4700" priority="97" stopIfTrue="1">
      <formula>IF(AK8&gt;9,0,1)</formula>
    </cfRule>
  </conditionalFormatting>
  <conditionalFormatting sqref="AE24 AE194 AE109 AE279">
    <cfRule type="expression" dxfId="4699" priority="98" stopIfTrue="1">
      <formula>IF(AK8&gt;9,0,1)</formula>
    </cfRule>
  </conditionalFormatting>
  <conditionalFormatting sqref="A26 A196 A111 A281">
    <cfRule type="expression" dxfId="4698" priority="99" stopIfTrue="1">
      <formula>IF(AK7&gt;1,0,1)</formula>
    </cfRule>
  </conditionalFormatting>
  <conditionalFormatting sqref="A27 A197 A112 A282">
    <cfRule type="expression" dxfId="4697" priority="100" stopIfTrue="1">
      <formula>IF(AK7&gt;2,0,1)</formula>
    </cfRule>
  </conditionalFormatting>
  <conditionalFormatting sqref="A28 A198 A113 A283">
    <cfRule type="expression" dxfId="4696" priority="101" stopIfTrue="1">
      <formula>IF(AK7&gt;3,0,1)</formula>
    </cfRule>
  </conditionalFormatting>
  <conditionalFormatting sqref="A29 A199 A114 A284">
    <cfRule type="expression" dxfId="4695" priority="102" stopIfTrue="1">
      <formula>IF(AK7&gt;4,0,1)</formula>
    </cfRule>
  </conditionalFormatting>
  <conditionalFormatting sqref="B25:D25 B195:D195 B110:D110 B280:D280">
    <cfRule type="expression" dxfId="4694" priority="103" stopIfTrue="1">
      <formula>IF($AK8&gt;0,0,1)</formula>
    </cfRule>
  </conditionalFormatting>
  <conditionalFormatting sqref="B26:D26 B196:D196 B111:D111 B281:D281">
    <cfRule type="expression" dxfId="4693" priority="104" stopIfTrue="1">
      <formula>IF($AK8&lt;1,1,IF($AK7&lt;2,1,0))</formula>
    </cfRule>
  </conditionalFormatting>
  <conditionalFormatting sqref="B27:D27 B197:D197 B112:D112 B282:D282">
    <cfRule type="expression" dxfId="4692" priority="105" stopIfTrue="1">
      <formula>IF($AK8&lt;1,1,IF($AK7&lt;3,1,0))</formula>
    </cfRule>
  </conditionalFormatting>
  <conditionalFormatting sqref="B28:D28 B198:D198 B113:D113 B283:D283">
    <cfRule type="expression" dxfId="4691" priority="106" stopIfTrue="1">
      <formula>IF($AK8&lt;1,1,IF($AK7&lt;4,1,0))</formula>
    </cfRule>
  </conditionalFormatting>
  <conditionalFormatting sqref="B29:D29 B199:D199 B114:D114 B284:D284">
    <cfRule type="expression" dxfId="4690" priority="107" stopIfTrue="1">
      <formula>IF($AK8&lt;1,1,IF($AK7&lt;5,1,0))</formula>
    </cfRule>
  </conditionalFormatting>
  <conditionalFormatting sqref="AG23 AG193 AG108 AG278">
    <cfRule type="expression" dxfId="4689" priority="108" stopIfTrue="1">
      <formula>IF($AK8&lt;1,1,0)</formula>
    </cfRule>
  </conditionalFormatting>
  <conditionalFormatting sqref="AH23 AH193 AH108 AH278">
    <cfRule type="expression" dxfId="4688" priority="109" stopIfTrue="1">
      <formula>IF($AK8&lt;2,1,0)</formula>
    </cfRule>
  </conditionalFormatting>
  <conditionalFormatting sqref="AI23 AI193 AI108 AI278">
    <cfRule type="expression" dxfId="4687" priority="110" stopIfTrue="1">
      <formula>IF($AK8&lt;3,1,0)</formula>
    </cfRule>
  </conditionalFormatting>
  <conditionalFormatting sqref="AJ23 AJ193 AJ108 AJ278">
    <cfRule type="expression" dxfId="4686" priority="111" stopIfTrue="1">
      <formula>IF($AK8&lt;4,1,0)</formula>
    </cfRule>
  </conditionalFormatting>
  <conditionalFormatting sqref="AK23 AK193 AK108 AK278">
    <cfRule type="expression" dxfId="4685" priority="112" stopIfTrue="1">
      <formula>IF($AK8&lt;5,1,0)</formula>
    </cfRule>
  </conditionalFormatting>
  <conditionalFormatting sqref="AL23 AL193 AL108 AL278">
    <cfRule type="expression" dxfId="4684" priority="113" stopIfTrue="1">
      <formula>IF($AK8&lt;6,1,0)</formula>
    </cfRule>
  </conditionalFormatting>
  <conditionalFormatting sqref="AM23 AM193 AM108 AM278">
    <cfRule type="expression" dxfId="4683" priority="114" stopIfTrue="1">
      <formula>IF($AK8&lt;7,1,0)</formula>
    </cfRule>
  </conditionalFormatting>
  <conditionalFormatting sqref="AN23 AN193 AN108 AN278">
    <cfRule type="expression" dxfId="4682" priority="115" stopIfTrue="1">
      <formula>IF($AK8&lt;8,1,0)</formula>
    </cfRule>
  </conditionalFormatting>
  <conditionalFormatting sqref="AO23 AO193 AO108 AO278">
    <cfRule type="expression" dxfId="4681" priority="116" stopIfTrue="1">
      <formula>IF($AK8&lt;9,1,0)</formula>
    </cfRule>
  </conditionalFormatting>
  <conditionalFormatting sqref="AP23 AP193 AP108 AP278">
    <cfRule type="expression" dxfId="4680" priority="117" stopIfTrue="1">
      <formula>IF($AK8&lt;10,1,0)</formula>
    </cfRule>
  </conditionalFormatting>
  <conditionalFormatting sqref="AQ24 AQ194 AQ109 AQ279">
    <cfRule type="expression" dxfId="4679" priority="118" stopIfTrue="1">
      <formula>IF($AK9&gt;0,0,1)</formula>
    </cfRule>
  </conditionalFormatting>
  <conditionalFormatting sqref="AQ25 AQ195 AQ110 AQ280">
    <cfRule type="expression" dxfId="4678" priority="119" stopIfTrue="1">
      <formula>IF($AK9&gt;1,0,1)</formula>
    </cfRule>
  </conditionalFormatting>
  <conditionalFormatting sqref="AQ26 H25:J25 AQ196 H195:J195 AQ111 H110:J110 AQ281 H280:J280">
    <cfRule type="expression" dxfId="4677" priority="120" stopIfTrue="1">
      <formula>IF($AK8&gt;2,0,1)</formula>
    </cfRule>
  </conditionalFormatting>
  <conditionalFormatting sqref="K195:M195 K110:M110 K25:M25 K280:M280">
    <cfRule type="expression" dxfId="4676" priority="121" stopIfTrue="1">
      <formula>IF($AK8&gt;3,0,1)</formula>
    </cfRule>
  </conditionalFormatting>
  <conditionalFormatting sqref="AQ28 AQ198 AQ113 AQ283">
    <cfRule type="expression" dxfId="4675" priority="122" stopIfTrue="1">
      <formula>IF($AK9&gt;4,0,1)</formula>
    </cfRule>
  </conditionalFormatting>
  <conditionalFormatting sqref="E26:G26 E196:G196 E111:G111 E281:G281">
    <cfRule type="expression" dxfId="4674" priority="123" stopIfTrue="1">
      <formula>IF($AK8&lt;2,1,IF($AK7&lt;2,1,0))</formula>
    </cfRule>
  </conditionalFormatting>
  <conditionalFormatting sqref="E27:G27 E197:G197 E112:G112 E282:G282">
    <cfRule type="expression" dxfId="4673" priority="124" stopIfTrue="1">
      <formula>IF($AK8&lt;2,1,IF($AK7&lt;3,1,0))</formula>
    </cfRule>
  </conditionalFormatting>
  <conditionalFormatting sqref="E28:G28 E198:G198 E113:G113 E283:G283">
    <cfRule type="expression" dxfId="4672" priority="125" stopIfTrue="1">
      <formula>IF($AK8&lt;2,1,IF($AK7&lt;4,1,0))</formula>
    </cfRule>
  </conditionalFormatting>
  <conditionalFormatting sqref="E29:G29 E199:G199 E114:G114 E284:G284">
    <cfRule type="expression" dxfId="4671" priority="126" stopIfTrue="1">
      <formula>IF($AK8&lt;2,1,IF($AK7&lt;5,1,0))</formula>
    </cfRule>
  </conditionalFormatting>
  <conditionalFormatting sqref="N25:P25 N195:P195 N110:P110 N280:P280">
    <cfRule type="expression" dxfId="4670" priority="127" stopIfTrue="1">
      <formula>IF($AK8&gt;4,0,1)</formula>
    </cfRule>
  </conditionalFormatting>
  <conditionalFormatting sqref="Q25:S25 Q195:S195 Q110:S110 Q280:S280">
    <cfRule type="expression" dxfId="4669" priority="128" stopIfTrue="1">
      <formula>IF($AK8&gt;5,0,1)</formula>
    </cfRule>
  </conditionalFormatting>
  <conditionalFormatting sqref="T25:V25 T195:V195 T110:V110 T280:V280">
    <cfRule type="expression" dxfId="4668" priority="129" stopIfTrue="1">
      <formula>IF($AK8&gt;6,0,1)</formula>
    </cfRule>
  </conditionalFormatting>
  <conditionalFormatting sqref="W25:Y25 W195:Y195 W110:Y110 W280:Y280">
    <cfRule type="expression" dxfId="4667" priority="130" stopIfTrue="1">
      <formula>IF($AK8&gt;7,0,1)</formula>
    </cfRule>
  </conditionalFormatting>
  <conditionalFormatting sqref="Z25:AB25 Z195:AB195 Z110:AB110 Z280:AB280">
    <cfRule type="expression" dxfId="4666" priority="131" stopIfTrue="1">
      <formula>IF($AK8&gt;8,0,1)</formula>
    </cfRule>
  </conditionalFormatting>
  <conditionalFormatting sqref="AC25:AE25 AC195:AE195 AC110:AE110 AC280:AE280">
    <cfRule type="expression" dxfId="4665" priority="132" stopIfTrue="1">
      <formula>IF($AK8&gt;9,0,1)</formula>
    </cfRule>
  </conditionalFormatting>
  <conditionalFormatting sqref="H26:J26 H196:J196 H111:J111 H281:J281">
    <cfRule type="expression" dxfId="4664" priority="133" stopIfTrue="1">
      <formula>IF($AK8&lt;3,1,IF($AK7&lt;2,1,0))</formula>
    </cfRule>
  </conditionalFormatting>
  <conditionalFormatting sqref="K26:M26 K196:M196 K111:M111 K281:M281">
    <cfRule type="expression" dxfId="4663" priority="134" stopIfTrue="1">
      <formula>IF($AK8&lt;4,1,IF($AK7&lt;2,1,0))</formula>
    </cfRule>
  </conditionalFormatting>
  <conditionalFormatting sqref="N26:P26 N196:P196 N111:P111 N281:P281">
    <cfRule type="expression" dxfId="4662" priority="135" stopIfTrue="1">
      <formula>IF($AK8&lt;5,1,IF($AK7&lt;2,1,0))</formula>
    </cfRule>
  </conditionalFormatting>
  <conditionalFormatting sqref="Q26:S26 Q196:S196 Q111:S111 Q281:S281">
    <cfRule type="expression" dxfId="4661" priority="136" stopIfTrue="1">
      <formula>IF($AK8&lt;6,1,IF($AK7&lt;2,1,0))</formula>
    </cfRule>
  </conditionalFormatting>
  <conditionalFormatting sqref="T26:V26 T196:V196 T111:V111 T281:V281">
    <cfRule type="expression" dxfId="4660" priority="137" stopIfTrue="1">
      <formula>IF($AK8&lt;7,1,IF($AK7&lt;2,1,0))</formula>
    </cfRule>
  </conditionalFormatting>
  <conditionalFormatting sqref="W26:Y26 W196:Y196 W111:Y111 W281:Y281">
    <cfRule type="expression" dxfId="4659" priority="138" stopIfTrue="1">
      <formula>IF($AK8&lt;8,1,IF($AK7&lt;2,1,0))</formula>
    </cfRule>
  </conditionalFormatting>
  <conditionalFormatting sqref="Z26:AB26 Z196:AB196 Z111:AB111 Z281:AB281">
    <cfRule type="expression" dxfId="4658" priority="139" stopIfTrue="1">
      <formula>IF($AK8&lt;9,1,IF($AK7&lt;2,1,0))</formula>
    </cfRule>
  </conditionalFormatting>
  <conditionalFormatting sqref="AC26:AE26 AC196:AE196 AC111:AE111 AC281:AE281">
    <cfRule type="expression" dxfId="4657" priority="140" stopIfTrue="1">
      <formula>IF($AK8&lt;10,1,IF($AK7&lt;2,1,0))</formula>
    </cfRule>
  </conditionalFormatting>
  <conditionalFormatting sqref="H27:J27 H197:J197 H112:J112 H282:J282">
    <cfRule type="expression" dxfId="4656" priority="141" stopIfTrue="1">
      <formula>IF($AK8&lt;3,1,IF($AK7&lt;3,1,0))</formula>
    </cfRule>
  </conditionalFormatting>
  <conditionalFormatting sqref="K27:M27 K197:M197 K112:M112 K282:M282">
    <cfRule type="expression" dxfId="4655" priority="142" stopIfTrue="1">
      <formula>IF($AK8&lt;4,1,IF($AK7&lt;3,1,0))</formula>
    </cfRule>
  </conditionalFormatting>
  <conditionalFormatting sqref="N27:P27 N197:P197 N112:P112 N282:P282">
    <cfRule type="expression" dxfId="4654" priority="143" stopIfTrue="1">
      <formula>IF($AK8&lt;5,1,IF($AK7&lt;3,1,0))</formula>
    </cfRule>
  </conditionalFormatting>
  <conditionalFormatting sqref="Q27:S27 Q197:S197 Q112:S112 Q282:S282">
    <cfRule type="expression" dxfId="4653" priority="144" stopIfTrue="1">
      <formula>IF($AK8&lt;6,1,IF($AK7&lt;3,1,0))</formula>
    </cfRule>
  </conditionalFormatting>
  <conditionalFormatting sqref="T27:V27 T197:V197 T112:V112 T282:V282">
    <cfRule type="expression" dxfId="4652" priority="145" stopIfTrue="1">
      <formula>IF($AK8&lt;7,1,IF($AK7&lt;3,1,0))</formula>
    </cfRule>
  </conditionalFormatting>
  <conditionalFormatting sqref="W27:Y27 W197:Y197 W112:Y112 W282:Y282">
    <cfRule type="expression" dxfId="4651" priority="146" stopIfTrue="1">
      <formula>IF($AK8&lt;8,1,IF($AK7&lt;3,1,0))</formula>
    </cfRule>
  </conditionalFormatting>
  <conditionalFormatting sqref="Z27:AB27 Z197:AB197 Z112:AB112 Z282:AB282">
    <cfRule type="expression" dxfId="4650" priority="147" stopIfTrue="1">
      <formula>IF($AK8&lt;9,1,IF($AK7&lt;3,1,0))</formula>
    </cfRule>
  </conditionalFormatting>
  <conditionalFormatting sqref="AC27:AE27 AC197:AE197 AC112:AE112 AC282:AE282">
    <cfRule type="expression" dxfId="4649" priority="148" stopIfTrue="1">
      <formula>IF($AK8&lt;10,1,IF($AK7&lt;3,1,0))</formula>
    </cfRule>
  </conditionalFormatting>
  <conditionalFormatting sqref="H28:J28 H198:J198 H113:J113 H283:J283">
    <cfRule type="expression" dxfId="4648" priority="149" stopIfTrue="1">
      <formula>IF($AK8&lt;3,1,IF($AK7&lt;4,1,0))</formula>
    </cfRule>
  </conditionalFormatting>
  <conditionalFormatting sqref="K28:M28 K198:M198 K113:M113 K283:M283">
    <cfRule type="expression" dxfId="4647" priority="150" stopIfTrue="1">
      <formula>IF($AK8&lt;4,1,IF($AK7&lt;4,1,0))</formula>
    </cfRule>
  </conditionalFormatting>
  <conditionalFormatting sqref="N28:P28 N198:P198 N113:P113 N283:P283">
    <cfRule type="expression" dxfId="4646" priority="151" stopIfTrue="1">
      <formula>IF($AK8&lt;5,1,IF($AK7&lt;4,1,0))</formula>
    </cfRule>
  </conditionalFormatting>
  <conditionalFormatting sqref="Q28:S28 Q198:S198 Q113:S113 Q283:S283">
    <cfRule type="expression" dxfId="4645" priority="152" stopIfTrue="1">
      <formula>IF($AK8&lt;6,1,IF($AK7&lt;4,1,0))</formula>
    </cfRule>
  </conditionalFormatting>
  <conditionalFormatting sqref="T28:V28 T198:V198 T113:V113 T283:V283">
    <cfRule type="expression" dxfId="4644" priority="153" stopIfTrue="1">
      <formula>IF($AK8&lt;7,1,IF($AK7&lt;4,1,0))</formula>
    </cfRule>
  </conditionalFormatting>
  <conditionalFormatting sqref="W28:Y28 W198:Y198 W113:Y113 W283:Y283">
    <cfRule type="expression" dxfId="4643" priority="154" stopIfTrue="1">
      <formula>IF($AK8&lt;8,1,IF($AK7&lt;4,1,0))</formula>
    </cfRule>
  </conditionalFormatting>
  <conditionalFormatting sqref="Z28:AB28 Z198:AB198 Z113:AB113 Z283:AB283">
    <cfRule type="expression" dxfId="4642" priority="155" stopIfTrue="1">
      <formula>IF($AK8&lt;9,1,IF($AK7&lt;4,1,0))</formula>
    </cfRule>
  </conditionalFormatting>
  <conditionalFormatting sqref="AC28:AE28 AC198:AE198 AC113:AE113 AC283:AE283">
    <cfRule type="expression" dxfId="4641" priority="156" stopIfTrue="1">
      <formula>IF($AK8&lt;10,1,IF($AK7&lt;4,1,0))</formula>
    </cfRule>
  </conditionalFormatting>
  <conditionalFormatting sqref="H29:J29 H199:J199 H114:J114 H284:J284">
    <cfRule type="expression" dxfId="4640" priority="157" stopIfTrue="1">
      <formula>IF($AK8&lt;3,1,IF($AK7&lt;5,1,0))</formula>
    </cfRule>
  </conditionalFormatting>
  <conditionalFormatting sqref="K29:M29 K199:M199 K114:M114 K284:M284">
    <cfRule type="expression" dxfId="4639" priority="158" stopIfTrue="1">
      <formula>IF($AK8&lt;4,1,IF($AK7&lt;5,1,0))</formula>
    </cfRule>
  </conditionalFormatting>
  <conditionalFormatting sqref="N29:P29 N199:P199 N114:P114 N284:P284">
    <cfRule type="expression" dxfId="4638" priority="159" stopIfTrue="1">
      <formula>IF($AK8&lt;5,1,IF($AK7&lt;5,1,0))</formula>
    </cfRule>
  </conditionalFormatting>
  <conditionalFormatting sqref="Q29:S29 Q199:S199 Q114:S114 Q284:S284">
    <cfRule type="expression" dxfId="4637" priority="160" stopIfTrue="1">
      <formula>IF($AK8&lt;6,1,IF($AK7&lt;5,1,0))</formula>
    </cfRule>
  </conditionalFormatting>
  <conditionalFormatting sqref="T29:V29 T199:V199 T114:V114 T284:V284">
    <cfRule type="expression" dxfId="4636" priority="161" stopIfTrue="1">
      <formula>IF($AK8&lt;7,1,IF($AK7&lt;5,1,0))</formula>
    </cfRule>
  </conditionalFormatting>
  <conditionalFormatting sqref="W29:Y29 W199:Y199 W114:Y114 W284:Y284">
    <cfRule type="expression" dxfId="4635" priority="162" stopIfTrue="1">
      <formula>IF($AK8&lt;8,1,IF($AK7&lt;5,1,0))</formula>
    </cfRule>
  </conditionalFormatting>
  <conditionalFormatting sqref="Z29:AB29 Z199:AB199 Z114:AB114 Z284:AB284">
    <cfRule type="expression" dxfId="4634" priority="163" stopIfTrue="1">
      <formula>IF($AK8&lt;9,1,IF($AK7&lt;5,1,0))</formula>
    </cfRule>
  </conditionalFormatting>
  <conditionalFormatting sqref="AC29:AE29 AC199:AE199 AC114:AE114 AC284:AE284">
    <cfRule type="expression" dxfId="4633" priority="164" stopIfTrue="1">
      <formula>IF($AK8&lt;10,1,IF($AK7&lt;5,1,0))</formula>
    </cfRule>
  </conditionalFormatting>
  <conditionalFormatting sqref="R184:AB185 AF184:AF185 L184:P185 R14:AB15 AF14:AF15 L14:P15 R99:AB100 AF99:AF100 L99:P100 R269:AB270 AF269:AF270 L269:P270 AG14 AG99 AG184 AG269">
    <cfRule type="expression" dxfId="4632" priority="165" stopIfTrue="1">
      <formula>IF($AK9&gt;3,0,1)</formula>
    </cfRule>
  </conditionalFormatting>
  <conditionalFormatting sqref="R186:AB187 AF186:AF187 L186:P187 R16:AB17 AF16:AF17 L16:P17 R101:AB102 AF101:AF102 L101:P102 R271:AB272 AF271:AF272 L271:P272 AG16 AG101 AG186 AG271">
    <cfRule type="expression" dxfId="4631" priority="166" stopIfTrue="1">
      <formula>IF($AK9&gt;4,0,1)</formula>
    </cfRule>
  </conditionalFormatting>
  <conditionalFormatting sqref="R178:AB179 AF178:AF179 L178:P179 R8:AB9 AF8:AF9 L8:P9 R93:AB94 AF93:AF94 L93:P94 R263:AB264 AF263:AF264 L263:P264 AG8 AG93 AG178 AG263">
    <cfRule type="expression" dxfId="4630" priority="167" stopIfTrue="1">
      <formula>IF($AK9&gt;0,0,1)</formula>
    </cfRule>
  </conditionalFormatting>
  <conditionalFormatting sqref="R180:AB181 AF180:AF181 L180:P181 R10:AB11 AF10:AF11 L10:P11 R95:AB96 AF95:AF96 L95:P96 R265:AB266 AF265:AF266 L265:P266 AG10 AG95 AG180 AG265">
    <cfRule type="expression" dxfId="4629" priority="168" stopIfTrue="1">
      <formula>IF($AK9&gt;1,0,1)</formula>
    </cfRule>
  </conditionalFormatting>
  <conditionalFormatting sqref="R182:AB183 AF182:AF183 L182:P183 R12:AB13 AF12:AF13 L12:P13 R97:AB98 AF97:AF98 L97:P98 R267:AB268 AF267:AF268 L267:P268 AG12 AG97 AG182 AG267">
    <cfRule type="expression" dxfId="4628" priority="169" stopIfTrue="1">
      <formula>IF($AK9&gt;2,0,1)</formula>
    </cfRule>
  </conditionalFormatting>
  <conditionalFormatting sqref="E194 E109 E24 E279">
    <cfRule type="expression" dxfId="4627" priority="170" stopIfTrue="1">
      <formula>IF(AK8&gt;1,0,1)</formula>
    </cfRule>
  </conditionalFormatting>
  <conditionalFormatting sqref="H194 H109 H24 H279">
    <cfRule type="expression" dxfId="4626" priority="171" stopIfTrue="1">
      <formula>IF(AK8&gt;2,0,1)</formula>
    </cfRule>
  </conditionalFormatting>
  <conditionalFormatting sqref="K194 K109 K24 K279">
    <cfRule type="expression" dxfId="4625" priority="172" stopIfTrue="1">
      <formula>IF(AK8&gt;3,0,1)</formula>
    </cfRule>
  </conditionalFormatting>
  <conditionalFormatting sqref="N194 N109 N24 N279">
    <cfRule type="expression" dxfId="4624" priority="173" stopIfTrue="1">
      <formula>IF(AK8&gt;4,0,1)</formula>
    </cfRule>
  </conditionalFormatting>
  <conditionalFormatting sqref="Q194 Q109 Q24 Q279">
    <cfRule type="expression" dxfId="4623" priority="174" stopIfTrue="1">
      <formula>IF(AK8&gt;5,0,1)</formula>
    </cfRule>
  </conditionalFormatting>
  <conditionalFormatting sqref="T194 T109 T24 T279">
    <cfRule type="expression" dxfId="4622" priority="175" stopIfTrue="1">
      <formula>IF(AK8&gt;6,0,1)</formula>
    </cfRule>
  </conditionalFormatting>
  <conditionalFormatting sqref="W194 W109 W24 W279">
    <cfRule type="expression" dxfId="4621" priority="176" stopIfTrue="1">
      <formula>IF(AK8&gt;7,0,1)</formula>
    </cfRule>
  </conditionalFormatting>
  <conditionalFormatting sqref="Z194 Z109 Z24 Z279">
    <cfRule type="expression" dxfId="4620" priority="177" stopIfTrue="1">
      <formula>IF(AK8&gt;8,0,1)</formula>
    </cfRule>
  </conditionalFormatting>
  <conditionalFormatting sqref="AC194 AC109 AC24 AC279">
    <cfRule type="expression" dxfId="4619" priority="178" stopIfTrue="1">
      <formula>IF(AK8&gt;9,0,1)</formula>
    </cfRule>
  </conditionalFormatting>
  <conditionalFormatting sqref="AQ197 AQ112 AQ27 AQ282">
    <cfRule type="expression" dxfId="4618" priority="179" stopIfTrue="1">
      <formula>IF($AK9&gt;3,0,1)</formula>
    </cfRule>
  </conditionalFormatting>
  <conditionalFormatting sqref="E195:G195 E110:G110 E25:G25 E280:G280">
    <cfRule type="expression" dxfId="4617" priority="180" stopIfTrue="1">
      <formula>IF($AK8&gt;1,0,1)</formula>
    </cfRule>
  </conditionalFormatting>
  <conditionalFormatting sqref="B191:D191 B106:D106 B21:D21 B276:D276">
    <cfRule type="expression" dxfId="4616" priority="181" stopIfTrue="1">
      <formula>IF(AK8&gt;0,0,1)</formula>
    </cfRule>
  </conditionalFormatting>
  <conditionalFormatting sqref="E191:G191 E106:G106 E21:G21 E276:G276">
    <cfRule type="expression" dxfId="4615" priority="182" stopIfTrue="1">
      <formula>IF(AK8&gt;1,0,1)</formula>
    </cfRule>
  </conditionalFormatting>
  <conditionalFormatting sqref="H191:J191 H106:J106 H21:J21 H276:J276">
    <cfRule type="expression" dxfId="4614" priority="183" stopIfTrue="1">
      <formula>IF(AK8&gt;2,0,1)</formula>
    </cfRule>
  </conditionalFormatting>
  <conditionalFormatting sqref="K191:M191 K106:M106 K21:M21 K276:M276">
    <cfRule type="expression" dxfId="4613" priority="184" stopIfTrue="1">
      <formula>IF(AK8&gt;3,0,1)</formula>
    </cfRule>
  </conditionalFormatting>
  <conditionalFormatting sqref="N191:P191 N106:P106 N21:P21 N276:P276">
    <cfRule type="expression" dxfId="4612" priority="185" stopIfTrue="1">
      <formula>IF(AK8&gt;4,0,1)</formula>
    </cfRule>
  </conditionalFormatting>
  <conditionalFormatting sqref="Q191:S191 Q106:S106 Q21:S21 Q276:S276">
    <cfRule type="expression" dxfId="4611" priority="186" stopIfTrue="1">
      <formula>IF(AK8&gt;5,0,1)</formula>
    </cfRule>
  </conditionalFormatting>
  <conditionalFormatting sqref="T191:V191 T106:V106 T21:V21 T276:V276">
    <cfRule type="expression" dxfId="4610" priority="187" stopIfTrue="1">
      <formula>IF(AK8&gt;6,0,1)</formula>
    </cfRule>
  </conditionalFormatting>
  <conditionalFormatting sqref="W191:Y191 W106:Y106 W21:Y21 W276:Y276">
    <cfRule type="expression" dxfId="4609" priority="188" stopIfTrue="1">
      <formula>IF(AK8&gt;7,0,1)</formula>
    </cfRule>
  </conditionalFormatting>
  <conditionalFormatting sqref="Z191:AB191 Z106:AB106 Z21:AB21 Z276:AB276">
    <cfRule type="expression" dxfId="4608" priority="189" stopIfTrue="1">
      <formula>IF(AK8&gt;8,0,1)</formula>
    </cfRule>
  </conditionalFormatting>
  <conditionalFormatting sqref="AC191:AE191 AC106:AE106 AC21:AE21 AC276:AE276">
    <cfRule type="expression" dxfId="4607" priority="190" stopIfTrue="1">
      <formula>IF(AK8&gt;9,0,1)</formula>
    </cfRule>
  </conditionalFormatting>
  <conditionalFormatting sqref="I395:I397 C396:C397 B387:B388 C387:D387 B390:D395 E391:J394 F395:F397 AD395:AD397 X396:X397 W387:W388 X387:Y387 W390:Y395 Z391:AE394 AA443:AA445 I443:I445 C444:C445 B435:B436 C435:D435 B438:D443 E439:J442 F443:F445 AD443:AD445 AA395:AA397 W435:W436 X435:Y435 W438:Y443 Z439:AE442 X444:X445">
    <cfRule type="expression" dxfId="4606" priority="191" stopIfTrue="1">
      <formula>IF(#REF!&gt;0,0,1)</formula>
    </cfRule>
  </conditionalFormatting>
  <conditionalFormatting sqref="Z387:Z390 F387:G387 G395 F390:G390 E395 E387:E390 AA387:AB387 AB395 AA390:AB390 Z395 Z435:Z438 F435:G435 G443 F438:G438 E443 E435:E438 AA435:AB435 AB443 AA438:AB438 Z443">
    <cfRule type="expression" dxfId="4605" priority="192" stopIfTrue="1">
      <formula>IF(#REF!&gt;1,0,1)</formula>
    </cfRule>
  </conditionalFormatting>
  <conditionalFormatting sqref="AC395 H387:H390 I387:J387 J395 I390:J390 H395 AC387:AC390 AD387:AE387 AE395 AD390:AE390 AC443 H435:H438 I435:J435 J443 I438:J438 H443 AC435:AC438 AD435:AE435 AE443 AD438:AE438">
    <cfRule type="expression" dxfId="4604" priority="193" stopIfTrue="1">
      <formula>IF(#REF!&gt;2,0,1)</formula>
    </cfRule>
  </conditionalFormatting>
  <conditionalFormatting sqref="B396 D396 W396 Y396 B444 D444 W444 Y444">
    <cfRule type="expression" dxfId="4603" priority="194" stopIfTrue="1">
      <formula>IF(#REF!&lt;1,1,IF(#REF!&lt;2,1,0))</formula>
    </cfRule>
  </conditionalFormatting>
  <conditionalFormatting sqref="E396 G396 Z396 AB396 E444 G444 Z444 AB444">
    <cfRule type="expression" dxfId="4602" priority="195" stopIfTrue="1">
      <formula>IF(#REF!&lt;2,1,IF(#REF!&lt;2,1,0))</formula>
    </cfRule>
  </conditionalFormatting>
  <conditionalFormatting sqref="H396 J396 AC396 AE396 H444 J444 AC444 AE444">
    <cfRule type="expression" dxfId="4601" priority="196" stopIfTrue="1">
      <formula>IF(#REF!&lt;3,1,IF(#REF!&lt;2,1,0))</formula>
    </cfRule>
  </conditionalFormatting>
  <conditionalFormatting sqref="D397 W397 Y397 B445 D445 W445 B397 Y445">
    <cfRule type="expression" dxfId="4600" priority="197" stopIfTrue="1">
      <formula>IF(#REF!&lt;1,1,IF(#REF!&lt;3,1,0))</formula>
    </cfRule>
  </conditionalFormatting>
  <conditionalFormatting sqref="G397 Z397 AB397 E445 G445 Z445 E397 AB445">
    <cfRule type="expression" dxfId="4599" priority="198" stopIfTrue="1">
      <formula>IF(#REF!&lt;2,1,IF(#REF!&lt;3,1,0))</formula>
    </cfRule>
  </conditionalFormatting>
  <conditionalFormatting sqref="J397 AC397 AE397 H445 J445 AC445 H397 AE445">
    <cfRule type="expression" dxfId="4598" priority="199" stopIfTrue="1">
      <formula>IF(#REF!&lt;3,1,IF(#REF!&lt;3,1,0))</formula>
    </cfRule>
  </conditionalFormatting>
  <conditionalFormatting sqref="AG194:AP198 AG24:AP28 AG109:AP113 AG279:AP283">
    <cfRule type="cellIs" dxfId="4597" priority="200" stopIfTrue="1" operator="notBetween">
      <formula>-9999</formula>
      <formula>9999</formula>
    </cfRule>
  </conditionalFormatting>
  <conditionalFormatting sqref="AC92 AC177 AC7 AC262">
    <cfRule type="expression" dxfId="4596" priority="201" stopIfTrue="1">
      <formula>IF($AK$11=0,1,0)</formula>
    </cfRule>
  </conditionalFormatting>
  <conditionalFormatting sqref="B188 B18 B103 B273">
    <cfRule type="expression" dxfId="4595" priority="202" stopIfTrue="1">
      <formula>IF($AK$9&gt;0,0,1)</formula>
    </cfRule>
  </conditionalFormatting>
  <conditionalFormatting sqref="B107:D108 B277:D278 B22:D23 B192:D193">
    <cfRule type="cellIs" dxfId="4594" priority="203" stopIfTrue="1" operator="equal">
      <formula>99</formula>
    </cfRule>
  </conditionalFormatting>
  <conditionalFormatting sqref="C398 F398 X398 AA398 C446 F446 X446 AA446">
    <cfRule type="expression" dxfId="4593" priority="204" stopIfTrue="1">
      <formula>IF(#REF!&gt;0,0,1)</formula>
    </cfRule>
  </conditionalFormatting>
  <conditionalFormatting sqref="K387">
    <cfRule type="expression" dxfId="4592" priority="4" stopIfTrue="1">
      <formula>IF(ISNUMBER(K395),0,1)</formula>
    </cfRule>
  </conditionalFormatting>
  <conditionalFormatting sqref="K435">
    <cfRule type="expression" dxfId="4591" priority="3" stopIfTrue="1">
      <formula>IF(ISNUMBER(K443),0,1)</formula>
    </cfRule>
  </conditionalFormatting>
  <conditionalFormatting sqref="AF435">
    <cfRule type="expression" dxfId="4590" priority="2" stopIfTrue="1">
      <formula>IF(ISNUMBER(AF443),0,1)</formula>
    </cfRule>
  </conditionalFormatting>
  <conditionalFormatting sqref="AF387">
    <cfRule type="expression" dxfId="4589" priority="1" stopIfTrue="1">
      <formula>IF(ISNUMBER(AF395),0,1)</formula>
    </cfRule>
  </conditionalFormatting>
  <pageMargins left="0.25" right="0.25" top="0.25" bottom="0.25" header="0" footer="0"/>
  <pageSetup scale="80" fitToHeight="8" orientation="landscape" r:id="rId1"/>
  <headerFooter alignWithMargins="0"/>
  <rowBreaks count="5" manualBreakCount="5">
    <brk id="90" max="42" man="1"/>
    <brk id="175" max="42" man="1"/>
    <brk id="260" max="42" man="1"/>
    <brk id="353" max="42" man="1"/>
    <brk id="406" max="42" man="1"/>
  </rowBreaks>
  <drawing r:id="rId2"/>
  <legacyDrawing r:id="rId3"/>
  <controls>
    <mc:AlternateContent xmlns:mc="http://schemas.openxmlformats.org/markup-compatibility/2006">
      <mc:Choice Requires="x14">
        <control shapeId="2052" r:id="rId4" name="Pool4RecalcFinish">
          <controlPr defaultSize="0" autoLine="0" r:id="rId5">
            <anchor moveWithCells="1" sizeWithCells="1">
              <from>
                <xdr:col>36</xdr:col>
                <xdr:colOff>114300</xdr:colOff>
                <xdr:row>267</xdr:row>
                <xdr:rowOff>228600</xdr:rowOff>
              </from>
              <to>
                <xdr:col>41</xdr:col>
                <xdr:colOff>228600</xdr:colOff>
                <xdr:row>271</xdr:row>
                <xdr:rowOff>85725</xdr:rowOff>
              </to>
            </anchor>
          </controlPr>
        </control>
      </mc:Choice>
      <mc:Fallback>
        <control shapeId="2052" r:id="rId4" name="Pool4RecalcFinish"/>
      </mc:Fallback>
    </mc:AlternateContent>
    <mc:AlternateContent xmlns:mc="http://schemas.openxmlformats.org/markup-compatibility/2006">
      <mc:Choice Requires="x14">
        <control shapeId="2051" r:id="rId6" name="Pool3RecalcFinish">
          <controlPr defaultSize="0" autoLine="0" r:id="rId7">
            <anchor moveWithCells="1" sizeWithCells="1">
              <from>
                <xdr:col>36</xdr:col>
                <xdr:colOff>104775</xdr:colOff>
                <xdr:row>182</xdr:row>
                <xdr:rowOff>219075</xdr:rowOff>
              </from>
              <to>
                <xdr:col>41</xdr:col>
                <xdr:colOff>228600</xdr:colOff>
                <xdr:row>186</xdr:row>
                <xdr:rowOff>76200</xdr:rowOff>
              </to>
            </anchor>
          </controlPr>
        </control>
      </mc:Choice>
      <mc:Fallback>
        <control shapeId="2051" r:id="rId6" name="Pool3RecalcFinish"/>
      </mc:Fallback>
    </mc:AlternateContent>
    <mc:AlternateContent xmlns:mc="http://schemas.openxmlformats.org/markup-compatibility/2006">
      <mc:Choice Requires="x14">
        <control shapeId="2050" r:id="rId8" name="Pool2RecalcFinish">
          <controlPr defaultSize="0" autoLine="0" r:id="rId9">
            <anchor moveWithCells="1" sizeWithCells="1">
              <from>
                <xdr:col>36</xdr:col>
                <xdr:colOff>104775</xdr:colOff>
                <xdr:row>97</xdr:row>
                <xdr:rowOff>219075</xdr:rowOff>
              </from>
              <to>
                <xdr:col>41</xdr:col>
                <xdr:colOff>228600</xdr:colOff>
                <xdr:row>101</xdr:row>
                <xdr:rowOff>76200</xdr:rowOff>
              </to>
            </anchor>
          </controlPr>
        </control>
      </mc:Choice>
      <mc:Fallback>
        <control shapeId="2050" r:id="rId8" name="Pool2RecalcFinish"/>
      </mc:Fallback>
    </mc:AlternateContent>
    <mc:AlternateContent xmlns:mc="http://schemas.openxmlformats.org/markup-compatibility/2006">
      <mc:Choice Requires="x14">
        <control shapeId="2049" r:id="rId10" name="Pool1RecalcFinish">
          <controlPr defaultSize="0" autoLine="0" r:id="rId11">
            <anchor moveWithCells="1" sizeWithCells="1">
              <from>
                <xdr:col>36</xdr:col>
                <xdr:colOff>85725</xdr:colOff>
                <xdr:row>13</xdr:row>
                <xdr:rowOff>9525</xdr:rowOff>
              </from>
              <to>
                <xdr:col>41</xdr:col>
                <xdr:colOff>209550</xdr:colOff>
                <xdr:row>16</xdr:row>
                <xdr:rowOff>104775</xdr:rowOff>
              </to>
            </anchor>
          </controlPr>
        </control>
      </mc:Choice>
      <mc:Fallback>
        <control shapeId="2049" r:id="rId10" name="Pool1RecalcFinish"/>
      </mc:Fallback>
    </mc:AlternateContent>
  </control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5">
    <tabColor rgb="FFFF0000"/>
  </sheetPr>
  <dimension ref="A1:BM658"/>
  <sheetViews>
    <sheetView zoomScale="70" zoomScaleNormal="70" workbookViewId="0">
      <selection activeCell="AU27" sqref="AU27:AV27"/>
    </sheetView>
  </sheetViews>
  <sheetFormatPr defaultColWidth="8.85546875" defaultRowHeight="12.75" x14ac:dyDescent="0.2"/>
  <cols>
    <col min="1" max="1" width="8.85546875" style="4"/>
    <col min="2" max="2" width="3.7109375" style="4" customWidth="1"/>
    <col min="3" max="3" width="2.28515625" style="4" customWidth="1"/>
    <col min="4" max="5" width="3.7109375" style="4" customWidth="1"/>
    <col min="6" max="6" width="2.28515625" style="4" customWidth="1"/>
    <col min="7" max="8" width="3.7109375" style="4" customWidth="1"/>
    <col min="9" max="9" width="2.28515625" style="4" customWidth="1"/>
    <col min="10" max="11" width="3.7109375" style="4" customWidth="1"/>
    <col min="12" max="12" width="2.28515625" style="4" customWidth="1"/>
    <col min="13" max="14" width="3.7109375" style="4" customWidth="1"/>
    <col min="15" max="15" width="2.28515625" style="4" customWidth="1"/>
    <col min="16" max="17" width="3.7109375" style="4" customWidth="1"/>
    <col min="18" max="18" width="2.28515625" style="4" customWidth="1"/>
    <col min="19" max="20" width="3.7109375" style="4" customWidth="1"/>
    <col min="21" max="21" width="2.28515625" style="4" customWidth="1"/>
    <col min="22" max="23" width="3.7109375" style="4" customWidth="1"/>
    <col min="24" max="24" width="2.28515625" style="4" customWidth="1"/>
    <col min="25" max="26" width="3.7109375" style="4" customWidth="1"/>
    <col min="27" max="27" width="2.28515625" style="4" customWidth="1"/>
    <col min="28" max="29" width="3.7109375" style="4" customWidth="1"/>
    <col min="30" max="30" width="2.28515625" style="4" customWidth="1"/>
    <col min="31" max="31" width="3.7109375" style="4" customWidth="1"/>
    <col min="32" max="32" width="9.7109375" style="4" customWidth="1"/>
    <col min="33" max="42" width="3.7109375" style="4" customWidth="1"/>
    <col min="43" max="43" width="11" style="4" customWidth="1"/>
    <col min="44" max="46" width="8.85546875" style="4"/>
    <col min="47" max="47" width="21" style="4" customWidth="1"/>
    <col min="48" max="48" width="24.42578125" style="4" customWidth="1"/>
    <col min="49" max="49" width="15.28515625" style="156" customWidth="1"/>
    <col min="50" max="50" width="10.5703125" style="4" customWidth="1"/>
    <col min="51" max="51" width="11.28515625" style="4" customWidth="1"/>
    <col min="52" max="52" width="25" style="4" customWidth="1"/>
    <col min="53" max="53" width="6" style="4" customWidth="1"/>
    <col min="54" max="257" width="8.85546875" style="4"/>
    <col min="258" max="258" width="3.7109375" style="4" customWidth="1"/>
    <col min="259" max="259" width="2.28515625" style="4" customWidth="1"/>
    <col min="260" max="261" width="3.7109375" style="4" customWidth="1"/>
    <col min="262" max="262" width="2.28515625" style="4" customWidth="1"/>
    <col min="263" max="264" width="3.7109375" style="4" customWidth="1"/>
    <col min="265" max="265" width="2.28515625" style="4" customWidth="1"/>
    <col min="266" max="267" width="3.7109375" style="4" customWidth="1"/>
    <col min="268" max="268" width="2.28515625" style="4" customWidth="1"/>
    <col min="269" max="270" width="3.7109375" style="4" customWidth="1"/>
    <col min="271" max="271" width="2.28515625" style="4" customWidth="1"/>
    <col min="272" max="273" width="3.7109375" style="4" customWidth="1"/>
    <col min="274" max="274" width="2.28515625" style="4" customWidth="1"/>
    <col min="275" max="276" width="3.7109375" style="4" customWidth="1"/>
    <col min="277" max="277" width="2.28515625" style="4" customWidth="1"/>
    <col min="278" max="279" width="3.7109375" style="4" customWidth="1"/>
    <col min="280" max="280" width="2.28515625" style="4" customWidth="1"/>
    <col min="281" max="282" width="3.7109375" style="4" customWidth="1"/>
    <col min="283" max="283" width="2.28515625" style="4" customWidth="1"/>
    <col min="284" max="285" width="3.7109375" style="4" customWidth="1"/>
    <col min="286" max="286" width="2.28515625" style="4" customWidth="1"/>
    <col min="287" max="287" width="3.7109375" style="4" customWidth="1"/>
    <col min="288" max="288" width="9.7109375" style="4" customWidth="1"/>
    <col min="289" max="298" width="3.7109375" style="4" customWidth="1"/>
    <col min="299" max="299" width="11" style="4" customWidth="1"/>
    <col min="300" max="302" width="8.85546875" style="4"/>
    <col min="303" max="303" width="21" style="4" customWidth="1"/>
    <col min="304" max="304" width="24.42578125" style="4" customWidth="1"/>
    <col min="305" max="305" width="15.28515625" style="4" customWidth="1"/>
    <col min="306" max="306" width="10.5703125" style="4" customWidth="1"/>
    <col min="307" max="307" width="11.28515625" style="4" customWidth="1"/>
    <col min="308" max="308" width="25" style="4" customWidth="1"/>
    <col min="309" max="309" width="6" style="4" customWidth="1"/>
    <col min="310" max="513" width="8.85546875" style="4"/>
    <col min="514" max="514" width="3.7109375" style="4" customWidth="1"/>
    <col min="515" max="515" width="2.28515625" style="4" customWidth="1"/>
    <col min="516" max="517" width="3.7109375" style="4" customWidth="1"/>
    <col min="518" max="518" width="2.28515625" style="4" customWidth="1"/>
    <col min="519" max="520" width="3.7109375" style="4" customWidth="1"/>
    <col min="521" max="521" width="2.28515625" style="4" customWidth="1"/>
    <col min="522" max="523" width="3.7109375" style="4" customWidth="1"/>
    <col min="524" max="524" width="2.28515625" style="4" customWidth="1"/>
    <col min="525" max="526" width="3.7109375" style="4" customWidth="1"/>
    <col min="527" max="527" width="2.28515625" style="4" customWidth="1"/>
    <col min="528" max="529" width="3.7109375" style="4" customWidth="1"/>
    <col min="530" max="530" width="2.28515625" style="4" customWidth="1"/>
    <col min="531" max="532" width="3.7109375" style="4" customWidth="1"/>
    <col min="533" max="533" width="2.28515625" style="4" customWidth="1"/>
    <col min="534" max="535" width="3.7109375" style="4" customWidth="1"/>
    <col min="536" max="536" width="2.28515625" style="4" customWidth="1"/>
    <col min="537" max="538" width="3.7109375" style="4" customWidth="1"/>
    <col min="539" max="539" width="2.28515625" style="4" customWidth="1"/>
    <col min="540" max="541" width="3.7109375" style="4" customWidth="1"/>
    <col min="542" max="542" width="2.28515625" style="4" customWidth="1"/>
    <col min="543" max="543" width="3.7109375" style="4" customWidth="1"/>
    <col min="544" max="544" width="9.7109375" style="4" customWidth="1"/>
    <col min="545" max="554" width="3.7109375" style="4" customWidth="1"/>
    <col min="555" max="555" width="11" style="4" customWidth="1"/>
    <col min="556" max="558" width="8.85546875" style="4"/>
    <col min="559" max="559" width="21" style="4" customWidth="1"/>
    <col min="560" max="560" width="24.42578125" style="4" customWidth="1"/>
    <col min="561" max="561" width="15.28515625" style="4" customWidth="1"/>
    <col min="562" max="562" width="10.5703125" style="4" customWidth="1"/>
    <col min="563" max="563" width="11.28515625" style="4" customWidth="1"/>
    <col min="564" max="564" width="25" style="4" customWidth="1"/>
    <col min="565" max="565" width="6" style="4" customWidth="1"/>
    <col min="566" max="769" width="8.85546875" style="4"/>
    <col min="770" max="770" width="3.7109375" style="4" customWidth="1"/>
    <col min="771" max="771" width="2.28515625" style="4" customWidth="1"/>
    <col min="772" max="773" width="3.7109375" style="4" customWidth="1"/>
    <col min="774" max="774" width="2.28515625" style="4" customWidth="1"/>
    <col min="775" max="776" width="3.7109375" style="4" customWidth="1"/>
    <col min="777" max="777" width="2.28515625" style="4" customWidth="1"/>
    <col min="778" max="779" width="3.7109375" style="4" customWidth="1"/>
    <col min="780" max="780" width="2.28515625" style="4" customWidth="1"/>
    <col min="781" max="782" width="3.7109375" style="4" customWidth="1"/>
    <col min="783" max="783" width="2.28515625" style="4" customWidth="1"/>
    <col min="784" max="785" width="3.7109375" style="4" customWidth="1"/>
    <col min="786" max="786" width="2.28515625" style="4" customWidth="1"/>
    <col min="787" max="788" width="3.7109375" style="4" customWidth="1"/>
    <col min="789" max="789" width="2.28515625" style="4" customWidth="1"/>
    <col min="790" max="791" width="3.7109375" style="4" customWidth="1"/>
    <col min="792" max="792" width="2.28515625" style="4" customWidth="1"/>
    <col min="793" max="794" width="3.7109375" style="4" customWidth="1"/>
    <col min="795" max="795" width="2.28515625" style="4" customWidth="1"/>
    <col min="796" max="797" width="3.7109375" style="4" customWidth="1"/>
    <col min="798" max="798" width="2.28515625" style="4" customWidth="1"/>
    <col min="799" max="799" width="3.7109375" style="4" customWidth="1"/>
    <col min="800" max="800" width="9.7109375" style="4" customWidth="1"/>
    <col min="801" max="810" width="3.7109375" style="4" customWidth="1"/>
    <col min="811" max="811" width="11" style="4" customWidth="1"/>
    <col min="812" max="814" width="8.85546875" style="4"/>
    <col min="815" max="815" width="21" style="4" customWidth="1"/>
    <col min="816" max="816" width="24.42578125" style="4" customWidth="1"/>
    <col min="817" max="817" width="15.28515625" style="4" customWidth="1"/>
    <col min="818" max="818" width="10.5703125" style="4" customWidth="1"/>
    <col min="819" max="819" width="11.28515625" style="4" customWidth="1"/>
    <col min="820" max="820" width="25" style="4" customWidth="1"/>
    <col min="821" max="821" width="6" style="4" customWidth="1"/>
    <col min="822" max="1025" width="8.85546875" style="4"/>
    <col min="1026" max="1026" width="3.7109375" style="4" customWidth="1"/>
    <col min="1027" max="1027" width="2.28515625" style="4" customWidth="1"/>
    <col min="1028" max="1029" width="3.7109375" style="4" customWidth="1"/>
    <col min="1030" max="1030" width="2.28515625" style="4" customWidth="1"/>
    <col min="1031" max="1032" width="3.7109375" style="4" customWidth="1"/>
    <col min="1033" max="1033" width="2.28515625" style="4" customWidth="1"/>
    <col min="1034" max="1035" width="3.7109375" style="4" customWidth="1"/>
    <col min="1036" max="1036" width="2.28515625" style="4" customWidth="1"/>
    <col min="1037" max="1038" width="3.7109375" style="4" customWidth="1"/>
    <col min="1039" max="1039" width="2.28515625" style="4" customWidth="1"/>
    <col min="1040" max="1041" width="3.7109375" style="4" customWidth="1"/>
    <col min="1042" max="1042" width="2.28515625" style="4" customWidth="1"/>
    <col min="1043" max="1044" width="3.7109375" style="4" customWidth="1"/>
    <col min="1045" max="1045" width="2.28515625" style="4" customWidth="1"/>
    <col min="1046" max="1047" width="3.7109375" style="4" customWidth="1"/>
    <col min="1048" max="1048" width="2.28515625" style="4" customWidth="1"/>
    <col min="1049" max="1050" width="3.7109375" style="4" customWidth="1"/>
    <col min="1051" max="1051" width="2.28515625" style="4" customWidth="1"/>
    <col min="1052" max="1053" width="3.7109375" style="4" customWidth="1"/>
    <col min="1054" max="1054" width="2.28515625" style="4" customWidth="1"/>
    <col min="1055" max="1055" width="3.7109375" style="4" customWidth="1"/>
    <col min="1056" max="1056" width="9.7109375" style="4" customWidth="1"/>
    <col min="1057" max="1066" width="3.7109375" style="4" customWidth="1"/>
    <col min="1067" max="1067" width="11" style="4" customWidth="1"/>
    <col min="1068" max="1070" width="8.85546875" style="4"/>
    <col min="1071" max="1071" width="21" style="4" customWidth="1"/>
    <col min="1072" max="1072" width="24.42578125" style="4" customWidth="1"/>
    <col min="1073" max="1073" width="15.28515625" style="4" customWidth="1"/>
    <col min="1074" max="1074" width="10.5703125" style="4" customWidth="1"/>
    <col min="1075" max="1075" width="11.28515625" style="4" customWidth="1"/>
    <col min="1076" max="1076" width="25" style="4" customWidth="1"/>
    <col min="1077" max="1077" width="6" style="4" customWidth="1"/>
    <col min="1078" max="1281" width="8.85546875" style="4"/>
    <col min="1282" max="1282" width="3.7109375" style="4" customWidth="1"/>
    <col min="1283" max="1283" width="2.28515625" style="4" customWidth="1"/>
    <col min="1284" max="1285" width="3.7109375" style="4" customWidth="1"/>
    <col min="1286" max="1286" width="2.28515625" style="4" customWidth="1"/>
    <col min="1287" max="1288" width="3.7109375" style="4" customWidth="1"/>
    <col min="1289" max="1289" width="2.28515625" style="4" customWidth="1"/>
    <col min="1290" max="1291" width="3.7109375" style="4" customWidth="1"/>
    <col min="1292" max="1292" width="2.28515625" style="4" customWidth="1"/>
    <col min="1293" max="1294" width="3.7109375" style="4" customWidth="1"/>
    <col min="1295" max="1295" width="2.28515625" style="4" customWidth="1"/>
    <col min="1296" max="1297" width="3.7109375" style="4" customWidth="1"/>
    <col min="1298" max="1298" width="2.28515625" style="4" customWidth="1"/>
    <col min="1299" max="1300" width="3.7109375" style="4" customWidth="1"/>
    <col min="1301" max="1301" width="2.28515625" style="4" customWidth="1"/>
    <col min="1302" max="1303" width="3.7109375" style="4" customWidth="1"/>
    <col min="1304" max="1304" width="2.28515625" style="4" customWidth="1"/>
    <col min="1305" max="1306" width="3.7109375" style="4" customWidth="1"/>
    <col min="1307" max="1307" width="2.28515625" style="4" customWidth="1"/>
    <col min="1308" max="1309" width="3.7109375" style="4" customWidth="1"/>
    <col min="1310" max="1310" width="2.28515625" style="4" customWidth="1"/>
    <col min="1311" max="1311" width="3.7109375" style="4" customWidth="1"/>
    <col min="1312" max="1312" width="9.7109375" style="4" customWidth="1"/>
    <col min="1313" max="1322" width="3.7109375" style="4" customWidth="1"/>
    <col min="1323" max="1323" width="11" style="4" customWidth="1"/>
    <col min="1324" max="1326" width="8.85546875" style="4"/>
    <col min="1327" max="1327" width="21" style="4" customWidth="1"/>
    <col min="1328" max="1328" width="24.42578125" style="4" customWidth="1"/>
    <col min="1329" max="1329" width="15.28515625" style="4" customWidth="1"/>
    <col min="1330" max="1330" width="10.5703125" style="4" customWidth="1"/>
    <col min="1331" max="1331" width="11.28515625" style="4" customWidth="1"/>
    <col min="1332" max="1332" width="25" style="4" customWidth="1"/>
    <col min="1333" max="1333" width="6" style="4" customWidth="1"/>
    <col min="1334" max="1537" width="8.85546875" style="4"/>
    <col min="1538" max="1538" width="3.7109375" style="4" customWidth="1"/>
    <col min="1539" max="1539" width="2.28515625" style="4" customWidth="1"/>
    <col min="1540" max="1541" width="3.7109375" style="4" customWidth="1"/>
    <col min="1542" max="1542" width="2.28515625" style="4" customWidth="1"/>
    <col min="1543" max="1544" width="3.7109375" style="4" customWidth="1"/>
    <col min="1545" max="1545" width="2.28515625" style="4" customWidth="1"/>
    <col min="1546" max="1547" width="3.7109375" style="4" customWidth="1"/>
    <col min="1548" max="1548" width="2.28515625" style="4" customWidth="1"/>
    <col min="1549" max="1550" width="3.7109375" style="4" customWidth="1"/>
    <col min="1551" max="1551" width="2.28515625" style="4" customWidth="1"/>
    <col min="1552" max="1553" width="3.7109375" style="4" customWidth="1"/>
    <col min="1554" max="1554" width="2.28515625" style="4" customWidth="1"/>
    <col min="1555" max="1556" width="3.7109375" style="4" customWidth="1"/>
    <col min="1557" max="1557" width="2.28515625" style="4" customWidth="1"/>
    <col min="1558" max="1559" width="3.7109375" style="4" customWidth="1"/>
    <col min="1560" max="1560" width="2.28515625" style="4" customWidth="1"/>
    <col min="1561" max="1562" width="3.7109375" style="4" customWidth="1"/>
    <col min="1563" max="1563" width="2.28515625" style="4" customWidth="1"/>
    <col min="1564" max="1565" width="3.7109375" style="4" customWidth="1"/>
    <col min="1566" max="1566" width="2.28515625" style="4" customWidth="1"/>
    <col min="1567" max="1567" width="3.7109375" style="4" customWidth="1"/>
    <col min="1568" max="1568" width="9.7109375" style="4" customWidth="1"/>
    <col min="1569" max="1578" width="3.7109375" style="4" customWidth="1"/>
    <col min="1579" max="1579" width="11" style="4" customWidth="1"/>
    <col min="1580" max="1582" width="8.85546875" style="4"/>
    <col min="1583" max="1583" width="21" style="4" customWidth="1"/>
    <col min="1584" max="1584" width="24.42578125" style="4" customWidth="1"/>
    <col min="1585" max="1585" width="15.28515625" style="4" customWidth="1"/>
    <col min="1586" max="1586" width="10.5703125" style="4" customWidth="1"/>
    <col min="1587" max="1587" width="11.28515625" style="4" customWidth="1"/>
    <col min="1588" max="1588" width="25" style="4" customWidth="1"/>
    <col min="1589" max="1589" width="6" style="4" customWidth="1"/>
    <col min="1590" max="1793" width="8.85546875" style="4"/>
    <col min="1794" max="1794" width="3.7109375" style="4" customWidth="1"/>
    <col min="1795" max="1795" width="2.28515625" style="4" customWidth="1"/>
    <col min="1796" max="1797" width="3.7109375" style="4" customWidth="1"/>
    <col min="1798" max="1798" width="2.28515625" style="4" customWidth="1"/>
    <col min="1799" max="1800" width="3.7109375" style="4" customWidth="1"/>
    <col min="1801" max="1801" width="2.28515625" style="4" customWidth="1"/>
    <col min="1802" max="1803" width="3.7109375" style="4" customWidth="1"/>
    <col min="1804" max="1804" width="2.28515625" style="4" customWidth="1"/>
    <col min="1805" max="1806" width="3.7109375" style="4" customWidth="1"/>
    <col min="1807" max="1807" width="2.28515625" style="4" customWidth="1"/>
    <col min="1808" max="1809" width="3.7109375" style="4" customWidth="1"/>
    <col min="1810" max="1810" width="2.28515625" style="4" customWidth="1"/>
    <col min="1811" max="1812" width="3.7109375" style="4" customWidth="1"/>
    <col min="1813" max="1813" width="2.28515625" style="4" customWidth="1"/>
    <col min="1814" max="1815" width="3.7109375" style="4" customWidth="1"/>
    <col min="1816" max="1816" width="2.28515625" style="4" customWidth="1"/>
    <col min="1817" max="1818" width="3.7109375" style="4" customWidth="1"/>
    <col min="1819" max="1819" width="2.28515625" style="4" customWidth="1"/>
    <col min="1820" max="1821" width="3.7109375" style="4" customWidth="1"/>
    <col min="1822" max="1822" width="2.28515625" style="4" customWidth="1"/>
    <col min="1823" max="1823" width="3.7109375" style="4" customWidth="1"/>
    <col min="1824" max="1824" width="9.7109375" style="4" customWidth="1"/>
    <col min="1825" max="1834" width="3.7109375" style="4" customWidth="1"/>
    <col min="1835" max="1835" width="11" style="4" customWidth="1"/>
    <col min="1836" max="1838" width="8.85546875" style="4"/>
    <col min="1839" max="1839" width="21" style="4" customWidth="1"/>
    <col min="1840" max="1840" width="24.42578125" style="4" customWidth="1"/>
    <col min="1841" max="1841" width="15.28515625" style="4" customWidth="1"/>
    <col min="1842" max="1842" width="10.5703125" style="4" customWidth="1"/>
    <col min="1843" max="1843" width="11.28515625" style="4" customWidth="1"/>
    <col min="1844" max="1844" width="25" style="4" customWidth="1"/>
    <col min="1845" max="1845" width="6" style="4" customWidth="1"/>
    <col min="1846" max="2049" width="8.85546875" style="4"/>
    <col min="2050" max="2050" width="3.7109375" style="4" customWidth="1"/>
    <col min="2051" max="2051" width="2.28515625" style="4" customWidth="1"/>
    <col min="2052" max="2053" width="3.7109375" style="4" customWidth="1"/>
    <col min="2054" max="2054" width="2.28515625" style="4" customWidth="1"/>
    <col min="2055" max="2056" width="3.7109375" style="4" customWidth="1"/>
    <col min="2057" max="2057" width="2.28515625" style="4" customWidth="1"/>
    <col min="2058" max="2059" width="3.7109375" style="4" customWidth="1"/>
    <col min="2060" max="2060" width="2.28515625" style="4" customWidth="1"/>
    <col min="2061" max="2062" width="3.7109375" style="4" customWidth="1"/>
    <col min="2063" max="2063" width="2.28515625" style="4" customWidth="1"/>
    <col min="2064" max="2065" width="3.7109375" style="4" customWidth="1"/>
    <col min="2066" max="2066" width="2.28515625" style="4" customWidth="1"/>
    <col min="2067" max="2068" width="3.7109375" style="4" customWidth="1"/>
    <col min="2069" max="2069" width="2.28515625" style="4" customWidth="1"/>
    <col min="2070" max="2071" width="3.7109375" style="4" customWidth="1"/>
    <col min="2072" max="2072" width="2.28515625" style="4" customWidth="1"/>
    <col min="2073" max="2074" width="3.7109375" style="4" customWidth="1"/>
    <col min="2075" max="2075" width="2.28515625" style="4" customWidth="1"/>
    <col min="2076" max="2077" width="3.7109375" style="4" customWidth="1"/>
    <col min="2078" max="2078" width="2.28515625" style="4" customWidth="1"/>
    <col min="2079" max="2079" width="3.7109375" style="4" customWidth="1"/>
    <col min="2080" max="2080" width="9.7109375" style="4" customWidth="1"/>
    <col min="2081" max="2090" width="3.7109375" style="4" customWidth="1"/>
    <col min="2091" max="2091" width="11" style="4" customWidth="1"/>
    <col min="2092" max="2094" width="8.85546875" style="4"/>
    <col min="2095" max="2095" width="21" style="4" customWidth="1"/>
    <col min="2096" max="2096" width="24.42578125" style="4" customWidth="1"/>
    <col min="2097" max="2097" width="15.28515625" style="4" customWidth="1"/>
    <col min="2098" max="2098" width="10.5703125" style="4" customWidth="1"/>
    <col min="2099" max="2099" width="11.28515625" style="4" customWidth="1"/>
    <col min="2100" max="2100" width="25" style="4" customWidth="1"/>
    <col min="2101" max="2101" width="6" style="4" customWidth="1"/>
    <col min="2102" max="2305" width="8.85546875" style="4"/>
    <col min="2306" max="2306" width="3.7109375" style="4" customWidth="1"/>
    <col min="2307" max="2307" width="2.28515625" style="4" customWidth="1"/>
    <col min="2308" max="2309" width="3.7109375" style="4" customWidth="1"/>
    <col min="2310" max="2310" width="2.28515625" style="4" customWidth="1"/>
    <col min="2311" max="2312" width="3.7109375" style="4" customWidth="1"/>
    <col min="2313" max="2313" width="2.28515625" style="4" customWidth="1"/>
    <col min="2314" max="2315" width="3.7109375" style="4" customWidth="1"/>
    <col min="2316" max="2316" width="2.28515625" style="4" customWidth="1"/>
    <col min="2317" max="2318" width="3.7109375" style="4" customWidth="1"/>
    <col min="2319" max="2319" width="2.28515625" style="4" customWidth="1"/>
    <col min="2320" max="2321" width="3.7109375" style="4" customWidth="1"/>
    <col min="2322" max="2322" width="2.28515625" style="4" customWidth="1"/>
    <col min="2323" max="2324" width="3.7109375" style="4" customWidth="1"/>
    <col min="2325" max="2325" width="2.28515625" style="4" customWidth="1"/>
    <col min="2326" max="2327" width="3.7109375" style="4" customWidth="1"/>
    <col min="2328" max="2328" width="2.28515625" style="4" customWidth="1"/>
    <col min="2329" max="2330" width="3.7109375" style="4" customWidth="1"/>
    <col min="2331" max="2331" width="2.28515625" style="4" customWidth="1"/>
    <col min="2332" max="2333" width="3.7109375" style="4" customWidth="1"/>
    <col min="2334" max="2334" width="2.28515625" style="4" customWidth="1"/>
    <col min="2335" max="2335" width="3.7109375" style="4" customWidth="1"/>
    <col min="2336" max="2336" width="9.7109375" style="4" customWidth="1"/>
    <col min="2337" max="2346" width="3.7109375" style="4" customWidth="1"/>
    <col min="2347" max="2347" width="11" style="4" customWidth="1"/>
    <col min="2348" max="2350" width="8.85546875" style="4"/>
    <col min="2351" max="2351" width="21" style="4" customWidth="1"/>
    <col min="2352" max="2352" width="24.42578125" style="4" customWidth="1"/>
    <col min="2353" max="2353" width="15.28515625" style="4" customWidth="1"/>
    <col min="2354" max="2354" width="10.5703125" style="4" customWidth="1"/>
    <col min="2355" max="2355" width="11.28515625" style="4" customWidth="1"/>
    <col min="2356" max="2356" width="25" style="4" customWidth="1"/>
    <col min="2357" max="2357" width="6" style="4" customWidth="1"/>
    <col min="2358" max="2561" width="8.85546875" style="4"/>
    <col min="2562" max="2562" width="3.7109375" style="4" customWidth="1"/>
    <col min="2563" max="2563" width="2.28515625" style="4" customWidth="1"/>
    <col min="2564" max="2565" width="3.7109375" style="4" customWidth="1"/>
    <col min="2566" max="2566" width="2.28515625" style="4" customWidth="1"/>
    <col min="2567" max="2568" width="3.7109375" style="4" customWidth="1"/>
    <col min="2569" max="2569" width="2.28515625" style="4" customWidth="1"/>
    <col min="2570" max="2571" width="3.7109375" style="4" customWidth="1"/>
    <col min="2572" max="2572" width="2.28515625" style="4" customWidth="1"/>
    <col min="2573" max="2574" width="3.7109375" style="4" customWidth="1"/>
    <col min="2575" max="2575" width="2.28515625" style="4" customWidth="1"/>
    <col min="2576" max="2577" width="3.7109375" style="4" customWidth="1"/>
    <col min="2578" max="2578" width="2.28515625" style="4" customWidth="1"/>
    <col min="2579" max="2580" width="3.7109375" style="4" customWidth="1"/>
    <col min="2581" max="2581" width="2.28515625" style="4" customWidth="1"/>
    <col min="2582" max="2583" width="3.7109375" style="4" customWidth="1"/>
    <col min="2584" max="2584" width="2.28515625" style="4" customWidth="1"/>
    <col min="2585" max="2586" width="3.7109375" style="4" customWidth="1"/>
    <col min="2587" max="2587" width="2.28515625" style="4" customWidth="1"/>
    <col min="2588" max="2589" width="3.7109375" style="4" customWidth="1"/>
    <col min="2590" max="2590" width="2.28515625" style="4" customWidth="1"/>
    <col min="2591" max="2591" width="3.7109375" style="4" customWidth="1"/>
    <col min="2592" max="2592" width="9.7109375" style="4" customWidth="1"/>
    <col min="2593" max="2602" width="3.7109375" style="4" customWidth="1"/>
    <col min="2603" max="2603" width="11" style="4" customWidth="1"/>
    <col min="2604" max="2606" width="8.85546875" style="4"/>
    <col min="2607" max="2607" width="21" style="4" customWidth="1"/>
    <col min="2608" max="2608" width="24.42578125" style="4" customWidth="1"/>
    <col min="2609" max="2609" width="15.28515625" style="4" customWidth="1"/>
    <col min="2610" max="2610" width="10.5703125" style="4" customWidth="1"/>
    <col min="2611" max="2611" width="11.28515625" style="4" customWidth="1"/>
    <col min="2612" max="2612" width="25" style="4" customWidth="1"/>
    <col min="2613" max="2613" width="6" style="4" customWidth="1"/>
    <col min="2614" max="2817" width="8.85546875" style="4"/>
    <col min="2818" max="2818" width="3.7109375" style="4" customWidth="1"/>
    <col min="2819" max="2819" width="2.28515625" style="4" customWidth="1"/>
    <col min="2820" max="2821" width="3.7109375" style="4" customWidth="1"/>
    <col min="2822" max="2822" width="2.28515625" style="4" customWidth="1"/>
    <col min="2823" max="2824" width="3.7109375" style="4" customWidth="1"/>
    <col min="2825" max="2825" width="2.28515625" style="4" customWidth="1"/>
    <col min="2826" max="2827" width="3.7109375" style="4" customWidth="1"/>
    <col min="2828" max="2828" width="2.28515625" style="4" customWidth="1"/>
    <col min="2829" max="2830" width="3.7109375" style="4" customWidth="1"/>
    <col min="2831" max="2831" width="2.28515625" style="4" customWidth="1"/>
    <col min="2832" max="2833" width="3.7109375" style="4" customWidth="1"/>
    <col min="2834" max="2834" width="2.28515625" style="4" customWidth="1"/>
    <col min="2835" max="2836" width="3.7109375" style="4" customWidth="1"/>
    <col min="2837" max="2837" width="2.28515625" style="4" customWidth="1"/>
    <col min="2838" max="2839" width="3.7109375" style="4" customWidth="1"/>
    <col min="2840" max="2840" width="2.28515625" style="4" customWidth="1"/>
    <col min="2841" max="2842" width="3.7109375" style="4" customWidth="1"/>
    <col min="2843" max="2843" width="2.28515625" style="4" customWidth="1"/>
    <col min="2844" max="2845" width="3.7109375" style="4" customWidth="1"/>
    <col min="2846" max="2846" width="2.28515625" style="4" customWidth="1"/>
    <col min="2847" max="2847" width="3.7109375" style="4" customWidth="1"/>
    <col min="2848" max="2848" width="9.7109375" style="4" customWidth="1"/>
    <col min="2849" max="2858" width="3.7109375" style="4" customWidth="1"/>
    <col min="2859" max="2859" width="11" style="4" customWidth="1"/>
    <col min="2860" max="2862" width="8.85546875" style="4"/>
    <col min="2863" max="2863" width="21" style="4" customWidth="1"/>
    <col min="2864" max="2864" width="24.42578125" style="4" customWidth="1"/>
    <col min="2865" max="2865" width="15.28515625" style="4" customWidth="1"/>
    <col min="2866" max="2866" width="10.5703125" style="4" customWidth="1"/>
    <col min="2867" max="2867" width="11.28515625" style="4" customWidth="1"/>
    <col min="2868" max="2868" width="25" style="4" customWidth="1"/>
    <col min="2869" max="2869" width="6" style="4" customWidth="1"/>
    <col min="2870" max="3073" width="8.85546875" style="4"/>
    <col min="3074" max="3074" width="3.7109375" style="4" customWidth="1"/>
    <col min="3075" max="3075" width="2.28515625" style="4" customWidth="1"/>
    <col min="3076" max="3077" width="3.7109375" style="4" customWidth="1"/>
    <col min="3078" max="3078" width="2.28515625" style="4" customWidth="1"/>
    <col min="3079" max="3080" width="3.7109375" style="4" customWidth="1"/>
    <col min="3081" max="3081" width="2.28515625" style="4" customWidth="1"/>
    <col min="3082" max="3083" width="3.7109375" style="4" customWidth="1"/>
    <col min="3084" max="3084" width="2.28515625" style="4" customWidth="1"/>
    <col min="3085" max="3086" width="3.7109375" style="4" customWidth="1"/>
    <col min="3087" max="3087" width="2.28515625" style="4" customWidth="1"/>
    <col min="3088" max="3089" width="3.7109375" style="4" customWidth="1"/>
    <col min="3090" max="3090" width="2.28515625" style="4" customWidth="1"/>
    <col min="3091" max="3092" width="3.7109375" style="4" customWidth="1"/>
    <col min="3093" max="3093" width="2.28515625" style="4" customWidth="1"/>
    <col min="3094" max="3095" width="3.7109375" style="4" customWidth="1"/>
    <col min="3096" max="3096" width="2.28515625" style="4" customWidth="1"/>
    <col min="3097" max="3098" width="3.7109375" style="4" customWidth="1"/>
    <col min="3099" max="3099" width="2.28515625" style="4" customWidth="1"/>
    <col min="3100" max="3101" width="3.7109375" style="4" customWidth="1"/>
    <col min="3102" max="3102" width="2.28515625" style="4" customWidth="1"/>
    <col min="3103" max="3103" width="3.7109375" style="4" customWidth="1"/>
    <col min="3104" max="3104" width="9.7109375" style="4" customWidth="1"/>
    <col min="3105" max="3114" width="3.7109375" style="4" customWidth="1"/>
    <col min="3115" max="3115" width="11" style="4" customWidth="1"/>
    <col min="3116" max="3118" width="8.85546875" style="4"/>
    <col min="3119" max="3119" width="21" style="4" customWidth="1"/>
    <col min="3120" max="3120" width="24.42578125" style="4" customWidth="1"/>
    <col min="3121" max="3121" width="15.28515625" style="4" customWidth="1"/>
    <col min="3122" max="3122" width="10.5703125" style="4" customWidth="1"/>
    <col min="3123" max="3123" width="11.28515625" style="4" customWidth="1"/>
    <col min="3124" max="3124" width="25" style="4" customWidth="1"/>
    <col min="3125" max="3125" width="6" style="4" customWidth="1"/>
    <col min="3126" max="3329" width="8.85546875" style="4"/>
    <col min="3330" max="3330" width="3.7109375" style="4" customWidth="1"/>
    <col min="3331" max="3331" width="2.28515625" style="4" customWidth="1"/>
    <col min="3332" max="3333" width="3.7109375" style="4" customWidth="1"/>
    <col min="3334" max="3334" width="2.28515625" style="4" customWidth="1"/>
    <col min="3335" max="3336" width="3.7109375" style="4" customWidth="1"/>
    <col min="3337" max="3337" width="2.28515625" style="4" customWidth="1"/>
    <col min="3338" max="3339" width="3.7109375" style="4" customWidth="1"/>
    <col min="3340" max="3340" width="2.28515625" style="4" customWidth="1"/>
    <col min="3341" max="3342" width="3.7109375" style="4" customWidth="1"/>
    <col min="3343" max="3343" width="2.28515625" style="4" customWidth="1"/>
    <col min="3344" max="3345" width="3.7109375" style="4" customWidth="1"/>
    <col min="3346" max="3346" width="2.28515625" style="4" customWidth="1"/>
    <col min="3347" max="3348" width="3.7109375" style="4" customWidth="1"/>
    <col min="3349" max="3349" width="2.28515625" style="4" customWidth="1"/>
    <col min="3350" max="3351" width="3.7109375" style="4" customWidth="1"/>
    <col min="3352" max="3352" width="2.28515625" style="4" customWidth="1"/>
    <col min="3353" max="3354" width="3.7109375" style="4" customWidth="1"/>
    <col min="3355" max="3355" width="2.28515625" style="4" customWidth="1"/>
    <col min="3356" max="3357" width="3.7109375" style="4" customWidth="1"/>
    <col min="3358" max="3358" width="2.28515625" style="4" customWidth="1"/>
    <col min="3359" max="3359" width="3.7109375" style="4" customWidth="1"/>
    <col min="3360" max="3360" width="9.7109375" style="4" customWidth="1"/>
    <col min="3361" max="3370" width="3.7109375" style="4" customWidth="1"/>
    <col min="3371" max="3371" width="11" style="4" customWidth="1"/>
    <col min="3372" max="3374" width="8.85546875" style="4"/>
    <col min="3375" max="3375" width="21" style="4" customWidth="1"/>
    <col min="3376" max="3376" width="24.42578125" style="4" customWidth="1"/>
    <col min="3377" max="3377" width="15.28515625" style="4" customWidth="1"/>
    <col min="3378" max="3378" width="10.5703125" style="4" customWidth="1"/>
    <col min="3379" max="3379" width="11.28515625" style="4" customWidth="1"/>
    <col min="3380" max="3380" width="25" style="4" customWidth="1"/>
    <col min="3381" max="3381" width="6" style="4" customWidth="1"/>
    <col min="3382" max="3585" width="8.85546875" style="4"/>
    <col min="3586" max="3586" width="3.7109375" style="4" customWidth="1"/>
    <col min="3587" max="3587" width="2.28515625" style="4" customWidth="1"/>
    <col min="3588" max="3589" width="3.7109375" style="4" customWidth="1"/>
    <col min="3590" max="3590" width="2.28515625" style="4" customWidth="1"/>
    <col min="3591" max="3592" width="3.7109375" style="4" customWidth="1"/>
    <col min="3593" max="3593" width="2.28515625" style="4" customWidth="1"/>
    <col min="3594" max="3595" width="3.7109375" style="4" customWidth="1"/>
    <col min="3596" max="3596" width="2.28515625" style="4" customWidth="1"/>
    <col min="3597" max="3598" width="3.7109375" style="4" customWidth="1"/>
    <col min="3599" max="3599" width="2.28515625" style="4" customWidth="1"/>
    <col min="3600" max="3601" width="3.7109375" style="4" customWidth="1"/>
    <col min="3602" max="3602" width="2.28515625" style="4" customWidth="1"/>
    <col min="3603" max="3604" width="3.7109375" style="4" customWidth="1"/>
    <col min="3605" max="3605" width="2.28515625" style="4" customWidth="1"/>
    <col min="3606" max="3607" width="3.7109375" style="4" customWidth="1"/>
    <col min="3608" max="3608" width="2.28515625" style="4" customWidth="1"/>
    <col min="3609" max="3610" width="3.7109375" style="4" customWidth="1"/>
    <col min="3611" max="3611" width="2.28515625" style="4" customWidth="1"/>
    <col min="3612" max="3613" width="3.7109375" style="4" customWidth="1"/>
    <col min="3614" max="3614" width="2.28515625" style="4" customWidth="1"/>
    <col min="3615" max="3615" width="3.7109375" style="4" customWidth="1"/>
    <col min="3616" max="3616" width="9.7109375" style="4" customWidth="1"/>
    <col min="3617" max="3626" width="3.7109375" style="4" customWidth="1"/>
    <col min="3627" max="3627" width="11" style="4" customWidth="1"/>
    <col min="3628" max="3630" width="8.85546875" style="4"/>
    <col min="3631" max="3631" width="21" style="4" customWidth="1"/>
    <col min="3632" max="3632" width="24.42578125" style="4" customWidth="1"/>
    <col min="3633" max="3633" width="15.28515625" style="4" customWidth="1"/>
    <col min="3634" max="3634" width="10.5703125" style="4" customWidth="1"/>
    <col min="3635" max="3635" width="11.28515625" style="4" customWidth="1"/>
    <col min="3636" max="3636" width="25" style="4" customWidth="1"/>
    <col min="3637" max="3637" width="6" style="4" customWidth="1"/>
    <col min="3638" max="3841" width="8.85546875" style="4"/>
    <col min="3842" max="3842" width="3.7109375" style="4" customWidth="1"/>
    <col min="3843" max="3843" width="2.28515625" style="4" customWidth="1"/>
    <col min="3844" max="3845" width="3.7109375" style="4" customWidth="1"/>
    <col min="3846" max="3846" width="2.28515625" style="4" customWidth="1"/>
    <col min="3847" max="3848" width="3.7109375" style="4" customWidth="1"/>
    <col min="3849" max="3849" width="2.28515625" style="4" customWidth="1"/>
    <col min="3850" max="3851" width="3.7109375" style="4" customWidth="1"/>
    <col min="3852" max="3852" width="2.28515625" style="4" customWidth="1"/>
    <col min="3853" max="3854" width="3.7109375" style="4" customWidth="1"/>
    <col min="3855" max="3855" width="2.28515625" style="4" customWidth="1"/>
    <col min="3856" max="3857" width="3.7109375" style="4" customWidth="1"/>
    <col min="3858" max="3858" width="2.28515625" style="4" customWidth="1"/>
    <col min="3859" max="3860" width="3.7109375" style="4" customWidth="1"/>
    <col min="3861" max="3861" width="2.28515625" style="4" customWidth="1"/>
    <col min="3862" max="3863" width="3.7109375" style="4" customWidth="1"/>
    <col min="3864" max="3864" width="2.28515625" style="4" customWidth="1"/>
    <col min="3865" max="3866" width="3.7109375" style="4" customWidth="1"/>
    <col min="3867" max="3867" width="2.28515625" style="4" customWidth="1"/>
    <col min="3868" max="3869" width="3.7109375" style="4" customWidth="1"/>
    <col min="3870" max="3870" width="2.28515625" style="4" customWidth="1"/>
    <col min="3871" max="3871" width="3.7109375" style="4" customWidth="1"/>
    <col min="3872" max="3872" width="9.7109375" style="4" customWidth="1"/>
    <col min="3873" max="3882" width="3.7109375" style="4" customWidth="1"/>
    <col min="3883" max="3883" width="11" style="4" customWidth="1"/>
    <col min="3884" max="3886" width="8.85546875" style="4"/>
    <col min="3887" max="3887" width="21" style="4" customWidth="1"/>
    <col min="3888" max="3888" width="24.42578125" style="4" customWidth="1"/>
    <col min="3889" max="3889" width="15.28515625" style="4" customWidth="1"/>
    <col min="3890" max="3890" width="10.5703125" style="4" customWidth="1"/>
    <col min="3891" max="3891" width="11.28515625" style="4" customWidth="1"/>
    <col min="3892" max="3892" width="25" style="4" customWidth="1"/>
    <col min="3893" max="3893" width="6" style="4" customWidth="1"/>
    <col min="3894" max="4097" width="8.85546875" style="4"/>
    <col min="4098" max="4098" width="3.7109375" style="4" customWidth="1"/>
    <col min="4099" max="4099" width="2.28515625" style="4" customWidth="1"/>
    <col min="4100" max="4101" width="3.7109375" style="4" customWidth="1"/>
    <col min="4102" max="4102" width="2.28515625" style="4" customWidth="1"/>
    <col min="4103" max="4104" width="3.7109375" style="4" customWidth="1"/>
    <col min="4105" max="4105" width="2.28515625" style="4" customWidth="1"/>
    <col min="4106" max="4107" width="3.7109375" style="4" customWidth="1"/>
    <col min="4108" max="4108" width="2.28515625" style="4" customWidth="1"/>
    <col min="4109" max="4110" width="3.7109375" style="4" customWidth="1"/>
    <col min="4111" max="4111" width="2.28515625" style="4" customWidth="1"/>
    <col min="4112" max="4113" width="3.7109375" style="4" customWidth="1"/>
    <col min="4114" max="4114" width="2.28515625" style="4" customWidth="1"/>
    <col min="4115" max="4116" width="3.7109375" style="4" customWidth="1"/>
    <col min="4117" max="4117" width="2.28515625" style="4" customWidth="1"/>
    <col min="4118" max="4119" width="3.7109375" style="4" customWidth="1"/>
    <col min="4120" max="4120" width="2.28515625" style="4" customWidth="1"/>
    <col min="4121" max="4122" width="3.7109375" style="4" customWidth="1"/>
    <col min="4123" max="4123" width="2.28515625" style="4" customWidth="1"/>
    <col min="4124" max="4125" width="3.7109375" style="4" customWidth="1"/>
    <col min="4126" max="4126" width="2.28515625" style="4" customWidth="1"/>
    <col min="4127" max="4127" width="3.7109375" style="4" customWidth="1"/>
    <col min="4128" max="4128" width="9.7109375" style="4" customWidth="1"/>
    <col min="4129" max="4138" width="3.7109375" style="4" customWidth="1"/>
    <col min="4139" max="4139" width="11" style="4" customWidth="1"/>
    <col min="4140" max="4142" width="8.85546875" style="4"/>
    <col min="4143" max="4143" width="21" style="4" customWidth="1"/>
    <col min="4144" max="4144" width="24.42578125" style="4" customWidth="1"/>
    <col min="4145" max="4145" width="15.28515625" style="4" customWidth="1"/>
    <col min="4146" max="4146" width="10.5703125" style="4" customWidth="1"/>
    <col min="4147" max="4147" width="11.28515625" style="4" customWidth="1"/>
    <col min="4148" max="4148" width="25" style="4" customWidth="1"/>
    <col min="4149" max="4149" width="6" style="4" customWidth="1"/>
    <col min="4150" max="4353" width="8.85546875" style="4"/>
    <col min="4354" max="4354" width="3.7109375" style="4" customWidth="1"/>
    <col min="4355" max="4355" width="2.28515625" style="4" customWidth="1"/>
    <col min="4356" max="4357" width="3.7109375" style="4" customWidth="1"/>
    <col min="4358" max="4358" width="2.28515625" style="4" customWidth="1"/>
    <col min="4359" max="4360" width="3.7109375" style="4" customWidth="1"/>
    <col min="4361" max="4361" width="2.28515625" style="4" customWidth="1"/>
    <col min="4362" max="4363" width="3.7109375" style="4" customWidth="1"/>
    <col min="4364" max="4364" width="2.28515625" style="4" customWidth="1"/>
    <col min="4365" max="4366" width="3.7109375" style="4" customWidth="1"/>
    <col min="4367" max="4367" width="2.28515625" style="4" customWidth="1"/>
    <col min="4368" max="4369" width="3.7109375" style="4" customWidth="1"/>
    <col min="4370" max="4370" width="2.28515625" style="4" customWidth="1"/>
    <col min="4371" max="4372" width="3.7109375" style="4" customWidth="1"/>
    <col min="4373" max="4373" width="2.28515625" style="4" customWidth="1"/>
    <col min="4374" max="4375" width="3.7109375" style="4" customWidth="1"/>
    <col min="4376" max="4376" width="2.28515625" style="4" customWidth="1"/>
    <col min="4377" max="4378" width="3.7109375" style="4" customWidth="1"/>
    <col min="4379" max="4379" width="2.28515625" style="4" customWidth="1"/>
    <col min="4380" max="4381" width="3.7109375" style="4" customWidth="1"/>
    <col min="4382" max="4382" width="2.28515625" style="4" customWidth="1"/>
    <col min="4383" max="4383" width="3.7109375" style="4" customWidth="1"/>
    <col min="4384" max="4384" width="9.7109375" style="4" customWidth="1"/>
    <col min="4385" max="4394" width="3.7109375" style="4" customWidth="1"/>
    <col min="4395" max="4395" width="11" style="4" customWidth="1"/>
    <col min="4396" max="4398" width="8.85546875" style="4"/>
    <col min="4399" max="4399" width="21" style="4" customWidth="1"/>
    <col min="4400" max="4400" width="24.42578125" style="4" customWidth="1"/>
    <col min="4401" max="4401" width="15.28515625" style="4" customWidth="1"/>
    <col min="4402" max="4402" width="10.5703125" style="4" customWidth="1"/>
    <col min="4403" max="4403" width="11.28515625" style="4" customWidth="1"/>
    <col min="4404" max="4404" width="25" style="4" customWidth="1"/>
    <col min="4405" max="4405" width="6" style="4" customWidth="1"/>
    <col min="4406" max="4609" width="8.85546875" style="4"/>
    <col min="4610" max="4610" width="3.7109375" style="4" customWidth="1"/>
    <col min="4611" max="4611" width="2.28515625" style="4" customWidth="1"/>
    <col min="4612" max="4613" width="3.7109375" style="4" customWidth="1"/>
    <col min="4614" max="4614" width="2.28515625" style="4" customWidth="1"/>
    <col min="4615" max="4616" width="3.7109375" style="4" customWidth="1"/>
    <col min="4617" max="4617" width="2.28515625" style="4" customWidth="1"/>
    <col min="4618" max="4619" width="3.7109375" style="4" customWidth="1"/>
    <col min="4620" max="4620" width="2.28515625" style="4" customWidth="1"/>
    <col min="4621" max="4622" width="3.7109375" style="4" customWidth="1"/>
    <col min="4623" max="4623" width="2.28515625" style="4" customWidth="1"/>
    <col min="4624" max="4625" width="3.7109375" style="4" customWidth="1"/>
    <col min="4626" max="4626" width="2.28515625" style="4" customWidth="1"/>
    <col min="4627" max="4628" width="3.7109375" style="4" customWidth="1"/>
    <col min="4629" max="4629" width="2.28515625" style="4" customWidth="1"/>
    <col min="4630" max="4631" width="3.7109375" style="4" customWidth="1"/>
    <col min="4632" max="4632" width="2.28515625" style="4" customWidth="1"/>
    <col min="4633" max="4634" width="3.7109375" style="4" customWidth="1"/>
    <col min="4635" max="4635" width="2.28515625" style="4" customWidth="1"/>
    <col min="4636" max="4637" width="3.7109375" style="4" customWidth="1"/>
    <col min="4638" max="4638" width="2.28515625" style="4" customWidth="1"/>
    <col min="4639" max="4639" width="3.7109375" style="4" customWidth="1"/>
    <col min="4640" max="4640" width="9.7109375" style="4" customWidth="1"/>
    <col min="4641" max="4650" width="3.7109375" style="4" customWidth="1"/>
    <col min="4651" max="4651" width="11" style="4" customWidth="1"/>
    <col min="4652" max="4654" width="8.85546875" style="4"/>
    <col min="4655" max="4655" width="21" style="4" customWidth="1"/>
    <col min="4656" max="4656" width="24.42578125" style="4" customWidth="1"/>
    <col min="4657" max="4657" width="15.28515625" style="4" customWidth="1"/>
    <col min="4658" max="4658" width="10.5703125" style="4" customWidth="1"/>
    <col min="4659" max="4659" width="11.28515625" style="4" customWidth="1"/>
    <col min="4660" max="4660" width="25" style="4" customWidth="1"/>
    <col min="4661" max="4661" width="6" style="4" customWidth="1"/>
    <col min="4662" max="4865" width="8.85546875" style="4"/>
    <col min="4866" max="4866" width="3.7109375" style="4" customWidth="1"/>
    <col min="4867" max="4867" width="2.28515625" style="4" customWidth="1"/>
    <col min="4868" max="4869" width="3.7109375" style="4" customWidth="1"/>
    <col min="4870" max="4870" width="2.28515625" style="4" customWidth="1"/>
    <col min="4871" max="4872" width="3.7109375" style="4" customWidth="1"/>
    <col min="4873" max="4873" width="2.28515625" style="4" customWidth="1"/>
    <col min="4874" max="4875" width="3.7109375" style="4" customWidth="1"/>
    <col min="4876" max="4876" width="2.28515625" style="4" customWidth="1"/>
    <col min="4877" max="4878" width="3.7109375" style="4" customWidth="1"/>
    <col min="4879" max="4879" width="2.28515625" style="4" customWidth="1"/>
    <col min="4880" max="4881" width="3.7109375" style="4" customWidth="1"/>
    <col min="4882" max="4882" width="2.28515625" style="4" customWidth="1"/>
    <col min="4883" max="4884" width="3.7109375" style="4" customWidth="1"/>
    <col min="4885" max="4885" width="2.28515625" style="4" customWidth="1"/>
    <col min="4886" max="4887" width="3.7109375" style="4" customWidth="1"/>
    <col min="4888" max="4888" width="2.28515625" style="4" customWidth="1"/>
    <col min="4889" max="4890" width="3.7109375" style="4" customWidth="1"/>
    <col min="4891" max="4891" width="2.28515625" style="4" customWidth="1"/>
    <col min="4892" max="4893" width="3.7109375" style="4" customWidth="1"/>
    <col min="4894" max="4894" width="2.28515625" style="4" customWidth="1"/>
    <col min="4895" max="4895" width="3.7109375" style="4" customWidth="1"/>
    <col min="4896" max="4896" width="9.7109375" style="4" customWidth="1"/>
    <col min="4897" max="4906" width="3.7109375" style="4" customWidth="1"/>
    <col min="4907" max="4907" width="11" style="4" customWidth="1"/>
    <col min="4908" max="4910" width="8.85546875" style="4"/>
    <col min="4911" max="4911" width="21" style="4" customWidth="1"/>
    <col min="4912" max="4912" width="24.42578125" style="4" customWidth="1"/>
    <col min="4913" max="4913" width="15.28515625" style="4" customWidth="1"/>
    <col min="4914" max="4914" width="10.5703125" style="4" customWidth="1"/>
    <col min="4915" max="4915" width="11.28515625" style="4" customWidth="1"/>
    <col min="4916" max="4916" width="25" style="4" customWidth="1"/>
    <col min="4917" max="4917" width="6" style="4" customWidth="1"/>
    <col min="4918" max="5121" width="8.85546875" style="4"/>
    <col min="5122" max="5122" width="3.7109375" style="4" customWidth="1"/>
    <col min="5123" max="5123" width="2.28515625" style="4" customWidth="1"/>
    <col min="5124" max="5125" width="3.7109375" style="4" customWidth="1"/>
    <col min="5126" max="5126" width="2.28515625" style="4" customWidth="1"/>
    <col min="5127" max="5128" width="3.7109375" style="4" customWidth="1"/>
    <col min="5129" max="5129" width="2.28515625" style="4" customWidth="1"/>
    <col min="5130" max="5131" width="3.7109375" style="4" customWidth="1"/>
    <col min="5132" max="5132" width="2.28515625" style="4" customWidth="1"/>
    <col min="5133" max="5134" width="3.7109375" style="4" customWidth="1"/>
    <col min="5135" max="5135" width="2.28515625" style="4" customWidth="1"/>
    <col min="5136" max="5137" width="3.7109375" style="4" customWidth="1"/>
    <col min="5138" max="5138" width="2.28515625" style="4" customWidth="1"/>
    <col min="5139" max="5140" width="3.7109375" style="4" customWidth="1"/>
    <col min="5141" max="5141" width="2.28515625" style="4" customWidth="1"/>
    <col min="5142" max="5143" width="3.7109375" style="4" customWidth="1"/>
    <col min="5144" max="5144" width="2.28515625" style="4" customWidth="1"/>
    <col min="5145" max="5146" width="3.7109375" style="4" customWidth="1"/>
    <col min="5147" max="5147" width="2.28515625" style="4" customWidth="1"/>
    <col min="5148" max="5149" width="3.7109375" style="4" customWidth="1"/>
    <col min="5150" max="5150" width="2.28515625" style="4" customWidth="1"/>
    <col min="5151" max="5151" width="3.7109375" style="4" customWidth="1"/>
    <col min="5152" max="5152" width="9.7109375" style="4" customWidth="1"/>
    <col min="5153" max="5162" width="3.7109375" style="4" customWidth="1"/>
    <col min="5163" max="5163" width="11" style="4" customWidth="1"/>
    <col min="5164" max="5166" width="8.85546875" style="4"/>
    <col min="5167" max="5167" width="21" style="4" customWidth="1"/>
    <col min="5168" max="5168" width="24.42578125" style="4" customWidth="1"/>
    <col min="5169" max="5169" width="15.28515625" style="4" customWidth="1"/>
    <col min="5170" max="5170" width="10.5703125" style="4" customWidth="1"/>
    <col min="5171" max="5171" width="11.28515625" style="4" customWidth="1"/>
    <col min="5172" max="5172" width="25" style="4" customWidth="1"/>
    <col min="5173" max="5173" width="6" style="4" customWidth="1"/>
    <col min="5174" max="5377" width="8.85546875" style="4"/>
    <col min="5378" max="5378" width="3.7109375" style="4" customWidth="1"/>
    <col min="5379" max="5379" width="2.28515625" style="4" customWidth="1"/>
    <col min="5380" max="5381" width="3.7109375" style="4" customWidth="1"/>
    <col min="5382" max="5382" width="2.28515625" style="4" customWidth="1"/>
    <col min="5383" max="5384" width="3.7109375" style="4" customWidth="1"/>
    <col min="5385" max="5385" width="2.28515625" style="4" customWidth="1"/>
    <col min="5386" max="5387" width="3.7109375" style="4" customWidth="1"/>
    <col min="5388" max="5388" width="2.28515625" style="4" customWidth="1"/>
    <col min="5389" max="5390" width="3.7109375" style="4" customWidth="1"/>
    <col min="5391" max="5391" width="2.28515625" style="4" customWidth="1"/>
    <col min="5392" max="5393" width="3.7109375" style="4" customWidth="1"/>
    <col min="5394" max="5394" width="2.28515625" style="4" customWidth="1"/>
    <col min="5395" max="5396" width="3.7109375" style="4" customWidth="1"/>
    <col min="5397" max="5397" width="2.28515625" style="4" customWidth="1"/>
    <col min="5398" max="5399" width="3.7109375" style="4" customWidth="1"/>
    <col min="5400" max="5400" width="2.28515625" style="4" customWidth="1"/>
    <col min="5401" max="5402" width="3.7109375" style="4" customWidth="1"/>
    <col min="5403" max="5403" width="2.28515625" style="4" customWidth="1"/>
    <col min="5404" max="5405" width="3.7109375" style="4" customWidth="1"/>
    <col min="5406" max="5406" width="2.28515625" style="4" customWidth="1"/>
    <col min="5407" max="5407" width="3.7109375" style="4" customWidth="1"/>
    <col min="5408" max="5408" width="9.7109375" style="4" customWidth="1"/>
    <col min="5409" max="5418" width="3.7109375" style="4" customWidth="1"/>
    <col min="5419" max="5419" width="11" style="4" customWidth="1"/>
    <col min="5420" max="5422" width="8.85546875" style="4"/>
    <col min="5423" max="5423" width="21" style="4" customWidth="1"/>
    <col min="5424" max="5424" width="24.42578125" style="4" customWidth="1"/>
    <col min="5425" max="5425" width="15.28515625" style="4" customWidth="1"/>
    <col min="5426" max="5426" width="10.5703125" style="4" customWidth="1"/>
    <col min="5427" max="5427" width="11.28515625" style="4" customWidth="1"/>
    <col min="5428" max="5428" width="25" style="4" customWidth="1"/>
    <col min="5429" max="5429" width="6" style="4" customWidth="1"/>
    <col min="5430" max="5633" width="8.85546875" style="4"/>
    <col min="5634" max="5634" width="3.7109375" style="4" customWidth="1"/>
    <col min="5635" max="5635" width="2.28515625" style="4" customWidth="1"/>
    <col min="5636" max="5637" width="3.7109375" style="4" customWidth="1"/>
    <col min="5638" max="5638" width="2.28515625" style="4" customWidth="1"/>
    <col min="5639" max="5640" width="3.7109375" style="4" customWidth="1"/>
    <col min="5641" max="5641" width="2.28515625" style="4" customWidth="1"/>
    <col min="5642" max="5643" width="3.7109375" style="4" customWidth="1"/>
    <col min="5644" max="5644" width="2.28515625" style="4" customWidth="1"/>
    <col min="5645" max="5646" width="3.7109375" style="4" customWidth="1"/>
    <col min="5647" max="5647" width="2.28515625" style="4" customWidth="1"/>
    <col min="5648" max="5649" width="3.7109375" style="4" customWidth="1"/>
    <col min="5650" max="5650" width="2.28515625" style="4" customWidth="1"/>
    <col min="5651" max="5652" width="3.7109375" style="4" customWidth="1"/>
    <col min="5653" max="5653" width="2.28515625" style="4" customWidth="1"/>
    <col min="5654" max="5655" width="3.7109375" style="4" customWidth="1"/>
    <col min="5656" max="5656" width="2.28515625" style="4" customWidth="1"/>
    <col min="5657" max="5658" width="3.7109375" style="4" customWidth="1"/>
    <col min="5659" max="5659" width="2.28515625" style="4" customWidth="1"/>
    <col min="5660" max="5661" width="3.7109375" style="4" customWidth="1"/>
    <col min="5662" max="5662" width="2.28515625" style="4" customWidth="1"/>
    <col min="5663" max="5663" width="3.7109375" style="4" customWidth="1"/>
    <col min="5664" max="5664" width="9.7109375" style="4" customWidth="1"/>
    <col min="5665" max="5674" width="3.7109375" style="4" customWidth="1"/>
    <col min="5675" max="5675" width="11" style="4" customWidth="1"/>
    <col min="5676" max="5678" width="8.85546875" style="4"/>
    <col min="5679" max="5679" width="21" style="4" customWidth="1"/>
    <col min="5680" max="5680" width="24.42578125" style="4" customWidth="1"/>
    <col min="5681" max="5681" width="15.28515625" style="4" customWidth="1"/>
    <col min="5682" max="5682" width="10.5703125" style="4" customWidth="1"/>
    <col min="5683" max="5683" width="11.28515625" style="4" customWidth="1"/>
    <col min="5684" max="5684" width="25" style="4" customWidth="1"/>
    <col min="5685" max="5685" width="6" style="4" customWidth="1"/>
    <col min="5686" max="5889" width="8.85546875" style="4"/>
    <col min="5890" max="5890" width="3.7109375" style="4" customWidth="1"/>
    <col min="5891" max="5891" width="2.28515625" style="4" customWidth="1"/>
    <col min="5892" max="5893" width="3.7109375" style="4" customWidth="1"/>
    <col min="5894" max="5894" width="2.28515625" style="4" customWidth="1"/>
    <col min="5895" max="5896" width="3.7109375" style="4" customWidth="1"/>
    <col min="5897" max="5897" width="2.28515625" style="4" customWidth="1"/>
    <col min="5898" max="5899" width="3.7109375" style="4" customWidth="1"/>
    <col min="5900" max="5900" width="2.28515625" style="4" customWidth="1"/>
    <col min="5901" max="5902" width="3.7109375" style="4" customWidth="1"/>
    <col min="5903" max="5903" width="2.28515625" style="4" customWidth="1"/>
    <col min="5904" max="5905" width="3.7109375" style="4" customWidth="1"/>
    <col min="5906" max="5906" width="2.28515625" style="4" customWidth="1"/>
    <col min="5907" max="5908" width="3.7109375" style="4" customWidth="1"/>
    <col min="5909" max="5909" width="2.28515625" style="4" customWidth="1"/>
    <col min="5910" max="5911" width="3.7109375" style="4" customWidth="1"/>
    <col min="5912" max="5912" width="2.28515625" style="4" customWidth="1"/>
    <col min="5913" max="5914" width="3.7109375" style="4" customWidth="1"/>
    <col min="5915" max="5915" width="2.28515625" style="4" customWidth="1"/>
    <col min="5916" max="5917" width="3.7109375" style="4" customWidth="1"/>
    <col min="5918" max="5918" width="2.28515625" style="4" customWidth="1"/>
    <col min="5919" max="5919" width="3.7109375" style="4" customWidth="1"/>
    <col min="5920" max="5920" width="9.7109375" style="4" customWidth="1"/>
    <col min="5921" max="5930" width="3.7109375" style="4" customWidth="1"/>
    <col min="5931" max="5931" width="11" style="4" customWidth="1"/>
    <col min="5932" max="5934" width="8.85546875" style="4"/>
    <col min="5935" max="5935" width="21" style="4" customWidth="1"/>
    <col min="5936" max="5936" width="24.42578125" style="4" customWidth="1"/>
    <col min="5937" max="5937" width="15.28515625" style="4" customWidth="1"/>
    <col min="5938" max="5938" width="10.5703125" style="4" customWidth="1"/>
    <col min="5939" max="5939" width="11.28515625" style="4" customWidth="1"/>
    <col min="5940" max="5940" width="25" style="4" customWidth="1"/>
    <col min="5941" max="5941" width="6" style="4" customWidth="1"/>
    <col min="5942" max="6145" width="8.85546875" style="4"/>
    <col min="6146" max="6146" width="3.7109375" style="4" customWidth="1"/>
    <col min="6147" max="6147" width="2.28515625" style="4" customWidth="1"/>
    <col min="6148" max="6149" width="3.7109375" style="4" customWidth="1"/>
    <col min="6150" max="6150" width="2.28515625" style="4" customWidth="1"/>
    <col min="6151" max="6152" width="3.7109375" style="4" customWidth="1"/>
    <col min="6153" max="6153" width="2.28515625" style="4" customWidth="1"/>
    <col min="6154" max="6155" width="3.7109375" style="4" customWidth="1"/>
    <col min="6156" max="6156" width="2.28515625" style="4" customWidth="1"/>
    <col min="6157" max="6158" width="3.7109375" style="4" customWidth="1"/>
    <col min="6159" max="6159" width="2.28515625" style="4" customWidth="1"/>
    <col min="6160" max="6161" width="3.7109375" style="4" customWidth="1"/>
    <col min="6162" max="6162" width="2.28515625" style="4" customWidth="1"/>
    <col min="6163" max="6164" width="3.7109375" style="4" customWidth="1"/>
    <col min="6165" max="6165" width="2.28515625" style="4" customWidth="1"/>
    <col min="6166" max="6167" width="3.7109375" style="4" customWidth="1"/>
    <col min="6168" max="6168" width="2.28515625" style="4" customWidth="1"/>
    <col min="6169" max="6170" width="3.7109375" style="4" customWidth="1"/>
    <col min="6171" max="6171" width="2.28515625" style="4" customWidth="1"/>
    <col min="6172" max="6173" width="3.7109375" style="4" customWidth="1"/>
    <col min="6174" max="6174" width="2.28515625" style="4" customWidth="1"/>
    <col min="6175" max="6175" width="3.7109375" style="4" customWidth="1"/>
    <col min="6176" max="6176" width="9.7109375" style="4" customWidth="1"/>
    <col min="6177" max="6186" width="3.7109375" style="4" customWidth="1"/>
    <col min="6187" max="6187" width="11" style="4" customWidth="1"/>
    <col min="6188" max="6190" width="8.85546875" style="4"/>
    <col min="6191" max="6191" width="21" style="4" customWidth="1"/>
    <col min="6192" max="6192" width="24.42578125" style="4" customWidth="1"/>
    <col min="6193" max="6193" width="15.28515625" style="4" customWidth="1"/>
    <col min="6194" max="6194" width="10.5703125" style="4" customWidth="1"/>
    <col min="6195" max="6195" width="11.28515625" style="4" customWidth="1"/>
    <col min="6196" max="6196" width="25" style="4" customWidth="1"/>
    <col min="6197" max="6197" width="6" style="4" customWidth="1"/>
    <col min="6198" max="6401" width="8.85546875" style="4"/>
    <col min="6402" max="6402" width="3.7109375" style="4" customWidth="1"/>
    <col min="6403" max="6403" width="2.28515625" style="4" customWidth="1"/>
    <col min="6404" max="6405" width="3.7109375" style="4" customWidth="1"/>
    <col min="6406" max="6406" width="2.28515625" style="4" customWidth="1"/>
    <col min="6407" max="6408" width="3.7109375" style="4" customWidth="1"/>
    <col min="6409" max="6409" width="2.28515625" style="4" customWidth="1"/>
    <col min="6410" max="6411" width="3.7109375" style="4" customWidth="1"/>
    <col min="6412" max="6412" width="2.28515625" style="4" customWidth="1"/>
    <col min="6413" max="6414" width="3.7109375" style="4" customWidth="1"/>
    <col min="6415" max="6415" width="2.28515625" style="4" customWidth="1"/>
    <col min="6416" max="6417" width="3.7109375" style="4" customWidth="1"/>
    <col min="6418" max="6418" width="2.28515625" style="4" customWidth="1"/>
    <col min="6419" max="6420" width="3.7109375" style="4" customWidth="1"/>
    <col min="6421" max="6421" width="2.28515625" style="4" customWidth="1"/>
    <col min="6422" max="6423" width="3.7109375" style="4" customWidth="1"/>
    <col min="6424" max="6424" width="2.28515625" style="4" customWidth="1"/>
    <col min="6425" max="6426" width="3.7109375" style="4" customWidth="1"/>
    <col min="6427" max="6427" width="2.28515625" style="4" customWidth="1"/>
    <col min="6428" max="6429" width="3.7109375" style="4" customWidth="1"/>
    <col min="6430" max="6430" width="2.28515625" style="4" customWidth="1"/>
    <col min="6431" max="6431" width="3.7109375" style="4" customWidth="1"/>
    <col min="6432" max="6432" width="9.7109375" style="4" customWidth="1"/>
    <col min="6433" max="6442" width="3.7109375" style="4" customWidth="1"/>
    <col min="6443" max="6443" width="11" style="4" customWidth="1"/>
    <col min="6444" max="6446" width="8.85546875" style="4"/>
    <col min="6447" max="6447" width="21" style="4" customWidth="1"/>
    <col min="6448" max="6448" width="24.42578125" style="4" customWidth="1"/>
    <col min="6449" max="6449" width="15.28515625" style="4" customWidth="1"/>
    <col min="6450" max="6450" width="10.5703125" style="4" customWidth="1"/>
    <col min="6451" max="6451" width="11.28515625" style="4" customWidth="1"/>
    <col min="6452" max="6452" width="25" style="4" customWidth="1"/>
    <col min="6453" max="6453" width="6" style="4" customWidth="1"/>
    <col min="6454" max="6657" width="8.85546875" style="4"/>
    <col min="6658" max="6658" width="3.7109375" style="4" customWidth="1"/>
    <col min="6659" max="6659" width="2.28515625" style="4" customWidth="1"/>
    <col min="6660" max="6661" width="3.7109375" style="4" customWidth="1"/>
    <col min="6662" max="6662" width="2.28515625" style="4" customWidth="1"/>
    <col min="6663" max="6664" width="3.7109375" style="4" customWidth="1"/>
    <col min="6665" max="6665" width="2.28515625" style="4" customWidth="1"/>
    <col min="6666" max="6667" width="3.7109375" style="4" customWidth="1"/>
    <col min="6668" max="6668" width="2.28515625" style="4" customWidth="1"/>
    <col min="6669" max="6670" width="3.7109375" style="4" customWidth="1"/>
    <col min="6671" max="6671" width="2.28515625" style="4" customWidth="1"/>
    <col min="6672" max="6673" width="3.7109375" style="4" customWidth="1"/>
    <col min="6674" max="6674" width="2.28515625" style="4" customWidth="1"/>
    <col min="6675" max="6676" width="3.7109375" style="4" customWidth="1"/>
    <col min="6677" max="6677" width="2.28515625" style="4" customWidth="1"/>
    <col min="6678" max="6679" width="3.7109375" style="4" customWidth="1"/>
    <col min="6680" max="6680" width="2.28515625" style="4" customWidth="1"/>
    <col min="6681" max="6682" width="3.7109375" style="4" customWidth="1"/>
    <col min="6683" max="6683" width="2.28515625" style="4" customWidth="1"/>
    <col min="6684" max="6685" width="3.7109375" style="4" customWidth="1"/>
    <col min="6686" max="6686" width="2.28515625" style="4" customWidth="1"/>
    <col min="6687" max="6687" width="3.7109375" style="4" customWidth="1"/>
    <col min="6688" max="6688" width="9.7109375" style="4" customWidth="1"/>
    <col min="6689" max="6698" width="3.7109375" style="4" customWidth="1"/>
    <col min="6699" max="6699" width="11" style="4" customWidth="1"/>
    <col min="6700" max="6702" width="8.85546875" style="4"/>
    <col min="6703" max="6703" width="21" style="4" customWidth="1"/>
    <col min="6704" max="6704" width="24.42578125" style="4" customWidth="1"/>
    <col min="6705" max="6705" width="15.28515625" style="4" customWidth="1"/>
    <col min="6706" max="6706" width="10.5703125" style="4" customWidth="1"/>
    <col min="6707" max="6707" width="11.28515625" style="4" customWidth="1"/>
    <col min="6708" max="6708" width="25" style="4" customWidth="1"/>
    <col min="6709" max="6709" width="6" style="4" customWidth="1"/>
    <col min="6710" max="6913" width="8.85546875" style="4"/>
    <col min="6914" max="6914" width="3.7109375" style="4" customWidth="1"/>
    <col min="6915" max="6915" width="2.28515625" style="4" customWidth="1"/>
    <col min="6916" max="6917" width="3.7109375" style="4" customWidth="1"/>
    <col min="6918" max="6918" width="2.28515625" style="4" customWidth="1"/>
    <col min="6919" max="6920" width="3.7109375" style="4" customWidth="1"/>
    <col min="6921" max="6921" width="2.28515625" style="4" customWidth="1"/>
    <col min="6922" max="6923" width="3.7109375" style="4" customWidth="1"/>
    <col min="6924" max="6924" width="2.28515625" style="4" customWidth="1"/>
    <col min="6925" max="6926" width="3.7109375" style="4" customWidth="1"/>
    <col min="6927" max="6927" width="2.28515625" style="4" customWidth="1"/>
    <col min="6928" max="6929" width="3.7109375" style="4" customWidth="1"/>
    <col min="6930" max="6930" width="2.28515625" style="4" customWidth="1"/>
    <col min="6931" max="6932" width="3.7109375" style="4" customWidth="1"/>
    <col min="6933" max="6933" width="2.28515625" style="4" customWidth="1"/>
    <col min="6934" max="6935" width="3.7109375" style="4" customWidth="1"/>
    <col min="6936" max="6936" width="2.28515625" style="4" customWidth="1"/>
    <col min="6937" max="6938" width="3.7109375" style="4" customWidth="1"/>
    <col min="6939" max="6939" width="2.28515625" style="4" customWidth="1"/>
    <col min="6940" max="6941" width="3.7109375" style="4" customWidth="1"/>
    <col min="6942" max="6942" width="2.28515625" style="4" customWidth="1"/>
    <col min="6943" max="6943" width="3.7109375" style="4" customWidth="1"/>
    <col min="6944" max="6944" width="9.7109375" style="4" customWidth="1"/>
    <col min="6945" max="6954" width="3.7109375" style="4" customWidth="1"/>
    <col min="6955" max="6955" width="11" style="4" customWidth="1"/>
    <col min="6956" max="6958" width="8.85546875" style="4"/>
    <col min="6959" max="6959" width="21" style="4" customWidth="1"/>
    <col min="6960" max="6960" width="24.42578125" style="4" customWidth="1"/>
    <col min="6961" max="6961" width="15.28515625" style="4" customWidth="1"/>
    <col min="6962" max="6962" width="10.5703125" style="4" customWidth="1"/>
    <col min="6963" max="6963" width="11.28515625" style="4" customWidth="1"/>
    <col min="6964" max="6964" width="25" style="4" customWidth="1"/>
    <col min="6965" max="6965" width="6" style="4" customWidth="1"/>
    <col min="6966" max="7169" width="8.85546875" style="4"/>
    <col min="7170" max="7170" width="3.7109375" style="4" customWidth="1"/>
    <col min="7171" max="7171" width="2.28515625" style="4" customWidth="1"/>
    <col min="7172" max="7173" width="3.7109375" style="4" customWidth="1"/>
    <col min="7174" max="7174" width="2.28515625" style="4" customWidth="1"/>
    <col min="7175" max="7176" width="3.7109375" style="4" customWidth="1"/>
    <col min="7177" max="7177" width="2.28515625" style="4" customWidth="1"/>
    <col min="7178" max="7179" width="3.7109375" style="4" customWidth="1"/>
    <col min="7180" max="7180" width="2.28515625" style="4" customWidth="1"/>
    <col min="7181" max="7182" width="3.7109375" style="4" customWidth="1"/>
    <col min="7183" max="7183" width="2.28515625" style="4" customWidth="1"/>
    <col min="7184" max="7185" width="3.7109375" style="4" customWidth="1"/>
    <col min="7186" max="7186" width="2.28515625" style="4" customWidth="1"/>
    <col min="7187" max="7188" width="3.7109375" style="4" customWidth="1"/>
    <col min="7189" max="7189" width="2.28515625" style="4" customWidth="1"/>
    <col min="7190" max="7191" width="3.7109375" style="4" customWidth="1"/>
    <col min="7192" max="7192" width="2.28515625" style="4" customWidth="1"/>
    <col min="7193" max="7194" width="3.7109375" style="4" customWidth="1"/>
    <col min="7195" max="7195" width="2.28515625" style="4" customWidth="1"/>
    <col min="7196" max="7197" width="3.7109375" style="4" customWidth="1"/>
    <col min="7198" max="7198" width="2.28515625" style="4" customWidth="1"/>
    <col min="7199" max="7199" width="3.7109375" style="4" customWidth="1"/>
    <col min="7200" max="7200" width="9.7109375" style="4" customWidth="1"/>
    <col min="7201" max="7210" width="3.7109375" style="4" customWidth="1"/>
    <col min="7211" max="7211" width="11" style="4" customWidth="1"/>
    <col min="7212" max="7214" width="8.85546875" style="4"/>
    <col min="7215" max="7215" width="21" style="4" customWidth="1"/>
    <col min="7216" max="7216" width="24.42578125" style="4" customWidth="1"/>
    <col min="7217" max="7217" width="15.28515625" style="4" customWidth="1"/>
    <col min="7218" max="7218" width="10.5703125" style="4" customWidth="1"/>
    <col min="7219" max="7219" width="11.28515625" style="4" customWidth="1"/>
    <col min="7220" max="7220" width="25" style="4" customWidth="1"/>
    <col min="7221" max="7221" width="6" style="4" customWidth="1"/>
    <col min="7222" max="7425" width="8.85546875" style="4"/>
    <col min="7426" max="7426" width="3.7109375" style="4" customWidth="1"/>
    <col min="7427" max="7427" width="2.28515625" style="4" customWidth="1"/>
    <col min="7428" max="7429" width="3.7109375" style="4" customWidth="1"/>
    <col min="7430" max="7430" width="2.28515625" style="4" customWidth="1"/>
    <col min="7431" max="7432" width="3.7109375" style="4" customWidth="1"/>
    <col min="7433" max="7433" width="2.28515625" style="4" customWidth="1"/>
    <col min="7434" max="7435" width="3.7109375" style="4" customWidth="1"/>
    <col min="7436" max="7436" width="2.28515625" style="4" customWidth="1"/>
    <col min="7437" max="7438" width="3.7109375" style="4" customWidth="1"/>
    <col min="7439" max="7439" width="2.28515625" style="4" customWidth="1"/>
    <col min="7440" max="7441" width="3.7109375" style="4" customWidth="1"/>
    <col min="7442" max="7442" width="2.28515625" style="4" customWidth="1"/>
    <col min="7443" max="7444" width="3.7109375" style="4" customWidth="1"/>
    <col min="7445" max="7445" width="2.28515625" style="4" customWidth="1"/>
    <col min="7446" max="7447" width="3.7109375" style="4" customWidth="1"/>
    <col min="7448" max="7448" width="2.28515625" style="4" customWidth="1"/>
    <col min="7449" max="7450" width="3.7109375" style="4" customWidth="1"/>
    <col min="7451" max="7451" width="2.28515625" style="4" customWidth="1"/>
    <col min="7452" max="7453" width="3.7109375" style="4" customWidth="1"/>
    <col min="7454" max="7454" width="2.28515625" style="4" customWidth="1"/>
    <col min="7455" max="7455" width="3.7109375" style="4" customWidth="1"/>
    <col min="7456" max="7456" width="9.7109375" style="4" customWidth="1"/>
    <col min="7457" max="7466" width="3.7109375" style="4" customWidth="1"/>
    <col min="7467" max="7467" width="11" style="4" customWidth="1"/>
    <col min="7468" max="7470" width="8.85546875" style="4"/>
    <col min="7471" max="7471" width="21" style="4" customWidth="1"/>
    <col min="7472" max="7472" width="24.42578125" style="4" customWidth="1"/>
    <col min="7473" max="7473" width="15.28515625" style="4" customWidth="1"/>
    <col min="7474" max="7474" width="10.5703125" style="4" customWidth="1"/>
    <col min="7475" max="7475" width="11.28515625" style="4" customWidth="1"/>
    <col min="7476" max="7476" width="25" style="4" customWidth="1"/>
    <col min="7477" max="7477" width="6" style="4" customWidth="1"/>
    <col min="7478" max="7681" width="8.85546875" style="4"/>
    <col min="7682" max="7682" width="3.7109375" style="4" customWidth="1"/>
    <col min="7683" max="7683" width="2.28515625" style="4" customWidth="1"/>
    <col min="7684" max="7685" width="3.7109375" style="4" customWidth="1"/>
    <col min="7686" max="7686" width="2.28515625" style="4" customWidth="1"/>
    <col min="7687" max="7688" width="3.7109375" style="4" customWidth="1"/>
    <col min="7689" max="7689" width="2.28515625" style="4" customWidth="1"/>
    <col min="7690" max="7691" width="3.7109375" style="4" customWidth="1"/>
    <col min="7692" max="7692" width="2.28515625" style="4" customWidth="1"/>
    <col min="7693" max="7694" width="3.7109375" style="4" customWidth="1"/>
    <col min="7695" max="7695" width="2.28515625" style="4" customWidth="1"/>
    <col min="7696" max="7697" width="3.7109375" style="4" customWidth="1"/>
    <col min="7698" max="7698" width="2.28515625" style="4" customWidth="1"/>
    <col min="7699" max="7700" width="3.7109375" style="4" customWidth="1"/>
    <col min="7701" max="7701" width="2.28515625" style="4" customWidth="1"/>
    <col min="7702" max="7703" width="3.7109375" style="4" customWidth="1"/>
    <col min="7704" max="7704" width="2.28515625" style="4" customWidth="1"/>
    <col min="7705" max="7706" width="3.7109375" style="4" customWidth="1"/>
    <col min="7707" max="7707" width="2.28515625" style="4" customWidth="1"/>
    <col min="7708" max="7709" width="3.7109375" style="4" customWidth="1"/>
    <col min="7710" max="7710" width="2.28515625" style="4" customWidth="1"/>
    <col min="7711" max="7711" width="3.7109375" style="4" customWidth="1"/>
    <col min="7712" max="7712" width="9.7109375" style="4" customWidth="1"/>
    <col min="7713" max="7722" width="3.7109375" style="4" customWidth="1"/>
    <col min="7723" max="7723" width="11" style="4" customWidth="1"/>
    <col min="7724" max="7726" width="8.85546875" style="4"/>
    <col min="7727" max="7727" width="21" style="4" customWidth="1"/>
    <col min="7728" max="7728" width="24.42578125" style="4" customWidth="1"/>
    <col min="7729" max="7729" width="15.28515625" style="4" customWidth="1"/>
    <col min="7730" max="7730" width="10.5703125" style="4" customWidth="1"/>
    <col min="7731" max="7731" width="11.28515625" style="4" customWidth="1"/>
    <col min="7732" max="7732" width="25" style="4" customWidth="1"/>
    <col min="7733" max="7733" width="6" style="4" customWidth="1"/>
    <col min="7734" max="7937" width="8.85546875" style="4"/>
    <col min="7938" max="7938" width="3.7109375" style="4" customWidth="1"/>
    <col min="7939" max="7939" width="2.28515625" style="4" customWidth="1"/>
    <col min="7940" max="7941" width="3.7109375" style="4" customWidth="1"/>
    <col min="7942" max="7942" width="2.28515625" style="4" customWidth="1"/>
    <col min="7943" max="7944" width="3.7109375" style="4" customWidth="1"/>
    <col min="7945" max="7945" width="2.28515625" style="4" customWidth="1"/>
    <col min="7946" max="7947" width="3.7109375" style="4" customWidth="1"/>
    <col min="7948" max="7948" width="2.28515625" style="4" customWidth="1"/>
    <col min="7949" max="7950" width="3.7109375" style="4" customWidth="1"/>
    <col min="7951" max="7951" width="2.28515625" style="4" customWidth="1"/>
    <col min="7952" max="7953" width="3.7109375" style="4" customWidth="1"/>
    <col min="7954" max="7954" width="2.28515625" style="4" customWidth="1"/>
    <col min="7955" max="7956" width="3.7109375" style="4" customWidth="1"/>
    <col min="7957" max="7957" width="2.28515625" style="4" customWidth="1"/>
    <col min="7958" max="7959" width="3.7109375" style="4" customWidth="1"/>
    <col min="7960" max="7960" width="2.28515625" style="4" customWidth="1"/>
    <col min="7961" max="7962" width="3.7109375" style="4" customWidth="1"/>
    <col min="7963" max="7963" width="2.28515625" style="4" customWidth="1"/>
    <col min="7964" max="7965" width="3.7109375" style="4" customWidth="1"/>
    <col min="7966" max="7966" width="2.28515625" style="4" customWidth="1"/>
    <col min="7967" max="7967" width="3.7109375" style="4" customWidth="1"/>
    <col min="7968" max="7968" width="9.7109375" style="4" customWidth="1"/>
    <col min="7969" max="7978" width="3.7109375" style="4" customWidth="1"/>
    <col min="7979" max="7979" width="11" style="4" customWidth="1"/>
    <col min="7980" max="7982" width="8.85546875" style="4"/>
    <col min="7983" max="7983" width="21" style="4" customWidth="1"/>
    <col min="7984" max="7984" width="24.42578125" style="4" customWidth="1"/>
    <col min="7985" max="7985" width="15.28515625" style="4" customWidth="1"/>
    <col min="7986" max="7986" width="10.5703125" style="4" customWidth="1"/>
    <col min="7987" max="7987" width="11.28515625" style="4" customWidth="1"/>
    <col min="7988" max="7988" width="25" style="4" customWidth="1"/>
    <col min="7989" max="7989" width="6" style="4" customWidth="1"/>
    <col min="7990" max="8193" width="8.85546875" style="4"/>
    <col min="8194" max="8194" width="3.7109375" style="4" customWidth="1"/>
    <col min="8195" max="8195" width="2.28515625" style="4" customWidth="1"/>
    <col min="8196" max="8197" width="3.7109375" style="4" customWidth="1"/>
    <col min="8198" max="8198" width="2.28515625" style="4" customWidth="1"/>
    <col min="8199" max="8200" width="3.7109375" style="4" customWidth="1"/>
    <col min="8201" max="8201" width="2.28515625" style="4" customWidth="1"/>
    <col min="8202" max="8203" width="3.7109375" style="4" customWidth="1"/>
    <col min="8204" max="8204" width="2.28515625" style="4" customWidth="1"/>
    <col min="8205" max="8206" width="3.7109375" style="4" customWidth="1"/>
    <col min="8207" max="8207" width="2.28515625" style="4" customWidth="1"/>
    <col min="8208" max="8209" width="3.7109375" style="4" customWidth="1"/>
    <col min="8210" max="8210" width="2.28515625" style="4" customWidth="1"/>
    <col min="8211" max="8212" width="3.7109375" style="4" customWidth="1"/>
    <col min="8213" max="8213" width="2.28515625" style="4" customWidth="1"/>
    <col min="8214" max="8215" width="3.7109375" style="4" customWidth="1"/>
    <col min="8216" max="8216" width="2.28515625" style="4" customWidth="1"/>
    <col min="8217" max="8218" width="3.7109375" style="4" customWidth="1"/>
    <col min="8219" max="8219" width="2.28515625" style="4" customWidth="1"/>
    <col min="8220" max="8221" width="3.7109375" style="4" customWidth="1"/>
    <col min="8222" max="8222" width="2.28515625" style="4" customWidth="1"/>
    <col min="8223" max="8223" width="3.7109375" style="4" customWidth="1"/>
    <col min="8224" max="8224" width="9.7109375" style="4" customWidth="1"/>
    <col min="8225" max="8234" width="3.7109375" style="4" customWidth="1"/>
    <col min="8235" max="8235" width="11" style="4" customWidth="1"/>
    <col min="8236" max="8238" width="8.85546875" style="4"/>
    <col min="8239" max="8239" width="21" style="4" customWidth="1"/>
    <col min="8240" max="8240" width="24.42578125" style="4" customWidth="1"/>
    <col min="8241" max="8241" width="15.28515625" style="4" customWidth="1"/>
    <col min="8242" max="8242" width="10.5703125" style="4" customWidth="1"/>
    <col min="8243" max="8243" width="11.28515625" style="4" customWidth="1"/>
    <col min="8244" max="8244" width="25" style="4" customWidth="1"/>
    <col min="8245" max="8245" width="6" style="4" customWidth="1"/>
    <col min="8246" max="8449" width="8.85546875" style="4"/>
    <col min="8450" max="8450" width="3.7109375" style="4" customWidth="1"/>
    <col min="8451" max="8451" width="2.28515625" style="4" customWidth="1"/>
    <col min="8452" max="8453" width="3.7109375" style="4" customWidth="1"/>
    <col min="8454" max="8454" width="2.28515625" style="4" customWidth="1"/>
    <col min="8455" max="8456" width="3.7109375" style="4" customWidth="1"/>
    <col min="8457" max="8457" width="2.28515625" style="4" customWidth="1"/>
    <col min="8458" max="8459" width="3.7109375" style="4" customWidth="1"/>
    <col min="8460" max="8460" width="2.28515625" style="4" customWidth="1"/>
    <col min="8461" max="8462" width="3.7109375" style="4" customWidth="1"/>
    <col min="8463" max="8463" width="2.28515625" style="4" customWidth="1"/>
    <col min="8464" max="8465" width="3.7109375" style="4" customWidth="1"/>
    <col min="8466" max="8466" width="2.28515625" style="4" customWidth="1"/>
    <col min="8467" max="8468" width="3.7109375" style="4" customWidth="1"/>
    <col min="8469" max="8469" width="2.28515625" style="4" customWidth="1"/>
    <col min="8470" max="8471" width="3.7109375" style="4" customWidth="1"/>
    <col min="8472" max="8472" width="2.28515625" style="4" customWidth="1"/>
    <col min="8473" max="8474" width="3.7109375" style="4" customWidth="1"/>
    <col min="8475" max="8475" width="2.28515625" style="4" customWidth="1"/>
    <col min="8476" max="8477" width="3.7109375" style="4" customWidth="1"/>
    <col min="8478" max="8478" width="2.28515625" style="4" customWidth="1"/>
    <col min="8479" max="8479" width="3.7109375" style="4" customWidth="1"/>
    <col min="8480" max="8480" width="9.7109375" style="4" customWidth="1"/>
    <col min="8481" max="8490" width="3.7109375" style="4" customWidth="1"/>
    <col min="8491" max="8491" width="11" style="4" customWidth="1"/>
    <col min="8492" max="8494" width="8.85546875" style="4"/>
    <col min="8495" max="8495" width="21" style="4" customWidth="1"/>
    <col min="8496" max="8496" width="24.42578125" style="4" customWidth="1"/>
    <col min="8497" max="8497" width="15.28515625" style="4" customWidth="1"/>
    <col min="8498" max="8498" width="10.5703125" style="4" customWidth="1"/>
    <col min="8499" max="8499" width="11.28515625" style="4" customWidth="1"/>
    <col min="8500" max="8500" width="25" style="4" customWidth="1"/>
    <col min="8501" max="8501" width="6" style="4" customWidth="1"/>
    <col min="8502" max="8705" width="8.85546875" style="4"/>
    <col min="8706" max="8706" width="3.7109375" style="4" customWidth="1"/>
    <col min="8707" max="8707" width="2.28515625" style="4" customWidth="1"/>
    <col min="8708" max="8709" width="3.7109375" style="4" customWidth="1"/>
    <col min="8710" max="8710" width="2.28515625" style="4" customWidth="1"/>
    <col min="8711" max="8712" width="3.7109375" style="4" customWidth="1"/>
    <col min="8713" max="8713" width="2.28515625" style="4" customWidth="1"/>
    <col min="8714" max="8715" width="3.7109375" style="4" customWidth="1"/>
    <col min="8716" max="8716" width="2.28515625" style="4" customWidth="1"/>
    <col min="8717" max="8718" width="3.7109375" style="4" customWidth="1"/>
    <col min="8719" max="8719" width="2.28515625" style="4" customWidth="1"/>
    <col min="8720" max="8721" width="3.7109375" style="4" customWidth="1"/>
    <col min="8722" max="8722" width="2.28515625" style="4" customWidth="1"/>
    <col min="8723" max="8724" width="3.7109375" style="4" customWidth="1"/>
    <col min="8725" max="8725" width="2.28515625" style="4" customWidth="1"/>
    <col min="8726" max="8727" width="3.7109375" style="4" customWidth="1"/>
    <col min="8728" max="8728" width="2.28515625" style="4" customWidth="1"/>
    <col min="8729" max="8730" width="3.7109375" style="4" customWidth="1"/>
    <col min="8731" max="8731" width="2.28515625" style="4" customWidth="1"/>
    <col min="8732" max="8733" width="3.7109375" style="4" customWidth="1"/>
    <col min="8734" max="8734" width="2.28515625" style="4" customWidth="1"/>
    <col min="8735" max="8735" width="3.7109375" style="4" customWidth="1"/>
    <col min="8736" max="8736" width="9.7109375" style="4" customWidth="1"/>
    <col min="8737" max="8746" width="3.7109375" style="4" customWidth="1"/>
    <col min="8747" max="8747" width="11" style="4" customWidth="1"/>
    <col min="8748" max="8750" width="8.85546875" style="4"/>
    <col min="8751" max="8751" width="21" style="4" customWidth="1"/>
    <col min="8752" max="8752" width="24.42578125" style="4" customWidth="1"/>
    <col min="8753" max="8753" width="15.28515625" style="4" customWidth="1"/>
    <col min="8754" max="8754" width="10.5703125" style="4" customWidth="1"/>
    <col min="8755" max="8755" width="11.28515625" style="4" customWidth="1"/>
    <col min="8756" max="8756" width="25" style="4" customWidth="1"/>
    <col min="8757" max="8757" width="6" style="4" customWidth="1"/>
    <col min="8758" max="8961" width="8.85546875" style="4"/>
    <col min="8962" max="8962" width="3.7109375" style="4" customWidth="1"/>
    <col min="8963" max="8963" width="2.28515625" style="4" customWidth="1"/>
    <col min="8964" max="8965" width="3.7109375" style="4" customWidth="1"/>
    <col min="8966" max="8966" width="2.28515625" style="4" customWidth="1"/>
    <col min="8967" max="8968" width="3.7109375" style="4" customWidth="1"/>
    <col min="8969" max="8969" width="2.28515625" style="4" customWidth="1"/>
    <col min="8970" max="8971" width="3.7109375" style="4" customWidth="1"/>
    <col min="8972" max="8972" width="2.28515625" style="4" customWidth="1"/>
    <col min="8973" max="8974" width="3.7109375" style="4" customWidth="1"/>
    <col min="8975" max="8975" width="2.28515625" style="4" customWidth="1"/>
    <col min="8976" max="8977" width="3.7109375" style="4" customWidth="1"/>
    <col min="8978" max="8978" width="2.28515625" style="4" customWidth="1"/>
    <col min="8979" max="8980" width="3.7109375" style="4" customWidth="1"/>
    <col min="8981" max="8981" width="2.28515625" style="4" customWidth="1"/>
    <col min="8982" max="8983" width="3.7109375" style="4" customWidth="1"/>
    <col min="8984" max="8984" width="2.28515625" style="4" customWidth="1"/>
    <col min="8985" max="8986" width="3.7109375" style="4" customWidth="1"/>
    <col min="8987" max="8987" width="2.28515625" style="4" customWidth="1"/>
    <col min="8988" max="8989" width="3.7109375" style="4" customWidth="1"/>
    <col min="8990" max="8990" width="2.28515625" style="4" customWidth="1"/>
    <col min="8991" max="8991" width="3.7109375" style="4" customWidth="1"/>
    <col min="8992" max="8992" width="9.7109375" style="4" customWidth="1"/>
    <col min="8993" max="9002" width="3.7109375" style="4" customWidth="1"/>
    <col min="9003" max="9003" width="11" style="4" customWidth="1"/>
    <col min="9004" max="9006" width="8.85546875" style="4"/>
    <col min="9007" max="9007" width="21" style="4" customWidth="1"/>
    <col min="9008" max="9008" width="24.42578125" style="4" customWidth="1"/>
    <col min="9009" max="9009" width="15.28515625" style="4" customWidth="1"/>
    <col min="9010" max="9010" width="10.5703125" style="4" customWidth="1"/>
    <col min="9011" max="9011" width="11.28515625" style="4" customWidth="1"/>
    <col min="9012" max="9012" width="25" style="4" customWidth="1"/>
    <col min="9013" max="9013" width="6" style="4" customWidth="1"/>
    <col min="9014" max="9217" width="8.85546875" style="4"/>
    <col min="9218" max="9218" width="3.7109375" style="4" customWidth="1"/>
    <col min="9219" max="9219" width="2.28515625" style="4" customWidth="1"/>
    <col min="9220" max="9221" width="3.7109375" style="4" customWidth="1"/>
    <col min="9222" max="9222" width="2.28515625" style="4" customWidth="1"/>
    <col min="9223" max="9224" width="3.7109375" style="4" customWidth="1"/>
    <col min="9225" max="9225" width="2.28515625" style="4" customWidth="1"/>
    <col min="9226" max="9227" width="3.7109375" style="4" customWidth="1"/>
    <col min="9228" max="9228" width="2.28515625" style="4" customWidth="1"/>
    <col min="9229" max="9230" width="3.7109375" style="4" customWidth="1"/>
    <col min="9231" max="9231" width="2.28515625" style="4" customWidth="1"/>
    <col min="9232" max="9233" width="3.7109375" style="4" customWidth="1"/>
    <col min="9234" max="9234" width="2.28515625" style="4" customWidth="1"/>
    <col min="9235" max="9236" width="3.7109375" style="4" customWidth="1"/>
    <col min="9237" max="9237" width="2.28515625" style="4" customWidth="1"/>
    <col min="9238" max="9239" width="3.7109375" style="4" customWidth="1"/>
    <col min="9240" max="9240" width="2.28515625" style="4" customWidth="1"/>
    <col min="9241" max="9242" width="3.7109375" style="4" customWidth="1"/>
    <col min="9243" max="9243" width="2.28515625" style="4" customWidth="1"/>
    <col min="9244" max="9245" width="3.7109375" style="4" customWidth="1"/>
    <col min="9246" max="9246" width="2.28515625" style="4" customWidth="1"/>
    <col min="9247" max="9247" width="3.7109375" style="4" customWidth="1"/>
    <col min="9248" max="9248" width="9.7109375" style="4" customWidth="1"/>
    <col min="9249" max="9258" width="3.7109375" style="4" customWidth="1"/>
    <col min="9259" max="9259" width="11" style="4" customWidth="1"/>
    <col min="9260" max="9262" width="8.85546875" style="4"/>
    <col min="9263" max="9263" width="21" style="4" customWidth="1"/>
    <col min="9264" max="9264" width="24.42578125" style="4" customWidth="1"/>
    <col min="9265" max="9265" width="15.28515625" style="4" customWidth="1"/>
    <col min="9266" max="9266" width="10.5703125" style="4" customWidth="1"/>
    <col min="9267" max="9267" width="11.28515625" style="4" customWidth="1"/>
    <col min="9268" max="9268" width="25" style="4" customWidth="1"/>
    <col min="9269" max="9269" width="6" style="4" customWidth="1"/>
    <col min="9270" max="9473" width="8.85546875" style="4"/>
    <col min="9474" max="9474" width="3.7109375" style="4" customWidth="1"/>
    <col min="9475" max="9475" width="2.28515625" style="4" customWidth="1"/>
    <col min="9476" max="9477" width="3.7109375" style="4" customWidth="1"/>
    <col min="9478" max="9478" width="2.28515625" style="4" customWidth="1"/>
    <col min="9479" max="9480" width="3.7109375" style="4" customWidth="1"/>
    <col min="9481" max="9481" width="2.28515625" style="4" customWidth="1"/>
    <col min="9482" max="9483" width="3.7109375" style="4" customWidth="1"/>
    <col min="9484" max="9484" width="2.28515625" style="4" customWidth="1"/>
    <col min="9485" max="9486" width="3.7109375" style="4" customWidth="1"/>
    <col min="9487" max="9487" width="2.28515625" style="4" customWidth="1"/>
    <col min="9488" max="9489" width="3.7109375" style="4" customWidth="1"/>
    <col min="9490" max="9490" width="2.28515625" style="4" customWidth="1"/>
    <col min="9491" max="9492" width="3.7109375" style="4" customWidth="1"/>
    <col min="9493" max="9493" width="2.28515625" style="4" customWidth="1"/>
    <col min="9494" max="9495" width="3.7109375" style="4" customWidth="1"/>
    <col min="9496" max="9496" width="2.28515625" style="4" customWidth="1"/>
    <col min="9497" max="9498" width="3.7109375" style="4" customWidth="1"/>
    <col min="9499" max="9499" width="2.28515625" style="4" customWidth="1"/>
    <col min="9500" max="9501" width="3.7109375" style="4" customWidth="1"/>
    <col min="9502" max="9502" width="2.28515625" style="4" customWidth="1"/>
    <col min="9503" max="9503" width="3.7109375" style="4" customWidth="1"/>
    <col min="9504" max="9504" width="9.7109375" style="4" customWidth="1"/>
    <col min="9505" max="9514" width="3.7109375" style="4" customWidth="1"/>
    <col min="9515" max="9515" width="11" style="4" customWidth="1"/>
    <col min="9516" max="9518" width="8.85546875" style="4"/>
    <col min="9519" max="9519" width="21" style="4" customWidth="1"/>
    <col min="9520" max="9520" width="24.42578125" style="4" customWidth="1"/>
    <col min="9521" max="9521" width="15.28515625" style="4" customWidth="1"/>
    <col min="9522" max="9522" width="10.5703125" style="4" customWidth="1"/>
    <col min="9523" max="9523" width="11.28515625" style="4" customWidth="1"/>
    <col min="9524" max="9524" width="25" style="4" customWidth="1"/>
    <col min="9525" max="9525" width="6" style="4" customWidth="1"/>
    <col min="9526" max="9729" width="8.85546875" style="4"/>
    <col min="9730" max="9730" width="3.7109375" style="4" customWidth="1"/>
    <col min="9731" max="9731" width="2.28515625" style="4" customWidth="1"/>
    <col min="9732" max="9733" width="3.7109375" style="4" customWidth="1"/>
    <col min="9734" max="9734" width="2.28515625" style="4" customWidth="1"/>
    <col min="9735" max="9736" width="3.7109375" style="4" customWidth="1"/>
    <col min="9737" max="9737" width="2.28515625" style="4" customWidth="1"/>
    <col min="9738" max="9739" width="3.7109375" style="4" customWidth="1"/>
    <col min="9740" max="9740" width="2.28515625" style="4" customWidth="1"/>
    <col min="9741" max="9742" width="3.7109375" style="4" customWidth="1"/>
    <col min="9743" max="9743" width="2.28515625" style="4" customWidth="1"/>
    <col min="9744" max="9745" width="3.7109375" style="4" customWidth="1"/>
    <col min="9746" max="9746" width="2.28515625" style="4" customWidth="1"/>
    <col min="9747" max="9748" width="3.7109375" style="4" customWidth="1"/>
    <col min="9749" max="9749" width="2.28515625" style="4" customWidth="1"/>
    <col min="9750" max="9751" width="3.7109375" style="4" customWidth="1"/>
    <col min="9752" max="9752" width="2.28515625" style="4" customWidth="1"/>
    <col min="9753" max="9754" width="3.7109375" style="4" customWidth="1"/>
    <col min="9755" max="9755" width="2.28515625" style="4" customWidth="1"/>
    <col min="9756" max="9757" width="3.7109375" style="4" customWidth="1"/>
    <col min="9758" max="9758" width="2.28515625" style="4" customWidth="1"/>
    <col min="9759" max="9759" width="3.7109375" style="4" customWidth="1"/>
    <col min="9760" max="9760" width="9.7109375" style="4" customWidth="1"/>
    <col min="9761" max="9770" width="3.7109375" style="4" customWidth="1"/>
    <col min="9771" max="9771" width="11" style="4" customWidth="1"/>
    <col min="9772" max="9774" width="8.85546875" style="4"/>
    <col min="9775" max="9775" width="21" style="4" customWidth="1"/>
    <col min="9776" max="9776" width="24.42578125" style="4" customWidth="1"/>
    <col min="9777" max="9777" width="15.28515625" style="4" customWidth="1"/>
    <col min="9778" max="9778" width="10.5703125" style="4" customWidth="1"/>
    <col min="9779" max="9779" width="11.28515625" style="4" customWidth="1"/>
    <col min="9780" max="9780" width="25" style="4" customWidth="1"/>
    <col min="9781" max="9781" width="6" style="4" customWidth="1"/>
    <col min="9782" max="9985" width="8.85546875" style="4"/>
    <col min="9986" max="9986" width="3.7109375" style="4" customWidth="1"/>
    <col min="9987" max="9987" width="2.28515625" style="4" customWidth="1"/>
    <col min="9988" max="9989" width="3.7109375" style="4" customWidth="1"/>
    <col min="9990" max="9990" width="2.28515625" style="4" customWidth="1"/>
    <col min="9991" max="9992" width="3.7109375" style="4" customWidth="1"/>
    <col min="9993" max="9993" width="2.28515625" style="4" customWidth="1"/>
    <col min="9994" max="9995" width="3.7109375" style="4" customWidth="1"/>
    <col min="9996" max="9996" width="2.28515625" style="4" customWidth="1"/>
    <col min="9997" max="9998" width="3.7109375" style="4" customWidth="1"/>
    <col min="9999" max="9999" width="2.28515625" style="4" customWidth="1"/>
    <col min="10000" max="10001" width="3.7109375" style="4" customWidth="1"/>
    <col min="10002" max="10002" width="2.28515625" style="4" customWidth="1"/>
    <col min="10003" max="10004" width="3.7109375" style="4" customWidth="1"/>
    <col min="10005" max="10005" width="2.28515625" style="4" customWidth="1"/>
    <col min="10006" max="10007" width="3.7109375" style="4" customWidth="1"/>
    <col min="10008" max="10008" width="2.28515625" style="4" customWidth="1"/>
    <col min="10009" max="10010" width="3.7109375" style="4" customWidth="1"/>
    <col min="10011" max="10011" width="2.28515625" style="4" customWidth="1"/>
    <col min="10012" max="10013" width="3.7109375" style="4" customWidth="1"/>
    <col min="10014" max="10014" width="2.28515625" style="4" customWidth="1"/>
    <col min="10015" max="10015" width="3.7109375" style="4" customWidth="1"/>
    <col min="10016" max="10016" width="9.7109375" style="4" customWidth="1"/>
    <col min="10017" max="10026" width="3.7109375" style="4" customWidth="1"/>
    <col min="10027" max="10027" width="11" style="4" customWidth="1"/>
    <col min="10028" max="10030" width="8.85546875" style="4"/>
    <col min="10031" max="10031" width="21" style="4" customWidth="1"/>
    <col min="10032" max="10032" width="24.42578125" style="4" customWidth="1"/>
    <col min="10033" max="10033" width="15.28515625" style="4" customWidth="1"/>
    <col min="10034" max="10034" width="10.5703125" style="4" customWidth="1"/>
    <col min="10035" max="10035" width="11.28515625" style="4" customWidth="1"/>
    <col min="10036" max="10036" width="25" style="4" customWidth="1"/>
    <col min="10037" max="10037" width="6" style="4" customWidth="1"/>
    <col min="10038" max="10241" width="8.85546875" style="4"/>
    <col min="10242" max="10242" width="3.7109375" style="4" customWidth="1"/>
    <col min="10243" max="10243" width="2.28515625" style="4" customWidth="1"/>
    <col min="10244" max="10245" width="3.7109375" style="4" customWidth="1"/>
    <col min="10246" max="10246" width="2.28515625" style="4" customWidth="1"/>
    <col min="10247" max="10248" width="3.7109375" style="4" customWidth="1"/>
    <col min="10249" max="10249" width="2.28515625" style="4" customWidth="1"/>
    <col min="10250" max="10251" width="3.7109375" style="4" customWidth="1"/>
    <col min="10252" max="10252" width="2.28515625" style="4" customWidth="1"/>
    <col min="10253" max="10254" width="3.7109375" style="4" customWidth="1"/>
    <col min="10255" max="10255" width="2.28515625" style="4" customWidth="1"/>
    <col min="10256" max="10257" width="3.7109375" style="4" customWidth="1"/>
    <col min="10258" max="10258" width="2.28515625" style="4" customWidth="1"/>
    <col min="10259" max="10260" width="3.7109375" style="4" customWidth="1"/>
    <col min="10261" max="10261" width="2.28515625" style="4" customWidth="1"/>
    <col min="10262" max="10263" width="3.7109375" style="4" customWidth="1"/>
    <col min="10264" max="10264" width="2.28515625" style="4" customWidth="1"/>
    <col min="10265" max="10266" width="3.7109375" style="4" customWidth="1"/>
    <col min="10267" max="10267" width="2.28515625" style="4" customWidth="1"/>
    <col min="10268" max="10269" width="3.7109375" style="4" customWidth="1"/>
    <col min="10270" max="10270" width="2.28515625" style="4" customWidth="1"/>
    <col min="10271" max="10271" width="3.7109375" style="4" customWidth="1"/>
    <col min="10272" max="10272" width="9.7109375" style="4" customWidth="1"/>
    <col min="10273" max="10282" width="3.7109375" style="4" customWidth="1"/>
    <col min="10283" max="10283" width="11" style="4" customWidth="1"/>
    <col min="10284" max="10286" width="8.85546875" style="4"/>
    <col min="10287" max="10287" width="21" style="4" customWidth="1"/>
    <col min="10288" max="10288" width="24.42578125" style="4" customWidth="1"/>
    <col min="10289" max="10289" width="15.28515625" style="4" customWidth="1"/>
    <col min="10290" max="10290" width="10.5703125" style="4" customWidth="1"/>
    <col min="10291" max="10291" width="11.28515625" style="4" customWidth="1"/>
    <col min="10292" max="10292" width="25" style="4" customWidth="1"/>
    <col min="10293" max="10293" width="6" style="4" customWidth="1"/>
    <col min="10294" max="10497" width="8.85546875" style="4"/>
    <col min="10498" max="10498" width="3.7109375" style="4" customWidth="1"/>
    <col min="10499" max="10499" width="2.28515625" style="4" customWidth="1"/>
    <col min="10500" max="10501" width="3.7109375" style="4" customWidth="1"/>
    <col min="10502" max="10502" width="2.28515625" style="4" customWidth="1"/>
    <col min="10503" max="10504" width="3.7109375" style="4" customWidth="1"/>
    <col min="10505" max="10505" width="2.28515625" style="4" customWidth="1"/>
    <col min="10506" max="10507" width="3.7109375" style="4" customWidth="1"/>
    <col min="10508" max="10508" width="2.28515625" style="4" customWidth="1"/>
    <col min="10509" max="10510" width="3.7109375" style="4" customWidth="1"/>
    <col min="10511" max="10511" width="2.28515625" style="4" customWidth="1"/>
    <col min="10512" max="10513" width="3.7109375" style="4" customWidth="1"/>
    <col min="10514" max="10514" width="2.28515625" style="4" customWidth="1"/>
    <col min="10515" max="10516" width="3.7109375" style="4" customWidth="1"/>
    <col min="10517" max="10517" width="2.28515625" style="4" customWidth="1"/>
    <col min="10518" max="10519" width="3.7109375" style="4" customWidth="1"/>
    <col min="10520" max="10520" width="2.28515625" style="4" customWidth="1"/>
    <col min="10521" max="10522" width="3.7109375" style="4" customWidth="1"/>
    <col min="10523" max="10523" width="2.28515625" style="4" customWidth="1"/>
    <col min="10524" max="10525" width="3.7109375" style="4" customWidth="1"/>
    <col min="10526" max="10526" width="2.28515625" style="4" customWidth="1"/>
    <col min="10527" max="10527" width="3.7109375" style="4" customWidth="1"/>
    <col min="10528" max="10528" width="9.7109375" style="4" customWidth="1"/>
    <col min="10529" max="10538" width="3.7109375" style="4" customWidth="1"/>
    <col min="10539" max="10539" width="11" style="4" customWidth="1"/>
    <col min="10540" max="10542" width="8.85546875" style="4"/>
    <col min="10543" max="10543" width="21" style="4" customWidth="1"/>
    <col min="10544" max="10544" width="24.42578125" style="4" customWidth="1"/>
    <col min="10545" max="10545" width="15.28515625" style="4" customWidth="1"/>
    <col min="10546" max="10546" width="10.5703125" style="4" customWidth="1"/>
    <col min="10547" max="10547" width="11.28515625" style="4" customWidth="1"/>
    <col min="10548" max="10548" width="25" style="4" customWidth="1"/>
    <col min="10549" max="10549" width="6" style="4" customWidth="1"/>
    <col min="10550" max="10753" width="8.85546875" style="4"/>
    <col min="10754" max="10754" width="3.7109375" style="4" customWidth="1"/>
    <col min="10755" max="10755" width="2.28515625" style="4" customWidth="1"/>
    <col min="10756" max="10757" width="3.7109375" style="4" customWidth="1"/>
    <col min="10758" max="10758" width="2.28515625" style="4" customWidth="1"/>
    <col min="10759" max="10760" width="3.7109375" style="4" customWidth="1"/>
    <col min="10761" max="10761" width="2.28515625" style="4" customWidth="1"/>
    <col min="10762" max="10763" width="3.7109375" style="4" customWidth="1"/>
    <col min="10764" max="10764" width="2.28515625" style="4" customWidth="1"/>
    <col min="10765" max="10766" width="3.7109375" style="4" customWidth="1"/>
    <col min="10767" max="10767" width="2.28515625" style="4" customWidth="1"/>
    <col min="10768" max="10769" width="3.7109375" style="4" customWidth="1"/>
    <col min="10770" max="10770" width="2.28515625" style="4" customWidth="1"/>
    <col min="10771" max="10772" width="3.7109375" style="4" customWidth="1"/>
    <col min="10773" max="10773" width="2.28515625" style="4" customWidth="1"/>
    <col min="10774" max="10775" width="3.7109375" style="4" customWidth="1"/>
    <col min="10776" max="10776" width="2.28515625" style="4" customWidth="1"/>
    <col min="10777" max="10778" width="3.7109375" style="4" customWidth="1"/>
    <col min="10779" max="10779" width="2.28515625" style="4" customWidth="1"/>
    <col min="10780" max="10781" width="3.7109375" style="4" customWidth="1"/>
    <col min="10782" max="10782" width="2.28515625" style="4" customWidth="1"/>
    <col min="10783" max="10783" width="3.7109375" style="4" customWidth="1"/>
    <col min="10784" max="10784" width="9.7109375" style="4" customWidth="1"/>
    <col min="10785" max="10794" width="3.7109375" style="4" customWidth="1"/>
    <col min="10795" max="10795" width="11" style="4" customWidth="1"/>
    <col min="10796" max="10798" width="8.85546875" style="4"/>
    <col min="10799" max="10799" width="21" style="4" customWidth="1"/>
    <col min="10800" max="10800" width="24.42578125" style="4" customWidth="1"/>
    <col min="10801" max="10801" width="15.28515625" style="4" customWidth="1"/>
    <col min="10802" max="10802" width="10.5703125" style="4" customWidth="1"/>
    <col min="10803" max="10803" width="11.28515625" style="4" customWidth="1"/>
    <col min="10804" max="10804" width="25" style="4" customWidth="1"/>
    <col min="10805" max="10805" width="6" style="4" customWidth="1"/>
    <col min="10806" max="11009" width="8.85546875" style="4"/>
    <col min="11010" max="11010" width="3.7109375" style="4" customWidth="1"/>
    <col min="11011" max="11011" width="2.28515625" style="4" customWidth="1"/>
    <col min="11012" max="11013" width="3.7109375" style="4" customWidth="1"/>
    <col min="11014" max="11014" width="2.28515625" style="4" customWidth="1"/>
    <col min="11015" max="11016" width="3.7109375" style="4" customWidth="1"/>
    <col min="11017" max="11017" width="2.28515625" style="4" customWidth="1"/>
    <col min="11018" max="11019" width="3.7109375" style="4" customWidth="1"/>
    <col min="11020" max="11020" width="2.28515625" style="4" customWidth="1"/>
    <col min="11021" max="11022" width="3.7109375" style="4" customWidth="1"/>
    <col min="11023" max="11023" width="2.28515625" style="4" customWidth="1"/>
    <col min="11024" max="11025" width="3.7109375" style="4" customWidth="1"/>
    <col min="11026" max="11026" width="2.28515625" style="4" customWidth="1"/>
    <col min="11027" max="11028" width="3.7109375" style="4" customWidth="1"/>
    <col min="11029" max="11029" width="2.28515625" style="4" customWidth="1"/>
    <col min="11030" max="11031" width="3.7109375" style="4" customWidth="1"/>
    <col min="11032" max="11032" width="2.28515625" style="4" customWidth="1"/>
    <col min="11033" max="11034" width="3.7109375" style="4" customWidth="1"/>
    <col min="11035" max="11035" width="2.28515625" style="4" customWidth="1"/>
    <col min="11036" max="11037" width="3.7109375" style="4" customWidth="1"/>
    <col min="11038" max="11038" width="2.28515625" style="4" customWidth="1"/>
    <col min="11039" max="11039" width="3.7109375" style="4" customWidth="1"/>
    <col min="11040" max="11040" width="9.7109375" style="4" customWidth="1"/>
    <col min="11041" max="11050" width="3.7109375" style="4" customWidth="1"/>
    <col min="11051" max="11051" width="11" style="4" customWidth="1"/>
    <col min="11052" max="11054" width="8.85546875" style="4"/>
    <col min="11055" max="11055" width="21" style="4" customWidth="1"/>
    <col min="11056" max="11056" width="24.42578125" style="4" customWidth="1"/>
    <col min="11057" max="11057" width="15.28515625" style="4" customWidth="1"/>
    <col min="11058" max="11058" width="10.5703125" style="4" customWidth="1"/>
    <col min="11059" max="11059" width="11.28515625" style="4" customWidth="1"/>
    <col min="11060" max="11060" width="25" style="4" customWidth="1"/>
    <col min="11061" max="11061" width="6" style="4" customWidth="1"/>
    <col min="11062" max="11265" width="8.85546875" style="4"/>
    <col min="11266" max="11266" width="3.7109375" style="4" customWidth="1"/>
    <col min="11267" max="11267" width="2.28515625" style="4" customWidth="1"/>
    <col min="11268" max="11269" width="3.7109375" style="4" customWidth="1"/>
    <col min="11270" max="11270" width="2.28515625" style="4" customWidth="1"/>
    <col min="11271" max="11272" width="3.7109375" style="4" customWidth="1"/>
    <col min="11273" max="11273" width="2.28515625" style="4" customWidth="1"/>
    <col min="11274" max="11275" width="3.7109375" style="4" customWidth="1"/>
    <col min="11276" max="11276" width="2.28515625" style="4" customWidth="1"/>
    <col min="11277" max="11278" width="3.7109375" style="4" customWidth="1"/>
    <col min="11279" max="11279" width="2.28515625" style="4" customWidth="1"/>
    <col min="11280" max="11281" width="3.7109375" style="4" customWidth="1"/>
    <col min="11282" max="11282" width="2.28515625" style="4" customWidth="1"/>
    <col min="11283" max="11284" width="3.7109375" style="4" customWidth="1"/>
    <col min="11285" max="11285" width="2.28515625" style="4" customWidth="1"/>
    <col min="11286" max="11287" width="3.7109375" style="4" customWidth="1"/>
    <col min="11288" max="11288" width="2.28515625" style="4" customWidth="1"/>
    <col min="11289" max="11290" width="3.7109375" style="4" customWidth="1"/>
    <col min="11291" max="11291" width="2.28515625" style="4" customWidth="1"/>
    <col min="11292" max="11293" width="3.7109375" style="4" customWidth="1"/>
    <col min="11294" max="11294" width="2.28515625" style="4" customWidth="1"/>
    <col min="11295" max="11295" width="3.7109375" style="4" customWidth="1"/>
    <col min="11296" max="11296" width="9.7109375" style="4" customWidth="1"/>
    <col min="11297" max="11306" width="3.7109375" style="4" customWidth="1"/>
    <col min="11307" max="11307" width="11" style="4" customWidth="1"/>
    <col min="11308" max="11310" width="8.85546875" style="4"/>
    <col min="11311" max="11311" width="21" style="4" customWidth="1"/>
    <col min="11312" max="11312" width="24.42578125" style="4" customWidth="1"/>
    <col min="11313" max="11313" width="15.28515625" style="4" customWidth="1"/>
    <col min="11314" max="11314" width="10.5703125" style="4" customWidth="1"/>
    <col min="11315" max="11315" width="11.28515625" style="4" customWidth="1"/>
    <col min="11316" max="11316" width="25" style="4" customWidth="1"/>
    <col min="11317" max="11317" width="6" style="4" customWidth="1"/>
    <col min="11318" max="11521" width="8.85546875" style="4"/>
    <col min="11522" max="11522" width="3.7109375" style="4" customWidth="1"/>
    <col min="11523" max="11523" width="2.28515625" style="4" customWidth="1"/>
    <col min="11524" max="11525" width="3.7109375" style="4" customWidth="1"/>
    <col min="11526" max="11526" width="2.28515625" style="4" customWidth="1"/>
    <col min="11527" max="11528" width="3.7109375" style="4" customWidth="1"/>
    <col min="11529" max="11529" width="2.28515625" style="4" customWidth="1"/>
    <col min="11530" max="11531" width="3.7109375" style="4" customWidth="1"/>
    <col min="11532" max="11532" width="2.28515625" style="4" customWidth="1"/>
    <col min="11533" max="11534" width="3.7109375" style="4" customWidth="1"/>
    <col min="11535" max="11535" width="2.28515625" style="4" customWidth="1"/>
    <col min="11536" max="11537" width="3.7109375" style="4" customWidth="1"/>
    <col min="11538" max="11538" width="2.28515625" style="4" customWidth="1"/>
    <col min="11539" max="11540" width="3.7109375" style="4" customWidth="1"/>
    <col min="11541" max="11541" width="2.28515625" style="4" customWidth="1"/>
    <col min="11542" max="11543" width="3.7109375" style="4" customWidth="1"/>
    <col min="11544" max="11544" width="2.28515625" style="4" customWidth="1"/>
    <col min="11545" max="11546" width="3.7109375" style="4" customWidth="1"/>
    <col min="11547" max="11547" width="2.28515625" style="4" customWidth="1"/>
    <col min="11548" max="11549" width="3.7109375" style="4" customWidth="1"/>
    <col min="11550" max="11550" width="2.28515625" style="4" customWidth="1"/>
    <col min="11551" max="11551" width="3.7109375" style="4" customWidth="1"/>
    <col min="11552" max="11552" width="9.7109375" style="4" customWidth="1"/>
    <col min="11553" max="11562" width="3.7109375" style="4" customWidth="1"/>
    <col min="11563" max="11563" width="11" style="4" customWidth="1"/>
    <col min="11564" max="11566" width="8.85546875" style="4"/>
    <col min="11567" max="11567" width="21" style="4" customWidth="1"/>
    <col min="11568" max="11568" width="24.42578125" style="4" customWidth="1"/>
    <col min="11569" max="11569" width="15.28515625" style="4" customWidth="1"/>
    <col min="11570" max="11570" width="10.5703125" style="4" customWidth="1"/>
    <col min="11571" max="11571" width="11.28515625" style="4" customWidth="1"/>
    <col min="11572" max="11572" width="25" style="4" customWidth="1"/>
    <col min="11573" max="11573" width="6" style="4" customWidth="1"/>
    <col min="11574" max="11777" width="8.85546875" style="4"/>
    <col min="11778" max="11778" width="3.7109375" style="4" customWidth="1"/>
    <col min="11779" max="11779" width="2.28515625" style="4" customWidth="1"/>
    <col min="11780" max="11781" width="3.7109375" style="4" customWidth="1"/>
    <col min="11782" max="11782" width="2.28515625" style="4" customWidth="1"/>
    <col min="11783" max="11784" width="3.7109375" style="4" customWidth="1"/>
    <col min="11785" max="11785" width="2.28515625" style="4" customWidth="1"/>
    <col min="11786" max="11787" width="3.7109375" style="4" customWidth="1"/>
    <col min="11788" max="11788" width="2.28515625" style="4" customWidth="1"/>
    <col min="11789" max="11790" width="3.7109375" style="4" customWidth="1"/>
    <col min="11791" max="11791" width="2.28515625" style="4" customWidth="1"/>
    <col min="11792" max="11793" width="3.7109375" style="4" customWidth="1"/>
    <col min="11794" max="11794" width="2.28515625" style="4" customWidth="1"/>
    <col min="11795" max="11796" width="3.7109375" style="4" customWidth="1"/>
    <col min="11797" max="11797" width="2.28515625" style="4" customWidth="1"/>
    <col min="11798" max="11799" width="3.7109375" style="4" customWidth="1"/>
    <col min="11800" max="11800" width="2.28515625" style="4" customWidth="1"/>
    <col min="11801" max="11802" width="3.7109375" style="4" customWidth="1"/>
    <col min="11803" max="11803" width="2.28515625" style="4" customWidth="1"/>
    <col min="11804" max="11805" width="3.7109375" style="4" customWidth="1"/>
    <col min="11806" max="11806" width="2.28515625" style="4" customWidth="1"/>
    <col min="11807" max="11807" width="3.7109375" style="4" customWidth="1"/>
    <col min="11808" max="11808" width="9.7109375" style="4" customWidth="1"/>
    <col min="11809" max="11818" width="3.7109375" style="4" customWidth="1"/>
    <col min="11819" max="11819" width="11" style="4" customWidth="1"/>
    <col min="11820" max="11822" width="8.85546875" style="4"/>
    <col min="11823" max="11823" width="21" style="4" customWidth="1"/>
    <col min="11824" max="11824" width="24.42578125" style="4" customWidth="1"/>
    <col min="11825" max="11825" width="15.28515625" style="4" customWidth="1"/>
    <col min="11826" max="11826" width="10.5703125" style="4" customWidth="1"/>
    <col min="11827" max="11827" width="11.28515625" style="4" customWidth="1"/>
    <col min="11828" max="11828" width="25" style="4" customWidth="1"/>
    <col min="11829" max="11829" width="6" style="4" customWidth="1"/>
    <col min="11830" max="12033" width="8.85546875" style="4"/>
    <col min="12034" max="12034" width="3.7109375" style="4" customWidth="1"/>
    <col min="12035" max="12035" width="2.28515625" style="4" customWidth="1"/>
    <col min="12036" max="12037" width="3.7109375" style="4" customWidth="1"/>
    <col min="12038" max="12038" width="2.28515625" style="4" customWidth="1"/>
    <col min="12039" max="12040" width="3.7109375" style="4" customWidth="1"/>
    <col min="12041" max="12041" width="2.28515625" style="4" customWidth="1"/>
    <col min="12042" max="12043" width="3.7109375" style="4" customWidth="1"/>
    <col min="12044" max="12044" width="2.28515625" style="4" customWidth="1"/>
    <col min="12045" max="12046" width="3.7109375" style="4" customWidth="1"/>
    <col min="12047" max="12047" width="2.28515625" style="4" customWidth="1"/>
    <col min="12048" max="12049" width="3.7109375" style="4" customWidth="1"/>
    <col min="12050" max="12050" width="2.28515625" style="4" customWidth="1"/>
    <col min="12051" max="12052" width="3.7109375" style="4" customWidth="1"/>
    <col min="12053" max="12053" width="2.28515625" style="4" customWidth="1"/>
    <col min="12054" max="12055" width="3.7109375" style="4" customWidth="1"/>
    <col min="12056" max="12056" width="2.28515625" style="4" customWidth="1"/>
    <col min="12057" max="12058" width="3.7109375" style="4" customWidth="1"/>
    <col min="12059" max="12059" width="2.28515625" style="4" customWidth="1"/>
    <col min="12060" max="12061" width="3.7109375" style="4" customWidth="1"/>
    <col min="12062" max="12062" width="2.28515625" style="4" customWidth="1"/>
    <col min="12063" max="12063" width="3.7109375" style="4" customWidth="1"/>
    <col min="12064" max="12064" width="9.7109375" style="4" customWidth="1"/>
    <col min="12065" max="12074" width="3.7109375" style="4" customWidth="1"/>
    <col min="12075" max="12075" width="11" style="4" customWidth="1"/>
    <col min="12076" max="12078" width="8.85546875" style="4"/>
    <col min="12079" max="12079" width="21" style="4" customWidth="1"/>
    <col min="12080" max="12080" width="24.42578125" style="4" customWidth="1"/>
    <col min="12081" max="12081" width="15.28515625" style="4" customWidth="1"/>
    <col min="12082" max="12082" width="10.5703125" style="4" customWidth="1"/>
    <col min="12083" max="12083" width="11.28515625" style="4" customWidth="1"/>
    <col min="12084" max="12084" width="25" style="4" customWidth="1"/>
    <col min="12085" max="12085" width="6" style="4" customWidth="1"/>
    <col min="12086" max="12289" width="8.85546875" style="4"/>
    <col min="12290" max="12290" width="3.7109375" style="4" customWidth="1"/>
    <col min="12291" max="12291" width="2.28515625" style="4" customWidth="1"/>
    <col min="12292" max="12293" width="3.7109375" style="4" customWidth="1"/>
    <col min="12294" max="12294" width="2.28515625" style="4" customWidth="1"/>
    <col min="12295" max="12296" width="3.7109375" style="4" customWidth="1"/>
    <col min="12297" max="12297" width="2.28515625" style="4" customWidth="1"/>
    <col min="12298" max="12299" width="3.7109375" style="4" customWidth="1"/>
    <col min="12300" max="12300" width="2.28515625" style="4" customWidth="1"/>
    <col min="12301" max="12302" width="3.7109375" style="4" customWidth="1"/>
    <col min="12303" max="12303" width="2.28515625" style="4" customWidth="1"/>
    <col min="12304" max="12305" width="3.7109375" style="4" customWidth="1"/>
    <col min="12306" max="12306" width="2.28515625" style="4" customWidth="1"/>
    <col min="12307" max="12308" width="3.7109375" style="4" customWidth="1"/>
    <col min="12309" max="12309" width="2.28515625" style="4" customWidth="1"/>
    <col min="12310" max="12311" width="3.7109375" style="4" customWidth="1"/>
    <col min="12312" max="12312" width="2.28515625" style="4" customWidth="1"/>
    <col min="12313" max="12314" width="3.7109375" style="4" customWidth="1"/>
    <col min="12315" max="12315" width="2.28515625" style="4" customWidth="1"/>
    <col min="12316" max="12317" width="3.7109375" style="4" customWidth="1"/>
    <col min="12318" max="12318" width="2.28515625" style="4" customWidth="1"/>
    <col min="12319" max="12319" width="3.7109375" style="4" customWidth="1"/>
    <col min="12320" max="12320" width="9.7109375" style="4" customWidth="1"/>
    <col min="12321" max="12330" width="3.7109375" style="4" customWidth="1"/>
    <col min="12331" max="12331" width="11" style="4" customWidth="1"/>
    <col min="12332" max="12334" width="8.85546875" style="4"/>
    <col min="12335" max="12335" width="21" style="4" customWidth="1"/>
    <col min="12336" max="12336" width="24.42578125" style="4" customWidth="1"/>
    <col min="12337" max="12337" width="15.28515625" style="4" customWidth="1"/>
    <col min="12338" max="12338" width="10.5703125" style="4" customWidth="1"/>
    <col min="12339" max="12339" width="11.28515625" style="4" customWidth="1"/>
    <col min="12340" max="12340" width="25" style="4" customWidth="1"/>
    <col min="12341" max="12341" width="6" style="4" customWidth="1"/>
    <col min="12342" max="12545" width="8.85546875" style="4"/>
    <col min="12546" max="12546" width="3.7109375" style="4" customWidth="1"/>
    <col min="12547" max="12547" width="2.28515625" style="4" customWidth="1"/>
    <col min="12548" max="12549" width="3.7109375" style="4" customWidth="1"/>
    <col min="12550" max="12550" width="2.28515625" style="4" customWidth="1"/>
    <col min="12551" max="12552" width="3.7109375" style="4" customWidth="1"/>
    <col min="12553" max="12553" width="2.28515625" style="4" customWidth="1"/>
    <col min="12554" max="12555" width="3.7109375" style="4" customWidth="1"/>
    <col min="12556" max="12556" width="2.28515625" style="4" customWidth="1"/>
    <col min="12557" max="12558" width="3.7109375" style="4" customWidth="1"/>
    <col min="12559" max="12559" width="2.28515625" style="4" customWidth="1"/>
    <col min="12560" max="12561" width="3.7109375" style="4" customWidth="1"/>
    <col min="12562" max="12562" width="2.28515625" style="4" customWidth="1"/>
    <col min="12563" max="12564" width="3.7109375" style="4" customWidth="1"/>
    <col min="12565" max="12565" width="2.28515625" style="4" customWidth="1"/>
    <col min="12566" max="12567" width="3.7109375" style="4" customWidth="1"/>
    <col min="12568" max="12568" width="2.28515625" style="4" customWidth="1"/>
    <col min="12569" max="12570" width="3.7109375" style="4" customWidth="1"/>
    <col min="12571" max="12571" width="2.28515625" style="4" customWidth="1"/>
    <col min="12572" max="12573" width="3.7109375" style="4" customWidth="1"/>
    <col min="12574" max="12574" width="2.28515625" style="4" customWidth="1"/>
    <col min="12575" max="12575" width="3.7109375" style="4" customWidth="1"/>
    <col min="12576" max="12576" width="9.7109375" style="4" customWidth="1"/>
    <col min="12577" max="12586" width="3.7109375" style="4" customWidth="1"/>
    <col min="12587" max="12587" width="11" style="4" customWidth="1"/>
    <col min="12588" max="12590" width="8.85546875" style="4"/>
    <col min="12591" max="12591" width="21" style="4" customWidth="1"/>
    <col min="12592" max="12592" width="24.42578125" style="4" customWidth="1"/>
    <col min="12593" max="12593" width="15.28515625" style="4" customWidth="1"/>
    <col min="12594" max="12594" width="10.5703125" style="4" customWidth="1"/>
    <col min="12595" max="12595" width="11.28515625" style="4" customWidth="1"/>
    <col min="12596" max="12596" width="25" style="4" customWidth="1"/>
    <col min="12597" max="12597" width="6" style="4" customWidth="1"/>
    <col min="12598" max="12801" width="8.85546875" style="4"/>
    <col min="12802" max="12802" width="3.7109375" style="4" customWidth="1"/>
    <col min="12803" max="12803" width="2.28515625" style="4" customWidth="1"/>
    <col min="12804" max="12805" width="3.7109375" style="4" customWidth="1"/>
    <col min="12806" max="12806" width="2.28515625" style="4" customWidth="1"/>
    <col min="12807" max="12808" width="3.7109375" style="4" customWidth="1"/>
    <col min="12809" max="12809" width="2.28515625" style="4" customWidth="1"/>
    <col min="12810" max="12811" width="3.7109375" style="4" customWidth="1"/>
    <col min="12812" max="12812" width="2.28515625" style="4" customWidth="1"/>
    <col min="12813" max="12814" width="3.7109375" style="4" customWidth="1"/>
    <col min="12815" max="12815" width="2.28515625" style="4" customWidth="1"/>
    <col min="12816" max="12817" width="3.7109375" style="4" customWidth="1"/>
    <col min="12818" max="12818" width="2.28515625" style="4" customWidth="1"/>
    <col min="12819" max="12820" width="3.7109375" style="4" customWidth="1"/>
    <col min="12821" max="12821" width="2.28515625" style="4" customWidth="1"/>
    <col min="12822" max="12823" width="3.7109375" style="4" customWidth="1"/>
    <col min="12824" max="12824" width="2.28515625" style="4" customWidth="1"/>
    <col min="12825" max="12826" width="3.7109375" style="4" customWidth="1"/>
    <col min="12827" max="12827" width="2.28515625" style="4" customWidth="1"/>
    <col min="12828" max="12829" width="3.7109375" style="4" customWidth="1"/>
    <col min="12830" max="12830" width="2.28515625" style="4" customWidth="1"/>
    <col min="12831" max="12831" width="3.7109375" style="4" customWidth="1"/>
    <col min="12832" max="12832" width="9.7109375" style="4" customWidth="1"/>
    <col min="12833" max="12842" width="3.7109375" style="4" customWidth="1"/>
    <col min="12843" max="12843" width="11" style="4" customWidth="1"/>
    <col min="12844" max="12846" width="8.85546875" style="4"/>
    <col min="12847" max="12847" width="21" style="4" customWidth="1"/>
    <col min="12848" max="12848" width="24.42578125" style="4" customWidth="1"/>
    <col min="12849" max="12849" width="15.28515625" style="4" customWidth="1"/>
    <col min="12850" max="12850" width="10.5703125" style="4" customWidth="1"/>
    <col min="12851" max="12851" width="11.28515625" style="4" customWidth="1"/>
    <col min="12852" max="12852" width="25" style="4" customWidth="1"/>
    <col min="12853" max="12853" width="6" style="4" customWidth="1"/>
    <col min="12854" max="13057" width="8.85546875" style="4"/>
    <col min="13058" max="13058" width="3.7109375" style="4" customWidth="1"/>
    <col min="13059" max="13059" width="2.28515625" style="4" customWidth="1"/>
    <col min="13060" max="13061" width="3.7109375" style="4" customWidth="1"/>
    <col min="13062" max="13062" width="2.28515625" style="4" customWidth="1"/>
    <col min="13063" max="13064" width="3.7109375" style="4" customWidth="1"/>
    <col min="13065" max="13065" width="2.28515625" style="4" customWidth="1"/>
    <col min="13066" max="13067" width="3.7109375" style="4" customWidth="1"/>
    <col min="13068" max="13068" width="2.28515625" style="4" customWidth="1"/>
    <col min="13069" max="13070" width="3.7109375" style="4" customWidth="1"/>
    <col min="13071" max="13071" width="2.28515625" style="4" customWidth="1"/>
    <col min="13072" max="13073" width="3.7109375" style="4" customWidth="1"/>
    <col min="13074" max="13074" width="2.28515625" style="4" customWidth="1"/>
    <col min="13075" max="13076" width="3.7109375" style="4" customWidth="1"/>
    <col min="13077" max="13077" width="2.28515625" style="4" customWidth="1"/>
    <col min="13078" max="13079" width="3.7109375" style="4" customWidth="1"/>
    <col min="13080" max="13080" width="2.28515625" style="4" customWidth="1"/>
    <col min="13081" max="13082" width="3.7109375" style="4" customWidth="1"/>
    <col min="13083" max="13083" width="2.28515625" style="4" customWidth="1"/>
    <col min="13084" max="13085" width="3.7109375" style="4" customWidth="1"/>
    <col min="13086" max="13086" width="2.28515625" style="4" customWidth="1"/>
    <col min="13087" max="13087" width="3.7109375" style="4" customWidth="1"/>
    <col min="13088" max="13088" width="9.7109375" style="4" customWidth="1"/>
    <col min="13089" max="13098" width="3.7109375" style="4" customWidth="1"/>
    <col min="13099" max="13099" width="11" style="4" customWidth="1"/>
    <col min="13100" max="13102" width="8.85546875" style="4"/>
    <col min="13103" max="13103" width="21" style="4" customWidth="1"/>
    <col min="13104" max="13104" width="24.42578125" style="4" customWidth="1"/>
    <col min="13105" max="13105" width="15.28515625" style="4" customWidth="1"/>
    <col min="13106" max="13106" width="10.5703125" style="4" customWidth="1"/>
    <col min="13107" max="13107" width="11.28515625" style="4" customWidth="1"/>
    <col min="13108" max="13108" width="25" style="4" customWidth="1"/>
    <col min="13109" max="13109" width="6" style="4" customWidth="1"/>
    <col min="13110" max="13313" width="8.85546875" style="4"/>
    <col min="13314" max="13314" width="3.7109375" style="4" customWidth="1"/>
    <col min="13315" max="13315" width="2.28515625" style="4" customWidth="1"/>
    <col min="13316" max="13317" width="3.7109375" style="4" customWidth="1"/>
    <col min="13318" max="13318" width="2.28515625" style="4" customWidth="1"/>
    <col min="13319" max="13320" width="3.7109375" style="4" customWidth="1"/>
    <col min="13321" max="13321" width="2.28515625" style="4" customWidth="1"/>
    <col min="13322" max="13323" width="3.7109375" style="4" customWidth="1"/>
    <col min="13324" max="13324" width="2.28515625" style="4" customWidth="1"/>
    <col min="13325" max="13326" width="3.7109375" style="4" customWidth="1"/>
    <col min="13327" max="13327" width="2.28515625" style="4" customWidth="1"/>
    <col min="13328" max="13329" width="3.7109375" style="4" customWidth="1"/>
    <col min="13330" max="13330" width="2.28515625" style="4" customWidth="1"/>
    <col min="13331" max="13332" width="3.7109375" style="4" customWidth="1"/>
    <col min="13333" max="13333" width="2.28515625" style="4" customWidth="1"/>
    <col min="13334" max="13335" width="3.7109375" style="4" customWidth="1"/>
    <col min="13336" max="13336" width="2.28515625" style="4" customWidth="1"/>
    <col min="13337" max="13338" width="3.7109375" style="4" customWidth="1"/>
    <col min="13339" max="13339" width="2.28515625" style="4" customWidth="1"/>
    <col min="13340" max="13341" width="3.7109375" style="4" customWidth="1"/>
    <col min="13342" max="13342" width="2.28515625" style="4" customWidth="1"/>
    <col min="13343" max="13343" width="3.7109375" style="4" customWidth="1"/>
    <col min="13344" max="13344" width="9.7109375" style="4" customWidth="1"/>
    <col min="13345" max="13354" width="3.7109375" style="4" customWidth="1"/>
    <col min="13355" max="13355" width="11" style="4" customWidth="1"/>
    <col min="13356" max="13358" width="8.85546875" style="4"/>
    <col min="13359" max="13359" width="21" style="4" customWidth="1"/>
    <col min="13360" max="13360" width="24.42578125" style="4" customWidth="1"/>
    <col min="13361" max="13361" width="15.28515625" style="4" customWidth="1"/>
    <col min="13362" max="13362" width="10.5703125" style="4" customWidth="1"/>
    <col min="13363" max="13363" width="11.28515625" style="4" customWidth="1"/>
    <col min="13364" max="13364" width="25" style="4" customWidth="1"/>
    <col min="13365" max="13365" width="6" style="4" customWidth="1"/>
    <col min="13366" max="13569" width="8.85546875" style="4"/>
    <col min="13570" max="13570" width="3.7109375" style="4" customWidth="1"/>
    <col min="13571" max="13571" width="2.28515625" style="4" customWidth="1"/>
    <col min="13572" max="13573" width="3.7109375" style="4" customWidth="1"/>
    <col min="13574" max="13574" width="2.28515625" style="4" customWidth="1"/>
    <col min="13575" max="13576" width="3.7109375" style="4" customWidth="1"/>
    <col min="13577" max="13577" width="2.28515625" style="4" customWidth="1"/>
    <col min="13578" max="13579" width="3.7109375" style="4" customWidth="1"/>
    <col min="13580" max="13580" width="2.28515625" style="4" customWidth="1"/>
    <col min="13581" max="13582" width="3.7109375" style="4" customWidth="1"/>
    <col min="13583" max="13583" width="2.28515625" style="4" customWidth="1"/>
    <col min="13584" max="13585" width="3.7109375" style="4" customWidth="1"/>
    <col min="13586" max="13586" width="2.28515625" style="4" customWidth="1"/>
    <col min="13587" max="13588" width="3.7109375" style="4" customWidth="1"/>
    <col min="13589" max="13589" width="2.28515625" style="4" customWidth="1"/>
    <col min="13590" max="13591" width="3.7109375" style="4" customWidth="1"/>
    <col min="13592" max="13592" width="2.28515625" style="4" customWidth="1"/>
    <col min="13593" max="13594" width="3.7109375" style="4" customWidth="1"/>
    <col min="13595" max="13595" width="2.28515625" style="4" customWidth="1"/>
    <col min="13596" max="13597" width="3.7109375" style="4" customWidth="1"/>
    <col min="13598" max="13598" width="2.28515625" style="4" customWidth="1"/>
    <col min="13599" max="13599" width="3.7109375" style="4" customWidth="1"/>
    <col min="13600" max="13600" width="9.7109375" style="4" customWidth="1"/>
    <col min="13601" max="13610" width="3.7109375" style="4" customWidth="1"/>
    <col min="13611" max="13611" width="11" style="4" customWidth="1"/>
    <col min="13612" max="13614" width="8.85546875" style="4"/>
    <col min="13615" max="13615" width="21" style="4" customWidth="1"/>
    <col min="13616" max="13616" width="24.42578125" style="4" customWidth="1"/>
    <col min="13617" max="13617" width="15.28515625" style="4" customWidth="1"/>
    <col min="13618" max="13618" width="10.5703125" style="4" customWidth="1"/>
    <col min="13619" max="13619" width="11.28515625" style="4" customWidth="1"/>
    <col min="13620" max="13620" width="25" style="4" customWidth="1"/>
    <col min="13621" max="13621" width="6" style="4" customWidth="1"/>
    <col min="13622" max="13825" width="8.85546875" style="4"/>
    <col min="13826" max="13826" width="3.7109375" style="4" customWidth="1"/>
    <col min="13827" max="13827" width="2.28515625" style="4" customWidth="1"/>
    <col min="13828" max="13829" width="3.7109375" style="4" customWidth="1"/>
    <col min="13830" max="13830" width="2.28515625" style="4" customWidth="1"/>
    <col min="13831" max="13832" width="3.7109375" style="4" customWidth="1"/>
    <col min="13833" max="13833" width="2.28515625" style="4" customWidth="1"/>
    <col min="13834" max="13835" width="3.7109375" style="4" customWidth="1"/>
    <col min="13836" max="13836" width="2.28515625" style="4" customWidth="1"/>
    <col min="13837" max="13838" width="3.7109375" style="4" customWidth="1"/>
    <col min="13839" max="13839" width="2.28515625" style="4" customWidth="1"/>
    <col min="13840" max="13841" width="3.7109375" style="4" customWidth="1"/>
    <col min="13842" max="13842" width="2.28515625" style="4" customWidth="1"/>
    <col min="13843" max="13844" width="3.7109375" style="4" customWidth="1"/>
    <col min="13845" max="13845" width="2.28515625" style="4" customWidth="1"/>
    <col min="13846" max="13847" width="3.7109375" style="4" customWidth="1"/>
    <col min="13848" max="13848" width="2.28515625" style="4" customWidth="1"/>
    <col min="13849" max="13850" width="3.7109375" style="4" customWidth="1"/>
    <col min="13851" max="13851" width="2.28515625" style="4" customWidth="1"/>
    <col min="13852" max="13853" width="3.7109375" style="4" customWidth="1"/>
    <col min="13854" max="13854" width="2.28515625" style="4" customWidth="1"/>
    <col min="13855" max="13855" width="3.7109375" style="4" customWidth="1"/>
    <col min="13856" max="13856" width="9.7109375" style="4" customWidth="1"/>
    <col min="13857" max="13866" width="3.7109375" style="4" customWidth="1"/>
    <col min="13867" max="13867" width="11" style="4" customWidth="1"/>
    <col min="13868" max="13870" width="8.85546875" style="4"/>
    <col min="13871" max="13871" width="21" style="4" customWidth="1"/>
    <col min="13872" max="13872" width="24.42578125" style="4" customWidth="1"/>
    <col min="13873" max="13873" width="15.28515625" style="4" customWidth="1"/>
    <col min="13874" max="13874" width="10.5703125" style="4" customWidth="1"/>
    <col min="13875" max="13875" width="11.28515625" style="4" customWidth="1"/>
    <col min="13876" max="13876" width="25" style="4" customWidth="1"/>
    <col min="13877" max="13877" width="6" style="4" customWidth="1"/>
    <col min="13878" max="14081" width="8.85546875" style="4"/>
    <col min="14082" max="14082" width="3.7109375" style="4" customWidth="1"/>
    <col min="14083" max="14083" width="2.28515625" style="4" customWidth="1"/>
    <col min="14084" max="14085" width="3.7109375" style="4" customWidth="1"/>
    <col min="14086" max="14086" width="2.28515625" style="4" customWidth="1"/>
    <col min="14087" max="14088" width="3.7109375" style="4" customWidth="1"/>
    <col min="14089" max="14089" width="2.28515625" style="4" customWidth="1"/>
    <col min="14090" max="14091" width="3.7109375" style="4" customWidth="1"/>
    <col min="14092" max="14092" width="2.28515625" style="4" customWidth="1"/>
    <col min="14093" max="14094" width="3.7109375" style="4" customWidth="1"/>
    <col min="14095" max="14095" width="2.28515625" style="4" customWidth="1"/>
    <col min="14096" max="14097" width="3.7109375" style="4" customWidth="1"/>
    <col min="14098" max="14098" width="2.28515625" style="4" customWidth="1"/>
    <col min="14099" max="14100" width="3.7109375" style="4" customWidth="1"/>
    <col min="14101" max="14101" width="2.28515625" style="4" customWidth="1"/>
    <col min="14102" max="14103" width="3.7109375" style="4" customWidth="1"/>
    <col min="14104" max="14104" width="2.28515625" style="4" customWidth="1"/>
    <col min="14105" max="14106" width="3.7109375" style="4" customWidth="1"/>
    <col min="14107" max="14107" width="2.28515625" style="4" customWidth="1"/>
    <col min="14108" max="14109" width="3.7109375" style="4" customWidth="1"/>
    <col min="14110" max="14110" width="2.28515625" style="4" customWidth="1"/>
    <col min="14111" max="14111" width="3.7109375" style="4" customWidth="1"/>
    <col min="14112" max="14112" width="9.7109375" style="4" customWidth="1"/>
    <col min="14113" max="14122" width="3.7109375" style="4" customWidth="1"/>
    <col min="14123" max="14123" width="11" style="4" customWidth="1"/>
    <col min="14124" max="14126" width="8.85546875" style="4"/>
    <col min="14127" max="14127" width="21" style="4" customWidth="1"/>
    <col min="14128" max="14128" width="24.42578125" style="4" customWidth="1"/>
    <col min="14129" max="14129" width="15.28515625" style="4" customWidth="1"/>
    <col min="14130" max="14130" width="10.5703125" style="4" customWidth="1"/>
    <col min="14131" max="14131" width="11.28515625" style="4" customWidth="1"/>
    <col min="14132" max="14132" width="25" style="4" customWidth="1"/>
    <col min="14133" max="14133" width="6" style="4" customWidth="1"/>
    <col min="14134" max="14337" width="8.85546875" style="4"/>
    <col min="14338" max="14338" width="3.7109375" style="4" customWidth="1"/>
    <col min="14339" max="14339" width="2.28515625" style="4" customWidth="1"/>
    <col min="14340" max="14341" width="3.7109375" style="4" customWidth="1"/>
    <col min="14342" max="14342" width="2.28515625" style="4" customWidth="1"/>
    <col min="14343" max="14344" width="3.7109375" style="4" customWidth="1"/>
    <col min="14345" max="14345" width="2.28515625" style="4" customWidth="1"/>
    <col min="14346" max="14347" width="3.7109375" style="4" customWidth="1"/>
    <col min="14348" max="14348" width="2.28515625" style="4" customWidth="1"/>
    <col min="14349" max="14350" width="3.7109375" style="4" customWidth="1"/>
    <col min="14351" max="14351" width="2.28515625" style="4" customWidth="1"/>
    <col min="14352" max="14353" width="3.7109375" style="4" customWidth="1"/>
    <col min="14354" max="14354" width="2.28515625" style="4" customWidth="1"/>
    <col min="14355" max="14356" width="3.7109375" style="4" customWidth="1"/>
    <col min="14357" max="14357" width="2.28515625" style="4" customWidth="1"/>
    <col min="14358" max="14359" width="3.7109375" style="4" customWidth="1"/>
    <col min="14360" max="14360" width="2.28515625" style="4" customWidth="1"/>
    <col min="14361" max="14362" width="3.7109375" style="4" customWidth="1"/>
    <col min="14363" max="14363" width="2.28515625" style="4" customWidth="1"/>
    <col min="14364" max="14365" width="3.7109375" style="4" customWidth="1"/>
    <col min="14366" max="14366" width="2.28515625" style="4" customWidth="1"/>
    <col min="14367" max="14367" width="3.7109375" style="4" customWidth="1"/>
    <col min="14368" max="14368" width="9.7109375" style="4" customWidth="1"/>
    <col min="14369" max="14378" width="3.7109375" style="4" customWidth="1"/>
    <col min="14379" max="14379" width="11" style="4" customWidth="1"/>
    <col min="14380" max="14382" width="8.85546875" style="4"/>
    <col min="14383" max="14383" width="21" style="4" customWidth="1"/>
    <col min="14384" max="14384" width="24.42578125" style="4" customWidth="1"/>
    <col min="14385" max="14385" width="15.28515625" style="4" customWidth="1"/>
    <col min="14386" max="14386" width="10.5703125" style="4" customWidth="1"/>
    <col min="14387" max="14387" width="11.28515625" style="4" customWidth="1"/>
    <col min="14388" max="14388" width="25" style="4" customWidth="1"/>
    <col min="14389" max="14389" width="6" style="4" customWidth="1"/>
    <col min="14390" max="14593" width="8.85546875" style="4"/>
    <col min="14594" max="14594" width="3.7109375" style="4" customWidth="1"/>
    <col min="14595" max="14595" width="2.28515625" style="4" customWidth="1"/>
    <col min="14596" max="14597" width="3.7109375" style="4" customWidth="1"/>
    <col min="14598" max="14598" width="2.28515625" style="4" customWidth="1"/>
    <col min="14599" max="14600" width="3.7109375" style="4" customWidth="1"/>
    <col min="14601" max="14601" width="2.28515625" style="4" customWidth="1"/>
    <col min="14602" max="14603" width="3.7109375" style="4" customWidth="1"/>
    <col min="14604" max="14604" width="2.28515625" style="4" customWidth="1"/>
    <col min="14605" max="14606" width="3.7109375" style="4" customWidth="1"/>
    <col min="14607" max="14607" width="2.28515625" style="4" customWidth="1"/>
    <col min="14608" max="14609" width="3.7109375" style="4" customWidth="1"/>
    <col min="14610" max="14610" width="2.28515625" style="4" customWidth="1"/>
    <col min="14611" max="14612" width="3.7109375" style="4" customWidth="1"/>
    <col min="14613" max="14613" width="2.28515625" style="4" customWidth="1"/>
    <col min="14614" max="14615" width="3.7109375" style="4" customWidth="1"/>
    <col min="14616" max="14616" width="2.28515625" style="4" customWidth="1"/>
    <col min="14617" max="14618" width="3.7109375" style="4" customWidth="1"/>
    <col min="14619" max="14619" width="2.28515625" style="4" customWidth="1"/>
    <col min="14620" max="14621" width="3.7109375" style="4" customWidth="1"/>
    <col min="14622" max="14622" width="2.28515625" style="4" customWidth="1"/>
    <col min="14623" max="14623" width="3.7109375" style="4" customWidth="1"/>
    <col min="14624" max="14624" width="9.7109375" style="4" customWidth="1"/>
    <col min="14625" max="14634" width="3.7109375" style="4" customWidth="1"/>
    <col min="14635" max="14635" width="11" style="4" customWidth="1"/>
    <col min="14636" max="14638" width="8.85546875" style="4"/>
    <col min="14639" max="14639" width="21" style="4" customWidth="1"/>
    <col min="14640" max="14640" width="24.42578125" style="4" customWidth="1"/>
    <col min="14641" max="14641" width="15.28515625" style="4" customWidth="1"/>
    <col min="14642" max="14642" width="10.5703125" style="4" customWidth="1"/>
    <col min="14643" max="14643" width="11.28515625" style="4" customWidth="1"/>
    <col min="14644" max="14644" width="25" style="4" customWidth="1"/>
    <col min="14645" max="14645" width="6" style="4" customWidth="1"/>
    <col min="14646" max="14849" width="8.85546875" style="4"/>
    <col min="14850" max="14850" width="3.7109375" style="4" customWidth="1"/>
    <col min="14851" max="14851" width="2.28515625" style="4" customWidth="1"/>
    <col min="14852" max="14853" width="3.7109375" style="4" customWidth="1"/>
    <col min="14854" max="14854" width="2.28515625" style="4" customWidth="1"/>
    <col min="14855" max="14856" width="3.7109375" style="4" customWidth="1"/>
    <col min="14857" max="14857" width="2.28515625" style="4" customWidth="1"/>
    <col min="14858" max="14859" width="3.7109375" style="4" customWidth="1"/>
    <col min="14860" max="14860" width="2.28515625" style="4" customWidth="1"/>
    <col min="14861" max="14862" width="3.7109375" style="4" customWidth="1"/>
    <col min="14863" max="14863" width="2.28515625" style="4" customWidth="1"/>
    <col min="14864" max="14865" width="3.7109375" style="4" customWidth="1"/>
    <col min="14866" max="14866" width="2.28515625" style="4" customWidth="1"/>
    <col min="14867" max="14868" width="3.7109375" style="4" customWidth="1"/>
    <col min="14869" max="14869" width="2.28515625" style="4" customWidth="1"/>
    <col min="14870" max="14871" width="3.7109375" style="4" customWidth="1"/>
    <col min="14872" max="14872" width="2.28515625" style="4" customWidth="1"/>
    <col min="14873" max="14874" width="3.7109375" style="4" customWidth="1"/>
    <col min="14875" max="14875" width="2.28515625" style="4" customWidth="1"/>
    <col min="14876" max="14877" width="3.7109375" style="4" customWidth="1"/>
    <col min="14878" max="14878" width="2.28515625" style="4" customWidth="1"/>
    <col min="14879" max="14879" width="3.7109375" style="4" customWidth="1"/>
    <col min="14880" max="14880" width="9.7109375" style="4" customWidth="1"/>
    <col min="14881" max="14890" width="3.7109375" style="4" customWidth="1"/>
    <col min="14891" max="14891" width="11" style="4" customWidth="1"/>
    <col min="14892" max="14894" width="8.85546875" style="4"/>
    <col min="14895" max="14895" width="21" style="4" customWidth="1"/>
    <col min="14896" max="14896" width="24.42578125" style="4" customWidth="1"/>
    <col min="14897" max="14897" width="15.28515625" style="4" customWidth="1"/>
    <col min="14898" max="14898" width="10.5703125" style="4" customWidth="1"/>
    <col min="14899" max="14899" width="11.28515625" style="4" customWidth="1"/>
    <col min="14900" max="14900" width="25" style="4" customWidth="1"/>
    <col min="14901" max="14901" width="6" style="4" customWidth="1"/>
    <col min="14902" max="15105" width="8.85546875" style="4"/>
    <col min="15106" max="15106" width="3.7109375" style="4" customWidth="1"/>
    <col min="15107" max="15107" width="2.28515625" style="4" customWidth="1"/>
    <col min="15108" max="15109" width="3.7109375" style="4" customWidth="1"/>
    <col min="15110" max="15110" width="2.28515625" style="4" customWidth="1"/>
    <col min="15111" max="15112" width="3.7109375" style="4" customWidth="1"/>
    <col min="15113" max="15113" width="2.28515625" style="4" customWidth="1"/>
    <col min="15114" max="15115" width="3.7109375" style="4" customWidth="1"/>
    <col min="15116" max="15116" width="2.28515625" style="4" customWidth="1"/>
    <col min="15117" max="15118" width="3.7109375" style="4" customWidth="1"/>
    <col min="15119" max="15119" width="2.28515625" style="4" customWidth="1"/>
    <col min="15120" max="15121" width="3.7109375" style="4" customWidth="1"/>
    <col min="15122" max="15122" width="2.28515625" style="4" customWidth="1"/>
    <col min="15123" max="15124" width="3.7109375" style="4" customWidth="1"/>
    <col min="15125" max="15125" width="2.28515625" style="4" customWidth="1"/>
    <col min="15126" max="15127" width="3.7109375" style="4" customWidth="1"/>
    <col min="15128" max="15128" width="2.28515625" style="4" customWidth="1"/>
    <col min="15129" max="15130" width="3.7109375" style="4" customWidth="1"/>
    <col min="15131" max="15131" width="2.28515625" style="4" customWidth="1"/>
    <col min="15132" max="15133" width="3.7109375" style="4" customWidth="1"/>
    <col min="15134" max="15134" width="2.28515625" style="4" customWidth="1"/>
    <col min="15135" max="15135" width="3.7109375" style="4" customWidth="1"/>
    <col min="15136" max="15136" width="9.7109375" style="4" customWidth="1"/>
    <col min="15137" max="15146" width="3.7109375" style="4" customWidth="1"/>
    <col min="15147" max="15147" width="11" style="4" customWidth="1"/>
    <col min="15148" max="15150" width="8.85546875" style="4"/>
    <col min="15151" max="15151" width="21" style="4" customWidth="1"/>
    <col min="15152" max="15152" width="24.42578125" style="4" customWidth="1"/>
    <col min="15153" max="15153" width="15.28515625" style="4" customWidth="1"/>
    <col min="15154" max="15154" width="10.5703125" style="4" customWidth="1"/>
    <col min="15155" max="15155" width="11.28515625" style="4" customWidth="1"/>
    <col min="15156" max="15156" width="25" style="4" customWidth="1"/>
    <col min="15157" max="15157" width="6" style="4" customWidth="1"/>
    <col min="15158" max="15361" width="8.85546875" style="4"/>
    <col min="15362" max="15362" width="3.7109375" style="4" customWidth="1"/>
    <col min="15363" max="15363" width="2.28515625" style="4" customWidth="1"/>
    <col min="15364" max="15365" width="3.7109375" style="4" customWidth="1"/>
    <col min="15366" max="15366" width="2.28515625" style="4" customWidth="1"/>
    <col min="15367" max="15368" width="3.7109375" style="4" customWidth="1"/>
    <col min="15369" max="15369" width="2.28515625" style="4" customWidth="1"/>
    <col min="15370" max="15371" width="3.7109375" style="4" customWidth="1"/>
    <col min="15372" max="15372" width="2.28515625" style="4" customWidth="1"/>
    <col min="15373" max="15374" width="3.7109375" style="4" customWidth="1"/>
    <col min="15375" max="15375" width="2.28515625" style="4" customWidth="1"/>
    <col min="15376" max="15377" width="3.7109375" style="4" customWidth="1"/>
    <col min="15378" max="15378" width="2.28515625" style="4" customWidth="1"/>
    <col min="15379" max="15380" width="3.7109375" style="4" customWidth="1"/>
    <col min="15381" max="15381" width="2.28515625" style="4" customWidth="1"/>
    <col min="15382" max="15383" width="3.7109375" style="4" customWidth="1"/>
    <col min="15384" max="15384" width="2.28515625" style="4" customWidth="1"/>
    <col min="15385" max="15386" width="3.7109375" style="4" customWidth="1"/>
    <col min="15387" max="15387" width="2.28515625" style="4" customWidth="1"/>
    <col min="15388" max="15389" width="3.7109375" style="4" customWidth="1"/>
    <col min="15390" max="15390" width="2.28515625" style="4" customWidth="1"/>
    <col min="15391" max="15391" width="3.7109375" style="4" customWidth="1"/>
    <col min="15392" max="15392" width="9.7109375" style="4" customWidth="1"/>
    <col min="15393" max="15402" width="3.7109375" style="4" customWidth="1"/>
    <col min="15403" max="15403" width="11" style="4" customWidth="1"/>
    <col min="15404" max="15406" width="8.85546875" style="4"/>
    <col min="15407" max="15407" width="21" style="4" customWidth="1"/>
    <col min="15408" max="15408" width="24.42578125" style="4" customWidth="1"/>
    <col min="15409" max="15409" width="15.28515625" style="4" customWidth="1"/>
    <col min="15410" max="15410" width="10.5703125" style="4" customWidth="1"/>
    <col min="15411" max="15411" width="11.28515625" style="4" customWidth="1"/>
    <col min="15412" max="15412" width="25" style="4" customWidth="1"/>
    <col min="15413" max="15413" width="6" style="4" customWidth="1"/>
    <col min="15414" max="15617" width="8.85546875" style="4"/>
    <col min="15618" max="15618" width="3.7109375" style="4" customWidth="1"/>
    <col min="15619" max="15619" width="2.28515625" style="4" customWidth="1"/>
    <col min="15620" max="15621" width="3.7109375" style="4" customWidth="1"/>
    <col min="15622" max="15622" width="2.28515625" style="4" customWidth="1"/>
    <col min="15623" max="15624" width="3.7109375" style="4" customWidth="1"/>
    <col min="15625" max="15625" width="2.28515625" style="4" customWidth="1"/>
    <col min="15626" max="15627" width="3.7109375" style="4" customWidth="1"/>
    <col min="15628" max="15628" width="2.28515625" style="4" customWidth="1"/>
    <col min="15629" max="15630" width="3.7109375" style="4" customWidth="1"/>
    <col min="15631" max="15631" width="2.28515625" style="4" customWidth="1"/>
    <col min="15632" max="15633" width="3.7109375" style="4" customWidth="1"/>
    <col min="15634" max="15634" width="2.28515625" style="4" customWidth="1"/>
    <col min="15635" max="15636" width="3.7109375" style="4" customWidth="1"/>
    <col min="15637" max="15637" width="2.28515625" style="4" customWidth="1"/>
    <col min="15638" max="15639" width="3.7109375" style="4" customWidth="1"/>
    <col min="15640" max="15640" width="2.28515625" style="4" customWidth="1"/>
    <col min="15641" max="15642" width="3.7109375" style="4" customWidth="1"/>
    <col min="15643" max="15643" width="2.28515625" style="4" customWidth="1"/>
    <col min="15644" max="15645" width="3.7109375" style="4" customWidth="1"/>
    <col min="15646" max="15646" width="2.28515625" style="4" customWidth="1"/>
    <col min="15647" max="15647" width="3.7109375" style="4" customWidth="1"/>
    <col min="15648" max="15648" width="9.7109375" style="4" customWidth="1"/>
    <col min="15649" max="15658" width="3.7109375" style="4" customWidth="1"/>
    <col min="15659" max="15659" width="11" style="4" customWidth="1"/>
    <col min="15660" max="15662" width="8.85546875" style="4"/>
    <col min="15663" max="15663" width="21" style="4" customWidth="1"/>
    <col min="15664" max="15664" width="24.42578125" style="4" customWidth="1"/>
    <col min="15665" max="15665" width="15.28515625" style="4" customWidth="1"/>
    <col min="15666" max="15666" width="10.5703125" style="4" customWidth="1"/>
    <col min="15667" max="15667" width="11.28515625" style="4" customWidth="1"/>
    <col min="15668" max="15668" width="25" style="4" customWidth="1"/>
    <col min="15669" max="15669" width="6" style="4" customWidth="1"/>
    <col min="15670" max="15873" width="8.85546875" style="4"/>
    <col min="15874" max="15874" width="3.7109375" style="4" customWidth="1"/>
    <col min="15875" max="15875" width="2.28515625" style="4" customWidth="1"/>
    <col min="15876" max="15877" width="3.7109375" style="4" customWidth="1"/>
    <col min="15878" max="15878" width="2.28515625" style="4" customWidth="1"/>
    <col min="15879" max="15880" width="3.7109375" style="4" customWidth="1"/>
    <col min="15881" max="15881" width="2.28515625" style="4" customWidth="1"/>
    <col min="15882" max="15883" width="3.7109375" style="4" customWidth="1"/>
    <col min="15884" max="15884" width="2.28515625" style="4" customWidth="1"/>
    <col min="15885" max="15886" width="3.7109375" style="4" customWidth="1"/>
    <col min="15887" max="15887" width="2.28515625" style="4" customWidth="1"/>
    <col min="15888" max="15889" width="3.7109375" style="4" customWidth="1"/>
    <col min="15890" max="15890" width="2.28515625" style="4" customWidth="1"/>
    <col min="15891" max="15892" width="3.7109375" style="4" customWidth="1"/>
    <col min="15893" max="15893" width="2.28515625" style="4" customWidth="1"/>
    <col min="15894" max="15895" width="3.7109375" style="4" customWidth="1"/>
    <col min="15896" max="15896" width="2.28515625" style="4" customWidth="1"/>
    <col min="15897" max="15898" width="3.7109375" style="4" customWidth="1"/>
    <col min="15899" max="15899" width="2.28515625" style="4" customWidth="1"/>
    <col min="15900" max="15901" width="3.7109375" style="4" customWidth="1"/>
    <col min="15902" max="15902" width="2.28515625" style="4" customWidth="1"/>
    <col min="15903" max="15903" width="3.7109375" style="4" customWidth="1"/>
    <col min="15904" max="15904" width="9.7109375" style="4" customWidth="1"/>
    <col min="15905" max="15914" width="3.7109375" style="4" customWidth="1"/>
    <col min="15915" max="15915" width="11" style="4" customWidth="1"/>
    <col min="15916" max="15918" width="8.85546875" style="4"/>
    <col min="15919" max="15919" width="21" style="4" customWidth="1"/>
    <col min="15920" max="15920" width="24.42578125" style="4" customWidth="1"/>
    <col min="15921" max="15921" width="15.28515625" style="4" customWidth="1"/>
    <col min="15922" max="15922" width="10.5703125" style="4" customWidth="1"/>
    <col min="15923" max="15923" width="11.28515625" style="4" customWidth="1"/>
    <col min="15924" max="15924" width="25" style="4" customWidth="1"/>
    <col min="15925" max="15925" width="6" style="4" customWidth="1"/>
    <col min="15926" max="16129" width="8.85546875" style="4"/>
    <col min="16130" max="16130" width="3.7109375" style="4" customWidth="1"/>
    <col min="16131" max="16131" width="2.28515625" style="4" customWidth="1"/>
    <col min="16132" max="16133" width="3.7109375" style="4" customWidth="1"/>
    <col min="16134" max="16134" width="2.28515625" style="4" customWidth="1"/>
    <col min="16135" max="16136" width="3.7109375" style="4" customWidth="1"/>
    <col min="16137" max="16137" width="2.28515625" style="4" customWidth="1"/>
    <col min="16138" max="16139" width="3.7109375" style="4" customWidth="1"/>
    <col min="16140" max="16140" width="2.28515625" style="4" customWidth="1"/>
    <col min="16141" max="16142" width="3.7109375" style="4" customWidth="1"/>
    <col min="16143" max="16143" width="2.28515625" style="4" customWidth="1"/>
    <col min="16144" max="16145" width="3.7109375" style="4" customWidth="1"/>
    <col min="16146" max="16146" width="2.28515625" style="4" customWidth="1"/>
    <col min="16147" max="16148" width="3.7109375" style="4" customWidth="1"/>
    <col min="16149" max="16149" width="2.28515625" style="4" customWidth="1"/>
    <col min="16150" max="16151" width="3.7109375" style="4" customWidth="1"/>
    <col min="16152" max="16152" width="2.28515625" style="4" customWidth="1"/>
    <col min="16153" max="16154" width="3.7109375" style="4" customWidth="1"/>
    <col min="16155" max="16155" width="2.28515625" style="4" customWidth="1"/>
    <col min="16156" max="16157" width="3.7109375" style="4" customWidth="1"/>
    <col min="16158" max="16158" width="2.28515625" style="4" customWidth="1"/>
    <col min="16159" max="16159" width="3.7109375" style="4" customWidth="1"/>
    <col min="16160" max="16160" width="9.7109375" style="4" customWidth="1"/>
    <col min="16161" max="16170" width="3.7109375" style="4" customWidth="1"/>
    <col min="16171" max="16171" width="11" style="4" customWidth="1"/>
    <col min="16172" max="16174" width="8.85546875" style="4"/>
    <col min="16175" max="16175" width="21" style="4" customWidth="1"/>
    <col min="16176" max="16176" width="24.42578125" style="4" customWidth="1"/>
    <col min="16177" max="16177" width="15.28515625" style="4" customWidth="1"/>
    <col min="16178" max="16178" width="10.5703125" style="4" customWidth="1"/>
    <col min="16179" max="16179" width="11.28515625" style="4" customWidth="1"/>
    <col min="16180" max="16180" width="25" style="4" customWidth="1"/>
    <col min="16181" max="16181" width="6" style="4" customWidth="1"/>
    <col min="16182" max="16384" width="8.85546875" style="4"/>
  </cols>
  <sheetData>
    <row r="1" spans="1:53" ht="13.5" thickBot="1" x14ac:dyDescent="0.25">
      <c r="A1" s="404" t="s">
        <v>0</v>
      </c>
      <c r="B1" s="404"/>
      <c r="C1" s="404"/>
      <c r="D1" s="404"/>
      <c r="E1" s="404"/>
      <c r="F1" s="404"/>
      <c r="G1" s="404"/>
      <c r="H1" s="404"/>
      <c r="I1" s="404"/>
      <c r="J1" s="404"/>
      <c r="K1" s="404"/>
      <c r="L1" s="404"/>
      <c r="M1" s="404"/>
      <c r="N1" s="404"/>
      <c r="O1" s="404"/>
      <c r="P1" s="404"/>
      <c r="Q1" s="404"/>
      <c r="R1" s="404"/>
      <c r="S1" s="404"/>
      <c r="T1" s="404"/>
      <c r="U1" s="404"/>
      <c r="V1" s="404"/>
      <c r="W1" s="404"/>
      <c r="X1" s="404"/>
      <c r="Y1" s="404"/>
      <c r="Z1" s="404"/>
      <c r="AA1" s="404"/>
      <c r="AB1" s="404"/>
      <c r="AC1" s="404"/>
      <c r="AD1" s="404"/>
      <c r="AE1" s="404"/>
      <c r="AF1" s="404"/>
      <c r="AG1" s="404"/>
      <c r="AH1" s="404"/>
      <c r="AI1" s="404"/>
      <c r="AJ1" s="1"/>
      <c r="AK1" s="1"/>
      <c r="AL1" s="1"/>
      <c r="AM1" s="1"/>
      <c r="AN1" s="1"/>
      <c r="AO1" s="1"/>
      <c r="AP1" s="1"/>
      <c r="AQ1" s="2" t="s">
        <v>1</v>
      </c>
      <c r="AR1" s="3"/>
      <c r="AT1" s="405" t="s">
        <v>2</v>
      </c>
      <c r="AU1" s="406"/>
      <c r="AV1" s="406"/>
      <c r="AW1" s="407"/>
      <c r="AX1" s="408" t="s">
        <v>3</v>
      </c>
      <c r="AY1" s="409"/>
      <c r="AZ1" s="6" t="s">
        <v>4</v>
      </c>
      <c r="BA1" s="7">
        <v>32</v>
      </c>
    </row>
    <row r="2" spans="1:53" ht="18.75" customHeight="1" thickBot="1" x14ac:dyDescent="0.3">
      <c r="A2" s="410" t="s">
        <v>5</v>
      </c>
      <c r="B2" s="411"/>
      <c r="C2" s="411"/>
      <c r="D2" s="411"/>
      <c r="E2" s="411"/>
      <c r="F2" s="411"/>
      <c r="G2" s="411"/>
      <c r="H2" s="411"/>
      <c r="I2" s="412"/>
      <c r="J2" s="413" t="s">
        <v>6</v>
      </c>
      <c r="K2" s="414"/>
      <c r="L2" s="414"/>
      <c r="M2" s="414"/>
      <c r="N2" s="414"/>
      <c r="O2" s="414"/>
      <c r="P2" s="414"/>
      <c r="Q2" s="414"/>
      <c r="R2" s="414"/>
      <c r="S2" s="414"/>
      <c r="T2" s="414"/>
      <c r="U2" s="414"/>
      <c r="V2" s="414"/>
      <c r="W2" s="414"/>
      <c r="X2" s="415"/>
      <c r="Y2" s="416" t="s">
        <v>7</v>
      </c>
      <c r="Z2" s="417"/>
      <c r="AA2" s="417"/>
      <c r="AB2" s="417"/>
      <c r="AC2" s="418"/>
      <c r="AD2" s="379" t="s">
        <v>8</v>
      </c>
      <c r="AE2" s="379"/>
      <c r="AF2" s="379"/>
      <c r="AG2" s="379"/>
      <c r="AH2" s="379"/>
      <c r="AI2" s="380"/>
      <c r="AJ2" s="8"/>
      <c r="AK2" s="8"/>
      <c r="AL2" s="8"/>
      <c r="AM2" s="8"/>
      <c r="AN2" s="8"/>
      <c r="AO2" s="8"/>
      <c r="AP2" s="8"/>
      <c r="AQ2" s="8"/>
      <c r="AR2" s="3"/>
      <c r="AT2" s="9" t="s">
        <v>9</v>
      </c>
      <c r="AU2" s="10" t="s">
        <v>10</v>
      </c>
      <c r="AV2" s="11" t="s">
        <v>11</v>
      </c>
      <c r="AW2" s="12" t="s">
        <v>12</v>
      </c>
      <c r="AX2" s="13" t="s">
        <v>13</v>
      </c>
      <c r="AY2" s="12" t="s">
        <v>14</v>
      </c>
      <c r="AZ2" s="6" t="s">
        <v>15</v>
      </c>
      <c r="BA2" s="7">
        <v>16</v>
      </c>
    </row>
    <row r="3" spans="1:53" ht="18.75" customHeight="1" thickBot="1" x14ac:dyDescent="0.3">
      <c r="A3" s="14" t="s">
        <v>16</v>
      </c>
      <c r="B3" s="384" t="s">
        <v>1028</v>
      </c>
      <c r="C3" s="385"/>
      <c r="D3" s="385"/>
      <c r="E3" s="385"/>
      <c r="F3" s="385"/>
      <c r="G3" s="385"/>
      <c r="H3" s="385"/>
      <c r="I3" s="385"/>
      <c r="J3" s="385"/>
      <c r="K3" s="385"/>
      <c r="L3" s="385"/>
      <c r="M3" s="385"/>
      <c r="N3" s="385"/>
      <c r="O3" s="386"/>
      <c r="P3" s="387" t="s">
        <v>18</v>
      </c>
      <c r="Q3" s="388"/>
      <c r="R3" s="388"/>
      <c r="S3" s="389">
        <v>15</v>
      </c>
      <c r="T3" s="390"/>
      <c r="U3" s="390"/>
      <c r="V3" s="390"/>
      <c r="W3" s="390"/>
      <c r="X3" s="391"/>
      <c r="Y3" s="392" t="s">
        <v>19</v>
      </c>
      <c r="Z3" s="393"/>
      <c r="AA3" s="393"/>
      <c r="AB3" s="393"/>
      <c r="AC3" s="393"/>
      <c r="AD3" s="394"/>
      <c r="AE3" s="419" t="s">
        <v>20</v>
      </c>
      <c r="AF3" s="420"/>
      <c r="AG3" s="395" t="s">
        <v>21</v>
      </c>
      <c r="AH3" s="395"/>
      <c r="AI3" s="396"/>
      <c r="AJ3" s="8"/>
      <c r="AK3" s="8"/>
      <c r="AL3" s="8"/>
      <c r="AM3" s="8"/>
      <c r="AN3" s="8"/>
      <c r="AO3" s="8"/>
      <c r="AP3" s="8"/>
      <c r="AQ3" s="8"/>
      <c r="AR3" s="3"/>
      <c r="AT3" s="19">
        <v>1</v>
      </c>
      <c r="AU3" s="20" t="s">
        <v>634</v>
      </c>
      <c r="AV3" s="20" t="s">
        <v>633</v>
      </c>
      <c r="AW3" s="21">
        <f>VLOOKUP(AV3,Initial!G:K,5,FALSE)</f>
        <v>2537.8748707914665</v>
      </c>
      <c r="AX3" s="22">
        <f>VLOOKUP(AU3,AT$79:AU$343,2,FALSE)</f>
        <v>2504.9734736000346</v>
      </c>
      <c r="AY3" s="23">
        <f>IF(ISNA(VLOOKUP(AU3,AT$354:AU$454,2,FALSE)),AX3,VLOOKUP(AU3,AT$354:AU$454,2,FALSE))</f>
        <v>2494.7652302568054</v>
      </c>
    </row>
    <row r="4" spans="1:53" ht="24" customHeight="1" thickBot="1" x14ac:dyDescent="0.25">
      <c r="A4" s="397" t="s">
        <v>24</v>
      </c>
      <c r="B4" s="398"/>
      <c r="C4" s="398"/>
      <c r="D4" s="399"/>
      <c r="E4" s="400" t="s">
        <v>25</v>
      </c>
      <c r="F4" s="401"/>
      <c r="G4" s="401"/>
      <c r="H4" s="401"/>
      <c r="I4" s="401"/>
      <c r="J4" s="401"/>
      <c r="K4" s="401"/>
      <c r="L4" s="401"/>
      <c r="M4" s="402"/>
      <c r="N4" s="397" t="s">
        <v>26</v>
      </c>
      <c r="O4" s="398"/>
      <c r="P4" s="398"/>
      <c r="Q4" s="399"/>
      <c r="R4" s="403" t="s">
        <v>27</v>
      </c>
      <c r="S4" s="379"/>
      <c r="T4" s="379"/>
      <c r="U4" s="379"/>
      <c r="V4" s="379"/>
      <c r="W4" s="379"/>
      <c r="X4" s="379"/>
      <c r="Y4" s="379"/>
      <c r="Z4" s="379"/>
      <c r="AA4" s="380"/>
      <c r="AB4" s="397" t="s">
        <v>28</v>
      </c>
      <c r="AC4" s="398"/>
      <c r="AD4" s="398"/>
      <c r="AE4" s="399"/>
      <c r="AF4" s="378">
        <v>42775</v>
      </c>
      <c r="AG4" s="379"/>
      <c r="AH4" s="379"/>
      <c r="AI4" s="380"/>
      <c r="AJ4" s="8"/>
      <c r="AK4" s="8"/>
      <c r="AL4" s="8"/>
      <c r="AM4" s="8"/>
      <c r="AN4" s="8"/>
      <c r="AO4" s="8"/>
      <c r="AP4" s="8"/>
      <c r="AQ4" s="8"/>
      <c r="AR4" s="3"/>
      <c r="AT4" s="24">
        <v>2</v>
      </c>
      <c r="AU4" s="20" t="s">
        <v>640</v>
      </c>
      <c r="AV4" s="20" t="s">
        <v>639</v>
      </c>
      <c r="AW4" s="21">
        <f>VLOOKUP(AV4,Initial!G:K,5,FALSE)</f>
        <v>2521.1020498080788</v>
      </c>
      <c r="AX4" s="25">
        <f>VLOOKUP(AU4,AT$79:AU$343,2,FALSE)</f>
        <v>2566.5229275315605</v>
      </c>
      <c r="AY4" s="26">
        <f t="shared" ref="AY4:AY18" si="0">IF(ISNA(VLOOKUP(AU4,AT$354:AU$454,2,FALSE)),AX4,VLOOKUP(AU4,AT$354:AU$454,2,FALSE))</f>
        <v>2576.6895575813751</v>
      </c>
    </row>
    <row r="5" spans="1:53" ht="15.75" thickBot="1" x14ac:dyDescent="0.25">
      <c r="A5" s="1" t="s">
        <v>31</v>
      </c>
      <c r="B5" s="381" t="s">
        <v>31</v>
      </c>
      <c r="C5" s="382"/>
      <c r="D5" s="382"/>
      <c r="E5" s="382"/>
      <c r="F5" s="382"/>
      <c r="G5" s="382"/>
      <c r="H5" s="382"/>
      <c r="I5" s="382"/>
      <c r="J5" s="382"/>
      <c r="K5" s="383" t="s">
        <v>31</v>
      </c>
      <c r="L5" s="383"/>
      <c r="M5" s="383"/>
      <c r="N5" s="383"/>
      <c r="O5" s="383"/>
      <c r="P5" s="383"/>
      <c r="Q5" s="383"/>
      <c r="R5" s="383"/>
      <c r="S5" s="383"/>
      <c r="T5" s="383"/>
      <c r="U5" s="383"/>
      <c r="V5" s="383"/>
      <c r="W5" s="383"/>
      <c r="X5" s="383"/>
      <c r="Y5" s="383"/>
      <c r="Z5" s="383"/>
      <c r="AA5" s="383"/>
      <c r="AB5" s="383"/>
      <c r="AC5" s="383"/>
      <c r="AD5" s="383"/>
      <c r="AE5" s="383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3"/>
      <c r="AT5" s="24">
        <v>3</v>
      </c>
      <c r="AU5" s="20" t="s">
        <v>654</v>
      </c>
      <c r="AV5" s="20" t="s">
        <v>653</v>
      </c>
      <c r="AW5" s="21">
        <f>VLOOKUP(AV5,Initial!G:K,5,FALSE)</f>
        <v>2413.7157394938272</v>
      </c>
      <c r="AX5" s="25">
        <f t="shared" ref="AX5:AX18" si="1">VLOOKUP(AU5,AT$79:AU$343,2,FALSE)</f>
        <v>2434.1263930010114</v>
      </c>
      <c r="AY5" s="26">
        <f t="shared" si="0"/>
        <v>2423.6846092676101</v>
      </c>
    </row>
    <row r="6" spans="1:53" ht="24" customHeight="1" thickBot="1" x14ac:dyDescent="0.25">
      <c r="A6" s="27" t="s">
        <v>34</v>
      </c>
      <c r="B6" s="28" t="s">
        <v>35</v>
      </c>
      <c r="C6" s="353" t="s">
        <v>36</v>
      </c>
      <c r="D6" s="354"/>
      <c r="E6" s="354"/>
      <c r="F6" s="354"/>
      <c r="G6" s="354"/>
      <c r="H6" s="355"/>
      <c r="I6" s="356">
        <v>1</v>
      </c>
      <c r="J6" s="357"/>
      <c r="K6" s="358" t="str">
        <f>"Pool "&amp;B6&amp;" - Round 1 - Court "&amp;I6</f>
        <v>Pool A - Round 1 - Court 1</v>
      </c>
      <c r="L6" s="359"/>
      <c r="M6" s="359"/>
      <c r="N6" s="359"/>
      <c r="O6" s="359"/>
      <c r="P6" s="359"/>
      <c r="Q6" s="359"/>
      <c r="R6" s="359"/>
      <c r="S6" s="359"/>
      <c r="T6" s="359"/>
      <c r="U6" s="359"/>
      <c r="V6" s="359"/>
      <c r="W6" s="359"/>
      <c r="X6" s="359"/>
      <c r="Y6" s="359"/>
      <c r="Z6" s="359"/>
      <c r="AA6" s="359"/>
      <c r="AB6" s="359"/>
      <c r="AC6" s="359"/>
      <c r="AD6" s="359"/>
      <c r="AE6" s="359"/>
      <c r="AF6" s="359"/>
      <c r="AG6" s="359"/>
      <c r="AH6" s="359"/>
      <c r="AI6" s="360"/>
      <c r="AJ6" s="8"/>
      <c r="AK6" s="8"/>
      <c r="AL6" s="8"/>
      <c r="AM6" s="8"/>
      <c r="AN6" s="8"/>
      <c r="AO6" s="8"/>
      <c r="AP6" s="8"/>
      <c r="AQ6" s="8"/>
      <c r="AT6" s="24">
        <v>4</v>
      </c>
      <c r="AU6" s="20" t="s">
        <v>648</v>
      </c>
      <c r="AV6" s="20" t="s">
        <v>647</v>
      </c>
      <c r="AW6" s="21">
        <f>VLOOKUP(AV6,Initial!G:K,5,FALSE)</f>
        <v>2413.5003812693762</v>
      </c>
      <c r="AX6" s="25">
        <f t="shared" si="1"/>
        <v>2386.7911983309832</v>
      </c>
      <c r="AY6" s="26">
        <f t="shared" si="0"/>
        <v>2407.1159789073695</v>
      </c>
    </row>
    <row r="7" spans="1:53" ht="27" customHeight="1" thickBot="1" x14ac:dyDescent="0.25">
      <c r="A7" s="29" t="s">
        <v>39</v>
      </c>
      <c r="B7" s="361" t="s">
        <v>10</v>
      </c>
      <c r="C7" s="362"/>
      <c r="D7" s="362"/>
      <c r="E7" s="362"/>
      <c r="F7" s="362"/>
      <c r="G7" s="362"/>
      <c r="H7" s="362"/>
      <c r="I7" s="362"/>
      <c r="J7" s="362"/>
      <c r="K7" s="362"/>
      <c r="L7" s="361" t="str">
        <f>IF($AK10=0,"Games Won","Matches Won")</f>
        <v>Matches Won</v>
      </c>
      <c r="M7" s="362"/>
      <c r="N7" s="362"/>
      <c r="O7" s="362"/>
      <c r="P7" s="362"/>
      <c r="Q7" s="363"/>
      <c r="R7" s="361" t="str">
        <f>IF($AK10=0,"Games Lost","Matches Lost")</f>
        <v>Matches Lost</v>
      </c>
      <c r="S7" s="364"/>
      <c r="T7" s="364"/>
      <c r="U7" s="364"/>
      <c r="V7" s="365"/>
      <c r="W7" s="366" t="s">
        <v>40</v>
      </c>
      <c r="X7" s="367"/>
      <c r="Y7" s="368"/>
      <c r="Z7" s="366" t="s">
        <v>41</v>
      </c>
      <c r="AA7" s="367"/>
      <c r="AB7" s="368"/>
      <c r="AC7" s="369" t="s">
        <v>42</v>
      </c>
      <c r="AD7" s="370"/>
      <c r="AE7" s="371"/>
      <c r="AF7" s="30" t="s">
        <v>43</v>
      </c>
      <c r="AG7" s="31" t="s">
        <v>9</v>
      </c>
      <c r="AH7" s="351" t="s">
        <v>44</v>
      </c>
      <c r="AI7" s="352"/>
      <c r="AJ7" s="32"/>
      <c r="AK7" s="33">
        <v>3</v>
      </c>
      <c r="AL7" s="34" t="s">
        <v>45</v>
      </c>
      <c r="AM7" s="34"/>
      <c r="AN7" s="34"/>
      <c r="AO7" s="34"/>
      <c r="AP7" s="34"/>
      <c r="AQ7" s="34"/>
      <c r="AR7" s="35"/>
      <c r="AT7" s="24">
        <v>5</v>
      </c>
      <c r="AU7" s="20" t="s">
        <v>626</v>
      </c>
      <c r="AV7" s="20" t="s">
        <v>625</v>
      </c>
      <c r="AW7" s="21">
        <f>VLOOKUP(AV7,Initial!G:K,5,FALSE)</f>
        <v>2411.3980889405284</v>
      </c>
      <c r="AX7" s="25">
        <f t="shared" si="1"/>
        <v>2435.7789674322366</v>
      </c>
      <c r="AY7" s="26">
        <f t="shared" si="0"/>
        <v>2432.4965464774205</v>
      </c>
    </row>
    <row r="8" spans="1:53" ht="18.75" customHeight="1" thickBot="1" x14ac:dyDescent="0.25">
      <c r="A8" s="320" t="str">
        <f>IF($AK9&gt;0,"1","")</f>
        <v>1</v>
      </c>
      <c r="B8" s="348" t="s">
        <v>10</v>
      </c>
      <c r="C8" s="349"/>
      <c r="D8" s="350"/>
      <c r="E8" s="324" t="str">
        <f>AU3</f>
        <v>C1VB 15 Elite Grvl</v>
      </c>
      <c r="F8" s="325"/>
      <c r="G8" s="325"/>
      <c r="H8" s="325"/>
      <c r="I8" s="325"/>
      <c r="J8" s="325"/>
      <c r="K8" s="326"/>
      <c r="L8" s="327">
        <f>IF($AK10=0,AF64,AF46)</f>
        <v>2</v>
      </c>
      <c r="M8" s="328"/>
      <c r="N8" s="328"/>
      <c r="O8" s="328"/>
      <c r="P8" s="328"/>
      <c r="Q8" s="363"/>
      <c r="R8" s="327">
        <f>IF($AK10=0,AG64,AG46)</f>
        <v>1</v>
      </c>
      <c r="S8" s="328"/>
      <c r="T8" s="328"/>
      <c r="U8" s="328"/>
      <c r="V8" s="328"/>
      <c r="W8" s="327">
        <f>AQ24</f>
        <v>41</v>
      </c>
      <c r="X8" s="328"/>
      <c r="Y8" s="328"/>
      <c r="Z8" s="300">
        <f>IF(AF58&gt;0,(AQ24/AF58),0)</f>
        <v>0.22404371584699453</v>
      </c>
      <c r="AA8" s="301"/>
      <c r="AB8" s="301"/>
      <c r="AC8" s="304">
        <f>IF(AF72=0,0,(AF64/AF72))</f>
        <v>0.625</v>
      </c>
      <c r="AD8" s="305"/>
      <c r="AE8" s="306"/>
      <c r="AF8" s="310">
        <v>1</v>
      </c>
      <c r="AG8" s="310">
        <v>4</v>
      </c>
      <c r="AH8" s="312"/>
      <c r="AI8" s="313"/>
      <c r="AJ8" s="32"/>
      <c r="AK8" s="33">
        <v>6</v>
      </c>
      <c r="AL8" s="34" t="s">
        <v>48</v>
      </c>
      <c r="AM8" s="34"/>
      <c r="AN8" s="34"/>
      <c r="AO8" s="34"/>
      <c r="AP8" s="34"/>
      <c r="AQ8" s="34"/>
      <c r="AR8" s="35"/>
      <c r="AT8" s="24">
        <v>6</v>
      </c>
      <c r="AU8" s="20" t="s">
        <v>652</v>
      </c>
      <c r="AV8" s="20" t="s">
        <v>651</v>
      </c>
      <c r="AW8" s="21">
        <f>VLOOKUP(AV8,Initial!G:K,5,FALSE)</f>
        <v>2375.053097155987</v>
      </c>
      <c r="AX8" s="25">
        <f t="shared" si="1"/>
        <v>2330.2298733196999</v>
      </c>
      <c r="AY8" s="26">
        <f t="shared" si="0"/>
        <v>2311.8485055913134</v>
      </c>
    </row>
    <row r="9" spans="1:53" ht="18.75" customHeight="1" thickBot="1" x14ac:dyDescent="0.25">
      <c r="A9" s="321"/>
      <c r="B9" s="345" t="s">
        <v>11</v>
      </c>
      <c r="C9" s="346"/>
      <c r="D9" s="347"/>
      <c r="E9" s="341" t="str">
        <f>AV3</f>
        <v>fj5crone2pm</v>
      </c>
      <c r="F9" s="342"/>
      <c r="G9" s="342"/>
      <c r="H9" s="342"/>
      <c r="I9" s="342"/>
      <c r="J9" s="342"/>
      <c r="K9" s="342"/>
      <c r="L9" s="343"/>
      <c r="M9" s="344"/>
      <c r="N9" s="344"/>
      <c r="O9" s="344"/>
      <c r="P9" s="344"/>
      <c r="Q9" s="363"/>
      <c r="R9" s="343"/>
      <c r="S9" s="344"/>
      <c r="T9" s="344"/>
      <c r="U9" s="344"/>
      <c r="V9" s="344"/>
      <c r="W9" s="343"/>
      <c r="X9" s="344"/>
      <c r="Y9" s="344"/>
      <c r="Z9" s="331"/>
      <c r="AA9" s="332"/>
      <c r="AB9" s="332"/>
      <c r="AC9" s="333"/>
      <c r="AD9" s="334"/>
      <c r="AE9" s="335"/>
      <c r="AF9" s="336"/>
      <c r="AG9" s="336"/>
      <c r="AH9" s="337"/>
      <c r="AI9" s="338"/>
      <c r="AJ9" s="32"/>
      <c r="AK9" s="33">
        <v>4</v>
      </c>
      <c r="AL9" s="34" t="s">
        <v>51</v>
      </c>
      <c r="AM9" s="32"/>
      <c r="AN9" s="32"/>
      <c r="AO9" s="32"/>
      <c r="AP9" s="32"/>
      <c r="AQ9" s="32"/>
      <c r="AR9" s="3"/>
      <c r="AT9" s="24">
        <v>7</v>
      </c>
      <c r="AU9" s="20" t="s">
        <v>658</v>
      </c>
      <c r="AV9" s="20" t="s">
        <v>657</v>
      </c>
      <c r="AW9" s="21">
        <f>VLOOKUP(AV9,Initial!G:K,5,FALSE)</f>
        <v>2373.4548553972368</v>
      </c>
      <c r="AX9" s="25">
        <f t="shared" si="1"/>
        <v>2398.6552232079011</v>
      </c>
      <c r="AY9" s="26">
        <f t="shared" si="0"/>
        <v>2424.3251569122449</v>
      </c>
    </row>
    <row r="10" spans="1:53" ht="18.75" customHeight="1" thickBot="1" x14ac:dyDescent="0.25">
      <c r="A10" s="320" t="str">
        <f>IF($AK9&gt;1,"2","")</f>
        <v>2</v>
      </c>
      <c r="B10" s="348" t="s">
        <v>10</v>
      </c>
      <c r="C10" s="349"/>
      <c r="D10" s="350"/>
      <c r="E10" s="324" t="str">
        <f>AU10</f>
        <v>Beaufort 15 Grey</v>
      </c>
      <c r="F10" s="325"/>
      <c r="G10" s="325"/>
      <c r="H10" s="325"/>
      <c r="I10" s="325"/>
      <c r="J10" s="325"/>
      <c r="K10" s="326"/>
      <c r="L10" s="327">
        <f>IF($AK10=0,AF65,AF47)</f>
        <v>2</v>
      </c>
      <c r="M10" s="328"/>
      <c r="N10" s="328"/>
      <c r="O10" s="328"/>
      <c r="P10" s="328"/>
      <c r="Q10" s="363"/>
      <c r="R10" s="327">
        <f>IF($AK10=0,AG65,AG47)</f>
        <v>1</v>
      </c>
      <c r="S10" s="328"/>
      <c r="T10" s="328"/>
      <c r="U10" s="328"/>
      <c r="V10" s="328"/>
      <c r="W10" s="327">
        <f>AQ25</f>
        <v>22</v>
      </c>
      <c r="X10" s="328"/>
      <c r="Y10" s="328"/>
      <c r="Z10" s="300">
        <f>IF(AF59&gt;0,(AQ25/AF59),0)</f>
        <v>0.12087912087912088</v>
      </c>
      <c r="AA10" s="301"/>
      <c r="AB10" s="301"/>
      <c r="AC10" s="304">
        <f>IF(AF73=0,0,(AF65/AF73))</f>
        <v>0.625</v>
      </c>
      <c r="AD10" s="305"/>
      <c r="AE10" s="306"/>
      <c r="AF10" s="310">
        <v>2</v>
      </c>
      <c r="AG10" s="310">
        <v>4</v>
      </c>
      <c r="AH10" s="312"/>
      <c r="AI10" s="313"/>
      <c r="AJ10" s="32"/>
      <c r="AK10" s="33">
        <v>1</v>
      </c>
      <c r="AL10" s="34" t="s">
        <v>54</v>
      </c>
      <c r="AM10" s="34"/>
      <c r="AN10" s="34"/>
      <c r="AO10" s="34"/>
      <c r="AP10" s="34"/>
      <c r="AQ10" s="34"/>
      <c r="AR10" s="35"/>
      <c r="AT10" s="24">
        <v>8</v>
      </c>
      <c r="AU10" s="20" t="s">
        <v>616</v>
      </c>
      <c r="AV10" s="20" t="s">
        <v>614</v>
      </c>
      <c r="AW10" s="21">
        <f>VLOOKUP(AV10,Initial!G:K,5,FALSE)</f>
        <v>2366.7411744211154</v>
      </c>
      <c r="AX10" s="25">
        <f t="shared" si="1"/>
        <v>2394.0636859517681</v>
      </c>
      <c r="AY10" s="26">
        <f t="shared" si="0"/>
        <v>2377.208136429545</v>
      </c>
    </row>
    <row r="11" spans="1:53" ht="18.75" customHeight="1" thickBot="1" x14ac:dyDescent="0.25">
      <c r="A11" s="321"/>
      <c r="B11" s="339" t="s">
        <v>11</v>
      </c>
      <c r="C11" s="340"/>
      <c r="D11" s="340"/>
      <c r="E11" s="341" t="str">
        <f>AV10</f>
        <v>fj5beauf1pm</v>
      </c>
      <c r="F11" s="342"/>
      <c r="G11" s="342"/>
      <c r="H11" s="342"/>
      <c r="I11" s="342"/>
      <c r="J11" s="342"/>
      <c r="K11" s="342"/>
      <c r="L11" s="343"/>
      <c r="M11" s="344"/>
      <c r="N11" s="344"/>
      <c r="O11" s="344"/>
      <c r="P11" s="344"/>
      <c r="Q11" s="363"/>
      <c r="R11" s="343"/>
      <c r="S11" s="344"/>
      <c r="T11" s="344"/>
      <c r="U11" s="344"/>
      <c r="V11" s="344"/>
      <c r="W11" s="343"/>
      <c r="X11" s="344"/>
      <c r="Y11" s="344"/>
      <c r="Z11" s="331"/>
      <c r="AA11" s="332"/>
      <c r="AB11" s="332"/>
      <c r="AC11" s="333"/>
      <c r="AD11" s="334"/>
      <c r="AE11" s="335"/>
      <c r="AF11" s="336"/>
      <c r="AG11" s="336"/>
      <c r="AH11" s="337"/>
      <c r="AI11" s="338"/>
      <c r="AJ11" s="32"/>
      <c r="AK11" s="33">
        <v>1</v>
      </c>
      <c r="AL11" s="34" t="s">
        <v>56</v>
      </c>
      <c r="AM11" s="32"/>
      <c r="AN11" s="32"/>
      <c r="AO11" s="32"/>
      <c r="AP11" s="32"/>
      <c r="AQ11" s="32"/>
      <c r="AR11" s="3"/>
      <c r="AT11" s="24">
        <v>9</v>
      </c>
      <c r="AU11" s="20" t="s">
        <v>642</v>
      </c>
      <c r="AV11" s="20" t="s">
        <v>641</v>
      </c>
      <c r="AW11" s="21">
        <f>VLOOKUP(AV11,Initial!G:K,5,FALSE)</f>
        <v>2345.1430549012343</v>
      </c>
      <c r="AX11" s="25">
        <f t="shared" si="1"/>
        <v>2389.5607908815518</v>
      </c>
      <c r="AY11" s="26">
        <f t="shared" si="0"/>
        <v>2373.4332491326863</v>
      </c>
    </row>
    <row r="12" spans="1:53" ht="18.75" customHeight="1" thickBot="1" x14ac:dyDescent="0.25">
      <c r="A12" s="320" t="str">
        <f>IF($AK9&gt;2,"3","")</f>
        <v>3</v>
      </c>
      <c r="B12" s="322" t="s">
        <v>10</v>
      </c>
      <c r="C12" s="323"/>
      <c r="D12" s="323"/>
      <c r="E12" s="324" t="str">
        <f>AU11</f>
        <v>Emerald City 15-Power</v>
      </c>
      <c r="F12" s="325"/>
      <c r="G12" s="325"/>
      <c r="H12" s="325"/>
      <c r="I12" s="325"/>
      <c r="J12" s="325"/>
      <c r="K12" s="326"/>
      <c r="L12" s="327">
        <f>IF($AK10=0,AF66,AF48)</f>
        <v>2</v>
      </c>
      <c r="M12" s="328"/>
      <c r="N12" s="328"/>
      <c r="O12" s="328"/>
      <c r="P12" s="328"/>
      <c r="Q12" s="363"/>
      <c r="R12" s="327">
        <f>IF($AK10=0,AG66,AG48)</f>
        <v>1</v>
      </c>
      <c r="S12" s="328"/>
      <c r="T12" s="328"/>
      <c r="U12" s="328"/>
      <c r="V12" s="328"/>
      <c r="W12" s="327">
        <f>AQ26</f>
        <v>-1</v>
      </c>
      <c r="X12" s="328"/>
      <c r="Y12" s="328"/>
      <c r="Z12" s="300">
        <f>IF(AF60&gt;0,(AQ26/AF60),0)</f>
        <v>-5.5248618784530384E-3</v>
      </c>
      <c r="AA12" s="301"/>
      <c r="AB12" s="301"/>
      <c r="AC12" s="304">
        <f>IF(AF74=0,0,(AF66/AF74))</f>
        <v>0.625</v>
      </c>
      <c r="AD12" s="305"/>
      <c r="AE12" s="306"/>
      <c r="AF12" s="310">
        <v>3</v>
      </c>
      <c r="AG12" s="310">
        <v>4</v>
      </c>
      <c r="AH12" s="312"/>
      <c r="AI12" s="313"/>
      <c r="AJ12" s="43"/>
      <c r="AK12" s="33">
        <v>3</v>
      </c>
      <c r="AL12" s="44" t="s">
        <v>57</v>
      </c>
      <c r="AM12" s="34"/>
      <c r="AN12" s="34"/>
      <c r="AO12" s="34"/>
      <c r="AP12" s="34"/>
      <c r="AQ12" s="34"/>
      <c r="AR12" s="35"/>
      <c r="AT12" s="24">
        <v>10</v>
      </c>
      <c r="AU12" s="20" t="s">
        <v>618</v>
      </c>
      <c r="AV12" s="20" t="s">
        <v>617</v>
      </c>
      <c r="AW12" s="21">
        <f>VLOOKUP(AV12,Initial!G:K,5,FALSE)</f>
        <v>2357.6838122545587</v>
      </c>
      <c r="AX12" s="25">
        <f t="shared" si="1"/>
        <v>2333.2390839598011</v>
      </c>
      <c r="AY12" s="26">
        <f t="shared" si="0"/>
        <v>2343.2031299867836</v>
      </c>
    </row>
    <row r="13" spans="1:53" ht="18.75" customHeight="1" thickBot="1" x14ac:dyDescent="0.25">
      <c r="A13" s="321"/>
      <c r="B13" s="339" t="s">
        <v>11</v>
      </c>
      <c r="C13" s="340"/>
      <c r="D13" s="340"/>
      <c r="E13" s="341" t="str">
        <f>AV11</f>
        <v>fj5ecity1pm</v>
      </c>
      <c r="F13" s="342"/>
      <c r="G13" s="342"/>
      <c r="H13" s="342"/>
      <c r="I13" s="342"/>
      <c r="J13" s="342"/>
      <c r="K13" s="342"/>
      <c r="L13" s="343"/>
      <c r="M13" s="344"/>
      <c r="N13" s="344"/>
      <c r="O13" s="344"/>
      <c r="P13" s="344"/>
      <c r="Q13" s="363"/>
      <c r="R13" s="343"/>
      <c r="S13" s="344"/>
      <c r="T13" s="344"/>
      <c r="U13" s="344"/>
      <c r="V13" s="344"/>
      <c r="W13" s="343"/>
      <c r="X13" s="344"/>
      <c r="Y13" s="344"/>
      <c r="Z13" s="331"/>
      <c r="AA13" s="332"/>
      <c r="AB13" s="332"/>
      <c r="AC13" s="333"/>
      <c r="AD13" s="334"/>
      <c r="AE13" s="335"/>
      <c r="AF13" s="336"/>
      <c r="AG13" s="336"/>
      <c r="AH13" s="337"/>
      <c r="AI13" s="338"/>
      <c r="AJ13" s="43"/>
      <c r="AK13" s="51"/>
      <c r="AL13" s="52"/>
      <c r="AM13" s="52"/>
      <c r="AN13" s="52"/>
      <c r="AO13" s="52"/>
      <c r="AP13" s="52"/>
      <c r="AQ13" s="32"/>
      <c r="AR13" s="3"/>
      <c r="AT13" s="24">
        <v>11</v>
      </c>
      <c r="AU13" s="20" t="s">
        <v>636</v>
      </c>
      <c r="AV13" s="20" t="s">
        <v>635</v>
      </c>
      <c r="AW13" s="21">
        <f>VLOOKUP(AV13,Initial!G:K,5,FALSE)</f>
        <v>2340.9367997858221</v>
      </c>
      <c r="AX13" s="25">
        <f t="shared" si="1"/>
        <v>2388.4872315198268</v>
      </c>
      <c r="AY13" s="26">
        <f t="shared" si="0"/>
        <v>2391.8112657680576</v>
      </c>
    </row>
    <row r="14" spans="1:53" ht="18.75" customHeight="1" thickBot="1" x14ac:dyDescent="0.25">
      <c r="A14" s="320" t="str">
        <f>IF($AK9&gt;3,"4","")</f>
        <v>4</v>
      </c>
      <c r="B14" s="322" t="s">
        <v>10</v>
      </c>
      <c r="C14" s="323"/>
      <c r="D14" s="323"/>
      <c r="E14" s="324" t="str">
        <f>AU18</f>
        <v>CSRA Heat 15 Gold</v>
      </c>
      <c r="F14" s="325"/>
      <c r="G14" s="325"/>
      <c r="H14" s="325"/>
      <c r="I14" s="325"/>
      <c r="J14" s="325"/>
      <c r="K14" s="326"/>
      <c r="L14" s="327">
        <f>IF($AK10=0,AF67,AF49)</f>
        <v>0</v>
      </c>
      <c r="M14" s="328"/>
      <c r="N14" s="328"/>
      <c r="O14" s="328"/>
      <c r="P14" s="328"/>
      <c r="Q14" s="363"/>
      <c r="R14" s="327">
        <f>IF($AK10=0,AG67,AG49)</f>
        <v>3</v>
      </c>
      <c r="S14" s="328"/>
      <c r="T14" s="328"/>
      <c r="U14" s="328"/>
      <c r="V14" s="328"/>
      <c r="W14" s="327">
        <f>AQ27</f>
        <v>-62</v>
      </c>
      <c r="X14" s="328"/>
      <c r="Y14" s="328"/>
      <c r="Z14" s="300">
        <f>IF(AF61&gt;0,(AQ27/AF61),0)</f>
        <v>-0.41333333333333333</v>
      </c>
      <c r="AA14" s="301"/>
      <c r="AB14" s="301"/>
      <c r="AC14" s="304">
        <f>IF(AF75=0,0,(AF67/AF75))</f>
        <v>0</v>
      </c>
      <c r="AD14" s="305"/>
      <c r="AE14" s="306"/>
      <c r="AF14" s="310">
        <v>4</v>
      </c>
      <c r="AG14" s="310">
        <v>1</v>
      </c>
      <c r="AH14" s="312"/>
      <c r="AI14" s="313"/>
      <c r="AJ14" s="8"/>
      <c r="AK14" s="52"/>
      <c r="AL14" s="52"/>
      <c r="AM14" s="52"/>
      <c r="AN14" s="52"/>
      <c r="AO14" s="52"/>
      <c r="AP14" s="52"/>
      <c r="AQ14" s="34"/>
      <c r="AR14" s="35"/>
      <c r="AT14" s="24">
        <v>12</v>
      </c>
      <c r="AU14" s="20" t="s">
        <v>638</v>
      </c>
      <c r="AV14" s="20" t="s">
        <v>637</v>
      </c>
      <c r="AW14" s="21">
        <f>VLOOKUP(AV14,Initial!G:K,5,FALSE)</f>
        <v>2319.1430928811537</v>
      </c>
      <c r="AX14" s="25">
        <f t="shared" si="1"/>
        <v>2262.3004433771312</v>
      </c>
      <c r="AY14" s="26">
        <f t="shared" si="0"/>
        <v>2275.7602767241924</v>
      </c>
    </row>
    <row r="15" spans="1:53" ht="18.75" customHeight="1" thickBot="1" x14ac:dyDescent="0.25">
      <c r="A15" s="321"/>
      <c r="B15" s="339" t="s">
        <v>11</v>
      </c>
      <c r="C15" s="340"/>
      <c r="D15" s="340"/>
      <c r="E15" s="341" t="str">
        <f>AV18</f>
        <v>fj5csrah2pm</v>
      </c>
      <c r="F15" s="342"/>
      <c r="G15" s="342"/>
      <c r="H15" s="342"/>
      <c r="I15" s="342"/>
      <c r="J15" s="342"/>
      <c r="K15" s="342"/>
      <c r="L15" s="343"/>
      <c r="M15" s="344"/>
      <c r="N15" s="344"/>
      <c r="O15" s="344"/>
      <c r="P15" s="344"/>
      <c r="Q15" s="363"/>
      <c r="R15" s="343"/>
      <c r="S15" s="344"/>
      <c r="T15" s="344"/>
      <c r="U15" s="344"/>
      <c r="V15" s="344"/>
      <c r="W15" s="343"/>
      <c r="X15" s="344"/>
      <c r="Y15" s="344"/>
      <c r="Z15" s="331"/>
      <c r="AA15" s="332"/>
      <c r="AB15" s="332"/>
      <c r="AC15" s="333"/>
      <c r="AD15" s="334"/>
      <c r="AE15" s="335"/>
      <c r="AF15" s="336"/>
      <c r="AG15" s="336"/>
      <c r="AH15" s="337"/>
      <c r="AI15" s="338"/>
      <c r="AJ15" s="8"/>
      <c r="AK15" s="52"/>
      <c r="AL15" s="52"/>
      <c r="AM15" s="52"/>
      <c r="AN15" s="52"/>
      <c r="AO15" s="52"/>
      <c r="AP15" s="52"/>
      <c r="AQ15" s="8"/>
      <c r="AR15" s="3"/>
      <c r="AT15" s="24">
        <v>13</v>
      </c>
      <c r="AU15" s="20" t="s">
        <v>517</v>
      </c>
      <c r="AV15" s="20" t="s">
        <v>516</v>
      </c>
      <c r="AW15" s="21">
        <f>VLOOKUP(AV15,Initial!G:K,5,FALSE)</f>
        <v>2316.2969734080621</v>
      </c>
      <c r="AX15" s="25">
        <f t="shared" si="1"/>
        <v>2375.4679273587694</v>
      </c>
      <c r="AY15" s="26">
        <f t="shared" si="0"/>
        <v>2377.0953269100501</v>
      </c>
    </row>
    <row r="16" spans="1:53" ht="18.75" customHeight="1" thickBot="1" x14ac:dyDescent="0.25">
      <c r="A16" s="320" t="str">
        <f>IF($AK9&gt;4,"5","")</f>
        <v/>
      </c>
      <c r="B16" s="322" t="s">
        <v>10</v>
      </c>
      <c r="C16" s="323"/>
      <c r="D16" s="323"/>
      <c r="E16" s="427">
        <f>AU19</f>
        <v>0</v>
      </c>
      <c r="F16" s="428"/>
      <c r="G16" s="428"/>
      <c r="H16" s="428"/>
      <c r="I16" s="428"/>
      <c r="J16" s="428"/>
      <c r="K16" s="429"/>
      <c r="L16" s="327">
        <f>IF($AK10=0,AF68,AF50)</f>
        <v>0</v>
      </c>
      <c r="M16" s="328"/>
      <c r="N16" s="328"/>
      <c r="O16" s="328"/>
      <c r="P16" s="328"/>
      <c r="Q16" s="363"/>
      <c r="R16" s="327">
        <f>IF($AK10=0,AG68,AG50)</f>
        <v>0</v>
      </c>
      <c r="S16" s="328"/>
      <c r="T16" s="328"/>
      <c r="U16" s="328"/>
      <c r="V16" s="328"/>
      <c r="W16" s="327">
        <f>AQ28</f>
        <v>0</v>
      </c>
      <c r="X16" s="328"/>
      <c r="Y16" s="328"/>
      <c r="Z16" s="300">
        <f>IF(AF62&gt;0,(AQ28/AF62),0)</f>
        <v>0</v>
      </c>
      <c r="AA16" s="301"/>
      <c r="AB16" s="301"/>
      <c r="AC16" s="304">
        <f>IF(AF76=0,0,(AF68/AF76))</f>
        <v>0</v>
      </c>
      <c r="AD16" s="305"/>
      <c r="AE16" s="306"/>
      <c r="AF16" s="310"/>
      <c r="AG16" s="310"/>
      <c r="AH16" s="312"/>
      <c r="AI16" s="313"/>
      <c r="AJ16" s="8"/>
      <c r="AK16" s="52"/>
      <c r="AL16" s="52"/>
      <c r="AM16" s="52"/>
      <c r="AN16" s="52"/>
      <c r="AO16" s="52"/>
      <c r="AP16" s="52"/>
      <c r="AQ16" s="8"/>
      <c r="AR16" s="3"/>
      <c r="AT16" s="24">
        <v>14</v>
      </c>
      <c r="AU16" s="20" t="s">
        <v>650</v>
      </c>
      <c r="AV16" s="20" t="s">
        <v>649</v>
      </c>
      <c r="AW16" s="21">
        <f>VLOOKUP(AV16,Initial!G:K,5,FALSE)</f>
        <v>2316.272580612786</v>
      </c>
      <c r="AX16" s="25">
        <f t="shared" si="1"/>
        <v>2293.1347192078842</v>
      </c>
      <c r="AY16" s="26">
        <f t="shared" si="0"/>
        <v>2278.973434353381</v>
      </c>
    </row>
    <row r="17" spans="1:51" ht="18.75" customHeight="1" thickBot="1" x14ac:dyDescent="0.25">
      <c r="A17" s="321"/>
      <c r="B17" s="316" t="s">
        <v>11</v>
      </c>
      <c r="C17" s="317"/>
      <c r="D17" s="317"/>
      <c r="E17" s="430">
        <f>AV19</f>
        <v>0</v>
      </c>
      <c r="F17" s="431"/>
      <c r="G17" s="431"/>
      <c r="H17" s="431"/>
      <c r="I17" s="431"/>
      <c r="J17" s="431"/>
      <c r="K17" s="431"/>
      <c r="L17" s="329"/>
      <c r="M17" s="330"/>
      <c r="N17" s="330"/>
      <c r="O17" s="330"/>
      <c r="P17" s="330"/>
      <c r="Q17" s="363"/>
      <c r="R17" s="329"/>
      <c r="S17" s="330"/>
      <c r="T17" s="330"/>
      <c r="U17" s="330"/>
      <c r="V17" s="330"/>
      <c r="W17" s="329"/>
      <c r="X17" s="330"/>
      <c r="Y17" s="330"/>
      <c r="Z17" s="302"/>
      <c r="AA17" s="303"/>
      <c r="AB17" s="303"/>
      <c r="AC17" s="307"/>
      <c r="AD17" s="308"/>
      <c r="AE17" s="309"/>
      <c r="AF17" s="311"/>
      <c r="AG17" s="311"/>
      <c r="AH17" s="314"/>
      <c r="AI17" s="315"/>
      <c r="AJ17" s="8"/>
      <c r="AK17" s="52"/>
      <c r="AL17" s="52"/>
      <c r="AM17" s="52"/>
      <c r="AN17" s="52"/>
      <c r="AO17" s="52"/>
      <c r="AP17" s="52"/>
      <c r="AQ17" s="8"/>
      <c r="AR17" s="3"/>
      <c r="AT17" s="24">
        <v>15</v>
      </c>
      <c r="AU17" s="20" t="s">
        <v>664</v>
      </c>
      <c r="AV17" s="20" t="s">
        <v>663</v>
      </c>
      <c r="AW17" s="21">
        <f>VLOOKUP(AV17,Initial!G:K,5,FALSE)</f>
        <v>2215.5305281096694</v>
      </c>
      <c r="AX17" s="25">
        <f t="shared" si="1"/>
        <v>2169.3540108702814</v>
      </c>
      <c r="AY17" s="26">
        <f t="shared" si="0"/>
        <v>2175.1561813868898</v>
      </c>
    </row>
    <row r="18" spans="1:51" ht="21" customHeight="1" thickTop="1" thickBot="1" x14ac:dyDescent="0.25">
      <c r="A18" s="55"/>
      <c r="B18" s="297" t="s">
        <v>207</v>
      </c>
      <c r="C18" s="298"/>
      <c r="D18" s="298"/>
      <c r="E18" s="298"/>
      <c r="F18" s="298"/>
      <c r="G18" s="298"/>
      <c r="H18" s="298"/>
      <c r="I18" s="298"/>
      <c r="J18" s="298"/>
      <c r="K18" s="298"/>
      <c r="L18" s="298"/>
      <c r="M18" s="298"/>
      <c r="N18" s="298"/>
      <c r="O18" s="298"/>
      <c r="P18" s="298"/>
      <c r="Q18" s="298"/>
      <c r="R18" s="298"/>
      <c r="S18" s="298"/>
      <c r="T18" s="298"/>
      <c r="U18" s="298"/>
      <c r="V18" s="298"/>
      <c r="W18" s="298"/>
      <c r="X18" s="298"/>
      <c r="Y18" s="298"/>
      <c r="Z18" s="298"/>
      <c r="AA18" s="298"/>
      <c r="AB18" s="298"/>
      <c r="AC18" s="298"/>
      <c r="AD18" s="298"/>
      <c r="AE18" s="298"/>
      <c r="AF18" s="298"/>
      <c r="AG18" s="298"/>
      <c r="AH18" s="298"/>
      <c r="AI18" s="299"/>
      <c r="AJ18" s="8"/>
      <c r="AK18" s="52"/>
      <c r="AL18" s="52"/>
      <c r="AM18" s="52"/>
      <c r="AN18" s="52"/>
      <c r="AO18" s="52"/>
      <c r="AP18" s="52"/>
      <c r="AQ18" s="8"/>
      <c r="AR18" s="3"/>
      <c r="AT18" s="24">
        <v>16</v>
      </c>
      <c r="AU18" s="20" t="s">
        <v>671</v>
      </c>
      <c r="AV18" s="20" t="s">
        <v>670</v>
      </c>
      <c r="AW18" s="21">
        <f>VLOOKUP(AV18,Initial!G:K,5,FALSE)</f>
        <v>2194.8825329107262</v>
      </c>
      <c r="AX18" s="25">
        <f t="shared" si="1"/>
        <v>2156.0436825911879</v>
      </c>
      <c r="AY18" s="26">
        <f t="shared" si="0"/>
        <v>2155.1630464559048</v>
      </c>
    </row>
    <row r="19" spans="1:51" ht="13.5" thickTop="1" x14ac:dyDescent="0.2">
      <c r="A19" s="4" t="s">
        <v>60</v>
      </c>
      <c r="B19" s="286">
        <v>0.35416666666666669</v>
      </c>
      <c r="C19" s="287"/>
      <c r="D19" s="288"/>
      <c r="E19" s="286">
        <v>0.39583333333333331</v>
      </c>
      <c r="F19" s="287"/>
      <c r="G19" s="288"/>
      <c r="H19" s="286">
        <v>0.4375</v>
      </c>
      <c r="I19" s="287"/>
      <c r="J19" s="288"/>
      <c r="K19" s="286">
        <v>0.47916666666666669</v>
      </c>
      <c r="L19" s="287"/>
      <c r="M19" s="288"/>
      <c r="N19" s="286">
        <v>0.52083333333333337</v>
      </c>
      <c r="O19" s="287"/>
      <c r="P19" s="288"/>
      <c r="Q19" s="286">
        <v>6.25E-2</v>
      </c>
      <c r="R19" s="287"/>
      <c r="S19" s="288"/>
      <c r="T19" s="286"/>
      <c r="U19" s="287"/>
      <c r="V19" s="288"/>
      <c r="W19" s="286"/>
      <c r="X19" s="287"/>
      <c r="Y19" s="288"/>
      <c r="Z19" s="286"/>
      <c r="AA19" s="287"/>
      <c r="AB19" s="288"/>
      <c r="AC19" s="286"/>
      <c r="AD19" s="287"/>
      <c r="AE19" s="288"/>
      <c r="AF19" s="289" t="s">
        <v>61</v>
      </c>
      <c r="AG19" s="290"/>
      <c r="AH19" s="290"/>
      <c r="AI19" s="290"/>
      <c r="AJ19" s="291"/>
      <c r="AK19" s="291"/>
      <c r="AL19" s="291"/>
      <c r="AM19" s="291"/>
      <c r="AN19" s="291"/>
      <c r="AO19" s="291"/>
      <c r="AP19" s="291"/>
      <c r="AQ19" s="292"/>
      <c r="AT19" s="37"/>
      <c r="AU19" s="38"/>
      <c r="AV19" s="39"/>
      <c r="AW19" s="40"/>
      <c r="AX19" s="41"/>
      <c r="AY19" s="42"/>
    </row>
    <row r="20" spans="1:51" x14ac:dyDescent="0.2">
      <c r="A20" s="56" t="s">
        <v>62</v>
      </c>
      <c r="B20" s="283"/>
      <c r="C20" s="284"/>
      <c r="D20" s="285"/>
      <c r="E20" s="283"/>
      <c r="F20" s="284"/>
      <c r="G20" s="285"/>
      <c r="H20" s="283"/>
      <c r="I20" s="284"/>
      <c r="J20" s="285"/>
      <c r="K20" s="283"/>
      <c r="L20" s="284"/>
      <c r="M20" s="285"/>
      <c r="N20" s="283"/>
      <c r="O20" s="284"/>
      <c r="P20" s="285"/>
      <c r="Q20" s="283"/>
      <c r="R20" s="284"/>
      <c r="S20" s="285"/>
      <c r="T20" s="283"/>
      <c r="U20" s="284"/>
      <c r="V20" s="285"/>
      <c r="W20" s="283"/>
      <c r="X20" s="284"/>
      <c r="Y20" s="285"/>
      <c r="Z20" s="283"/>
      <c r="AA20" s="284"/>
      <c r="AB20" s="285"/>
      <c r="AC20" s="283"/>
      <c r="AD20" s="284"/>
      <c r="AE20" s="285"/>
      <c r="AF20" s="289"/>
      <c r="AG20" s="290"/>
      <c r="AH20" s="290"/>
      <c r="AI20" s="290"/>
      <c r="AJ20" s="290"/>
      <c r="AK20" s="290"/>
      <c r="AL20" s="290"/>
      <c r="AM20" s="290"/>
      <c r="AN20" s="290"/>
      <c r="AO20" s="290"/>
      <c r="AP20" s="290"/>
      <c r="AQ20" s="293"/>
      <c r="AT20" s="37"/>
      <c r="AU20" s="38"/>
      <c r="AV20" s="40"/>
      <c r="AW20" s="40"/>
      <c r="AX20" s="41"/>
      <c r="AY20" s="42"/>
    </row>
    <row r="21" spans="1:51" x14ac:dyDescent="0.2">
      <c r="A21" s="56" t="s">
        <v>63</v>
      </c>
      <c r="B21" s="283"/>
      <c r="C21" s="284"/>
      <c r="D21" s="285"/>
      <c r="E21" s="283"/>
      <c r="F21" s="284"/>
      <c r="G21" s="285"/>
      <c r="H21" s="283"/>
      <c r="I21" s="284"/>
      <c r="J21" s="285"/>
      <c r="K21" s="283"/>
      <c r="L21" s="284"/>
      <c r="M21" s="285"/>
      <c r="N21" s="283"/>
      <c r="O21" s="284"/>
      <c r="P21" s="285"/>
      <c r="Q21" s="283"/>
      <c r="R21" s="284"/>
      <c r="S21" s="285"/>
      <c r="T21" s="283"/>
      <c r="U21" s="284"/>
      <c r="V21" s="285"/>
      <c r="W21" s="283"/>
      <c r="X21" s="284"/>
      <c r="Y21" s="285"/>
      <c r="Z21" s="283"/>
      <c r="AA21" s="284"/>
      <c r="AB21" s="285"/>
      <c r="AC21" s="283"/>
      <c r="AD21" s="284"/>
      <c r="AE21" s="285"/>
      <c r="AF21" s="289"/>
      <c r="AG21" s="290"/>
      <c r="AH21" s="290"/>
      <c r="AI21" s="290"/>
      <c r="AJ21" s="290"/>
      <c r="AK21" s="290"/>
      <c r="AL21" s="290"/>
      <c r="AM21" s="290"/>
      <c r="AN21" s="290"/>
      <c r="AO21" s="290"/>
      <c r="AP21" s="290"/>
      <c r="AQ21" s="293"/>
      <c r="AT21" s="37"/>
      <c r="AU21" s="38"/>
      <c r="AV21" s="40"/>
      <c r="AW21" s="40"/>
      <c r="AX21" s="41"/>
      <c r="AY21" s="42"/>
    </row>
    <row r="22" spans="1:51" ht="13.5" thickBot="1" x14ac:dyDescent="0.25">
      <c r="A22" s="8"/>
      <c r="B22" s="173" t="s">
        <v>64</v>
      </c>
      <c r="C22" s="174"/>
      <c r="D22" s="180"/>
      <c r="E22" s="173" t="str">
        <f>IF(AK8&gt;1,"Match 2","")</f>
        <v>Match 2</v>
      </c>
      <c r="F22" s="174"/>
      <c r="G22" s="180"/>
      <c r="H22" s="173" t="str">
        <f>IF(AK8&gt;2,"Match 3","")</f>
        <v>Match 3</v>
      </c>
      <c r="I22" s="174"/>
      <c r="J22" s="180"/>
      <c r="K22" s="173" t="str">
        <f>IF(AK8&gt;3,"Match 4","")</f>
        <v>Match 4</v>
      </c>
      <c r="L22" s="174"/>
      <c r="M22" s="180"/>
      <c r="N22" s="173" t="str">
        <f>IF(AK8&gt;4,"Match 5","")</f>
        <v>Match 5</v>
      </c>
      <c r="O22" s="174"/>
      <c r="P22" s="180"/>
      <c r="Q22" s="173" t="str">
        <f>IF(AK8&gt;5,"Match 6","")</f>
        <v>Match 6</v>
      </c>
      <c r="R22" s="174"/>
      <c r="S22" s="180"/>
      <c r="T22" s="173" t="str">
        <f>IF(AK8&gt;6,"Match 7","")</f>
        <v/>
      </c>
      <c r="U22" s="174"/>
      <c r="V22" s="180"/>
      <c r="W22" s="173" t="str">
        <f>IF(AK8&gt;7,"Match 8","")</f>
        <v/>
      </c>
      <c r="X22" s="174"/>
      <c r="Y22" s="180"/>
      <c r="Z22" s="173" t="str">
        <f>IF(AK8&gt;8,"Match 9","")</f>
        <v/>
      </c>
      <c r="AA22" s="174"/>
      <c r="AB22" s="180"/>
      <c r="AC22" s="173" t="str">
        <f>IF(AK8&gt;9,"Match 10","")</f>
        <v/>
      </c>
      <c r="AD22" s="174"/>
      <c r="AE22" s="180"/>
      <c r="AF22" s="294"/>
      <c r="AG22" s="295"/>
      <c r="AH22" s="295"/>
      <c r="AI22" s="295"/>
      <c r="AJ22" s="295"/>
      <c r="AK22" s="295"/>
      <c r="AL22" s="295"/>
      <c r="AM22" s="295"/>
      <c r="AN22" s="295"/>
      <c r="AO22" s="295"/>
      <c r="AP22" s="295"/>
      <c r="AQ22" s="296"/>
      <c r="AT22" s="421"/>
      <c r="AU22" s="422"/>
      <c r="AV22" s="424"/>
      <c r="AW22" s="424"/>
      <c r="AX22" s="425"/>
      <c r="AY22" s="426"/>
    </row>
    <row r="23" spans="1:51" ht="15.75" customHeight="1" x14ac:dyDescent="0.25">
      <c r="A23" s="8"/>
      <c r="B23" s="277" t="s">
        <v>65</v>
      </c>
      <c r="C23" s="278"/>
      <c r="D23" s="279"/>
      <c r="E23" s="277" t="s">
        <v>66</v>
      </c>
      <c r="F23" s="278"/>
      <c r="G23" s="279"/>
      <c r="H23" s="277" t="s">
        <v>67</v>
      </c>
      <c r="I23" s="278"/>
      <c r="J23" s="279"/>
      <c r="K23" s="277" t="s">
        <v>68</v>
      </c>
      <c r="L23" s="278"/>
      <c r="M23" s="279"/>
      <c r="N23" s="277" t="s">
        <v>66</v>
      </c>
      <c r="O23" s="278"/>
      <c r="P23" s="279"/>
      <c r="Q23" s="277" t="s">
        <v>67</v>
      </c>
      <c r="R23" s="278"/>
      <c r="S23" s="279"/>
      <c r="T23" s="277"/>
      <c r="U23" s="278"/>
      <c r="V23" s="279"/>
      <c r="W23" s="277"/>
      <c r="X23" s="278"/>
      <c r="Y23" s="279"/>
      <c r="Z23" s="277"/>
      <c r="AA23" s="278"/>
      <c r="AB23" s="279"/>
      <c r="AC23" s="277"/>
      <c r="AD23" s="278"/>
      <c r="AE23" s="279"/>
      <c r="AF23" s="57" t="s">
        <v>70</v>
      </c>
      <c r="AG23" s="58">
        <v>1</v>
      </c>
      <c r="AH23" s="58">
        <v>2</v>
      </c>
      <c r="AI23" s="58">
        <v>3</v>
      </c>
      <c r="AJ23" s="58">
        <v>4</v>
      </c>
      <c r="AK23" s="58">
        <v>5</v>
      </c>
      <c r="AL23" s="58">
        <v>6</v>
      </c>
      <c r="AM23" s="58">
        <v>7</v>
      </c>
      <c r="AN23" s="58">
        <v>8</v>
      </c>
      <c r="AO23" s="58">
        <v>9</v>
      </c>
      <c r="AP23" s="58">
        <v>10</v>
      </c>
      <c r="AQ23" s="59" t="s">
        <v>71</v>
      </c>
      <c r="AT23" s="372" t="s">
        <v>58</v>
      </c>
      <c r="AU23" s="373"/>
      <c r="AV23" s="373"/>
      <c r="AW23" s="373"/>
      <c r="AX23" s="373"/>
      <c r="AY23" s="374"/>
    </row>
    <row r="24" spans="1:51" ht="16.5" thickBot="1" x14ac:dyDescent="0.3">
      <c r="A24" s="8"/>
      <c r="B24" s="61">
        <v>2</v>
      </c>
      <c r="C24" s="62" t="s">
        <v>72</v>
      </c>
      <c r="D24" s="63">
        <v>3</v>
      </c>
      <c r="E24" s="61">
        <v>1</v>
      </c>
      <c r="F24" s="62" t="str">
        <f>IF(AK8&gt;1,"v","")</f>
        <v>v</v>
      </c>
      <c r="G24" s="63">
        <v>4</v>
      </c>
      <c r="H24" s="61">
        <v>2</v>
      </c>
      <c r="I24" s="62" t="str">
        <f>IF(AK8&gt;2,"v","")</f>
        <v>v</v>
      </c>
      <c r="J24" s="63">
        <v>4</v>
      </c>
      <c r="K24" s="61">
        <v>1</v>
      </c>
      <c r="L24" s="62" t="str">
        <f>IF(AK8&gt;3,"v","")</f>
        <v>v</v>
      </c>
      <c r="M24" s="63">
        <v>3</v>
      </c>
      <c r="N24" s="61">
        <v>3</v>
      </c>
      <c r="O24" s="62" t="str">
        <f>IF(AK8&gt;4,"v","")</f>
        <v>v</v>
      </c>
      <c r="P24" s="63">
        <v>4</v>
      </c>
      <c r="Q24" s="61">
        <v>1</v>
      </c>
      <c r="R24" s="62" t="str">
        <f>IF(AK8&gt;5,"v","")</f>
        <v>v</v>
      </c>
      <c r="S24" s="63">
        <v>2</v>
      </c>
      <c r="T24" s="61"/>
      <c r="U24" s="62" t="str">
        <f>IF(AK8&gt;6,"v","")</f>
        <v/>
      </c>
      <c r="V24" s="63"/>
      <c r="W24" s="61"/>
      <c r="X24" s="62" t="str">
        <f>IF(AK8&gt;7,"v","")</f>
        <v/>
      </c>
      <c r="Y24" s="63"/>
      <c r="Z24" s="61"/>
      <c r="AA24" s="62" t="str">
        <f>IF(AK8&gt;8,"v","")</f>
        <v/>
      </c>
      <c r="AB24" s="63"/>
      <c r="AC24" s="61"/>
      <c r="AD24" s="62" t="str">
        <f>IF(AK8&gt;9,"v","")</f>
        <v/>
      </c>
      <c r="AE24" s="63"/>
      <c r="AF24" s="57" t="str">
        <f>IF(AK9&gt;0,"Team 1","")</f>
        <v>Team 1</v>
      </c>
      <c r="AG24" s="64" t="str">
        <f>IF(AK9&lt;1,"",IF(AK8&lt;1,"",IF(B24=1,B30-D30,IF(D24=1,D30-B30,""))))</f>
        <v/>
      </c>
      <c r="AH24" s="64">
        <f>IF(AK9&lt;1,"",IF(AK8&lt;2,"",IF(E24=1,E30-G30,IF(G24=1,G30-E30,""))))</f>
        <v>20</v>
      </c>
      <c r="AI24" s="64" t="str">
        <f>IF(AK9&lt;1,"",IF(AK8&lt;3,"",IF(H24=1,H30-J30,IF(J24=1,J30-H30,""))))</f>
        <v/>
      </c>
      <c r="AJ24" s="64">
        <f>IF(AK9&lt;1,"",IF(AK8&lt;4,"",IF(K24=1,K30-M30,IF(M24=1,M30-K30,""))))</f>
        <v>8</v>
      </c>
      <c r="AK24" s="64" t="str">
        <f>IF(AK9&lt;1,"",IF(AK8&lt;5,"",IF(N24=1,N30-P30,IF(P24=1,P30-N30,""))))</f>
        <v/>
      </c>
      <c r="AL24" s="64">
        <f>IF(AK9&lt;1,"",IF(AK8&lt;6,"",IF(Q24=1,Q30-S30,IF(S24=1,S30-Q30,""))))</f>
        <v>13</v>
      </c>
      <c r="AM24" s="64" t="str">
        <f>IF(AK9&lt;1,"",IF(AK8&lt;7,"",IF(T24=1,T30-V30,IF(V24=1,V30-T30,""))))</f>
        <v/>
      </c>
      <c r="AN24" s="64" t="str">
        <f>IF(AK9&lt;1,"",IF(AK8&lt;8,"",IF(W24=1,W30-Y30,IF(Y24=1,Y30-W30,""))))</f>
        <v/>
      </c>
      <c r="AO24" s="64" t="str">
        <f>IF(AK9&lt;1,"",IF(AK8&lt;9,"",IF(Z24=1,Z30-AB30,IF(AB24=1,AB30-Z30,""))))</f>
        <v/>
      </c>
      <c r="AP24" s="64" t="str">
        <f>IF(AK9&lt;1,"",IF(AK8&lt;10,"",IF(AC24=1,AC30-AE30,IF(AE24=1,AE30-AC30,""))))</f>
        <v/>
      </c>
      <c r="AQ24" s="59">
        <f>SUM(AG24:AP24)</f>
        <v>41</v>
      </c>
      <c r="AT24" s="375"/>
      <c r="AU24" s="376"/>
      <c r="AV24" s="376"/>
      <c r="AW24" s="376"/>
      <c r="AX24" s="376"/>
      <c r="AY24" s="377"/>
    </row>
    <row r="25" spans="1:51" ht="15" x14ac:dyDescent="0.2">
      <c r="A25" s="4" t="s">
        <v>73</v>
      </c>
      <c r="B25" s="65">
        <v>25</v>
      </c>
      <c r="C25" s="66" t="s">
        <v>74</v>
      </c>
      <c r="D25" s="67">
        <v>15</v>
      </c>
      <c r="E25" s="65">
        <v>25</v>
      </c>
      <c r="F25" s="66" t="str">
        <f>IF(AK8&gt;1,"/","")</f>
        <v>/</v>
      </c>
      <c r="G25" s="67">
        <v>16</v>
      </c>
      <c r="H25" s="65">
        <v>25</v>
      </c>
      <c r="I25" s="66" t="str">
        <f>IF(AK8&gt;2,"/","")</f>
        <v>/</v>
      </c>
      <c r="J25" s="67">
        <v>20</v>
      </c>
      <c r="K25" s="65">
        <v>24</v>
      </c>
      <c r="L25" s="66" t="str">
        <f>IF(AK8&gt;3,"/","")</f>
        <v>/</v>
      </c>
      <c r="M25" s="67">
        <v>26</v>
      </c>
      <c r="N25" s="65">
        <v>25</v>
      </c>
      <c r="O25" s="66" t="str">
        <f>IF(AK8&gt;4,"/","")</f>
        <v>/</v>
      </c>
      <c r="P25" s="67">
        <v>14</v>
      </c>
      <c r="Q25" s="65">
        <v>25</v>
      </c>
      <c r="R25" s="66" t="str">
        <f>IF(AK8&gt;5,"/","")</f>
        <v>/</v>
      </c>
      <c r="S25" s="67">
        <v>19</v>
      </c>
      <c r="T25" s="65"/>
      <c r="U25" s="66" t="str">
        <f>IF(AK8&gt;6,"/","")</f>
        <v/>
      </c>
      <c r="V25" s="67"/>
      <c r="W25" s="65"/>
      <c r="X25" s="66" t="str">
        <f>IF(AK8&gt;7,"/","")</f>
        <v/>
      </c>
      <c r="Y25" s="67"/>
      <c r="Z25" s="65"/>
      <c r="AA25" s="66" t="str">
        <f>IF(AK8&gt;8,"/","")</f>
        <v/>
      </c>
      <c r="AB25" s="67"/>
      <c r="AC25" s="65"/>
      <c r="AD25" s="66" t="str">
        <f>IF(AK8&gt;9,"/","")</f>
        <v/>
      </c>
      <c r="AE25" s="67"/>
      <c r="AF25" s="57" t="str">
        <f>IF(AK9&gt;1,"Team 2","")</f>
        <v>Team 2</v>
      </c>
      <c r="AG25" s="64">
        <f>IF(AK9&lt;2,"",IF(AK8&lt;1,"",IF(B24=2,B30-D30,IF(D24=2,D30-B30,""))))</f>
        <v>17</v>
      </c>
      <c r="AH25" s="64" t="str">
        <f>IF(AK9&lt;2,"",IF(AK8&lt;2,"",IF(E24=2,E30-G30,IF(G24=2,G30-E30,""))))</f>
        <v/>
      </c>
      <c r="AI25" s="64">
        <f>IF(AK9&lt;2,"",IF(AK8&lt;3,"",IF(H24=2,H30-J30,IF(J24=2,J30-H30,""))))</f>
        <v>18</v>
      </c>
      <c r="AJ25" s="64" t="str">
        <f>IF(AK9&lt;2,"",IF(AK8&lt;4,"",IF(K24=2,K30-M30,IF(M24=2,M30-K30,""))))</f>
        <v/>
      </c>
      <c r="AK25" s="64" t="str">
        <f>IF(AK9&lt;2,"",IF(AK8&lt;5,"",IF(N24=2,N30-P30,IF(P24=2,P30-N30,""))))</f>
        <v/>
      </c>
      <c r="AL25" s="64">
        <f>IF(AK9&lt;2,"",IF(AK8&lt;6,"",IF(Q24=2,Q30-S30,IF(S24=2,S30-Q30,""))))</f>
        <v>-13</v>
      </c>
      <c r="AM25" s="64" t="str">
        <f>IF(AK9&lt;2,"",IF(AK8&lt;7,"",IF(T24=2,T30-V30,IF(V24=2,V30-T30,""))))</f>
        <v/>
      </c>
      <c r="AN25" s="64" t="str">
        <f>IF(AK9&lt;2,"",IF(AK8&lt;8,"",IF(W24=2,W30-Y30,IF(Y24=2,Y30-W30,""))))</f>
        <v/>
      </c>
      <c r="AO25" s="64" t="str">
        <f>IF(AK9&lt;2,"",IF(AK8&lt;9,"",IF(Z24=2,Z30-AB30,IF(AB24=2,AB30-Z30,""))))</f>
        <v/>
      </c>
      <c r="AP25" s="64" t="str">
        <f>IF(AK9&lt;2,"",IF(AK8&lt;10,"",IF(AC24=2,AC30-AE30,IF(AE24=2,AE30-AC30,""))))</f>
        <v/>
      </c>
      <c r="AQ25" s="59">
        <f>SUM(AG25:AP25)</f>
        <v>22</v>
      </c>
      <c r="AW25" s="4"/>
    </row>
    <row r="26" spans="1:51" ht="15.75" thickBot="1" x14ac:dyDescent="0.25">
      <c r="A26" s="3" t="str">
        <f>IF(AK7&gt;1,"Game 2","")</f>
        <v>Game 2</v>
      </c>
      <c r="B26" s="65">
        <v>22</v>
      </c>
      <c r="C26" s="66" t="s">
        <v>74</v>
      </c>
      <c r="D26" s="67">
        <v>25</v>
      </c>
      <c r="E26" s="65">
        <v>25</v>
      </c>
      <c r="F26" s="66" t="str">
        <f>IF(AK8&gt;1,IF(AK7&gt;1,"/",""),"")</f>
        <v>/</v>
      </c>
      <c r="G26" s="67">
        <v>14</v>
      </c>
      <c r="H26" s="65">
        <v>25</v>
      </c>
      <c r="I26" s="66" t="str">
        <f>IF(AK8&gt;2,IF(AK7&gt;1,"/",""),"")</f>
        <v>/</v>
      </c>
      <c r="J26" s="67">
        <v>12</v>
      </c>
      <c r="K26" s="65">
        <v>25</v>
      </c>
      <c r="L26" s="66" t="str">
        <f>IF(AK8&gt;3,IF(AK7&gt;1,"/",""),"")</f>
        <v>/</v>
      </c>
      <c r="M26" s="67">
        <v>12</v>
      </c>
      <c r="N26" s="65">
        <v>25</v>
      </c>
      <c r="O26" s="66" t="str">
        <f>IF(AK8&gt;4,IF(AK7&gt;1,"/",""),"")</f>
        <v>/</v>
      </c>
      <c r="P26" s="67">
        <v>12</v>
      </c>
      <c r="Q26" s="65">
        <v>25</v>
      </c>
      <c r="R26" s="66" t="str">
        <f>IF(AK8&gt;5,IF(AK7&gt;1,"/",""),"")</f>
        <v>/</v>
      </c>
      <c r="S26" s="67">
        <v>27</v>
      </c>
      <c r="T26" s="65"/>
      <c r="U26" s="66" t="str">
        <f>IF(AK8&gt;6,IF(AK7&gt;1,"/",""),"")</f>
        <v/>
      </c>
      <c r="V26" s="67"/>
      <c r="W26" s="65"/>
      <c r="X26" s="66" t="str">
        <f>IF(AK8&gt;7,IF(AK7&gt;1,"/",""),"")</f>
        <v/>
      </c>
      <c r="Y26" s="67"/>
      <c r="Z26" s="65"/>
      <c r="AA26" s="66" t="str">
        <f>IF(AK8&gt;8,IF(AK7&gt;1,"/",""),"")</f>
        <v/>
      </c>
      <c r="AB26" s="67"/>
      <c r="AC26" s="65"/>
      <c r="AD26" s="66" t="str">
        <f>IF(AK8&gt;9,IF(AK7&gt;1,"/",""),"")</f>
        <v/>
      </c>
      <c r="AE26" s="67"/>
      <c r="AF26" s="57" t="str">
        <f>IF(AK9&gt;2,"Team 3","")</f>
        <v>Team 3</v>
      </c>
      <c r="AG26" s="64">
        <f>IF(AK9&lt;3,"",IF(AK8&lt;1,"",IF(B24=3,B30-D30,IF(D24=3,D30-B30,""))))</f>
        <v>-17</v>
      </c>
      <c r="AH26" s="64" t="str">
        <f>IF(AK9&lt;3,"",IF(AK8&lt;2,"",IF(E24=3,E30-G30,IF(G24=3,G30-E30,""))))</f>
        <v/>
      </c>
      <c r="AI26" s="64" t="str">
        <f>IF(AK9&lt;3,"",IF(AK8&lt;3,"",IF(H24=3,H30-J30,IF(J24=3,J30-H30,""))))</f>
        <v/>
      </c>
      <c r="AJ26" s="64">
        <f>IF(AK9&lt;3,"",IF(AK8&lt;4,"",IF(K24=3,K30-M30,IF(M24=3,M30-K30,""))))</f>
        <v>-8</v>
      </c>
      <c r="AK26" s="64">
        <f>IF(AK9&lt;3,"",IF(AK8&lt;5,"",IF(N24=3,N30-P30,IF(P24=3,P30-N30,""))))</f>
        <v>24</v>
      </c>
      <c r="AL26" s="64" t="str">
        <f>IF(AK9&lt;3,"",IF(AK8&lt;6,"",IF(Q24=3,Q30-S30,IF(S24=3,S30-Q30,""))))</f>
        <v/>
      </c>
      <c r="AM26" s="64" t="str">
        <f>IF(AK9&lt;3,"",IF(AK8&lt;7,"",IF(T24=3,T30-V30,IF(V24=3,V30-T30,""))))</f>
        <v/>
      </c>
      <c r="AN26" s="64" t="str">
        <f>IF(AK9&lt;3,"",IF(AK8&lt;8,"",IF(W24=3,W30-Y30,IF(Y24=3,Y30-W30,""))))</f>
        <v/>
      </c>
      <c r="AO26" s="64" t="str">
        <f>IF(AK9&lt;3,"",IF(AK8&lt;9,"",IF(Z24=3,Z30-AB30,IF(AB24=3,AB30-Z30,""))))</f>
        <v/>
      </c>
      <c r="AP26" s="64" t="str">
        <f>IF(AK9&lt;3,"",IF(AK8&lt;9,"",IF(AC24=3,AC30-AE30,IF(AE24=3,AE30-AC30,""))))</f>
        <v/>
      </c>
      <c r="AQ26" s="59">
        <f>SUM(AG26:AP26)</f>
        <v>-1</v>
      </c>
      <c r="AT26" s="7"/>
      <c r="AU26" s="7"/>
      <c r="AV26" s="7"/>
      <c r="AW26" s="4"/>
    </row>
    <row r="27" spans="1:51" ht="15.75" thickBot="1" x14ac:dyDescent="0.25">
      <c r="A27" s="3" t="str">
        <f>IF(AK7&gt;2,"Game 3","")</f>
        <v>Game 3</v>
      </c>
      <c r="B27" s="65">
        <v>15</v>
      </c>
      <c r="C27" s="66" t="s">
        <v>74</v>
      </c>
      <c r="D27" s="67">
        <v>5</v>
      </c>
      <c r="E27" s="65"/>
      <c r="F27" s="66" t="str">
        <f>IF(AK8&gt;1,IF(AK7&gt;2,"/",""),"")</f>
        <v>/</v>
      </c>
      <c r="G27" s="67"/>
      <c r="H27" s="65"/>
      <c r="I27" s="66" t="str">
        <f>IF(AK8&gt;2,IF(AK7&gt;2,"/",""),"")</f>
        <v>/</v>
      </c>
      <c r="J27" s="67"/>
      <c r="K27" s="65">
        <v>12</v>
      </c>
      <c r="L27" s="66" t="str">
        <f>IF(AK8&gt;3,IF(AK7&gt;2,"/",""),"")</f>
        <v>/</v>
      </c>
      <c r="M27" s="67">
        <v>15</v>
      </c>
      <c r="N27" s="65"/>
      <c r="O27" s="66" t="str">
        <f>IF(AK8&gt;4,IF(AK7&gt;2,"/",""),"")</f>
        <v>/</v>
      </c>
      <c r="P27" s="67"/>
      <c r="Q27" s="65">
        <v>15</v>
      </c>
      <c r="R27" s="66" t="str">
        <f>IF(AK8&gt;5,IF(AK7&gt;2,"/",""),"")</f>
        <v>/</v>
      </c>
      <c r="S27" s="67">
        <v>6</v>
      </c>
      <c r="T27" s="65"/>
      <c r="U27" s="66" t="str">
        <f>IF(AK8&gt;6,IF(AK7&gt;2,"/",""),"")</f>
        <v/>
      </c>
      <c r="V27" s="67"/>
      <c r="W27" s="65"/>
      <c r="X27" s="66" t="str">
        <f>IF(AK8&gt;7,IF(AK7&gt;2,"/",""),"")</f>
        <v/>
      </c>
      <c r="Y27" s="67"/>
      <c r="Z27" s="65"/>
      <c r="AA27" s="66" t="str">
        <f>IF(AK8&gt;8,IF(AK7&gt;2,"/",""),"")</f>
        <v/>
      </c>
      <c r="AB27" s="67"/>
      <c r="AC27" s="65"/>
      <c r="AD27" s="66" t="str">
        <f>IF(AK8&gt;9,IF(AK7&gt;2,"/",""),"")</f>
        <v/>
      </c>
      <c r="AE27" s="67"/>
      <c r="AF27" s="57" t="str">
        <f>IF(AK9&gt;3,"Team 4","")</f>
        <v>Team 4</v>
      </c>
      <c r="AG27" s="64" t="str">
        <f>IF(AK9&lt;4,"",IF(AK8&lt;1,"",IF(B24=4,B30-D30,IF(D24=4,D30-B30,""))))</f>
        <v/>
      </c>
      <c r="AH27" s="64">
        <f>IF(AK9&lt;4,"",IF(AK8&lt;2,"",IF(E24=4,E30-G30,IF(G24=4,G30-E30,""))))</f>
        <v>-20</v>
      </c>
      <c r="AI27" s="64">
        <f>IF(AK9&lt;4,"",IF(AK8&lt;3,"",IF(H24=4,H30-J30,IF(J24=4,J30-H30,""))))</f>
        <v>-18</v>
      </c>
      <c r="AJ27" s="64" t="str">
        <f>IF(AK9&lt;4,"",IF(AK8&lt;4,"",IF(K24=4,K30-M30,IF(M24=4,M30-K30,""))))</f>
        <v/>
      </c>
      <c r="AK27" s="64">
        <f>IF(AK9&lt;4,"",IF(AK8&lt;5,"",IF(N24=4,N30-P30,IF(P24=4,P30-N30,""))))</f>
        <v>-24</v>
      </c>
      <c r="AL27" s="64" t="str">
        <f>IF(AK9&lt;4,"",IF(AK8&lt;6,"",IF(Q24=4,Q30-S30,IF(S24=4,S30-Q30,""))))</f>
        <v/>
      </c>
      <c r="AM27" s="64" t="str">
        <f>IF(AK9&lt;4,"",IF(AK8&lt;7,"",IF(T24=4,T30-V30,IF(V24=4,V30-T30,""))))</f>
        <v/>
      </c>
      <c r="AN27" s="64" t="str">
        <f>IF(AK9&lt;4,"",IF(AK8&lt;8,"",IF(W24=4,W30-Y30,IF(Y24=4,Y30-W30,""))))</f>
        <v/>
      </c>
      <c r="AO27" s="64" t="str">
        <f>IF(AK9&lt;4,"",IF(AK8&lt;9,"",IF(Z24=4,Z30-AB30,IF(AB24=4,AB30-Z30,""))))</f>
        <v/>
      </c>
      <c r="AP27" s="64" t="str">
        <f>IF(AK9&lt;4,"",IF(AK8&lt;10,"",IF(AC24=4,AC30-AE30,IF(AE24=4,AE30-AC30,""))))</f>
        <v/>
      </c>
      <c r="AQ27" s="59">
        <f>SUM(AG27:AP27)</f>
        <v>-62</v>
      </c>
      <c r="AT27" s="7"/>
      <c r="AU27" s="20"/>
      <c r="AV27" s="20"/>
      <c r="AW27" s="4"/>
    </row>
    <row r="28" spans="1:51" ht="15" x14ac:dyDescent="0.2">
      <c r="A28" s="3" t="str">
        <f>IF(AK7&gt;3,"Game 4","")</f>
        <v/>
      </c>
      <c r="B28" s="65"/>
      <c r="C28" s="66" t="s">
        <v>74</v>
      </c>
      <c r="D28" s="67"/>
      <c r="E28" s="65"/>
      <c r="F28" s="66" t="str">
        <f>IF(AK8&gt;1,IF(AK7&gt;3,"/",""),"")</f>
        <v/>
      </c>
      <c r="G28" s="67"/>
      <c r="H28" s="65"/>
      <c r="I28" s="66" t="str">
        <f>IF(AK8&gt;2,IF(AK7&gt;3,"/",""),"")</f>
        <v/>
      </c>
      <c r="J28" s="67"/>
      <c r="K28" s="65"/>
      <c r="L28" s="66" t="str">
        <f>IF(AK8&gt;3,IF(AK7&gt;3,"/",""),"")</f>
        <v/>
      </c>
      <c r="M28" s="67"/>
      <c r="N28" s="65"/>
      <c r="O28" s="66" t="str">
        <f>IF(AK8&gt;4,IF(AK7&gt;3,"/",""),"")</f>
        <v/>
      </c>
      <c r="P28" s="67"/>
      <c r="Q28" s="65"/>
      <c r="R28" s="66" t="str">
        <f>IF(AK8&gt;5,IF(AK7&gt;3,"/",""),"")</f>
        <v/>
      </c>
      <c r="S28" s="67"/>
      <c r="T28" s="65"/>
      <c r="U28" s="66" t="str">
        <f>IF(AK8&gt;6,IF(AK7&gt;3,"/",""),"")</f>
        <v/>
      </c>
      <c r="V28" s="67"/>
      <c r="W28" s="65"/>
      <c r="X28" s="66" t="str">
        <f>IF(AK8&gt;7,IF(AK7&gt;3,"/",""),"")</f>
        <v/>
      </c>
      <c r="Y28" s="67"/>
      <c r="Z28" s="65"/>
      <c r="AA28" s="66" t="str">
        <f>IF(AK8&gt;8,IF(AK7&gt;3,"/",""),"")</f>
        <v/>
      </c>
      <c r="AB28" s="67"/>
      <c r="AC28" s="65"/>
      <c r="AD28" s="66" t="str">
        <f>IF(AK8&gt;9,IF(AK7&gt;3,"/",""),"")</f>
        <v/>
      </c>
      <c r="AE28" s="67"/>
      <c r="AF28" s="57" t="str">
        <f>IF(AK9&gt;4,"Team 5","")</f>
        <v/>
      </c>
      <c r="AG28" s="68" t="str">
        <f>IF(AK9&lt;5,"",IF(AK8&lt;1,"",IF(B24=5,B30-D30,IF(D24=5,D30-B30,""))))</f>
        <v/>
      </c>
      <c r="AH28" s="64" t="str">
        <f>IF(AK9&lt;5,"",IF(AK8&lt;2,"",IF(E24=5,E30-G30,IF(G24=5,G30-E30,""))))</f>
        <v/>
      </c>
      <c r="AI28" s="64" t="str">
        <f>IF(AK9&lt;5,"",IF(AK8&lt;3,"",IF(H24=5,H30-J30,IF(J24=5,J30-H30,""))))</f>
        <v/>
      </c>
      <c r="AJ28" s="64" t="str">
        <f>IF(AK9&lt;5,"",IF(AK8&lt;4,"",IF(K24=5,K30-M30,IF(M24=5,M30-K30,""))))</f>
        <v/>
      </c>
      <c r="AK28" s="64" t="str">
        <f>IF(AK9&lt;5,"",IF(AK8&lt;5,"",IF(N24=5,N30-P30,IF(P24=5,P30-N30,""))))</f>
        <v/>
      </c>
      <c r="AL28" s="64" t="str">
        <f>IF(AK9&lt;5,"",IF(AK8&lt;6,"",IF(Q24=5,Q30-S30,IF(S24=5,S30-Q30,""))))</f>
        <v/>
      </c>
      <c r="AM28" s="64" t="str">
        <f>IF(AK9&lt;5,"",IF(AK8&lt;7,"",IF(T24=5,T30-V30,IF(V24=5,V30-T30,""))))</f>
        <v/>
      </c>
      <c r="AN28" s="64" t="str">
        <f>IF(AK9&lt;5,"",IF(AK8&lt;8,"",IF(W24=5,W30-Y30,IF(Y24=5,Y30-W30,""))))</f>
        <v/>
      </c>
      <c r="AO28" s="64" t="str">
        <f>IF(AK9&lt;5,"",IF(AK8&lt;9,"",IF(Z24=5,Z30-AB30,IF(AB24=5,AB30-Z30,""))))</f>
        <v/>
      </c>
      <c r="AP28" s="64" t="str">
        <f>IF(AK9&lt;5,"",IF(AK8&lt;10,"",IF(AC24=5,AC30-AE30,IF(AE24=5,AE30-AC30,""))))</f>
        <v/>
      </c>
      <c r="AQ28" s="59">
        <f>SUM(AG28:AP28)</f>
        <v>0</v>
      </c>
      <c r="AT28" s="7"/>
      <c r="AU28" s="7"/>
      <c r="AV28" s="7"/>
      <c r="AW28" s="7"/>
      <c r="AX28" s="7"/>
      <c r="AY28" s="7"/>
    </row>
    <row r="29" spans="1:51" ht="15" x14ac:dyDescent="0.2">
      <c r="A29" s="3" t="str">
        <f>IF(AK7&gt;4,"Game 5","")</f>
        <v/>
      </c>
      <c r="B29" s="65"/>
      <c r="C29" s="66" t="s">
        <v>74</v>
      </c>
      <c r="D29" s="67"/>
      <c r="E29" s="65"/>
      <c r="F29" s="66" t="str">
        <f>IF(AK8&gt;1,IF(AK7&gt;4,"/",""),"")</f>
        <v/>
      </c>
      <c r="G29" s="67"/>
      <c r="H29" s="65"/>
      <c r="I29" s="66" t="str">
        <f>IF(AK8&gt;2,IF(AK7&gt;4,"/",""),"")</f>
        <v/>
      </c>
      <c r="J29" s="67"/>
      <c r="K29" s="65"/>
      <c r="L29" s="66" t="str">
        <f>IF(AK8&gt;3,IF(AK7&gt;4,"/",""),"")</f>
        <v/>
      </c>
      <c r="M29" s="67"/>
      <c r="N29" s="65"/>
      <c r="O29" s="66" t="str">
        <f>IF(AK8&gt;4,IF(AK7&gt;4,"/",""),"")</f>
        <v/>
      </c>
      <c r="P29" s="67"/>
      <c r="Q29" s="65"/>
      <c r="R29" s="66" t="str">
        <f>IF(AK8&gt;5,IF(AK7&gt;4,"/",""),"")</f>
        <v/>
      </c>
      <c r="S29" s="67"/>
      <c r="T29" s="65"/>
      <c r="U29" s="66" t="str">
        <f>IF(AK8&gt;6,IF(AK7&gt;4,"/",""),"")</f>
        <v/>
      </c>
      <c r="V29" s="67"/>
      <c r="W29" s="65"/>
      <c r="X29" s="66" t="str">
        <f>IF(AK8&gt;7,IF(AK7&gt;4,"/",""),"")</f>
        <v/>
      </c>
      <c r="Y29" s="67"/>
      <c r="Z29" s="65"/>
      <c r="AA29" s="66" t="str">
        <f>IF(AK8&gt;8,IF(AK7&gt;4,"/",""),"")</f>
        <v/>
      </c>
      <c r="AB29" s="67"/>
      <c r="AC29" s="65"/>
      <c r="AD29" s="66" t="str">
        <f>IF(AK8&gt;9,IF(AK7&gt;4,"/",""),"")</f>
        <v/>
      </c>
      <c r="AE29" s="67"/>
      <c r="AF29" s="8"/>
      <c r="AG29" s="8"/>
      <c r="AH29" s="8"/>
      <c r="AI29" s="8"/>
      <c r="AJ29" s="8"/>
      <c r="AK29" s="8"/>
      <c r="AL29" s="8"/>
      <c r="AM29" s="8"/>
      <c r="AN29" s="8"/>
      <c r="AO29" s="8"/>
      <c r="AP29" s="8"/>
      <c r="AQ29" s="8"/>
      <c r="AT29" s="7"/>
      <c r="AU29" s="7"/>
      <c r="AV29" s="7"/>
      <c r="AW29" s="7"/>
      <c r="AX29" s="7"/>
      <c r="AY29" s="7"/>
    </row>
    <row r="30" spans="1:51" hidden="1" x14ac:dyDescent="0.2">
      <c r="A30" s="69"/>
      <c r="B30" s="69">
        <f>IF($AK7=5,SUM(B25:B29),IF($AK7=4,SUM(B25:B28),IF($AK7=3,SUM(B25:B27),IF($AK7=2,SUM(B25:B26),B25))))</f>
        <v>62</v>
      </c>
      <c r="C30" s="69"/>
      <c r="D30" s="69">
        <f>IF($AK7=5,SUM(D25:D29),IF($AK7=4,SUM(D25:D28),IF($AK7=3,SUM(D25:D27),IF($AK7=2,SUM(D25:D26),D25))))</f>
        <v>45</v>
      </c>
      <c r="E30" s="69">
        <f>IF($AK7=5,SUM(E25:E29),IF($AK7=4,SUM(E25:E28),IF($AK7=3,SUM(E25:E27),IF($AK7=2,SUM(E25:E26),E25))))</f>
        <v>50</v>
      </c>
      <c r="F30" s="69"/>
      <c r="G30" s="69">
        <f>IF($AK7=5,SUM(G25:G29),IF($AK7=4,SUM(G25:G28),IF($AK7=3,SUM(G25:G27),IF($AK7=2,SUM(G25:G26),G25))))</f>
        <v>30</v>
      </c>
      <c r="H30" s="69">
        <f>IF($AK7=5,SUM(H25:H29),IF($AK7=4,SUM(H25:H28),IF($AK7=3,SUM(H25:H27),IF($AK7=2,SUM(H25:H26),H25))))</f>
        <v>50</v>
      </c>
      <c r="I30" s="69"/>
      <c r="J30" s="69">
        <f>IF($AK7=5,SUM(J25:J29),IF($AK7=4,SUM(J25:J28),IF($AK7=3,SUM(J25:J27),IF($AK7=2,SUM(J25:J26),J25))))</f>
        <v>32</v>
      </c>
      <c r="K30" s="69">
        <f>IF($AK7=5,SUM(K25:K29),IF($AK7=4,SUM(K25:K28),IF($AK7=3,SUM(K25:K27),IF($AK7=2,SUM(K25:K26),K25))))</f>
        <v>61</v>
      </c>
      <c r="L30" s="69"/>
      <c r="M30" s="69">
        <f>IF($AK7=5,SUM(M25:M29),IF($AK7=4,SUM(M25:M28),IF($AK7=3,SUM(M25:M27),IF($AK7=2,SUM(M25:M26),M25))))</f>
        <v>53</v>
      </c>
      <c r="N30" s="69">
        <f>IF($AK7=5,SUM(N25:N29),IF($AK7=4,SUM(N25:N28),IF($AK7=3,SUM(N25:N27),IF($AK7=2,SUM(N25:N26),N25))))</f>
        <v>50</v>
      </c>
      <c r="O30" s="69"/>
      <c r="P30" s="69">
        <f>IF($AK7=5,SUM(P25:P29),IF($AK7=4,SUM(P25:P28),IF($AK7=3,SUM(P25:P27),IF($AK7=2,SUM(P25:P26),P25))))</f>
        <v>26</v>
      </c>
      <c r="Q30" s="69">
        <f>IF($AK7=5,SUM(Q25:Q29),IF($AK7=4,SUM(Q25:Q28),IF($AK7=3,SUM(Q25:Q27),IF($AK7=2,SUM(Q25:Q26),Q25))))</f>
        <v>65</v>
      </c>
      <c r="R30" s="69"/>
      <c r="S30" s="69">
        <f>IF($AK7=5,SUM(S25:S29),IF($AK7=4,SUM(S25:S28),IF($AK7=3,SUM(S25:S27),IF($AK7=2,SUM(S25:S26),S25))))</f>
        <v>52</v>
      </c>
      <c r="T30" s="69">
        <f>IF($AK7=5,SUM(T25:T29),IF($AK7=4,SUM(T25:T28),IF($AK7=3,SUM(T25:T27),IF($AK7=2,SUM(T25:T26),T25))))</f>
        <v>0</v>
      </c>
      <c r="U30" s="69"/>
      <c r="V30" s="69">
        <f>IF($AK7=5,SUM(V25:V29),IF($AK7=4,SUM(V25:V28),IF($AK7=3,SUM(V25:V27),IF($AK7=2,SUM(V25:V26),V25))))</f>
        <v>0</v>
      </c>
      <c r="W30" s="69">
        <f>IF($AK7=5,SUM(W25:W29),IF($AK7=4,SUM(W25:W28),IF($AK7=3,SUM(W25:W27),IF($AK7=2,SUM(W25:W26),W25))))</f>
        <v>0</v>
      </c>
      <c r="X30" s="69"/>
      <c r="Y30" s="69">
        <f>IF($AK7=5,SUM(Y25:Y29),IF($AK7=4,SUM(Y25:Y28),IF($AK7=3,SUM(Y25:Y27),IF($AK7=2,SUM(Y25:Y26),Y25))))</f>
        <v>0</v>
      </c>
      <c r="Z30" s="69">
        <f>IF($AK7=5,SUM(Z25:Z29),IF($AK7=4,SUM(Z25:Z28),IF($AK7=3,SUM(Z25:Z27),IF($AK7=2,SUM(Z25:Z26),Z25))))</f>
        <v>0</v>
      </c>
      <c r="AA30" s="69"/>
      <c r="AB30" s="69">
        <f>IF($AK7=5,SUM(AB25:AB29),IF($AK7=4,SUM(AB25:AB28),IF($AK7=3,SUM(AB25:AB27),IF($AK7=2,SUM(AB25:AB26),AB25))))</f>
        <v>0</v>
      </c>
      <c r="AC30" s="69">
        <f>IF($AK7=5,SUM(AC25:AC29),IF($AK7=4,SUM(AC25:AC28),IF($AK7=3,SUM(AC25:AC27),IF($AK7=2,SUM(AC25:AC26),AC25))))</f>
        <v>0</v>
      </c>
      <c r="AD30" s="69"/>
      <c r="AE30" s="69">
        <f>IF($AK7=5,SUM(AE25:AE29),IF($AK7=4,SUM(AE25:AE28),IF($AK7=3,SUM(AE25:AE27),IF($AK7=2,SUM(AE25:AE26),AE25))))</f>
        <v>0</v>
      </c>
      <c r="AF30" s="8"/>
      <c r="AG30" s="8"/>
      <c r="AH30" s="8"/>
      <c r="AI30" s="8"/>
      <c r="AJ30" s="8"/>
      <c r="AK30" s="8"/>
      <c r="AL30" s="8"/>
      <c r="AM30" s="8"/>
      <c r="AN30" s="8"/>
      <c r="AO30" s="8"/>
      <c r="AP30" s="8"/>
      <c r="AQ30" s="8"/>
      <c r="AT30" s="99"/>
      <c r="AU30" s="99"/>
      <c r="AV30" s="99"/>
    </row>
    <row r="31" spans="1:51" s="70" customFormat="1" ht="12.75" hidden="1" customHeight="1" x14ac:dyDescent="0.2">
      <c r="A31" s="70" t="s">
        <v>75</v>
      </c>
      <c r="B31" s="71">
        <f>IF(AND(B25&gt;D25,$AK8&gt;0,ISNUMBER(B25),ISNUMBER(D25)),1,0)</f>
        <v>1</v>
      </c>
      <c r="C31" s="71"/>
      <c r="D31" s="72">
        <f>IF(AND(D25&gt;B25,$AK8&gt;0,ISNUMBER(B25),ISNUMBER(D25)),1,0)</f>
        <v>0</v>
      </c>
      <c r="E31" s="71">
        <f>IF(AND(E25&gt;G25,$AK8&gt;1,ISNUMBER(E25),ISNUMBER(G25)),1,0)</f>
        <v>1</v>
      </c>
      <c r="F31" s="71"/>
      <c r="G31" s="72">
        <f>IF(AND(G25&gt;E25,$AK8&gt;1,ISNUMBER(E25),ISNUMBER(G25)),1,0)</f>
        <v>0</v>
      </c>
      <c r="H31" s="71">
        <f>IF(AND(H25&gt;J25,$AK8&gt;2,ISNUMBER(H25),ISNUMBER(J25)),1,0)</f>
        <v>1</v>
      </c>
      <c r="I31" s="71"/>
      <c r="J31" s="72">
        <f>IF(AND(J25&gt;H25,$AK8&gt;2,ISNUMBER(H25),ISNUMBER(J25)),1,0)</f>
        <v>0</v>
      </c>
      <c r="K31" s="71">
        <f>IF(AND(K25&gt;M25,$AK8&gt;3,ISNUMBER(K25),ISNUMBER(M25)),1,0)</f>
        <v>0</v>
      </c>
      <c r="L31" s="71"/>
      <c r="M31" s="72">
        <f>IF(AND(M25&gt;K25,$AK8&gt;3,ISNUMBER(K25),ISNUMBER(M25)),1,0)</f>
        <v>1</v>
      </c>
      <c r="N31" s="71">
        <f>IF(AND(N25&gt;P25,$AK8&gt;4,ISNUMBER(N25),ISNUMBER(P25)),1,0)</f>
        <v>1</v>
      </c>
      <c r="O31" s="71"/>
      <c r="P31" s="72">
        <f>IF(AND(P25&gt;N25,$AK8&gt;4,ISNUMBER(N25),ISNUMBER(P25)),1,0)</f>
        <v>0</v>
      </c>
      <c r="Q31" s="71">
        <f>IF(AND(Q25&gt;S25,$AK8&gt;5,ISNUMBER(Q25),ISNUMBER(S25)),1,0)</f>
        <v>1</v>
      </c>
      <c r="R31" s="71"/>
      <c r="S31" s="72">
        <f>IF(AND(S25&gt;Q25,$AK8&gt;5,ISNUMBER(Q25),ISNUMBER(S25)),1,0)</f>
        <v>0</v>
      </c>
      <c r="T31" s="71">
        <f>IF(AND(T25&gt;V25,$AK8&gt;6,ISNUMBER(T25),ISNUMBER(V25)),1,0)</f>
        <v>0</v>
      </c>
      <c r="U31" s="71"/>
      <c r="V31" s="72">
        <f>IF(AND(V25&gt;T25,$AK8&gt;6,ISNUMBER(T25),ISNUMBER(V25)),1,0)</f>
        <v>0</v>
      </c>
      <c r="W31" s="71">
        <f>IF(AND(W25&gt;Y25,$AK8&gt;7,ISNUMBER(W25),ISNUMBER(Y25)),1,0)</f>
        <v>0</v>
      </c>
      <c r="X31" s="71"/>
      <c r="Y31" s="72">
        <f>IF(AND(Y25&gt;W25,$AK8&gt;7,ISNUMBER(W25),ISNUMBER(Y25)),1,0)</f>
        <v>0</v>
      </c>
      <c r="Z31" s="71">
        <f>IF(AND(Z25&gt;AB25,$AK8&gt;8,ISNUMBER(Z25),ISNUMBER(AB25)),1,0)</f>
        <v>0</v>
      </c>
      <c r="AA31" s="71"/>
      <c r="AB31" s="72">
        <f>IF(AND(AB25&gt;Z25,$AK8&gt;8,ISNUMBER(Z25),ISNUMBER(AB25)),1,0)</f>
        <v>0</v>
      </c>
      <c r="AC31" s="71">
        <f>IF(AND(AC25&gt;AE25,$AK8&gt;9,ISNUMBER(AC25),ISNUMBER(AE25)),1,0)</f>
        <v>0</v>
      </c>
      <c r="AD31" s="71"/>
      <c r="AE31" s="72">
        <f>IF(AND(AE25&gt;AC25,$AK8&gt;9,ISNUMBER(AC25),ISNUMBER(AE25)),1,0)</f>
        <v>0</v>
      </c>
      <c r="AW31" s="154"/>
    </row>
    <row r="32" spans="1:51" s="70" customFormat="1" ht="12.75" hidden="1" customHeight="1" x14ac:dyDescent="0.2">
      <c r="A32" s="70" t="s">
        <v>76</v>
      </c>
      <c r="B32" s="71">
        <f>IF(AND(B26&gt;D26,$AK8&gt;0,$AK7&gt;1,ISNUMBER(B26),ISNUMBER(D26)),1,0)</f>
        <v>0</v>
      </c>
      <c r="C32" s="71"/>
      <c r="D32" s="72">
        <f>IF(AND(D26&gt;B26,$AK8&gt;0,$AK7&gt;1,ISNUMBER(B26),ISNUMBER(D26)),1,0)</f>
        <v>1</v>
      </c>
      <c r="E32" s="71">
        <f>IF(AND(E26&gt;G26,$AK8&gt;1,$AK7&gt;1,ISNUMBER(E26),ISNUMBER(G26)),1,0)</f>
        <v>1</v>
      </c>
      <c r="F32" s="71"/>
      <c r="G32" s="72">
        <f>IF(AND(G26&gt;E26,$AK8&gt;1,$AK7&gt;1,ISNUMBER(E26),ISNUMBER(G26)),1,0)</f>
        <v>0</v>
      </c>
      <c r="H32" s="71">
        <f>IF(AND(H26&gt;J26,$AK8&gt;2,$AK7&gt;1,ISNUMBER(H26),ISNUMBER(J26)),1,0)</f>
        <v>1</v>
      </c>
      <c r="I32" s="71"/>
      <c r="J32" s="72">
        <f>IF(AND(J26&gt;H26,$AK8&gt;2,$AK7&gt;1,ISNUMBER(H26),ISNUMBER(J26)),1,0)</f>
        <v>0</v>
      </c>
      <c r="K32" s="71">
        <f>IF(AND(K26&gt;M26,$AK8&gt;3,$AK7&gt;1,ISNUMBER(K26),ISNUMBER(M26)),1,0)</f>
        <v>1</v>
      </c>
      <c r="L32" s="71"/>
      <c r="M32" s="72">
        <f>IF(AND(M26&gt;K26,$AK8&gt;3,$AK7&gt;1,ISNUMBER(K26),ISNUMBER(M26)),1,0)</f>
        <v>0</v>
      </c>
      <c r="N32" s="71">
        <f>IF(AND(N26&gt;P26,$AK8&gt;4,$AK7&gt;1,ISNUMBER(N26),ISNUMBER(P26)),1,0)</f>
        <v>1</v>
      </c>
      <c r="O32" s="71"/>
      <c r="P32" s="72">
        <f>IF(AND(P26&gt;N26,$AK8&gt;4,$AK7&gt;1,ISNUMBER(N26),ISNUMBER(P26)),1,0)</f>
        <v>0</v>
      </c>
      <c r="Q32" s="71">
        <f>IF(AND(Q26&gt;S26,$AK8&gt;5,$AK7&gt;1,ISNUMBER(Q26),ISNUMBER(S26)),1,0)</f>
        <v>0</v>
      </c>
      <c r="R32" s="71"/>
      <c r="S32" s="72">
        <f>IF(AND(S26&gt;Q26,$AK8&gt;5,$AK7&gt;1,ISNUMBER(Q26),ISNUMBER(S26)),1,0)</f>
        <v>1</v>
      </c>
      <c r="T32" s="71">
        <f>IF(AND(T26&gt;V26,$AK8&gt;6,$AK7&gt;1,ISNUMBER(T26),ISNUMBER(V26)),1,0)</f>
        <v>0</v>
      </c>
      <c r="U32" s="71"/>
      <c r="V32" s="72">
        <f>IF(AND(V26&gt;T26,$AK8&gt;6,$AK7&gt;1,ISNUMBER(T26),ISNUMBER(V26)),1,0)</f>
        <v>0</v>
      </c>
      <c r="W32" s="71">
        <f>IF(AND(W26&gt;Y26,$AK8&gt;7,$AK7&gt;1,ISNUMBER(W26),ISNUMBER(Y26)),1,0)</f>
        <v>0</v>
      </c>
      <c r="X32" s="71"/>
      <c r="Y32" s="72">
        <f>IF(AND(Y26&gt;W26,$AK8&gt;7,$AK7&gt;1,ISNUMBER(W26),ISNUMBER(Y26)),1,0)</f>
        <v>0</v>
      </c>
      <c r="Z32" s="71">
        <f>IF(AND(Z26&gt;AB26,$AK8&gt;8,$AK7&gt;1,ISNUMBER(Z26),ISNUMBER(AB26)),1,0)</f>
        <v>0</v>
      </c>
      <c r="AA32" s="71"/>
      <c r="AB32" s="72">
        <f>IF(AND(AB26&gt;Z26,$AK8&gt;8,$AK7&gt;1,ISNUMBER(Z26),ISNUMBER(AB26)),1,0)</f>
        <v>0</v>
      </c>
      <c r="AC32" s="71">
        <f>IF(AND(AC26&gt;AE26,$AK8&gt;9,$AK7&gt;1,ISNUMBER(AC26),ISNUMBER(AE26)),1,0)</f>
        <v>0</v>
      </c>
      <c r="AD32" s="71"/>
      <c r="AE32" s="72">
        <f>IF(AND(AE26&gt;AC26,$AK8&gt;9,$AK7&gt;1,ISNUMBER(AC26),ISNUMBER(AE26)),1,0)</f>
        <v>0</v>
      </c>
      <c r="AW32" s="154"/>
    </row>
    <row r="33" spans="1:49" s="70" customFormat="1" ht="12.75" hidden="1" customHeight="1" x14ac:dyDescent="0.2">
      <c r="A33" s="70" t="s">
        <v>77</v>
      </c>
      <c r="B33" s="71">
        <f>IF(AND(B27&gt;D27,$AK8&gt;0,$AK7&gt;2,ISNUMBER(B27),ISNUMBER(D27)),1,0)</f>
        <v>1</v>
      </c>
      <c r="C33" s="71"/>
      <c r="D33" s="72">
        <f>IF(AND(D27&gt;B27,$AK8&gt;0,$AK7&gt;2,ISNUMBER(B27),ISNUMBER(D27)),1,0)</f>
        <v>0</v>
      </c>
      <c r="E33" s="71">
        <f>IF(AND(E27&gt;G27,$AK8&gt;1,$AK7&gt;2,ISNUMBER(E27),ISNUMBER(G27)),1,0)</f>
        <v>0</v>
      </c>
      <c r="F33" s="71"/>
      <c r="G33" s="72">
        <f>IF(AND(G27&gt;E27,$AK8&gt;1,$AK7&gt;2,ISNUMBER(E27),ISNUMBER(G27)),1,0)</f>
        <v>0</v>
      </c>
      <c r="H33" s="71">
        <f>IF(AND(H27&gt;J27,$AK8&gt;2,$AK7&gt;2,ISNUMBER(H27),ISNUMBER(J27)),1,0)</f>
        <v>0</v>
      </c>
      <c r="I33" s="71"/>
      <c r="J33" s="72">
        <f>IF(AND(J27&gt;H27,$AK8&gt;2,$AK7&gt;2,ISNUMBER(H27),ISNUMBER(J27)),1,0)</f>
        <v>0</v>
      </c>
      <c r="K33" s="71">
        <f>IF(AND(K27&gt;M27,$AK8&gt;3,$AK7&gt;2,ISNUMBER(K27),ISNUMBER(M27)),1,0)</f>
        <v>0</v>
      </c>
      <c r="L33" s="71"/>
      <c r="M33" s="72">
        <f>IF(AND(M27&gt;K27,$AK8&gt;3,$AK7&gt;2,ISNUMBER(K27),ISNUMBER(M27)),1,0)</f>
        <v>1</v>
      </c>
      <c r="N33" s="71">
        <f>IF(AND(N27&gt;P27,$AK8&gt;4,$AK7&gt;2,ISNUMBER(N27),ISNUMBER(P27)),1,0)</f>
        <v>0</v>
      </c>
      <c r="O33" s="71"/>
      <c r="P33" s="72">
        <f>IF(AND(P27&gt;N27,$AK8&gt;4,$AK7&gt;2,ISNUMBER(N27),ISNUMBER(P27)),1,0)</f>
        <v>0</v>
      </c>
      <c r="Q33" s="71">
        <f>IF(AND(Q27&gt;S27,$AK8&gt;5,$AK7&gt;2,ISNUMBER(Q27),ISNUMBER(S27)),1,0)</f>
        <v>1</v>
      </c>
      <c r="R33" s="71"/>
      <c r="S33" s="72">
        <f>IF(AND(S27&gt;Q27,$AK8&gt;5,$AK7&gt;2,ISNUMBER(Q27),ISNUMBER(S27)),1,0)</f>
        <v>0</v>
      </c>
      <c r="T33" s="71">
        <f>IF(AND(T27&gt;V27,$AK8&gt;6,$AK7&gt;2,ISNUMBER(T27),ISNUMBER(V27)),1,0)</f>
        <v>0</v>
      </c>
      <c r="U33" s="71"/>
      <c r="V33" s="72">
        <f>IF(AND(V27&gt;T27,$AK8&gt;6,$AK7&gt;2,ISNUMBER(T27),ISNUMBER(V27)),1,0)</f>
        <v>0</v>
      </c>
      <c r="W33" s="71">
        <f>IF(AND(W27&gt;Y27,$AK8&gt;7,$AK7&gt;2,ISNUMBER(W27),ISNUMBER(Y27)),1,0)</f>
        <v>0</v>
      </c>
      <c r="X33" s="71"/>
      <c r="Y33" s="72">
        <f>IF(AND(Y27&gt;W27,$AK8&gt;7,$AK7&gt;2,ISNUMBER(W27),ISNUMBER(Y27)),1,0)</f>
        <v>0</v>
      </c>
      <c r="Z33" s="71">
        <f>IF(AND(Z27&gt;AB27,$AK8&gt;8,$AK7&gt;2,ISNUMBER(Z27),ISNUMBER(AB27)),1,0)</f>
        <v>0</v>
      </c>
      <c r="AA33" s="71"/>
      <c r="AB33" s="72">
        <f>IF(AND(AB27&gt;Z27,$AK8&gt;8,$AK7&gt;2,ISNUMBER(Z27),ISNUMBER(AB27)),1,0)</f>
        <v>0</v>
      </c>
      <c r="AC33" s="71">
        <f>IF(AND(AC27&gt;AE27,$AK8&gt;9,$AK7&gt;2,ISNUMBER(AC27),ISNUMBER(AE27)),1,0)</f>
        <v>0</v>
      </c>
      <c r="AD33" s="71"/>
      <c r="AE33" s="72">
        <f>IF(AND(AE27&gt;AC27,$AK8&gt;9,$AK7&gt;2,ISNUMBER(AC27),ISNUMBER(AE27)),1,0)</f>
        <v>0</v>
      </c>
      <c r="AW33" s="154"/>
    </row>
    <row r="34" spans="1:49" s="70" customFormat="1" ht="12.75" hidden="1" customHeight="1" x14ac:dyDescent="0.2">
      <c r="A34" s="70" t="s">
        <v>78</v>
      </c>
      <c r="B34" s="71">
        <f>IF(AND(B28&gt;D28,$AK8&gt;0,$AK7&gt;3,ISNUMBER(B28),ISNUMBER(D28)),1,0)</f>
        <v>0</v>
      </c>
      <c r="C34" s="71"/>
      <c r="D34" s="72">
        <f>IF(AND(D28&gt;B28,$AK8&gt;0,$AK7&gt;3,ISNUMBER(B28),ISNUMBER(D28)),1,0)</f>
        <v>0</v>
      </c>
      <c r="E34" s="71">
        <f>IF(AND(E28&gt;G28,$AK8&gt;1,$AK7&gt;3,ISNUMBER(E28),ISNUMBER(G28)),1,0)</f>
        <v>0</v>
      </c>
      <c r="F34" s="71"/>
      <c r="G34" s="72">
        <f>IF(AND(G28&gt;E28,$AK8&gt;1,$AK7&gt;3,ISNUMBER(E28),ISNUMBER(G28)),1,0)</f>
        <v>0</v>
      </c>
      <c r="H34" s="71">
        <f>IF(AND(H28&gt;J28,$AK8&gt;2,$AK7&gt;3,ISNUMBER(H28),ISNUMBER(J28)),1,0)</f>
        <v>0</v>
      </c>
      <c r="I34" s="71"/>
      <c r="J34" s="72">
        <f>IF(AND(J28&gt;H28,$AK8&gt;2,$AK7&gt;3,ISNUMBER(H28),ISNUMBER(J28)),1,0)</f>
        <v>0</v>
      </c>
      <c r="K34" s="71">
        <f>IF(AND(K28&gt;M28,$AK8&gt;3,$AK7&gt;3,ISNUMBER(K28),ISNUMBER(M28)),1,0)</f>
        <v>0</v>
      </c>
      <c r="L34" s="71"/>
      <c r="M34" s="72">
        <f>IF(AND(M28&gt;K28,$AK8&gt;3,$AK7&gt;3,ISNUMBER(K28),ISNUMBER(M28)),1,0)</f>
        <v>0</v>
      </c>
      <c r="N34" s="71">
        <f>IF(AND(N28&gt;P28,$AK8&gt;4,$AK7&gt;3,ISNUMBER(N28),ISNUMBER(P28)),1,0)</f>
        <v>0</v>
      </c>
      <c r="O34" s="71"/>
      <c r="P34" s="72">
        <f>IF(AND(P28&gt;N28,$AK8&gt;4,$AK7&gt;3,ISNUMBER(N28),ISNUMBER(P28)),1,0)</f>
        <v>0</v>
      </c>
      <c r="Q34" s="71">
        <f>IF(AND(Q28&gt;S28,$AK8&gt;5,$AK7&gt;3,ISNUMBER(Q28),ISNUMBER(S28)),1,0)</f>
        <v>0</v>
      </c>
      <c r="R34" s="71"/>
      <c r="S34" s="72">
        <f>IF(AND(S28&gt;Q28,$AK8&gt;5,$AK7&gt;3,ISNUMBER(Q28),ISNUMBER(S28)),1,0)</f>
        <v>0</v>
      </c>
      <c r="T34" s="71">
        <f>IF(AND(T28&gt;V28,$AK8&gt;6,$AK7&gt;3,ISNUMBER(T28),ISNUMBER(V28)),1,0)</f>
        <v>0</v>
      </c>
      <c r="U34" s="71"/>
      <c r="V34" s="72">
        <f>IF(AND(V28&gt;T28,$AK8&gt;6,$AK7&gt;3,ISNUMBER(T28),ISNUMBER(V28)),1,0)</f>
        <v>0</v>
      </c>
      <c r="W34" s="71">
        <f>IF(AND(W28&gt;Y28,$AK8&gt;7,$AK7&gt;3,ISNUMBER(W28),ISNUMBER(Y28)),1,0)</f>
        <v>0</v>
      </c>
      <c r="X34" s="71"/>
      <c r="Y34" s="72">
        <f>IF(AND(Y28&gt;W28,$AK8&gt;7,$AK7&gt;3,ISNUMBER(W28),ISNUMBER(Y28)),1,0)</f>
        <v>0</v>
      </c>
      <c r="Z34" s="71">
        <f>IF(AND(Z28&gt;AB28,$AK8&gt;8,$AK7&gt;3,ISNUMBER(Z28),ISNUMBER(AB28)),1,0)</f>
        <v>0</v>
      </c>
      <c r="AA34" s="71"/>
      <c r="AB34" s="72">
        <f>IF(AND(AB28&gt;Z28,$AK8&gt;8,$AK7&gt;3,ISNUMBER(Z28),ISNUMBER(AB28)),1,0)</f>
        <v>0</v>
      </c>
      <c r="AC34" s="71">
        <f>IF(AND(AC28&gt;AE28,$AK8&gt;9,$AK7&gt;3,ISNUMBER(AC28),ISNUMBER(AE28)),1,0)</f>
        <v>0</v>
      </c>
      <c r="AD34" s="71"/>
      <c r="AE34" s="72">
        <f>IF(AND(AE28&gt;AC28,$AK8&gt;9,$AK7&gt;3,ISNUMBER(AC28),ISNUMBER(AE28)),1,0)</f>
        <v>0</v>
      </c>
      <c r="AW34" s="154"/>
    </row>
    <row r="35" spans="1:49" s="70" customFormat="1" ht="12.75" hidden="1" customHeight="1" x14ac:dyDescent="0.2">
      <c r="A35" s="70" t="s">
        <v>79</v>
      </c>
      <c r="B35" s="71">
        <f>IF(AND(B29&gt;D29,$AK8&gt;0,$AK7&gt;4,ISNUMBER(B29),ISNUMBER(D29)),1,0)</f>
        <v>0</v>
      </c>
      <c r="C35" s="71"/>
      <c r="D35" s="72">
        <f>IF(AND(D29&gt;B29,$AK8&gt;0,$AK7&gt;4,ISNUMBER(B29),ISNUMBER(D29)),1,0)</f>
        <v>0</v>
      </c>
      <c r="E35" s="71">
        <f>IF(AND(E29&gt;G29,$AK8&gt;1,$AK7&gt;4,ISNUMBER(E29),ISNUMBER(G29)),1,0)</f>
        <v>0</v>
      </c>
      <c r="F35" s="71"/>
      <c r="G35" s="72">
        <f>IF(AND(G29&gt;E29,$AK8&gt;1,$AK7&gt;4,ISNUMBER(E29),ISNUMBER(G29)),1,0)</f>
        <v>0</v>
      </c>
      <c r="H35" s="71">
        <f>IF(AND(H29&gt;J29,$AK8&gt;2,$AK7&gt;4,ISNUMBER(H29),ISNUMBER(J29)),1,0)</f>
        <v>0</v>
      </c>
      <c r="I35" s="71"/>
      <c r="J35" s="72">
        <f>IF(AND(J29&gt;H29,$AK8&gt;2,$AK7&gt;4,ISNUMBER(H29),ISNUMBER(J29)),1,0)</f>
        <v>0</v>
      </c>
      <c r="K35" s="71">
        <f>IF(AND(K29&gt;M29,$AK8&gt;3,$AK7&gt;4,ISNUMBER(K29),ISNUMBER(M29)),1,0)</f>
        <v>0</v>
      </c>
      <c r="L35" s="71"/>
      <c r="M35" s="72">
        <f>IF(AND(M29&gt;K29,$AK8&gt;3,$AK7&gt;4,ISNUMBER(K29),ISNUMBER(M29)),1,0)</f>
        <v>0</v>
      </c>
      <c r="N35" s="71">
        <f>IF(AND(N29&gt;P29,$AK8&gt;4,$AK7&gt;4,ISNUMBER(N29),ISNUMBER(P29)),1,0)</f>
        <v>0</v>
      </c>
      <c r="O35" s="71"/>
      <c r="P35" s="72">
        <f>IF(AND(P29&gt;N29,$AK8&gt;4,$AK7&gt;4,ISNUMBER(N29),ISNUMBER(P29)),1,0)</f>
        <v>0</v>
      </c>
      <c r="Q35" s="71">
        <f>IF(AND(Q29&gt;S29,$AK8&gt;5,$AK7&gt;4,ISNUMBER(Q29),ISNUMBER(S29)),1,0)</f>
        <v>0</v>
      </c>
      <c r="R35" s="71"/>
      <c r="S35" s="72">
        <f>IF(AND(S29&gt;Q29,$AK8&gt;5,$AK7&gt;4,ISNUMBER(Q29),ISNUMBER(S29)),1,0)</f>
        <v>0</v>
      </c>
      <c r="T35" s="71">
        <f>IF(AND(T29&gt;V29,$AK8&gt;6,$AK7&gt;4,ISNUMBER(T29),ISNUMBER(V29)),1,0)</f>
        <v>0</v>
      </c>
      <c r="U35" s="71"/>
      <c r="V35" s="72">
        <f>IF(AND(V29&gt;T29,$AK8&gt;6,$AK7&gt;4,ISNUMBER(T29),ISNUMBER(V29)),1,0)</f>
        <v>0</v>
      </c>
      <c r="W35" s="71">
        <f>IF(AND(W29&gt;Y29,$AK8&gt;7,$AK7&gt;4,ISNUMBER(W29),ISNUMBER(Y29)),1,0)</f>
        <v>0</v>
      </c>
      <c r="X35" s="71"/>
      <c r="Y35" s="72">
        <f>IF(AND(Y29&gt;W29,$AK8&gt;7,$AK7&gt;4,ISNUMBER(W29),ISNUMBER(Y29)),1,0)</f>
        <v>0</v>
      </c>
      <c r="Z35" s="71">
        <f>IF(AND(Z29&gt;AB29,$AK8&gt;8,$AK7&gt;4,ISNUMBER(Z29),ISNUMBER(AB29)),1,0)</f>
        <v>0</v>
      </c>
      <c r="AA35" s="71"/>
      <c r="AB35" s="72">
        <f>IF(AND(AB29&gt;Z29,$AK8&gt;8,$AK7&gt;4,ISNUMBER(Z29),ISNUMBER(AB29)),1,0)</f>
        <v>0</v>
      </c>
      <c r="AC35" s="71">
        <f>IF(AND(AC29&gt;AE29,$AK8&gt;9,$AK7&gt;4,ISNUMBER(AC29),ISNUMBER(AE29)),1,0)</f>
        <v>0</v>
      </c>
      <c r="AD35" s="71"/>
      <c r="AE35" s="72">
        <f>IF(AND(AE29&gt;AC29,$AK8&gt;9,$AK7&gt;4,ISNUMBER(AC29),ISNUMBER(AE29)),1,0)</f>
        <v>0</v>
      </c>
      <c r="AW35" s="154"/>
    </row>
    <row r="36" spans="1:49" s="70" customFormat="1" ht="38.25" hidden="1" customHeight="1" x14ac:dyDescent="0.2">
      <c r="A36" s="73" t="s">
        <v>80</v>
      </c>
      <c r="B36" s="70">
        <f>SUM(B31:B35)</f>
        <v>2</v>
      </c>
      <c r="D36" s="74">
        <f>SUM(D31:D35)</f>
        <v>1</v>
      </c>
      <c r="E36" s="70">
        <f>SUM(E31:E35)</f>
        <v>2</v>
      </c>
      <c r="G36" s="74">
        <f>SUM(G31:G35)</f>
        <v>0</v>
      </c>
      <c r="H36" s="70">
        <f>SUM(H31:H35)</f>
        <v>2</v>
      </c>
      <c r="J36" s="74">
        <f>SUM(J31:J35)</f>
        <v>0</v>
      </c>
      <c r="K36" s="70">
        <f>SUM(K31:K35)</f>
        <v>1</v>
      </c>
      <c r="M36" s="74">
        <f>SUM(M31:M35)</f>
        <v>2</v>
      </c>
      <c r="N36" s="70">
        <f>SUM(N31:N35)</f>
        <v>2</v>
      </c>
      <c r="P36" s="74">
        <f>SUM(P31:P35)</f>
        <v>0</v>
      </c>
      <c r="Q36" s="70">
        <f>SUM(Q31:Q35)</f>
        <v>2</v>
      </c>
      <c r="S36" s="74">
        <f>SUM(S31:S35)</f>
        <v>1</v>
      </c>
      <c r="T36" s="70">
        <f>SUM(T31:T35)</f>
        <v>0</v>
      </c>
      <c r="V36" s="74">
        <f>SUM(V31:V35)</f>
        <v>0</v>
      </c>
      <c r="W36" s="70">
        <f>SUM(W31:W35)</f>
        <v>0</v>
      </c>
      <c r="Y36" s="74">
        <f>SUM(Y31:Y35)</f>
        <v>0</v>
      </c>
      <c r="Z36" s="70">
        <f>SUM(Z31:Z35)</f>
        <v>0</v>
      </c>
      <c r="AB36" s="74">
        <f>SUM(AB31:AB35)</f>
        <v>0</v>
      </c>
      <c r="AC36" s="70">
        <f>SUM(AC31:AC35)</f>
        <v>0</v>
      </c>
      <c r="AE36" s="74">
        <f>SUM(AE31:AE35)</f>
        <v>0</v>
      </c>
      <c r="AW36" s="154"/>
    </row>
    <row r="37" spans="1:49" s="70" customFormat="1" ht="25.5" hidden="1" customHeight="1" x14ac:dyDescent="0.2">
      <c r="A37" s="73" t="s">
        <v>81</v>
      </c>
      <c r="B37" s="70">
        <f>IF(B36&gt;D36,IF(C71=AK7,1,IF(C71=AK7-1,1,0)),0)</f>
        <v>1</v>
      </c>
      <c r="C37" s="70">
        <f>B37+D37</f>
        <v>1</v>
      </c>
      <c r="D37" s="74">
        <f>IF(D36&gt;B36,IF(C71=AK7,1,IF(C71=AK7-1,1,0)),0)</f>
        <v>0</v>
      </c>
      <c r="E37" s="70">
        <f>IF(E36&gt;G36,IF(F71=AK7,1,IF(F71=AK7-1,1,0)),0)</f>
        <v>1</v>
      </c>
      <c r="F37" s="70">
        <f>E37+G37</f>
        <v>1</v>
      </c>
      <c r="G37" s="74">
        <f>IF(G36&gt;E36,IF(F71=AK7,1,IF(F71=AK7-1,1,0)),0)</f>
        <v>0</v>
      </c>
      <c r="H37" s="70">
        <f>IF(H36&gt;J36,IF(I71=AK7,1,IF(I71=AK7-1,1,0)),0)</f>
        <v>1</v>
      </c>
      <c r="I37" s="70">
        <f>H37+J37</f>
        <v>1</v>
      </c>
      <c r="J37" s="74">
        <f>IF(J36&gt;H36,IF(I71=AK7,1,IF(I71=AK7-1,1,0)),0)</f>
        <v>0</v>
      </c>
      <c r="K37" s="70">
        <f>IF(K36&gt;M36,IF(L71=AK7,1,IF(L71=AK7-1,1,0)),0)</f>
        <v>0</v>
      </c>
      <c r="L37" s="70">
        <f>K37+M37</f>
        <v>1</v>
      </c>
      <c r="M37" s="74">
        <f>IF(M36&gt;K36,IF(L71=AK7,1,IF(L71=AK7-1,1,0)),0)</f>
        <v>1</v>
      </c>
      <c r="N37" s="70">
        <f>IF(N36&gt;P36,IF(O71=AK7,1,IF(O71=AK7-1,1,0)),0)</f>
        <v>1</v>
      </c>
      <c r="O37" s="70">
        <f>N37+P37</f>
        <v>1</v>
      </c>
      <c r="P37" s="74">
        <f>IF(P36&gt;N36,IF(O71=AK7,1,IF(O71=AK7-1,1,0)),0)</f>
        <v>0</v>
      </c>
      <c r="Q37" s="70">
        <f>IF(Q36&gt;S36,IF(R71=AK7,1,IF(R71=AK7-1,1,0)),0)</f>
        <v>1</v>
      </c>
      <c r="R37" s="70">
        <f>Q37+S37</f>
        <v>1</v>
      </c>
      <c r="S37" s="74">
        <f>IF(S36&gt;Q36,IF(R71=AK7,1,IF(R71=AK7-1,1,0)),0)</f>
        <v>0</v>
      </c>
      <c r="T37" s="70">
        <f>IF(T36&gt;V36,IF(U71=AK7,1,IF(U71=AK7-1,1,0)),0)</f>
        <v>0</v>
      </c>
      <c r="U37" s="70">
        <f>T37+V37</f>
        <v>0</v>
      </c>
      <c r="V37" s="74">
        <f>IF(V36&gt;T36,IF(U71=AK7,1,IF(U71=AK7-1,1,0)),0)</f>
        <v>0</v>
      </c>
      <c r="W37" s="70">
        <f>IF(W36&gt;Y36,IF(X71=AK7,1,IF(X71=AK7-1,1,0)),0)</f>
        <v>0</v>
      </c>
      <c r="X37" s="70">
        <f>W37+Y37</f>
        <v>0</v>
      </c>
      <c r="Y37" s="74">
        <f>IF(Y36&gt;W36,IF(X71=AK7,1,IF(X71=AK7-1,1,0)),0)</f>
        <v>0</v>
      </c>
      <c r="Z37" s="70">
        <f>IF(Z36&gt;AB36,IF(AA71=AK7,1,IF(AA71=AK7-1,1,0)),0)</f>
        <v>0</v>
      </c>
      <c r="AA37" s="70">
        <f>Z37+AB37</f>
        <v>0</v>
      </c>
      <c r="AB37" s="74">
        <f>IF(AB36&gt;Z36,IF(AA71=AK7,1,IF(AA71=AK7-1,1,0)),0)</f>
        <v>0</v>
      </c>
      <c r="AC37" s="70">
        <f>IF(AC36&gt;AE36,IF(AD71=AK7,1,IF(AD71=AK7-1,1,0)),0)</f>
        <v>0</v>
      </c>
      <c r="AD37" s="70">
        <f>AC37+AE37</f>
        <v>0</v>
      </c>
      <c r="AE37" s="74">
        <f>IF(AE36&gt;AC36,IF(AD71=AK7,1,IF(AD71=AK7-1,1,0)),0)</f>
        <v>0</v>
      </c>
      <c r="AW37" s="154"/>
    </row>
    <row r="38" spans="1:49" s="70" customFormat="1" ht="25.5" hidden="1" customHeight="1" x14ac:dyDescent="0.2">
      <c r="A38" s="73"/>
      <c r="D38" s="74"/>
      <c r="G38" s="74"/>
      <c r="J38" s="74"/>
      <c r="M38" s="74"/>
      <c r="P38" s="74"/>
      <c r="S38" s="74"/>
      <c r="V38" s="74"/>
      <c r="Y38" s="74"/>
      <c r="AB38" s="74"/>
      <c r="AE38" s="74"/>
      <c r="AW38" s="154"/>
    </row>
    <row r="39" spans="1:49" s="70" customFormat="1" ht="12.75" hidden="1" customHeight="1" x14ac:dyDescent="0.2">
      <c r="A39" s="70" t="s">
        <v>82</v>
      </c>
      <c r="B39" s="70">
        <f>IF(B31=1,B25,0)</f>
        <v>25</v>
      </c>
      <c r="D39" s="74">
        <f t="shared" ref="D39:E43" si="2">IF(D31=1,D25,0)</f>
        <v>0</v>
      </c>
      <c r="E39" s="70">
        <f t="shared" si="2"/>
        <v>25</v>
      </c>
      <c r="G39" s="74">
        <f t="shared" ref="G39:H43" si="3">IF(G31=1,G25,0)</f>
        <v>0</v>
      </c>
      <c r="H39" s="70">
        <f t="shared" si="3"/>
        <v>25</v>
      </c>
      <c r="J39" s="74">
        <f t="shared" ref="J39:K43" si="4">IF(J31=1,J25,0)</f>
        <v>0</v>
      </c>
      <c r="K39" s="70">
        <f t="shared" si="4"/>
        <v>0</v>
      </c>
      <c r="M39" s="74">
        <f t="shared" ref="M39:N43" si="5">IF(M31=1,M25,0)</f>
        <v>26</v>
      </c>
      <c r="N39" s="70">
        <f t="shared" si="5"/>
        <v>25</v>
      </c>
      <c r="P39" s="74">
        <f t="shared" ref="P39:Q43" si="6">IF(P31=1,P25,0)</f>
        <v>0</v>
      </c>
      <c r="Q39" s="70">
        <f t="shared" si="6"/>
        <v>25</v>
      </c>
      <c r="S39" s="74">
        <f t="shared" ref="S39:T43" si="7">IF(S31=1,S25,0)</f>
        <v>0</v>
      </c>
      <c r="T39" s="70">
        <f t="shared" si="7"/>
        <v>0</v>
      </c>
      <c r="V39" s="74">
        <f t="shared" ref="V39:W43" si="8">IF(V31=1,V25,0)</f>
        <v>0</v>
      </c>
      <c r="W39" s="70">
        <f t="shared" si="8"/>
        <v>0</v>
      </c>
      <c r="Y39" s="74">
        <f t="shared" ref="Y39:Z43" si="9">IF(Y31=1,Y25,0)</f>
        <v>0</v>
      </c>
      <c r="Z39" s="70">
        <f t="shared" si="9"/>
        <v>0</v>
      </c>
      <c r="AB39" s="74">
        <f t="shared" ref="AB39:AC43" si="10">IF(AB31=1,AB25,0)</f>
        <v>0</v>
      </c>
      <c r="AC39" s="70">
        <f t="shared" si="10"/>
        <v>0</v>
      </c>
      <c r="AE39" s="74">
        <f>IF(AE31=1,AE25,0)</f>
        <v>0</v>
      </c>
      <c r="AW39" s="154"/>
    </row>
    <row r="40" spans="1:49" s="70" customFormat="1" ht="12.75" hidden="1" customHeight="1" x14ac:dyDescent="0.2">
      <c r="A40" s="70" t="s">
        <v>83</v>
      </c>
      <c r="B40" s="70">
        <f>IF(B32=1,B26,0)</f>
        <v>0</v>
      </c>
      <c r="D40" s="74">
        <f t="shared" si="2"/>
        <v>25</v>
      </c>
      <c r="E40" s="70">
        <f t="shared" si="2"/>
        <v>25</v>
      </c>
      <c r="G40" s="74">
        <f t="shared" si="3"/>
        <v>0</v>
      </c>
      <c r="H40" s="70">
        <f t="shared" si="3"/>
        <v>25</v>
      </c>
      <c r="J40" s="74">
        <f t="shared" si="4"/>
        <v>0</v>
      </c>
      <c r="K40" s="70">
        <f t="shared" si="4"/>
        <v>25</v>
      </c>
      <c r="M40" s="74">
        <f t="shared" si="5"/>
        <v>0</v>
      </c>
      <c r="N40" s="70">
        <f t="shared" si="5"/>
        <v>25</v>
      </c>
      <c r="P40" s="74">
        <f t="shared" si="6"/>
        <v>0</v>
      </c>
      <c r="Q40" s="70">
        <f t="shared" si="6"/>
        <v>0</v>
      </c>
      <c r="S40" s="74">
        <f t="shared" si="7"/>
        <v>27</v>
      </c>
      <c r="T40" s="70">
        <f t="shared" si="7"/>
        <v>0</v>
      </c>
      <c r="V40" s="74">
        <f t="shared" si="8"/>
        <v>0</v>
      </c>
      <c r="W40" s="70">
        <f t="shared" si="8"/>
        <v>0</v>
      </c>
      <c r="Y40" s="74">
        <f t="shared" si="9"/>
        <v>0</v>
      </c>
      <c r="Z40" s="70">
        <f t="shared" si="9"/>
        <v>0</v>
      </c>
      <c r="AB40" s="74">
        <f t="shared" si="10"/>
        <v>0</v>
      </c>
      <c r="AC40" s="70">
        <f t="shared" si="10"/>
        <v>0</v>
      </c>
      <c r="AE40" s="74">
        <f>IF(AE32=1,AE26,0)</f>
        <v>0</v>
      </c>
      <c r="AW40" s="154"/>
    </row>
    <row r="41" spans="1:49" s="70" customFormat="1" ht="12.75" hidden="1" customHeight="1" x14ac:dyDescent="0.2">
      <c r="A41" s="70" t="s">
        <v>84</v>
      </c>
      <c r="B41" s="70">
        <f>IF(B33=1,B27,0)</f>
        <v>15</v>
      </c>
      <c r="D41" s="74">
        <f t="shared" si="2"/>
        <v>0</v>
      </c>
      <c r="E41" s="70">
        <f t="shared" si="2"/>
        <v>0</v>
      </c>
      <c r="G41" s="74">
        <f t="shared" si="3"/>
        <v>0</v>
      </c>
      <c r="H41" s="70">
        <f t="shared" si="3"/>
        <v>0</v>
      </c>
      <c r="J41" s="74">
        <f t="shared" si="4"/>
        <v>0</v>
      </c>
      <c r="K41" s="70">
        <f t="shared" si="4"/>
        <v>0</v>
      </c>
      <c r="M41" s="74">
        <f t="shared" si="5"/>
        <v>15</v>
      </c>
      <c r="N41" s="70">
        <f t="shared" si="5"/>
        <v>0</v>
      </c>
      <c r="P41" s="74">
        <f t="shared" si="6"/>
        <v>0</v>
      </c>
      <c r="Q41" s="70">
        <f t="shared" si="6"/>
        <v>15</v>
      </c>
      <c r="S41" s="74">
        <f t="shared" si="7"/>
        <v>0</v>
      </c>
      <c r="T41" s="70">
        <f t="shared" si="7"/>
        <v>0</v>
      </c>
      <c r="V41" s="74">
        <f t="shared" si="8"/>
        <v>0</v>
      </c>
      <c r="W41" s="70">
        <f t="shared" si="8"/>
        <v>0</v>
      </c>
      <c r="Y41" s="74">
        <f t="shared" si="9"/>
        <v>0</v>
      </c>
      <c r="Z41" s="70">
        <f t="shared" si="9"/>
        <v>0</v>
      </c>
      <c r="AB41" s="74">
        <f t="shared" si="10"/>
        <v>0</v>
      </c>
      <c r="AC41" s="70">
        <f t="shared" si="10"/>
        <v>0</v>
      </c>
      <c r="AE41" s="74">
        <f>IF(AE33=1,AE27,0)</f>
        <v>0</v>
      </c>
      <c r="AW41" s="154"/>
    </row>
    <row r="42" spans="1:49" s="70" customFormat="1" ht="12.75" hidden="1" customHeight="1" x14ac:dyDescent="0.2">
      <c r="A42" s="70" t="s">
        <v>85</v>
      </c>
      <c r="B42" s="70">
        <f>IF(B34=1,B28,0)</f>
        <v>0</v>
      </c>
      <c r="D42" s="74">
        <f t="shared" si="2"/>
        <v>0</v>
      </c>
      <c r="E42" s="70">
        <f t="shared" si="2"/>
        <v>0</v>
      </c>
      <c r="G42" s="74">
        <f t="shared" si="3"/>
        <v>0</v>
      </c>
      <c r="H42" s="70">
        <f t="shared" si="3"/>
        <v>0</v>
      </c>
      <c r="J42" s="74">
        <f t="shared" si="4"/>
        <v>0</v>
      </c>
      <c r="K42" s="70">
        <f t="shared" si="4"/>
        <v>0</v>
      </c>
      <c r="M42" s="74">
        <f t="shared" si="5"/>
        <v>0</v>
      </c>
      <c r="N42" s="70">
        <f t="shared" si="5"/>
        <v>0</v>
      </c>
      <c r="P42" s="74">
        <f t="shared" si="6"/>
        <v>0</v>
      </c>
      <c r="Q42" s="70">
        <f t="shared" si="6"/>
        <v>0</v>
      </c>
      <c r="S42" s="74">
        <f t="shared" si="7"/>
        <v>0</v>
      </c>
      <c r="T42" s="70">
        <f t="shared" si="7"/>
        <v>0</v>
      </c>
      <c r="V42" s="74">
        <f t="shared" si="8"/>
        <v>0</v>
      </c>
      <c r="W42" s="70">
        <f t="shared" si="8"/>
        <v>0</v>
      </c>
      <c r="Y42" s="74">
        <f t="shared" si="9"/>
        <v>0</v>
      </c>
      <c r="Z42" s="70">
        <f t="shared" si="9"/>
        <v>0</v>
      </c>
      <c r="AB42" s="74">
        <f t="shared" si="10"/>
        <v>0</v>
      </c>
      <c r="AC42" s="70">
        <f t="shared" si="10"/>
        <v>0</v>
      </c>
      <c r="AE42" s="74">
        <f>IF(AE34=1,AE28,0)</f>
        <v>0</v>
      </c>
      <c r="AW42" s="154"/>
    </row>
    <row r="43" spans="1:49" s="70" customFormat="1" ht="12.75" hidden="1" customHeight="1" x14ac:dyDescent="0.2">
      <c r="A43" s="70" t="s">
        <v>86</v>
      </c>
      <c r="B43" s="70">
        <f>IF(B35=1,B29,0)</f>
        <v>0</v>
      </c>
      <c r="D43" s="74">
        <f t="shared" si="2"/>
        <v>0</v>
      </c>
      <c r="E43" s="70">
        <f t="shared" si="2"/>
        <v>0</v>
      </c>
      <c r="G43" s="74">
        <f t="shared" si="3"/>
        <v>0</v>
      </c>
      <c r="H43" s="70">
        <f t="shared" si="3"/>
        <v>0</v>
      </c>
      <c r="J43" s="74">
        <f t="shared" si="4"/>
        <v>0</v>
      </c>
      <c r="K43" s="70">
        <f t="shared" si="4"/>
        <v>0</v>
      </c>
      <c r="M43" s="74">
        <f t="shared" si="5"/>
        <v>0</v>
      </c>
      <c r="N43" s="70">
        <f t="shared" si="5"/>
        <v>0</v>
      </c>
      <c r="P43" s="74">
        <f t="shared" si="6"/>
        <v>0</v>
      </c>
      <c r="Q43" s="70">
        <f t="shared" si="6"/>
        <v>0</v>
      </c>
      <c r="S43" s="74">
        <f t="shared" si="7"/>
        <v>0</v>
      </c>
      <c r="T43" s="70">
        <f t="shared" si="7"/>
        <v>0</v>
      </c>
      <c r="V43" s="74">
        <f t="shared" si="8"/>
        <v>0</v>
      </c>
      <c r="W43" s="70">
        <f t="shared" si="8"/>
        <v>0</v>
      </c>
      <c r="Y43" s="74">
        <f t="shared" si="9"/>
        <v>0</v>
      </c>
      <c r="Z43" s="70">
        <f t="shared" si="9"/>
        <v>0</v>
      </c>
      <c r="AB43" s="74">
        <f t="shared" si="10"/>
        <v>0</v>
      </c>
      <c r="AC43" s="70">
        <f t="shared" si="10"/>
        <v>0</v>
      </c>
      <c r="AE43" s="74">
        <f>IF(AE35=1,AE29,0)</f>
        <v>0</v>
      </c>
      <c r="AW43" s="154"/>
    </row>
    <row r="44" spans="1:49" s="70" customFormat="1" ht="38.25" hidden="1" customHeight="1" x14ac:dyDescent="0.2">
      <c r="A44" s="73" t="s">
        <v>87</v>
      </c>
      <c r="B44" s="70">
        <f>SUM(B39:D43)</f>
        <v>65</v>
      </c>
      <c r="D44" s="74"/>
      <c r="E44" s="70">
        <f>SUM(E39:G43)</f>
        <v>50</v>
      </c>
      <c r="G44" s="74"/>
      <c r="H44" s="70">
        <f>SUM(H39:J43)</f>
        <v>50</v>
      </c>
      <c r="J44" s="74"/>
      <c r="K44" s="70">
        <f>SUM(K39:M43)</f>
        <v>66</v>
      </c>
      <c r="M44" s="74"/>
      <c r="N44" s="70">
        <f>SUM(N39:P43)</f>
        <v>50</v>
      </c>
      <c r="P44" s="74"/>
      <c r="Q44" s="70">
        <f>SUM(Q39:S43)</f>
        <v>67</v>
      </c>
      <c r="S44" s="74"/>
      <c r="T44" s="70">
        <f>SUM(T39:V43)</f>
        <v>0</v>
      </c>
      <c r="V44" s="74"/>
      <c r="W44" s="70">
        <f>SUM(W39:Y43)</f>
        <v>0</v>
      </c>
      <c r="Y44" s="74"/>
      <c r="Z44" s="70">
        <f>SUM(Z39:AB43)</f>
        <v>0</v>
      </c>
      <c r="AB44" s="74"/>
      <c r="AC44" s="70">
        <f>SUM(AC39:AE43)</f>
        <v>0</v>
      </c>
      <c r="AE44" s="74"/>
      <c r="AW44" s="154"/>
    </row>
    <row r="45" spans="1:49" s="70" customFormat="1" ht="38.25" hidden="1" customHeight="1" x14ac:dyDescent="0.2">
      <c r="A45" s="70" t="s">
        <v>88</v>
      </c>
      <c r="D45" s="74"/>
      <c r="G45" s="74"/>
      <c r="J45" s="74"/>
      <c r="M45" s="74"/>
      <c r="P45" s="74"/>
      <c r="S45" s="74"/>
      <c r="V45" s="74"/>
      <c r="Y45" s="74"/>
      <c r="AB45" s="74"/>
      <c r="AE45" s="74"/>
      <c r="AF45" s="73" t="s">
        <v>89</v>
      </c>
      <c r="AG45" s="70" t="s">
        <v>90</v>
      </c>
      <c r="AW45" s="154"/>
    </row>
    <row r="46" spans="1:49" s="70" customFormat="1" ht="12.75" hidden="1" customHeight="1" x14ac:dyDescent="0.2">
      <c r="A46" s="70" t="s">
        <v>91</v>
      </c>
      <c r="B46" s="70">
        <f>IF(B24=1,IF(B37=1,1,0),0)</f>
        <v>0</v>
      </c>
      <c r="D46" s="74">
        <f>IF(D24=1,IF(D37=1,1,0),0)</f>
        <v>0</v>
      </c>
      <c r="E46" s="70">
        <f>IF(E24=1,IF(E37=1,1,0),0)</f>
        <v>1</v>
      </c>
      <c r="G46" s="74">
        <f>IF(G24=1,IF(G37=1,1,0),0)</f>
        <v>0</v>
      </c>
      <c r="H46" s="70">
        <f>IF(H24=1,IF(H37=1,1,0),0)</f>
        <v>0</v>
      </c>
      <c r="J46" s="74">
        <f>IF(J24=1,IF(J37=1,1,0),0)</f>
        <v>0</v>
      </c>
      <c r="K46" s="70">
        <f>IF(K24=1,IF(K37=1,1,0),0)</f>
        <v>0</v>
      </c>
      <c r="M46" s="74">
        <f>IF(M24=1,IF(M37=1,1,0),0)</f>
        <v>0</v>
      </c>
      <c r="N46" s="70">
        <f>IF(N24=1,IF(N37=1,1,0),0)</f>
        <v>0</v>
      </c>
      <c r="P46" s="74">
        <f>IF(P24=1,IF(P37=1,1,0),0)</f>
        <v>0</v>
      </c>
      <c r="Q46" s="70">
        <f>IF(Q24=1,IF(Q37=1,1,0),0)</f>
        <v>1</v>
      </c>
      <c r="S46" s="74">
        <f>IF(S24=1,IF(S37=1,1,0),0)</f>
        <v>0</v>
      </c>
      <c r="T46" s="70">
        <f>IF(T24=1,IF(T37=1,1,0),0)</f>
        <v>0</v>
      </c>
      <c r="V46" s="74">
        <f>IF(V24=1,IF(V37=1,1,0),0)</f>
        <v>0</v>
      </c>
      <c r="W46" s="70">
        <f>IF(W24=1,IF(W37=1,1,0),0)</f>
        <v>0</v>
      </c>
      <c r="Y46" s="74">
        <f>IF(Y24=1,IF(Y37=1,1,0),0)</f>
        <v>0</v>
      </c>
      <c r="Z46" s="70">
        <f>IF(Z24=1,IF(Z37=1,1,0),0)</f>
        <v>0</v>
      </c>
      <c r="AB46" s="74">
        <f>IF(AB24=1,IF(AB37=1,1,0),0)</f>
        <v>0</v>
      </c>
      <c r="AC46" s="70">
        <f>IF(AC24=1,IF(AC37=1,1,0),0)</f>
        <v>0</v>
      </c>
      <c r="AE46" s="74">
        <f>IF(AE24=1,IF(AE37=1,1,0),0)</f>
        <v>0</v>
      </c>
      <c r="AF46" s="70">
        <f>SUM(B46:AE46)</f>
        <v>2</v>
      </c>
      <c r="AG46" s="70">
        <f>AF52-AF46</f>
        <v>1</v>
      </c>
      <c r="AW46" s="154"/>
    </row>
    <row r="47" spans="1:49" s="70" customFormat="1" ht="12.75" hidden="1" customHeight="1" x14ac:dyDescent="0.2">
      <c r="A47" s="70" t="s">
        <v>92</v>
      </c>
      <c r="B47" s="70">
        <f>IF(B24=2,IF(B37=1,1,0),0)</f>
        <v>1</v>
      </c>
      <c r="D47" s="74">
        <f>IF(D24=2,IF(D37=1,1,0),0)</f>
        <v>0</v>
      </c>
      <c r="E47" s="70">
        <f>IF(E24=2,IF(E37=1,1,0),0)</f>
        <v>0</v>
      </c>
      <c r="G47" s="74">
        <f>IF(G24=2,IF(G37=1,1,0),0)</f>
        <v>0</v>
      </c>
      <c r="H47" s="70">
        <f>IF(H24=2,IF(H37=1,1,0),0)</f>
        <v>1</v>
      </c>
      <c r="J47" s="74">
        <f>IF(J24=2,IF(J37=1,1,0),0)</f>
        <v>0</v>
      </c>
      <c r="K47" s="70">
        <f>IF(K24=2,IF(K37=1,1,0),0)</f>
        <v>0</v>
      </c>
      <c r="M47" s="74">
        <f>IF(M24=2,IF(M37=1,1,0),0)</f>
        <v>0</v>
      </c>
      <c r="N47" s="70">
        <f>IF(N24=2,IF(N37=1,1,0),0)</f>
        <v>0</v>
      </c>
      <c r="P47" s="74">
        <f>IF(P24=2,IF(P37=1,1,0),0)</f>
        <v>0</v>
      </c>
      <c r="Q47" s="70">
        <f>IF(Q24=2,IF(Q37=1,1,0),0)</f>
        <v>0</v>
      </c>
      <c r="S47" s="74">
        <f>IF(S24=2,IF(S37=1,1,0),0)</f>
        <v>0</v>
      </c>
      <c r="T47" s="70">
        <f>IF(T24=2,IF(T37=1,1,0),0)</f>
        <v>0</v>
      </c>
      <c r="V47" s="74">
        <f>IF(V24=2,IF(V37=1,1,0),0)</f>
        <v>0</v>
      </c>
      <c r="W47" s="70">
        <f>IF(W24=2,IF(W37=1,1,0),0)</f>
        <v>0</v>
      </c>
      <c r="Y47" s="74">
        <f>IF(Y24=2,IF(Y37=1,1,0),0)</f>
        <v>0</v>
      </c>
      <c r="Z47" s="70">
        <f>IF(Z24=2,IF(Z37=1,1,0),0)</f>
        <v>0</v>
      </c>
      <c r="AB47" s="74">
        <f>IF(AB24=2,IF(AB37=1,1,0),0)</f>
        <v>0</v>
      </c>
      <c r="AC47" s="70">
        <f>IF(AC24=2,IF(AC37=1,1,0),0)</f>
        <v>0</v>
      </c>
      <c r="AE47" s="74">
        <f>IF(AE24=2,IF(AE37=1,1,0),0)</f>
        <v>0</v>
      </c>
      <c r="AF47" s="70">
        <f>SUM(B47:AE47)</f>
        <v>2</v>
      </c>
      <c r="AG47" s="70">
        <f>AF53-AF47</f>
        <v>1</v>
      </c>
      <c r="AW47" s="154"/>
    </row>
    <row r="48" spans="1:49" s="70" customFormat="1" ht="12.75" hidden="1" customHeight="1" x14ac:dyDescent="0.2">
      <c r="A48" s="70" t="s">
        <v>93</v>
      </c>
      <c r="B48" s="70">
        <f>IF(B24=3,IF(B37=1,1,0),0)</f>
        <v>0</v>
      </c>
      <c r="D48" s="74">
        <f>IF(D24=3,IF(D37=1,1,0),0)</f>
        <v>0</v>
      </c>
      <c r="E48" s="70">
        <f>IF(E24=3,IF(E37=1,1,0),0)</f>
        <v>0</v>
      </c>
      <c r="G48" s="74">
        <f>IF(G24=3,IF(G37=1,1,0),0)</f>
        <v>0</v>
      </c>
      <c r="H48" s="70">
        <f>IF(H24=3,IF(H37=1,1,0),0)</f>
        <v>0</v>
      </c>
      <c r="J48" s="74">
        <f>IF(J24=3,IF(J37=1,1,0),0)</f>
        <v>0</v>
      </c>
      <c r="K48" s="70">
        <f>IF(K24=3,IF(K37=1,1,0),0)</f>
        <v>0</v>
      </c>
      <c r="M48" s="74">
        <f>IF(M24=3,IF(M37=1,1,0),0)</f>
        <v>1</v>
      </c>
      <c r="N48" s="70">
        <f>IF(N24=3,IF(N37=1,1,0),0)</f>
        <v>1</v>
      </c>
      <c r="P48" s="74">
        <f>IF(P24=3,IF(P37=1,1,0),0)</f>
        <v>0</v>
      </c>
      <c r="Q48" s="70">
        <f>IF(Q24=3,IF(Q37=1,1,0),0)</f>
        <v>0</v>
      </c>
      <c r="S48" s="74">
        <f>IF(S24=3,IF(S37=1,1,0),0)</f>
        <v>0</v>
      </c>
      <c r="T48" s="70">
        <f>IF(T24=3,IF(T37=1,1,0),0)</f>
        <v>0</v>
      </c>
      <c r="V48" s="74">
        <f>IF(V24=3,IF(V37=1,1,0),0)</f>
        <v>0</v>
      </c>
      <c r="W48" s="70">
        <f>IF(W24=3,IF(W37=1,1,0),0)</f>
        <v>0</v>
      </c>
      <c r="Y48" s="74">
        <f>IF(Y24=3,IF(Y37=1,1,0),0)</f>
        <v>0</v>
      </c>
      <c r="Z48" s="70">
        <f>IF(Z24=3,IF(Z37=1,1,0),0)</f>
        <v>0</v>
      </c>
      <c r="AB48" s="74">
        <f>IF(AB24=3,IF(AB37=1,1,0),0)</f>
        <v>0</v>
      </c>
      <c r="AC48" s="70">
        <f>IF(AC24=3,IF(AC37=1,1,0),0)</f>
        <v>0</v>
      </c>
      <c r="AE48" s="74">
        <f>IF(AE24=3,IF(AE37=1,1,0),0)</f>
        <v>0</v>
      </c>
      <c r="AF48" s="70">
        <f>SUM(B48:AE48)</f>
        <v>2</v>
      </c>
      <c r="AG48" s="70">
        <f>AF54-AF48</f>
        <v>1</v>
      </c>
      <c r="AW48" s="154"/>
    </row>
    <row r="49" spans="1:49" s="70" customFormat="1" ht="12.75" hidden="1" customHeight="1" x14ac:dyDescent="0.2">
      <c r="A49" s="70" t="s">
        <v>94</v>
      </c>
      <c r="B49" s="70">
        <f>IF(B24=4,IF(B37=1,1,0),0)</f>
        <v>0</v>
      </c>
      <c r="D49" s="74">
        <f>IF(D24=4,IF(D37=1,1,0),0)</f>
        <v>0</v>
      </c>
      <c r="E49" s="70">
        <f>IF(E24=4,IF(E37=1,1,0),0)</f>
        <v>0</v>
      </c>
      <c r="G49" s="74">
        <f>IF(G24=4,IF(G37=1,1,0),0)</f>
        <v>0</v>
      </c>
      <c r="H49" s="70">
        <f>IF(H24=4,IF(H37=1,1,0),0)</f>
        <v>0</v>
      </c>
      <c r="J49" s="74">
        <f>IF(J24=4,IF(J37=1,1,0),0)</f>
        <v>0</v>
      </c>
      <c r="K49" s="70">
        <f>IF(K24=4,IF(K37=1,1,0),0)</f>
        <v>0</v>
      </c>
      <c r="M49" s="74">
        <f>IF(M24=4,IF(M37=1,1,0),0)</f>
        <v>0</v>
      </c>
      <c r="N49" s="70">
        <f>IF(N24=4,IF(N37=1,1,0),0)</f>
        <v>0</v>
      </c>
      <c r="P49" s="74">
        <f>IF(P24=4,IF(P37=1,1,0),0)</f>
        <v>0</v>
      </c>
      <c r="Q49" s="70">
        <f>IF(Q24=4,IF(Q37=1,1,0),0)</f>
        <v>0</v>
      </c>
      <c r="S49" s="74">
        <f>IF(S24=4,IF(S37=1,1,0),0)</f>
        <v>0</v>
      </c>
      <c r="T49" s="70">
        <f>IF(T24=4,IF(T37=1,1,0),0)</f>
        <v>0</v>
      </c>
      <c r="V49" s="74">
        <f>IF(V24=4,IF(V37=1,1,0),0)</f>
        <v>0</v>
      </c>
      <c r="W49" s="70">
        <f>IF(W24=4,IF(W37=1,1,0),0)</f>
        <v>0</v>
      </c>
      <c r="Y49" s="74">
        <f>IF(Y24=4,IF(Y37=1,1,0),0)</f>
        <v>0</v>
      </c>
      <c r="Z49" s="70">
        <f>IF(Z24=4,IF(Z37=1,1,0),0)</f>
        <v>0</v>
      </c>
      <c r="AB49" s="74">
        <f>IF(AB24=4,IF(AB37=1,1,0),0)</f>
        <v>0</v>
      </c>
      <c r="AC49" s="70">
        <f>IF(AC24=4,IF(AC37=1,1,0),0)</f>
        <v>0</v>
      </c>
      <c r="AE49" s="74">
        <f>IF(AE24=4,IF(AE37=1,1,0),0)</f>
        <v>0</v>
      </c>
      <c r="AF49" s="70">
        <f>SUM(B49:AE49)</f>
        <v>0</v>
      </c>
      <c r="AG49" s="70">
        <f>AF55-AF49</f>
        <v>3</v>
      </c>
      <c r="AW49" s="154"/>
    </row>
    <row r="50" spans="1:49" s="70" customFormat="1" ht="12.75" hidden="1" customHeight="1" x14ac:dyDescent="0.2">
      <c r="A50" s="70" t="s">
        <v>95</v>
      </c>
      <c r="B50" s="70">
        <f>IF(B24=5,IF(B37=1,1,0),0)</f>
        <v>0</v>
      </c>
      <c r="D50" s="74">
        <f>IF(D24=5,IF(D37=1,1,0),0)</f>
        <v>0</v>
      </c>
      <c r="E50" s="70">
        <f>IF(E24=5,IF(E37=1,1,0),0)</f>
        <v>0</v>
      </c>
      <c r="G50" s="74">
        <f>IF(G24=5,IF(G37=1,1,0),0)</f>
        <v>0</v>
      </c>
      <c r="H50" s="70">
        <f>IF(H24=5,IF(H37=1,1,0),0)</f>
        <v>0</v>
      </c>
      <c r="J50" s="74">
        <f>IF(J24=5,IF(J37=1,1,0),0)</f>
        <v>0</v>
      </c>
      <c r="K50" s="70">
        <f>IF(K24=5,IF(K37=1,1,0),0)</f>
        <v>0</v>
      </c>
      <c r="M50" s="74">
        <f>IF(M24=5,IF(M37=1,1,0),0)</f>
        <v>0</v>
      </c>
      <c r="N50" s="70">
        <f>IF(N24=5,IF(N37=1,1,0),0)</f>
        <v>0</v>
      </c>
      <c r="P50" s="74">
        <f>IF(P24=5,IF(P37=1,1,0),0)</f>
        <v>0</v>
      </c>
      <c r="Q50" s="70">
        <f>IF(Q24=5,IF(Q37=1,1,0),0)</f>
        <v>0</v>
      </c>
      <c r="S50" s="74">
        <f>IF(S24=5,IF(S37=1,1,0),0)</f>
        <v>0</v>
      </c>
      <c r="T50" s="70">
        <f>IF(T24=5,IF(T37=1,1,0),0)</f>
        <v>0</v>
      </c>
      <c r="V50" s="74">
        <f>IF(V24=5,IF(V37=1,1,0),0)</f>
        <v>0</v>
      </c>
      <c r="W50" s="70">
        <f>IF(W24=5,IF(W37=1,1,0),0)</f>
        <v>0</v>
      </c>
      <c r="Y50" s="74">
        <f>IF(Y24=5,IF(Y37=1,1,0),0)</f>
        <v>0</v>
      </c>
      <c r="Z50" s="70">
        <f>IF(Z24=5,IF(Z37=1,1,0),0)</f>
        <v>0</v>
      </c>
      <c r="AB50" s="74">
        <f>IF(AB24=5,IF(AB37=1,1,0),0)</f>
        <v>0</v>
      </c>
      <c r="AC50" s="70">
        <f>IF(AC24=5,IF(AC37=1,1,0),0)</f>
        <v>0</v>
      </c>
      <c r="AE50" s="74">
        <f>IF(AE24=5,IF(AE37=1,1,0),0)</f>
        <v>0</v>
      </c>
      <c r="AF50" s="70">
        <f>SUM(B50:AE50)</f>
        <v>0</v>
      </c>
      <c r="AG50" s="70">
        <f>AF56-AF50</f>
        <v>0</v>
      </c>
      <c r="AW50" s="154"/>
    </row>
    <row r="51" spans="1:49" s="70" customFormat="1" ht="38.25" hidden="1" customHeight="1" x14ac:dyDescent="0.2">
      <c r="A51" s="73"/>
      <c r="D51" s="74"/>
      <c r="G51" s="74"/>
      <c r="J51" s="74"/>
      <c r="M51" s="74"/>
      <c r="P51" s="74"/>
      <c r="S51" s="74"/>
      <c r="V51" s="74"/>
      <c r="Y51" s="74"/>
      <c r="AB51" s="74"/>
      <c r="AE51" s="74"/>
      <c r="AF51" s="73" t="s">
        <v>96</v>
      </c>
      <c r="AW51" s="154"/>
    </row>
    <row r="52" spans="1:49" s="70" customFormat="1" ht="12.75" hidden="1" customHeight="1" x14ac:dyDescent="0.2">
      <c r="A52" s="70" t="s">
        <v>97</v>
      </c>
      <c r="B52" s="70">
        <f>IF(B24=1,IF(C37=1,1,0),0)</f>
        <v>0</v>
      </c>
      <c r="D52" s="74">
        <f>IF(D24=1,IF(C37=1,1,0),0)</f>
        <v>0</v>
      </c>
      <c r="E52" s="70">
        <f>IF(E24=1,IF(F37=1,1,0),0)</f>
        <v>1</v>
      </c>
      <c r="G52" s="74">
        <f>IF(G24=1,IF(F37=1,1,0),0)</f>
        <v>0</v>
      </c>
      <c r="H52" s="70">
        <f>IF(H24=1,IF(I37=1,1,0),0)</f>
        <v>0</v>
      </c>
      <c r="J52" s="74">
        <f>IF(J24=1,IF(I37=1,1,0),0)</f>
        <v>0</v>
      </c>
      <c r="K52" s="70">
        <f>IF(K24=1,IF(L37=1,1,0),0)</f>
        <v>1</v>
      </c>
      <c r="M52" s="74">
        <f>IF(M24=1,IF(L37=1,1,0),0)</f>
        <v>0</v>
      </c>
      <c r="N52" s="70">
        <f>IF(N24=1,IF(O37=1,1,0),0)</f>
        <v>0</v>
      </c>
      <c r="P52" s="74">
        <f>IF(P24=1,IF(O37=1,1,0),0)</f>
        <v>0</v>
      </c>
      <c r="Q52" s="70">
        <f>IF(Q24=1,IF(R37=1,1,0),0)</f>
        <v>1</v>
      </c>
      <c r="S52" s="74">
        <f>IF(S24=1,IF(R37=1,1,0),0)</f>
        <v>0</v>
      </c>
      <c r="T52" s="70">
        <f>IF(T24=1,IF(U37=1,1,0),0)</f>
        <v>0</v>
      </c>
      <c r="V52" s="74">
        <f>IF(V24=1,IF(U37=1,1,0),0)</f>
        <v>0</v>
      </c>
      <c r="W52" s="70">
        <f>IF(W24=1,IF(X37=1,1,0),0)</f>
        <v>0</v>
      </c>
      <c r="Y52" s="74">
        <f>IF(Y24=1,IF(X37=1,1,0),0)</f>
        <v>0</v>
      </c>
      <c r="Z52" s="70">
        <f>IF(Z24=1,IF(AA37=1,1,0),0)</f>
        <v>0</v>
      </c>
      <c r="AB52" s="74">
        <f>IF(AB24=1,IF(AA37=1,1,0),0)</f>
        <v>0</v>
      </c>
      <c r="AC52" s="70">
        <f>IF(AC24=1,IF(AD37=1,1,0),0)</f>
        <v>0</v>
      </c>
      <c r="AE52" s="74">
        <f>IF(AE24=1,IF(AD37=1,1,0),0)</f>
        <v>0</v>
      </c>
      <c r="AF52" s="70">
        <f>SUM(B52:AE52)</f>
        <v>3</v>
      </c>
      <c r="AW52" s="154"/>
    </row>
    <row r="53" spans="1:49" s="70" customFormat="1" ht="12.75" hidden="1" customHeight="1" x14ac:dyDescent="0.2">
      <c r="A53" s="70" t="s">
        <v>98</v>
      </c>
      <c r="B53" s="70">
        <f>IF(B24=2,IF(C37=1,1,0),0)</f>
        <v>1</v>
      </c>
      <c r="D53" s="74">
        <f>IF(D24=2,IF(C37=1,1,0),0)</f>
        <v>0</v>
      </c>
      <c r="E53" s="70">
        <f>IF(E24=2,IF(F37=1,1,0),0)</f>
        <v>0</v>
      </c>
      <c r="G53" s="74">
        <f>IF(G24=2,IF(F37=1,1,0),0)</f>
        <v>0</v>
      </c>
      <c r="H53" s="70">
        <f>IF(H24=2,IF(I37=1,1,0),0)</f>
        <v>1</v>
      </c>
      <c r="J53" s="74">
        <f>IF(J24=2,IF(I37=1,1,0),0)</f>
        <v>0</v>
      </c>
      <c r="K53" s="70">
        <f>IF(K24=2,IF(L37=1,1,0),0)</f>
        <v>0</v>
      </c>
      <c r="M53" s="74">
        <f>IF(M24=2,IF(L37=1,1,0),0)</f>
        <v>0</v>
      </c>
      <c r="N53" s="70">
        <f>IF(N24=2,IF(O37=1,1,0),0)</f>
        <v>0</v>
      </c>
      <c r="P53" s="74">
        <f>IF(P24=2,IF(O37=1,1,0),0)</f>
        <v>0</v>
      </c>
      <c r="Q53" s="70">
        <f>IF(Q24=2,IF(R37=1,1,0),0)</f>
        <v>0</v>
      </c>
      <c r="S53" s="74">
        <f>IF(S24=2,IF(R37=1,1,0),0)</f>
        <v>1</v>
      </c>
      <c r="T53" s="70">
        <f>IF(T24=2,IF(U37=1,1,0),0)</f>
        <v>0</v>
      </c>
      <c r="V53" s="74">
        <f>IF(V24=2,IF(U37=1,1,0),0)</f>
        <v>0</v>
      </c>
      <c r="W53" s="70">
        <f>IF(W24=2,IF(X37=1,1,0),0)</f>
        <v>0</v>
      </c>
      <c r="Y53" s="74">
        <f>IF(Y24=2,IF(X37=1,1,0),0)</f>
        <v>0</v>
      </c>
      <c r="Z53" s="70">
        <f>IF(Z24=2,IF(AA37=1,1,0),0)</f>
        <v>0</v>
      </c>
      <c r="AB53" s="74">
        <f>IF(AB24=2,IF(AA37=1,1,0),0)</f>
        <v>0</v>
      </c>
      <c r="AC53" s="70">
        <f>IF(AC24=2,IF(AD37=1,1,0),0)</f>
        <v>0</v>
      </c>
      <c r="AE53" s="74">
        <f>IF(AE24=2,IF(AD37=1,1,0),0)</f>
        <v>0</v>
      </c>
      <c r="AF53" s="70">
        <f>SUM(B53:AE53)</f>
        <v>3</v>
      </c>
      <c r="AW53" s="154"/>
    </row>
    <row r="54" spans="1:49" s="70" customFormat="1" ht="12.75" hidden="1" customHeight="1" x14ac:dyDescent="0.2">
      <c r="A54" s="70" t="s">
        <v>99</v>
      </c>
      <c r="B54" s="70">
        <f>IF(B24=3,IF(C37=1,1,0),0)</f>
        <v>0</v>
      </c>
      <c r="D54" s="74">
        <f>IF(D24=3,IF(C37=1,1,0),0)</f>
        <v>1</v>
      </c>
      <c r="E54" s="70">
        <f>IF(E24=3,IF(F37=1,1,0),0)</f>
        <v>0</v>
      </c>
      <c r="G54" s="74">
        <f>IF(G24=3,IF(F37=1,1,0),0)</f>
        <v>0</v>
      </c>
      <c r="H54" s="70">
        <f>IF(H24=3,IF(I37=1,1,0),0)</f>
        <v>0</v>
      </c>
      <c r="J54" s="74">
        <f>IF(J24=3,IF(I37=1,1,0),0)</f>
        <v>0</v>
      </c>
      <c r="K54" s="70">
        <f>IF(K24=3,IF(L37=1,1,0),0)</f>
        <v>0</v>
      </c>
      <c r="M54" s="74">
        <f>IF(M24=3,IF(L37=1,1,0),0)</f>
        <v>1</v>
      </c>
      <c r="N54" s="70">
        <f>IF(N24=3,IF(O37=1,1,0),0)</f>
        <v>1</v>
      </c>
      <c r="P54" s="74">
        <f>IF(P24=3,IF(O37=1,1,0),0)</f>
        <v>0</v>
      </c>
      <c r="Q54" s="70">
        <f>IF(Q24=3,IF(R37=1,1,0),0)</f>
        <v>0</v>
      </c>
      <c r="S54" s="74">
        <f>IF(S24=3,IF(R37=1,1,0),0)</f>
        <v>0</v>
      </c>
      <c r="T54" s="70">
        <f>IF(T24=3,IF(U37=1,1,0),0)</f>
        <v>0</v>
      </c>
      <c r="V54" s="74">
        <f>IF(V24=3,IF(U37=1,1,0),0)</f>
        <v>0</v>
      </c>
      <c r="W54" s="70">
        <f>IF(W24=3,IF(X37=1,1,0),0)</f>
        <v>0</v>
      </c>
      <c r="Y54" s="74">
        <f>IF(Y24=3,IF(X37=1,1,0),0)</f>
        <v>0</v>
      </c>
      <c r="Z54" s="70">
        <f>IF(Z24=3,IF(AA37=1,1,0),0)</f>
        <v>0</v>
      </c>
      <c r="AB54" s="74">
        <f>IF(AB24=3,IF(AA37=1,1,0),0)</f>
        <v>0</v>
      </c>
      <c r="AC54" s="70">
        <f>IF(AC24=3,IF(AD37=1,1,0),0)</f>
        <v>0</v>
      </c>
      <c r="AE54" s="74">
        <f>IF(AE24=3,IF(AD37=1,1,0),0)</f>
        <v>0</v>
      </c>
      <c r="AF54" s="70">
        <f>SUM(B54:AE54)</f>
        <v>3</v>
      </c>
      <c r="AW54" s="154"/>
    </row>
    <row r="55" spans="1:49" s="70" customFormat="1" ht="12.75" hidden="1" customHeight="1" x14ac:dyDescent="0.2">
      <c r="A55" s="70" t="s">
        <v>100</v>
      </c>
      <c r="B55" s="70">
        <f>IF(B24=4,IF(C37=1,1,0),0)</f>
        <v>0</v>
      </c>
      <c r="D55" s="74">
        <f>IF(D24=4,IF(C37=1,1,0),0)</f>
        <v>0</v>
      </c>
      <c r="E55" s="70">
        <f>IF(E24=4,IF(F37=1,1,0),0)</f>
        <v>0</v>
      </c>
      <c r="G55" s="74">
        <f>IF(G24=4,IF(F37=1,1,0),0)</f>
        <v>1</v>
      </c>
      <c r="H55" s="70">
        <f>IF(H24=4,IF(I37=1,1,0),0)</f>
        <v>0</v>
      </c>
      <c r="J55" s="74">
        <f>IF(J24=4,IF(I37=1,1,0),0)</f>
        <v>1</v>
      </c>
      <c r="K55" s="70">
        <f>IF(K24=4,IF(L37=1,1,0),0)</f>
        <v>0</v>
      </c>
      <c r="M55" s="74">
        <f>IF(M24=4,IF(L37=1,1,0),0)</f>
        <v>0</v>
      </c>
      <c r="N55" s="70">
        <f>IF(N24=4,IF(O37=1,1,0),0)</f>
        <v>0</v>
      </c>
      <c r="P55" s="74">
        <f>IF(P24=4,IF(O37=1,1,0),0)</f>
        <v>1</v>
      </c>
      <c r="Q55" s="70">
        <f>IF(Q24=4,IF(R37=1,1,0),0)</f>
        <v>0</v>
      </c>
      <c r="S55" s="74">
        <f>IF(S24=4,IF(R37=1,1,0),0)</f>
        <v>0</v>
      </c>
      <c r="T55" s="70">
        <f>IF(T24=4,IF(U37=1,1,0),0)</f>
        <v>0</v>
      </c>
      <c r="V55" s="74">
        <f>IF(V24=4,IF(U37=1,1,0),0)</f>
        <v>0</v>
      </c>
      <c r="W55" s="70">
        <f>IF(W24=4,IF(X37=1,1,0),0)</f>
        <v>0</v>
      </c>
      <c r="Y55" s="74">
        <f>IF(Y24=4,IF(X37=1,1,0),0)</f>
        <v>0</v>
      </c>
      <c r="Z55" s="70">
        <f>IF(Z24=4,IF(AA37=1,1,0),0)</f>
        <v>0</v>
      </c>
      <c r="AB55" s="74">
        <f>IF(AB24=4,IF(AA37=1,1,0),0)</f>
        <v>0</v>
      </c>
      <c r="AC55" s="70">
        <f>IF(AC24=4,IF(AD37=1,1,0),0)</f>
        <v>0</v>
      </c>
      <c r="AE55" s="74">
        <f>IF(AE24=4,IF(AD37=1,1,0),0)</f>
        <v>0</v>
      </c>
      <c r="AF55" s="70">
        <f>SUM(B55:AE55)</f>
        <v>3</v>
      </c>
      <c r="AW55" s="154"/>
    </row>
    <row r="56" spans="1:49" s="70" customFormat="1" ht="12.75" hidden="1" customHeight="1" x14ac:dyDescent="0.2">
      <c r="A56" s="70" t="s">
        <v>101</v>
      </c>
      <c r="B56" s="70">
        <f>IF(B24=5,IF(C37=1,1,0),0)</f>
        <v>0</v>
      </c>
      <c r="D56" s="74">
        <f>IF(D24=5,IF(C37=1,1,0),0)</f>
        <v>0</v>
      </c>
      <c r="E56" s="70">
        <f>IF(E24=5,IF(F37=1,1,0),0)</f>
        <v>0</v>
      </c>
      <c r="G56" s="74">
        <f>IF(G24=5,IF(F37=1,1,0),0)</f>
        <v>0</v>
      </c>
      <c r="H56" s="70">
        <f>IF(H24=5,IF(I37=1,1,0),0)</f>
        <v>0</v>
      </c>
      <c r="J56" s="74">
        <f>IF(J24=5,IF(I37=1,1,0),0)</f>
        <v>0</v>
      </c>
      <c r="K56" s="70">
        <f>IF(K24=5,IF(L37=1,1,0),0)</f>
        <v>0</v>
      </c>
      <c r="M56" s="74">
        <f>IF(M24=5,IF(L37=1,1,0),0)</f>
        <v>0</v>
      </c>
      <c r="N56" s="70">
        <f>IF(N24=5,IF(O37=1,1,0),0)</f>
        <v>0</v>
      </c>
      <c r="P56" s="74">
        <f>IF(P24=5,IF(O37=1,1,0),0)</f>
        <v>0</v>
      </c>
      <c r="Q56" s="70">
        <f>IF(Q24=5,IF(R37=1,1,0),0)</f>
        <v>0</v>
      </c>
      <c r="S56" s="74">
        <f>IF(S24=5,IF(R37=1,1,0),0)</f>
        <v>0</v>
      </c>
      <c r="T56" s="70">
        <f>IF(T24=5,IF(U37=1,1,0),0)</f>
        <v>0</v>
      </c>
      <c r="V56" s="74">
        <f>IF(V24=5,IF(U37=1,1,0),0)</f>
        <v>0</v>
      </c>
      <c r="W56" s="70">
        <f>IF(W24=5,IF(X37=1,1,0),0)</f>
        <v>0</v>
      </c>
      <c r="Y56" s="74">
        <f>IF(Y24=5,IF(X37=1,1,0),0)</f>
        <v>0</v>
      </c>
      <c r="Z56" s="70">
        <f>IF(Z24=5,IF(AA37=1,1,0),0)</f>
        <v>0</v>
      </c>
      <c r="AB56" s="74">
        <f>IF(AB24=5,IF(AA37=1,1,0),0)</f>
        <v>0</v>
      </c>
      <c r="AC56" s="70">
        <f>IF(AC24=5,IF(AD37=1,1,0),0)</f>
        <v>0</v>
      </c>
      <c r="AE56" s="74">
        <f>IF(AE24=5,IF(AD37=1,1,0),0)</f>
        <v>0</v>
      </c>
      <c r="AF56" s="70">
        <f>SUM(B56:AE56)</f>
        <v>0</v>
      </c>
      <c r="AW56" s="154"/>
    </row>
    <row r="57" spans="1:49" s="70" customFormat="1" ht="38.25" hidden="1" customHeight="1" x14ac:dyDescent="0.2">
      <c r="A57" s="73"/>
      <c r="D57" s="74"/>
      <c r="G57" s="74"/>
      <c r="J57" s="74"/>
      <c r="M57" s="74"/>
      <c r="P57" s="74"/>
      <c r="S57" s="74"/>
      <c r="V57" s="74"/>
      <c r="Y57" s="74"/>
      <c r="AB57" s="74"/>
      <c r="AE57" s="74"/>
      <c r="AF57" s="73" t="s">
        <v>102</v>
      </c>
      <c r="AG57" s="280"/>
      <c r="AH57" s="280"/>
      <c r="AI57" s="280"/>
      <c r="AJ57" s="280"/>
      <c r="AK57" s="280"/>
      <c r="AW57" s="154"/>
    </row>
    <row r="58" spans="1:49" s="70" customFormat="1" ht="12.75" hidden="1" customHeight="1" x14ac:dyDescent="0.2">
      <c r="A58" s="70" t="s">
        <v>97</v>
      </c>
      <c r="B58" s="70">
        <f>IF(B24=1,B44,0)</f>
        <v>0</v>
      </c>
      <c r="D58" s="74">
        <f>IF(D24=1,B44,0)</f>
        <v>0</v>
      </c>
      <c r="E58" s="70">
        <f>IF(E24=1,E44,0)</f>
        <v>50</v>
      </c>
      <c r="G58" s="74">
        <f>IF(G24=1,E44,0)</f>
        <v>0</v>
      </c>
      <c r="H58" s="70">
        <f>IF(H24=1,H44,0)</f>
        <v>0</v>
      </c>
      <c r="J58" s="74">
        <f>IF(J24=1,H44,0)</f>
        <v>0</v>
      </c>
      <c r="K58" s="70">
        <f>IF(K24=1,K44,0)</f>
        <v>66</v>
      </c>
      <c r="M58" s="74">
        <f>IF(M24=1,K44,0)</f>
        <v>0</v>
      </c>
      <c r="N58" s="70">
        <f>IF(N24=1,N44,0)</f>
        <v>0</v>
      </c>
      <c r="P58" s="74">
        <f>IF(P24=1,N44,0)</f>
        <v>0</v>
      </c>
      <c r="Q58" s="70">
        <f>IF(Q24=1,Q44,0)</f>
        <v>67</v>
      </c>
      <c r="S58" s="74">
        <f>IF(S24=1,Q44,0)</f>
        <v>0</v>
      </c>
      <c r="T58" s="70">
        <f>IF(T24=1,T44,0)</f>
        <v>0</v>
      </c>
      <c r="V58" s="74">
        <f>IF(V24=1,T44,0)</f>
        <v>0</v>
      </c>
      <c r="W58" s="70">
        <f>IF(W24=1,W44,0)</f>
        <v>0</v>
      </c>
      <c r="Y58" s="74">
        <f>IF(Y24=1,W44,0)</f>
        <v>0</v>
      </c>
      <c r="Z58" s="70">
        <f>IF(Z24=1,Z44,0)</f>
        <v>0</v>
      </c>
      <c r="AB58" s="74">
        <f>IF(AB24=1,Z44,0)</f>
        <v>0</v>
      </c>
      <c r="AC58" s="70">
        <f>IF(AC24=1,AC44,0)</f>
        <v>0</v>
      </c>
      <c r="AE58" s="74">
        <f>IF(AE24=1,AC44,0)</f>
        <v>0</v>
      </c>
      <c r="AF58" s="70">
        <f>SUM(B58:AE58)</f>
        <v>183</v>
      </c>
      <c r="AW58" s="154"/>
    </row>
    <row r="59" spans="1:49" s="70" customFormat="1" ht="12.75" hidden="1" customHeight="1" x14ac:dyDescent="0.2">
      <c r="A59" s="70" t="s">
        <v>98</v>
      </c>
      <c r="B59" s="70">
        <f>IF(B24=2,B44,0)</f>
        <v>65</v>
      </c>
      <c r="D59" s="74">
        <f>IF(D24=2,B44,0)</f>
        <v>0</v>
      </c>
      <c r="E59" s="70">
        <f>IF(E24=2,E44,0)</f>
        <v>0</v>
      </c>
      <c r="G59" s="74">
        <f>IF(G24=2,E44,0)</f>
        <v>0</v>
      </c>
      <c r="H59" s="70">
        <f>IF(H24=2,H44,0)</f>
        <v>50</v>
      </c>
      <c r="J59" s="74">
        <f>IF(J24=2,H44,0)</f>
        <v>0</v>
      </c>
      <c r="K59" s="70">
        <f>IF(K24=2,K44,0)</f>
        <v>0</v>
      </c>
      <c r="M59" s="74">
        <f>IF(M24=2,K44,0)</f>
        <v>0</v>
      </c>
      <c r="N59" s="70">
        <f>IF(N24=2,N44,0)</f>
        <v>0</v>
      </c>
      <c r="P59" s="74">
        <f>IF(P24=2,N44,0)</f>
        <v>0</v>
      </c>
      <c r="Q59" s="70">
        <f>IF(Q24=2,Q44,0)</f>
        <v>0</v>
      </c>
      <c r="S59" s="74">
        <f>IF(S24=2,Q44,0)</f>
        <v>67</v>
      </c>
      <c r="T59" s="70">
        <f>IF(T24=2,T44,0)</f>
        <v>0</v>
      </c>
      <c r="V59" s="74">
        <f>IF(V24=2,T44,0)</f>
        <v>0</v>
      </c>
      <c r="W59" s="70">
        <f>IF(W24=2,W44,0)</f>
        <v>0</v>
      </c>
      <c r="Y59" s="74">
        <f>IF(Y24=2,W44,0)</f>
        <v>0</v>
      </c>
      <c r="Z59" s="70">
        <f>IF(Z24=2,Z44,0)</f>
        <v>0</v>
      </c>
      <c r="AB59" s="74">
        <f>IF(AB24=2,Z44,0)</f>
        <v>0</v>
      </c>
      <c r="AC59" s="70">
        <f>IF(AC24=2,AC44,0)</f>
        <v>0</v>
      </c>
      <c r="AE59" s="74">
        <f>IF(AE24=2,AC44,0)</f>
        <v>0</v>
      </c>
      <c r="AF59" s="70">
        <f>SUM(B59:AE59)</f>
        <v>182</v>
      </c>
      <c r="AW59" s="154"/>
    </row>
    <row r="60" spans="1:49" s="70" customFormat="1" ht="12.75" hidden="1" customHeight="1" x14ac:dyDescent="0.2">
      <c r="A60" s="70" t="s">
        <v>99</v>
      </c>
      <c r="B60" s="70">
        <f>IF(B24=3,B44,0)</f>
        <v>0</v>
      </c>
      <c r="D60" s="74">
        <f>IF(D24=3,B44,0)</f>
        <v>65</v>
      </c>
      <c r="E60" s="70">
        <f>IF(E24=3,E44,0)</f>
        <v>0</v>
      </c>
      <c r="G60" s="74">
        <f>IF(G24=3,E44,0)</f>
        <v>0</v>
      </c>
      <c r="H60" s="70">
        <f>IF(H24=3,H44,0)</f>
        <v>0</v>
      </c>
      <c r="J60" s="74">
        <f>IF(J24=3,H44,0)</f>
        <v>0</v>
      </c>
      <c r="K60" s="70">
        <f>IF(K24=3,K44,0)</f>
        <v>0</v>
      </c>
      <c r="M60" s="74">
        <f>IF(M24=3,K44,0)</f>
        <v>66</v>
      </c>
      <c r="N60" s="70">
        <f>IF(N24=3,N44,0)</f>
        <v>50</v>
      </c>
      <c r="P60" s="74">
        <f>IF(P24=3,N44,0)</f>
        <v>0</v>
      </c>
      <c r="Q60" s="70">
        <f>IF(Q24=3,Q44,0)</f>
        <v>0</v>
      </c>
      <c r="S60" s="74">
        <f>IF(S24=3,Q44,0)</f>
        <v>0</v>
      </c>
      <c r="T60" s="70">
        <f>IF(T24=3,T44,0)</f>
        <v>0</v>
      </c>
      <c r="V60" s="74">
        <f>IF(V24=3,T44,0)</f>
        <v>0</v>
      </c>
      <c r="W60" s="70">
        <f>IF(W24=3,W44,0)</f>
        <v>0</v>
      </c>
      <c r="Y60" s="74">
        <f>IF(Y24=3,W44,0)</f>
        <v>0</v>
      </c>
      <c r="Z60" s="70">
        <f>IF(Z24=3,Z44,0)</f>
        <v>0</v>
      </c>
      <c r="AB60" s="74">
        <f>IF(AB24=3,Z44,0)</f>
        <v>0</v>
      </c>
      <c r="AC60" s="70">
        <f>IF(AC24=3,AC44,0)</f>
        <v>0</v>
      </c>
      <c r="AE60" s="74">
        <f>IF(AE24=3,AC44,0)</f>
        <v>0</v>
      </c>
      <c r="AF60" s="70">
        <f>SUM(B60:AE60)</f>
        <v>181</v>
      </c>
      <c r="AW60" s="154"/>
    </row>
    <row r="61" spans="1:49" s="70" customFormat="1" ht="12.75" hidden="1" customHeight="1" x14ac:dyDescent="0.2">
      <c r="A61" s="70" t="s">
        <v>100</v>
      </c>
      <c r="B61" s="70">
        <f>IF(B24=4,B44,0)</f>
        <v>0</v>
      </c>
      <c r="D61" s="74">
        <f>IF(D24=4,B44,0)</f>
        <v>0</v>
      </c>
      <c r="E61" s="70">
        <f>IF(E24=4,E44,0)</f>
        <v>0</v>
      </c>
      <c r="G61" s="74">
        <f>IF(G24=4,E44,0)</f>
        <v>50</v>
      </c>
      <c r="H61" s="70">
        <f>IF(H24=4,H44,0)</f>
        <v>0</v>
      </c>
      <c r="J61" s="74">
        <f>IF(J24=4,H44,0)</f>
        <v>50</v>
      </c>
      <c r="K61" s="70">
        <f>IF(K24=4,K44,0)</f>
        <v>0</v>
      </c>
      <c r="M61" s="74">
        <f>IF(M24=4,K44,0)</f>
        <v>0</v>
      </c>
      <c r="N61" s="70">
        <f>IF(N24=4,N44,0)</f>
        <v>0</v>
      </c>
      <c r="P61" s="74">
        <f>IF(P24=4,N44,0)</f>
        <v>50</v>
      </c>
      <c r="Q61" s="70">
        <f>IF(Q24=4,Q44,0)</f>
        <v>0</v>
      </c>
      <c r="S61" s="74">
        <f>IF(S24=4,Q44,0)</f>
        <v>0</v>
      </c>
      <c r="T61" s="70">
        <f>IF(T24=4,T44,0)</f>
        <v>0</v>
      </c>
      <c r="V61" s="74">
        <f>IF(V24=4,T44,0)</f>
        <v>0</v>
      </c>
      <c r="W61" s="70">
        <f>IF(W24=4,W44,0)</f>
        <v>0</v>
      </c>
      <c r="Y61" s="74">
        <f>IF(Y24=4,W44,0)</f>
        <v>0</v>
      </c>
      <c r="Z61" s="70">
        <f>IF(Z24=4,Z44,0)</f>
        <v>0</v>
      </c>
      <c r="AB61" s="74">
        <f>IF(AB24=4,Z44,0)</f>
        <v>0</v>
      </c>
      <c r="AC61" s="70">
        <f>IF(AC24=4,AC44,0)</f>
        <v>0</v>
      </c>
      <c r="AE61" s="74">
        <f>IF(AE24=4,AC44,0)</f>
        <v>0</v>
      </c>
      <c r="AF61" s="70">
        <f>SUM(B61:AE61)</f>
        <v>150</v>
      </c>
      <c r="AW61" s="154"/>
    </row>
    <row r="62" spans="1:49" s="70" customFormat="1" ht="12.75" hidden="1" customHeight="1" x14ac:dyDescent="0.2">
      <c r="A62" s="70" t="s">
        <v>101</v>
      </c>
      <c r="B62" s="70">
        <f>IF(B24=5,B44,0)</f>
        <v>0</v>
      </c>
      <c r="D62" s="74">
        <f>IF(D24=5,B44,0)</f>
        <v>0</v>
      </c>
      <c r="E62" s="70">
        <f>IF(E24=5,E44,0)</f>
        <v>0</v>
      </c>
      <c r="G62" s="74">
        <f>IF(G24=5,E44,0)</f>
        <v>0</v>
      </c>
      <c r="H62" s="70">
        <f>IF(H24=5,H44,0)</f>
        <v>0</v>
      </c>
      <c r="J62" s="74">
        <f>IF(J24=5,H44,0)</f>
        <v>0</v>
      </c>
      <c r="K62" s="70">
        <f>IF(K24=5,K44,0)</f>
        <v>0</v>
      </c>
      <c r="M62" s="74">
        <f>IF(M24=5,K44,0)</f>
        <v>0</v>
      </c>
      <c r="N62" s="70">
        <f>IF(N24=5,N44,0)</f>
        <v>0</v>
      </c>
      <c r="P62" s="74">
        <f>IF(P24=5,N44,0)</f>
        <v>0</v>
      </c>
      <c r="Q62" s="70">
        <f>IF(Q24=5,Q44,0)</f>
        <v>0</v>
      </c>
      <c r="S62" s="74">
        <f>IF(S24=5,Q44,0)</f>
        <v>0</v>
      </c>
      <c r="T62" s="70">
        <f>IF(T24=5,T44,0)</f>
        <v>0</v>
      </c>
      <c r="V62" s="74">
        <f>IF(V24=5,T44,0)</f>
        <v>0</v>
      </c>
      <c r="W62" s="70">
        <f>IF(W24=5,W44,0)</f>
        <v>0</v>
      </c>
      <c r="Y62" s="74">
        <f>IF(Y24=5,W44,0)</f>
        <v>0</v>
      </c>
      <c r="Z62" s="70">
        <f>IF(Z24=5,Z44,0)</f>
        <v>0</v>
      </c>
      <c r="AB62" s="74">
        <f>IF(AB24=5,Z44,0)</f>
        <v>0</v>
      </c>
      <c r="AC62" s="70">
        <f>IF(AC24=5,AC44,0)</f>
        <v>0</v>
      </c>
      <c r="AE62" s="74">
        <f>IF(AE24=5,AC44,0)</f>
        <v>0</v>
      </c>
      <c r="AF62" s="70">
        <f>SUM(B62:AE62)</f>
        <v>0</v>
      </c>
      <c r="AW62" s="154"/>
    </row>
    <row r="63" spans="1:49" s="70" customFormat="1" ht="38.25" hidden="1" customHeight="1" x14ac:dyDescent="0.2">
      <c r="A63" s="70" t="s">
        <v>103</v>
      </c>
      <c r="D63" s="74"/>
      <c r="G63" s="74"/>
      <c r="J63" s="74"/>
      <c r="M63" s="74"/>
      <c r="P63" s="74"/>
      <c r="S63" s="74"/>
      <c r="V63" s="74"/>
      <c r="Y63" s="74"/>
      <c r="AB63" s="74"/>
      <c r="AE63" s="74"/>
      <c r="AF63" s="73" t="s">
        <v>104</v>
      </c>
      <c r="AG63" s="70" t="s">
        <v>105</v>
      </c>
      <c r="AW63" s="154"/>
    </row>
    <row r="64" spans="1:49" s="70" customFormat="1" ht="12.75" hidden="1" customHeight="1" x14ac:dyDescent="0.2">
      <c r="A64" s="70" t="s">
        <v>91</v>
      </c>
      <c r="B64" s="70">
        <f>IF(B24=1,SUMIF(B31:B35,"&gt;0"),0)</f>
        <v>0</v>
      </c>
      <c r="D64" s="74">
        <f>IF(D24=1,SUMIF(D31:D35,"&gt;0"),0)</f>
        <v>0</v>
      </c>
      <c r="E64" s="70">
        <f>IF(E24=1,SUMIF(E31:E35,"&gt;0"),0)</f>
        <v>2</v>
      </c>
      <c r="G64" s="74">
        <f>IF(G24=1,SUMIF(G31:G35,"&gt;0"),0)</f>
        <v>0</v>
      </c>
      <c r="H64" s="70">
        <f>IF(H24=1,SUMIF(H31:H35,"&gt;0"),0)</f>
        <v>0</v>
      </c>
      <c r="J64" s="74">
        <f>IF(J24=1,SUMIF(J31:J35,"&gt;0"),0)</f>
        <v>0</v>
      </c>
      <c r="K64" s="70">
        <f>IF(K24=1,SUMIF(K31:K35,"&gt;0"),0)</f>
        <v>1</v>
      </c>
      <c r="M64" s="74">
        <f>IF(M24=1,SUMIF(M31:M35,"&gt;0"),0)</f>
        <v>0</v>
      </c>
      <c r="N64" s="70">
        <f>IF(N24=1,SUMIF(N31:N35,"&gt;0"),0)</f>
        <v>0</v>
      </c>
      <c r="P64" s="74">
        <f>IF(P24=1,SUMIF(P31:P35,"&gt;0"),0)</f>
        <v>0</v>
      </c>
      <c r="Q64" s="70">
        <f>IF(Q24=1,SUMIF(Q31:Q35,"&gt;0"),0)</f>
        <v>2</v>
      </c>
      <c r="S64" s="74">
        <f>IF(S24=1,SUMIF(S31:S35,"&gt;0"),0)</f>
        <v>0</v>
      </c>
      <c r="T64" s="70">
        <f>IF(T24=1,SUMIF(T31:T35,"&gt;0"),0)</f>
        <v>0</v>
      </c>
      <c r="V64" s="74">
        <f>IF(V24=1,SUMIF(V31:V35,"&gt;0"),0)</f>
        <v>0</v>
      </c>
      <c r="W64" s="70">
        <f>IF(W24=1,SUMIF(W31:W35,"&gt;0"),0)</f>
        <v>0</v>
      </c>
      <c r="Y64" s="74">
        <f>IF(Y24=1,SUMIF(Y31:Y35,"&gt;0"),0)</f>
        <v>0</v>
      </c>
      <c r="Z64" s="70">
        <f>IF(Z24=1,SUMIF(Z31:Z35,"&gt;0"),0)</f>
        <v>0</v>
      </c>
      <c r="AB64" s="74">
        <f>IF(AB24=1,SUMIF(AB31:AB35,"&gt;0"),0)</f>
        <v>0</v>
      </c>
      <c r="AC64" s="70">
        <f>IF(AC24=1,SUMIF(AC31:AC35,"&gt;0"),0)</f>
        <v>0</v>
      </c>
      <c r="AE64" s="74">
        <f>IF(AE24=1,SUMIF(AE31:AE35,"&gt;0"),0)</f>
        <v>0</v>
      </c>
      <c r="AF64" s="70">
        <f>SUM(B64:AE64)</f>
        <v>5</v>
      </c>
      <c r="AG64" s="70">
        <f>AF72-AF64</f>
        <v>3</v>
      </c>
      <c r="AW64" s="154"/>
    </row>
    <row r="65" spans="1:54" s="70" customFormat="1" ht="12.75" hidden="1" customHeight="1" x14ac:dyDescent="0.2">
      <c r="A65" s="70" t="s">
        <v>92</v>
      </c>
      <c r="B65" s="70">
        <f>IF(B24=2,SUMIF(B31:B35,"&gt;0"),0)</f>
        <v>2</v>
      </c>
      <c r="D65" s="74">
        <f>IF(D24=2,SUMIF(D31:D35,"&gt;0"),0)</f>
        <v>0</v>
      </c>
      <c r="E65" s="70">
        <f>IF(E24=2,SUMIF(E31:E35,"&gt;0"),0)</f>
        <v>0</v>
      </c>
      <c r="G65" s="74">
        <f>IF(G24=2,SUMIF(G31:G35,"&gt;0"),0)</f>
        <v>0</v>
      </c>
      <c r="H65" s="70">
        <f>IF(H24=2,SUMIF(H31:H35,"&gt;0"),0)</f>
        <v>2</v>
      </c>
      <c r="J65" s="74">
        <f>IF(J24=2,SUMIF(J31:J35,"&gt;0"),0)</f>
        <v>0</v>
      </c>
      <c r="K65" s="70">
        <f>IF(K24=2,SUMIF(K31:K35,"&gt;0"),0)</f>
        <v>0</v>
      </c>
      <c r="M65" s="74">
        <f>IF(M24=2,SUMIF(M31:M35,"&gt;0"),0)</f>
        <v>0</v>
      </c>
      <c r="N65" s="70">
        <f>IF(N24=2,SUMIF(N31:N35,"&gt;0"),0)</f>
        <v>0</v>
      </c>
      <c r="P65" s="74">
        <f>IF(P24=2,SUMIF(P31:P35,"&gt;0"),0)</f>
        <v>0</v>
      </c>
      <c r="Q65" s="70">
        <f>IF(Q24=2,SUMIF(Q31:Q35,"&gt;0"),0)</f>
        <v>0</v>
      </c>
      <c r="S65" s="74">
        <f>IF(S24=2,SUMIF(S31:S35,"&gt;0"),0)</f>
        <v>1</v>
      </c>
      <c r="T65" s="70">
        <f>IF(T24=2,SUMIF(T31:T35,"&gt;0"),0)</f>
        <v>0</v>
      </c>
      <c r="V65" s="74">
        <f>IF(V24=2,SUMIF(V31:V35,"&gt;0"),0)</f>
        <v>0</v>
      </c>
      <c r="W65" s="70">
        <f>IF(W24=2,SUMIF(W31:W35,"&gt;0"),0)</f>
        <v>0</v>
      </c>
      <c r="Y65" s="74">
        <f>IF(Y24=2,SUMIF(Y31:Y35,"&gt;0"),0)</f>
        <v>0</v>
      </c>
      <c r="Z65" s="70">
        <f>IF(Z24=2,SUMIF(Z31:Z35,"&gt;0"),0)</f>
        <v>0</v>
      </c>
      <c r="AB65" s="74">
        <f>IF(AB24=2,SUMIF(AB31:AB35,"&gt;0"),0)</f>
        <v>0</v>
      </c>
      <c r="AC65" s="70">
        <f>IF(AC24=2,SUMIF(AC31:AC35,"&gt;0"),0)</f>
        <v>0</v>
      </c>
      <c r="AE65" s="74">
        <f>IF(AE24=2,SUMIF(AE31:AE35,"&gt;0"),0)</f>
        <v>0</v>
      </c>
      <c r="AF65" s="70">
        <f>SUM(B65:AE65)</f>
        <v>5</v>
      </c>
      <c r="AG65" s="70">
        <f>AF73-AF65</f>
        <v>3</v>
      </c>
      <c r="AW65" s="154"/>
    </row>
    <row r="66" spans="1:54" s="70" customFormat="1" ht="12.75" hidden="1" customHeight="1" x14ac:dyDescent="0.2">
      <c r="A66" s="70" t="s">
        <v>93</v>
      </c>
      <c r="B66" s="70">
        <f>IF(B24=3,SUMIF(B31:B35,"&gt;0"),0)</f>
        <v>0</v>
      </c>
      <c r="D66" s="74">
        <f>IF(D24=3,SUMIF(D31:D35,"&gt;0"),0)</f>
        <v>1</v>
      </c>
      <c r="E66" s="70">
        <f>IF(E24=3,SUMIF(E31:E35,"&gt;0"),0)</f>
        <v>0</v>
      </c>
      <c r="G66" s="74">
        <f>IF(G24=3,SUMIF(G31:G35,"&gt;0"),0)</f>
        <v>0</v>
      </c>
      <c r="H66" s="70">
        <f>IF(H24=3,SUMIF(H31:H35,"&gt;0"),0)</f>
        <v>0</v>
      </c>
      <c r="J66" s="74">
        <f>IF(J24=3,SUMIF(J31:J35,"&gt;0"),0)</f>
        <v>0</v>
      </c>
      <c r="K66" s="70">
        <f>IF(K24=3,SUMIF(K31:K35,"&gt;0"),0)</f>
        <v>0</v>
      </c>
      <c r="M66" s="74">
        <f>IF(M24=3,SUMIF(M31:M35,"&gt;0"),0)</f>
        <v>2</v>
      </c>
      <c r="N66" s="70">
        <f>IF(N24=3,SUMIF(N31:N35,"&gt;0"),0)</f>
        <v>2</v>
      </c>
      <c r="P66" s="74">
        <f>IF(P24=3,SUMIF(P31:P35,"&gt;0"),0)</f>
        <v>0</v>
      </c>
      <c r="Q66" s="70">
        <f>IF(Q24=3,SUMIF(Q31:Q35,"&gt;0"),0)</f>
        <v>0</v>
      </c>
      <c r="S66" s="74">
        <f>IF(S24=3,SUMIF(S31:S35,"&gt;0"),0)</f>
        <v>0</v>
      </c>
      <c r="T66" s="70">
        <f>IF(T24=3,SUMIF(T31:T35,"&gt;0"),0)</f>
        <v>0</v>
      </c>
      <c r="V66" s="74">
        <f>IF(V24=3,SUMIF(V31:V35,"&gt;0"),0)</f>
        <v>0</v>
      </c>
      <c r="W66" s="70">
        <f>IF(W24=3,SUMIF(W31:W35,"&gt;0"),0)</f>
        <v>0</v>
      </c>
      <c r="Y66" s="74">
        <f>IF(Y24=3,SUMIF(Y31:Y35,"&gt;0"),0)</f>
        <v>0</v>
      </c>
      <c r="Z66" s="70">
        <f>IF(Z24=3,SUMIF(Z31:Z35,"&gt;0"),0)</f>
        <v>0</v>
      </c>
      <c r="AB66" s="74">
        <f>IF(AB24=3,SUMIF(AB31:AB35,"&gt;0"),0)</f>
        <v>0</v>
      </c>
      <c r="AC66" s="70">
        <f>IF(AC24=3,SUMIF(AC31:AC35,"&gt;0"),0)</f>
        <v>0</v>
      </c>
      <c r="AE66" s="74">
        <f>IF(AE24=3,SUMIF(AE31:AE35,"&gt;0"),0)</f>
        <v>0</v>
      </c>
      <c r="AF66" s="70">
        <f>SUM(B66:AE66)</f>
        <v>5</v>
      </c>
      <c r="AG66" s="70">
        <f>AF74-AF66</f>
        <v>3</v>
      </c>
      <c r="AW66" s="154"/>
    </row>
    <row r="67" spans="1:54" s="70" customFormat="1" ht="12.75" hidden="1" customHeight="1" x14ac:dyDescent="0.2">
      <c r="A67" s="70" t="s">
        <v>94</v>
      </c>
      <c r="B67" s="70">
        <f>IF(B24=4,SUMIF(B31:B35,"&gt;0"),0)</f>
        <v>0</v>
      </c>
      <c r="D67" s="74">
        <f>IF(D24=4,SUMIF(D31:D35,"&gt;0"),0)</f>
        <v>0</v>
      </c>
      <c r="E67" s="70">
        <f>IF(E24=4,SUMIF(E31:E35,"&gt;0"),0)</f>
        <v>0</v>
      </c>
      <c r="G67" s="74">
        <f>IF(G24=4,SUMIF(G31:G35,"&gt;0"),0)</f>
        <v>0</v>
      </c>
      <c r="H67" s="70">
        <f>IF(H24=4,SUMIF(H31:H35,"&gt;0"),0)</f>
        <v>0</v>
      </c>
      <c r="J67" s="74">
        <f>IF(J24=4,SUMIF(J31:J35,"&gt;0"),0)</f>
        <v>0</v>
      </c>
      <c r="K67" s="70">
        <f>IF(K24=4,SUMIF(K31:K35,"&gt;0"),0)</f>
        <v>0</v>
      </c>
      <c r="M67" s="74">
        <f>IF(M24=4,SUMIF(M31:M35,"&gt;0"),0)</f>
        <v>0</v>
      </c>
      <c r="N67" s="70">
        <f>IF(N24=4,SUMIF(N31:N35,"&gt;0"),0)</f>
        <v>0</v>
      </c>
      <c r="P67" s="74">
        <f>IF(P24=4,SUMIF(P31:P35,"&gt;0"),0)</f>
        <v>0</v>
      </c>
      <c r="Q67" s="70">
        <f>IF(Q24=4,SUMIF(Q31:Q35,"&gt;0"),0)</f>
        <v>0</v>
      </c>
      <c r="S67" s="74">
        <f>IF(S24=4,SUMIF(S31:S35,"&gt;0"),0)</f>
        <v>0</v>
      </c>
      <c r="T67" s="70">
        <f>IF(T24=4,SUMIF(T31:T35,"&gt;0"),0)</f>
        <v>0</v>
      </c>
      <c r="V67" s="74">
        <f>IF(V24=4,SUMIF(V31:V35,"&gt;0"),0)</f>
        <v>0</v>
      </c>
      <c r="W67" s="70">
        <f>IF(W24=4,SUMIF(W31:W35,"&gt;0"),0)</f>
        <v>0</v>
      </c>
      <c r="Y67" s="74">
        <f>IF(Y24=4,SUMIF(Y31:Y35,"&gt;0"),0)</f>
        <v>0</v>
      </c>
      <c r="Z67" s="70">
        <f>IF(Z24=4,SUMIF(Z31:Z35,"&gt;0"),0)</f>
        <v>0</v>
      </c>
      <c r="AB67" s="74">
        <f>IF(AB24=4,SUMIF(AB31:AB35,"&gt;0"),0)</f>
        <v>0</v>
      </c>
      <c r="AC67" s="70">
        <f>IF(AC24=4,SUMIF(AC31:AC35,"&gt;0"),0)</f>
        <v>0</v>
      </c>
      <c r="AE67" s="74">
        <f>IF(AE24=4,SUMIF(AE31:AE35,"&gt;0"),0)</f>
        <v>0</v>
      </c>
      <c r="AF67" s="70">
        <f>SUM(B67:AE67)</f>
        <v>0</v>
      </c>
      <c r="AG67" s="70">
        <f>AF75-AF67</f>
        <v>6</v>
      </c>
      <c r="AW67" s="154"/>
    </row>
    <row r="68" spans="1:54" s="70" customFormat="1" ht="12.75" hidden="1" customHeight="1" x14ac:dyDescent="0.2">
      <c r="A68" s="70" t="s">
        <v>95</v>
      </c>
      <c r="B68" s="70">
        <f>IF(B24=5,SUMIF(B31:B35,"&gt;0"),0)</f>
        <v>0</v>
      </c>
      <c r="D68" s="74">
        <f>IF(D24=5,SUMIF(D31:D35,"&gt;0"),0)</f>
        <v>0</v>
      </c>
      <c r="E68" s="70">
        <f>IF(E24=5,SUMIF(E31:E35,"&gt;0"),0)</f>
        <v>0</v>
      </c>
      <c r="G68" s="74">
        <f>IF(G24=5,SUMIF(G31:G35,"&gt;0"),0)</f>
        <v>0</v>
      </c>
      <c r="H68" s="70">
        <f>IF(H24=5,SUMIF(H31:H35,"&gt;0"),0)</f>
        <v>0</v>
      </c>
      <c r="J68" s="74">
        <f>IF(J24=5,SUMIF(J31:J35,"&gt;0"),0)</f>
        <v>0</v>
      </c>
      <c r="K68" s="70">
        <f>IF(K24=5,SUMIF(K31:K35,"&gt;0"),0)</f>
        <v>0</v>
      </c>
      <c r="M68" s="74">
        <f>IF(M24=5,SUMIF(M31:M35,"&gt;0"),0)</f>
        <v>0</v>
      </c>
      <c r="N68" s="70">
        <f>IF(N24=5,SUMIF(N31:N35,"&gt;0"),0)</f>
        <v>0</v>
      </c>
      <c r="P68" s="74">
        <f>IF(P24=5,SUMIF(P31:P35,"&gt;0"),0)</f>
        <v>0</v>
      </c>
      <c r="Q68" s="70">
        <f>IF(Q24=5,SUMIF(Q31:Q35,"&gt;0"),0)</f>
        <v>0</v>
      </c>
      <c r="S68" s="74">
        <f>IF(S24=5,SUMIF(S31:S35,"&gt;0"),0)</f>
        <v>0</v>
      </c>
      <c r="T68" s="70">
        <f>IF(T24=5,SUMIF(T31:T35,"&gt;0"),0)</f>
        <v>0</v>
      </c>
      <c r="V68" s="74">
        <f>IF(V24=5,SUMIF(V31:V35,"&gt;0"),0)</f>
        <v>0</v>
      </c>
      <c r="W68" s="70">
        <f>IF(W24=5,SUMIF(W31:W35,"&gt;0"),0)</f>
        <v>0</v>
      </c>
      <c r="Y68" s="74">
        <f>IF(Y24=5,SUMIF(Y31:Y35,"&gt;0"),0)</f>
        <v>0</v>
      </c>
      <c r="Z68" s="70">
        <f>IF(Z24=5,SUMIF(Z31:Z35,"&gt;0"),0)</f>
        <v>0</v>
      </c>
      <c r="AB68" s="74">
        <f>IF(AB24=5,SUMIF(AB31:AB35,"&gt;0"),0)</f>
        <v>0</v>
      </c>
      <c r="AC68" s="70">
        <f>IF(AC24=5,SUMIF(AC31:AC35,"&gt;0"),0)</f>
        <v>0</v>
      </c>
      <c r="AE68" s="74">
        <f>IF(AE24=5,SUMIF(AE31:AE35,"&gt;0"),0)</f>
        <v>0</v>
      </c>
      <c r="AF68" s="70">
        <f>SUM(B68:AE68)</f>
        <v>0</v>
      </c>
      <c r="AG68" s="70">
        <f>AF76-AF68</f>
        <v>0</v>
      </c>
      <c r="AW68" s="154"/>
    </row>
    <row r="69" spans="1:54" s="70" customFormat="1" ht="12.75" hidden="1" customHeight="1" x14ac:dyDescent="0.2">
      <c r="D69" s="74"/>
      <c r="G69" s="74"/>
      <c r="J69" s="74"/>
      <c r="M69" s="74"/>
      <c r="P69" s="74"/>
      <c r="S69" s="74"/>
      <c r="V69" s="74"/>
      <c r="Y69" s="74"/>
      <c r="AB69" s="74"/>
      <c r="AE69" s="74"/>
      <c r="AW69" s="154"/>
    </row>
    <row r="70" spans="1:54" s="70" customFormat="1" ht="12.75" hidden="1" customHeight="1" x14ac:dyDescent="0.2">
      <c r="D70" s="74"/>
      <c r="G70" s="74"/>
      <c r="J70" s="74"/>
      <c r="M70" s="74"/>
      <c r="P70" s="74"/>
      <c r="S70" s="74"/>
      <c r="V70" s="74"/>
      <c r="Y70" s="74"/>
      <c r="AB70" s="74"/>
      <c r="AE70" s="74"/>
      <c r="AW70" s="154"/>
    </row>
    <row r="71" spans="1:54" s="70" customFormat="1" ht="51" hidden="1" customHeight="1" x14ac:dyDescent="0.2">
      <c r="A71" s="73" t="s">
        <v>106</v>
      </c>
      <c r="C71" s="70">
        <f>SUMIF(B64:D68,"&gt;0")</f>
        <v>3</v>
      </c>
      <c r="D71" s="74"/>
      <c r="F71" s="70">
        <f>SUMIF(E64:G68,"&gt;0")</f>
        <v>2</v>
      </c>
      <c r="G71" s="74"/>
      <c r="I71" s="70">
        <f>SUMIF(H64:J68,"&gt;0")</f>
        <v>2</v>
      </c>
      <c r="J71" s="74"/>
      <c r="L71" s="70">
        <f>SUMIF(K64:M68,"&gt;0")</f>
        <v>3</v>
      </c>
      <c r="M71" s="74"/>
      <c r="O71" s="70">
        <f>SUMIF(N64:P68,"&gt;0")</f>
        <v>2</v>
      </c>
      <c r="P71" s="74"/>
      <c r="R71" s="70">
        <f>SUMIF(Q64:S68,"&gt;0")</f>
        <v>3</v>
      </c>
      <c r="S71" s="74"/>
      <c r="U71" s="70">
        <f>SUMIF(T64:V68,"&gt;0")</f>
        <v>0</v>
      </c>
      <c r="V71" s="74"/>
      <c r="X71" s="70">
        <f>SUMIF(W64:Y68,"&gt;0")</f>
        <v>0</v>
      </c>
      <c r="Y71" s="74"/>
      <c r="AA71" s="70">
        <f>SUMIF(Z64:AB68,"&gt;0")</f>
        <v>0</v>
      </c>
      <c r="AB71" s="74"/>
      <c r="AD71" s="70">
        <f>SUMIF(AC64:AE68,"&gt;0")</f>
        <v>0</v>
      </c>
      <c r="AE71" s="74"/>
      <c r="AF71" s="73" t="s">
        <v>107</v>
      </c>
      <c r="AW71" s="154"/>
    </row>
    <row r="72" spans="1:54" s="70" customFormat="1" ht="12.75" hidden="1" customHeight="1" x14ac:dyDescent="0.2">
      <c r="A72" s="70" t="s">
        <v>97</v>
      </c>
      <c r="B72" s="70">
        <f>IF(B24=1,C71,0)</f>
        <v>0</v>
      </c>
      <c r="D72" s="74">
        <f>IF(D24=1,C71,0)</f>
        <v>0</v>
      </c>
      <c r="E72" s="70">
        <f>IF(E24=1,F71,0)</f>
        <v>2</v>
      </c>
      <c r="G72" s="74">
        <f>IF(G24=1,F71,0)</f>
        <v>0</v>
      </c>
      <c r="H72" s="70">
        <f>IF(H24=1,I71,0)</f>
        <v>0</v>
      </c>
      <c r="J72" s="74">
        <f>IF(J24=1,I71,0)</f>
        <v>0</v>
      </c>
      <c r="K72" s="70">
        <f>IF(K24=1,L71,0)</f>
        <v>3</v>
      </c>
      <c r="M72" s="74">
        <f>IF(M24=1,L71,0)</f>
        <v>0</v>
      </c>
      <c r="N72" s="70">
        <f>IF(N24=1,O71,0)</f>
        <v>0</v>
      </c>
      <c r="P72" s="74">
        <f>IF(P24=1,O71,0)</f>
        <v>0</v>
      </c>
      <c r="Q72" s="70">
        <f>IF(Q24=1,R71,0)</f>
        <v>3</v>
      </c>
      <c r="S72" s="74">
        <f>IF(S24=1,R71,0)</f>
        <v>0</v>
      </c>
      <c r="T72" s="70">
        <f>IF(T24=1,U71,0)</f>
        <v>0</v>
      </c>
      <c r="V72" s="74">
        <f>IF(V24=1,U71,0)</f>
        <v>0</v>
      </c>
      <c r="W72" s="70">
        <f>IF(W24=1,X71,0)</f>
        <v>0</v>
      </c>
      <c r="Y72" s="74">
        <f>IF(Y24=1,X71,0)</f>
        <v>0</v>
      </c>
      <c r="Z72" s="70">
        <f>IF(Z24=1,AA71,0)</f>
        <v>0</v>
      </c>
      <c r="AB72" s="74">
        <f>IF(AB24=1,AA71,0)</f>
        <v>0</v>
      </c>
      <c r="AC72" s="70">
        <f>IF(AC24=1,AD71,0)</f>
        <v>0</v>
      </c>
      <c r="AE72" s="74">
        <f>IF(AE24=1,AD71,0)</f>
        <v>0</v>
      </c>
      <c r="AF72" s="70">
        <f>SUM(B72:AE72)</f>
        <v>8</v>
      </c>
      <c r="AW72" s="154"/>
    </row>
    <row r="73" spans="1:54" s="70" customFormat="1" ht="12.75" hidden="1" customHeight="1" x14ac:dyDescent="0.2">
      <c r="A73" s="70" t="s">
        <v>98</v>
      </c>
      <c r="B73" s="70">
        <f>IF(B24=2,C71,0)</f>
        <v>3</v>
      </c>
      <c r="D73" s="74">
        <f>IF(D24=2,C71,0)</f>
        <v>0</v>
      </c>
      <c r="E73" s="70">
        <f>IF(E24=2,F71,0)</f>
        <v>0</v>
      </c>
      <c r="G73" s="74">
        <f>IF(G24=2,F71,0)</f>
        <v>0</v>
      </c>
      <c r="H73" s="70">
        <f>IF(H24=2,I71,0)</f>
        <v>2</v>
      </c>
      <c r="J73" s="74">
        <f>IF(J24=2,I71,0)</f>
        <v>0</v>
      </c>
      <c r="K73" s="70">
        <f>IF(K24=2,L71,0)</f>
        <v>0</v>
      </c>
      <c r="M73" s="74">
        <f>IF(M24=2,L71,0)</f>
        <v>0</v>
      </c>
      <c r="N73" s="70">
        <f>IF(N24=2,O71,0)</f>
        <v>0</v>
      </c>
      <c r="P73" s="74">
        <f>IF(P24=2,O71,0)</f>
        <v>0</v>
      </c>
      <c r="Q73" s="70">
        <f>IF(Q24=2,R71,0)</f>
        <v>0</v>
      </c>
      <c r="S73" s="74">
        <f>IF(S24=2,R71,0)</f>
        <v>3</v>
      </c>
      <c r="T73" s="70">
        <f>IF(T24=2,U71,0)</f>
        <v>0</v>
      </c>
      <c r="V73" s="74">
        <f>IF(V24=2,U71,0)</f>
        <v>0</v>
      </c>
      <c r="W73" s="70">
        <f>IF(W24=2,X71,0)</f>
        <v>0</v>
      </c>
      <c r="Y73" s="74">
        <f>IF(Y24=2,X71,0)</f>
        <v>0</v>
      </c>
      <c r="Z73" s="70">
        <f>IF(Z24=2,AA71,0)</f>
        <v>0</v>
      </c>
      <c r="AB73" s="74">
        <f>IF(AB24=2,AA71,0)</f>
        <v>0</v>
      </c>
      <c r="AC73" s="70">
        <f>IF(AC24=2,AD71,0)</f>
        <v>0</v>
      </c>
      <c r="AE73" s="74">
        <f>IF(AE24=2,AD71,0)</f>
        <v>0</v>
      </c>
      <c r="AF73" s="70">
        <f>SUM(B73:AE73)</f>
        <v>8</v>
      </c>
      <c r="AW73" s="154"/>
    </row>
    <row r="74" spans="1:54" s="70" customFormat="1" ht="12.75" hidden="1" customHeight="1" x14ac:dyDescent="0.2">
      <c r="A74" s="70" t="s">
        <v>99</v>
      </c>
      <c r="B74" s="70">
        <f>IF(B24=3,C71,0)</f>
        <v>0</v>
      </c>
      <c r="D74" s="74">
        <f>IF(D24=3,C71,0)</f>
        <v>3</v>
      </c>
      <c r="E74" s="70">
        <f>IF(E24=3,F71,0)</f>
        <v>0</v>
      </c>
      <c r="G74" s="74">
        <f>IF(G24=3,F71,0)</f>
        <v>0</v>
      </c>
      <c r="H74" s="70">
        <f>IF(H24=3,I71,0)</f>
        <v>0</v>
      </c>
      <c r="J74" s="74">
        <f>IF(J24=3,I71,0)</f>
        <v>0</v>
      </c>
      <c r="K74" s="70">
        <f>IF(K24=3,L71,0)</f>
        <v>0</v>
      </c>
      <c r="M74" s="74">
        <f>IF(M24=3,L71,0)</f>
        <v>3</v>
      </c>
      <c r="N74" s="70">
        <f>IF(N24=3,O71,0)</f>
        <v>2</v>
      </c>
      <c r="P74" s="74">
        <f>IF(P24=3,O71,0)</f>
        <v>0</v>
      </c>
      <c r="Q74" s="70">
        <f>IF(Q24=3,R71,0)</f>
        <v>0</v>
      </c>
      <c r="S74" s="74">
        <f>IF(S24=3,R71,0)</f>
        <v>0</v>
      </c>
      <c r="T74" s="70">
        <f>IF(T24=3,U71,0)</f>
        <v>0</v>
      </c>
      <c r="V74" s="74">
        <f>IF(V24=3,U71,0)</f>
        <v>0</v>
      </c>
      <c r="W74" s="70">
        <f>IF(W24=3,X71,0)</f>
        <v>0</v>
      </c>
      <c r="Y74" s="74">
        <f>IF(Y24=3,X71,0)</f>
        <v>0</v>
      </c>
      <c r="Z74" s="70">
        <f>IF(Z24=3,AA71,0)</f>
        <v>0</v>
      </c>
      <c r="AB74" s="74">
        <f>IF(AB24=3,AA71,0)</f>
        <v>0</v>
      </c>
      <c r="AC74" s="70">
        <f>IF(AC24=3,AD71,0)</f>
        <v>0</v>
      </c>
      <c r="AE74" s="74">
        <f>IF(AE24=3,AD71,0)</f>
        <v>0</v>
      </c>
      <c r="AF74" s="70">
        <f>SUM(B74:AE74)</f>
        <v>8</v>
      </c>
      <c r="AW74" s="154"/>
    </row>
    <row r="75" spans="1:54" s="70" customFormat="1" ht="12.75" hidden="1" customHeight="1" x14ac:dyDescent="0.2">
      <c r="A75" s="70" t="s">
        <v>100</v>
      </c>
      <c r="B75" s="70">
        <f>IF(B24=4,C71,0)</f>
        <v>0</v>
      </c>
      <c r="D75" s="74">
        <f>IF(D24=4,C71,0)</f>
        <v>0</v>
      </c>
      <c r="E75" s="70">
        <f>IF(E24=4,F71,0)</f>
        <v>0</v>
      </c>
      <c r="G75" s="74">
        <f>IF(G24=4,F71,0)</f>
        <v>2</v>
      </c>
      <c r="H75" s="70">
        <f>IF(H24=4,I71,0)</f>
        <v>0</v>
      </c>
      <c r="J75" s="74">
        <f>IF(J24=4,I71,0)</f>
        <v>2</v>
      </c>
      <c r="K75" s="70">
        <f>IF(K24=4,L71,0)</f>
        <v>0</v>
      </c>
      <c r="M75" s="74">
        <f>IF(M24=4,L71,0)</f>
        <v>0</v>
      </c>
      <c r="N75" s="70">
        <f>IF(N24=4,O71,0)</f>
        <v>0</v>
      </c>
      <c r="P75" s="74">
        <f>IF(P24=4,O71,0)</f>
        <v>2</v>
      </c>
      <c r="Q75" s="70">
        <f>IF(Q24=4,R71,0)</f>
        <v>0</v>
      </c>
      <c r="S75" s="74">
        <f>IF(S24=4,R71,0)</f>
        <v>0</v>
      </c>
      <c r="T75" s="70">
        <f>IF(T24=4,U71,0)</f>
        <v>0</v>
      </c>
      <c r="V75" s="74">
        <f>IF(V24=4,U71,0)</f>
        <v>0</v>
      </c>
      <c r="W75" s="70">
        <f>IF(W24=4,X71,0)</f>
        <v>0</v>
      </c>
      <c r="Y75" s="74">
        <f>IF(Y24=4,X71,0)</f>
        <v>0</v>
      </c>
      <c r="Z75" s="70">
        <f>IF(Z24=4,AA71,0)</f>
        <v>0</v>
      </c>
      <c r="AB75" s="74">
        <f>IF(AB24=4,AA71,0)</f>
        <v>0</v>
      </c>
      <c r="AC75" s="70">
        <f>IF(AC24=4,AD71,0)</f>
        <v>0</v>
      </c>
      <c r="AE75" s="74">
        <f>IF(AE24=4,AD71,0)</f>
        <v>0</v>
      </c>
      <c r="AF75" s="70">
        <f>SUM(B75:AE75)</f>
        <v>6</v>
      </c>
      <c r="AW75" s="154"/>
    </row>
    <row r="76" spans="1:54" s="70" customFormat="1" ht="12.75" hidden="1" customHeight="1" x14ac:dyDescent="0.2">
      <c r="A76" s="70" t="s">
        <v>101</v>
      </c>
      <c r="B76" s="70">
        <f>IF(B24=5,C71,0)</f>
        <v>0</v>
      </c>
      <c r="D76" s="74">
        <f>IF(D24=5,C71,0)</f>
        <v>0</v>
      </c>
      <c r="E76" s="70">
        <f>IF(E24=5,F71,0)</f>
        <v>0</v>
      </c>
      <c r="G76" s="74">
        <f>IF(G24=5,F71,0)</f>
        <v>0</v>
      </c>
      <c r="H76" s="70">
        <f>IF(H24=5,I71,0)</f>
        <v>0</v>
      </c>
      <c r="J76" s="74">
        <f>IF(J24=5,I71,0)</f>
        <v>0</v>
      </c>
      <c r="K76" s="70">
        <f>IF(K24=5,L71,0)</f>
        <v>0</v>
      </c>
      <c r="M76" s="74">
        <f>IF(M24=5,L71,0)</f>
        <v>0</v>
      </c>
      <c r="N76" s="70">
        <f>IF(N24=5,O71,0)</f>
        <v>0</v>
      </c>
      <c r="P76" s="74">
        <f>IF(P24=5,O71,0)</f>
        <v>0</v>
      </c>
      <c r="Q76" s="70">
        <f>IF(Q24=5,R71,0)</f>
        <v>0</v>
      </c>
      <c r="S76" s="74">
        <f>IF(S24=5,R71,0)</f>
        <v>0</v>
      </c>
      <c r="T76" s="70">
        <f>IF(T24=5,U71,0)</f>
        <v>0</v>
      </c>
      <c r="V76" s="74">
        <f>IF(V24=5,U71,0)</f>
        <v>0</v>
      </c>
      <c r="W76" s="70">
        <f>IF(W24=5,X71,0)</f>
        <v>0</v>
      </c>
      <c r="Y76" s="74">
        <f>IF(Y24=5,X71,0)</f>
        <v>0</v>
      </c>
      <c r="Z76" s="70">
        <f>IF(Z24=5,AA71,0)</f>
        <v>0</v>
      </c>
      <c r="AB76" s="74">
        <f>IF(AB24=5,AA71,0)</f>
        <v>0</v>
      </c>
      <c r="AC76" s="70">
        <f>IF(AC24=5,AD71,0)</f>
        <v>0</v>
      </c>
      <c r="AE76" s="74">
        <f>IF(AE24=5,AD71,0)</f>
        <v>0</v>
      </c>
      <c r="AF76" s="70">
        <f>SUM(B76:AE76)</f>
        <v>0</v>
      </c>
      <c r="AT76" s="77"/>
      <c r="AU76" s="77"/>
      <c r="AV76" s="77"/>
      <c r="AW76" s="154"/>
    </row>
    <row r="77" spans="1:54" hidden="1" x14ac:dyDescent="0.2">
      <c r="A77" s="95"/>
      <c r="B77" s="95"/>
      <c r="C77" s="95"/>
      <c r="D77" s="95"/>
      <c r="E77" s="95"/>
      <c r="F77" s="95"/>
      <c r="G77" s="95"/>
      <c r="H77" s="95"/>
      <c r="I77" s="95"/>
      <c r="J77" s="95"/>
      <c r="K77" s="95"/>
      <c r="L77" s="95"/>
      <c r="M77" s="95"/>
      <c r="N77" s="95"/>
      <c r="O77" s="95"/>
      <c r="P77" s="95"/>
      <c r="Q77" s="95"/>
      <c r="R77" s="95"/>
      <c r="S77" s="95"/>
      <c r="T77" s="95"/>
      <c r="U77" s="95"/>
      <c r="V77" s="95"/>
      <c r="W77" s="95"/>
      <c r="X77" s="95"/>
      <c r="Y77" s="95"/>
      <c r="Z77" s="95"/>
      <c r="AA77" s="95"/>
      <c r="AB77" s="95"/>
      <c r="AC77" s="95"/>
      <c r="AD77" s="95"/>
      <c r="AE77" s="95"/>
      <c r="AF77" s="95"/>
      <c r="AG77" s="95"/>
      <c r="AH77" s="95"/>
      <c r="AI77" s="95"/>
      <c r="AJ77" s="95"/>
      <c r="AK77" s="95"/>
      <c r="AL77" s="95"/>
      <c r="AM77" s="95"/>
      <c r="AN77" s="96"/>
      <c r="AO77" s="96"/>
      <c r="AP77" s="96"/>
      <c r="AQ77" s="96"/>
      <c r="AR77" s="77"/>
      <c r="AS77" s="77"/>
      <c r="AT77" s="77"/>
      <c r="AU77" s="77"/>
      <c r="AV77" s="77"/>
      <c r="BB77" s="156"/>
    </row>
    <row r="78" spans="1:54" s="77" customFormat="1" hidden="1" x14ac:dyDescent="0.2">
      <c r="A78" s="79"/>
      <c r="B78" s="79"/>
      <c r="C78" s="79" t="s">
        <v>108</v>
      </c>
      <c r="D78" s="79">
        <v>1</v>
      </c>
      <c r="E78" s="79"/>
      <c r="F78" s="79"/>
      <c r="G78" s="79">
        <v>2</v>
      </c>
      <c r="H78" s="79"/>
      <c r="I78" s="79"/>
      <c r="J78" s="79">
        <v>3</v>
      </c>
      <c r="K78" s="79"/>
      <c r="L78" s="79"/>
      <c r="M78" s="79">
        <v>4</v>
      </c>
      <c r="N78" s="79"/>
      <c r="O78" s="79"/>
      <c r="P78" s="79">
        <v>5</v>
      </c>
      <c r="Q78" s="79"/>
      <c r="R78" s="79"/>
      <c r="S78" s="79">
        <v>6</v>
      </c>
      <c r="T78" s="79"/>
      <c r="U78" s="79"/>
      <c r="V78" s="79">
        <v>7</v>
      </c>
      <c r="W78" s="79"/>
      <c r="X78" s="79"/>
      <c r="Y78" s="79">
        <v>8</v>
      </c>
      <c r="Z78" s="79"/>
      <c r="AA78" s="79"/>
      <c r="AB78" s="79">
        <v>9</v>
      </c>
      <c r="AC78" s="79"/>
      <c r="AD78" s="79"/>
      <c r="AE78" s="79">
        <v>10</v>
      </c>
      <c r="AF78" s="4"/>
      <c r="AG78" s="79"/>
      <c r="AI78" s="80"/>
      <c r="AJ78" s="4"/>
      <c r="AK78" s="4"/>
      <c r="AL78" s="4"/>
      <c r="AM78" s="4"/>
      <c r="AN78" s="4"/>
      <c r="AO78" s="4"/>
      <c r="AT78" s="80" t="s">
        <v>109</v>
      </c>
      <c r="AW78" s="81"/>
      <c r="BB78" s="81"/>
    </row>
    <row r="79" spans="1:54" s="77" customFormat="1" hidden="1" x14ac:dyDescent="0.2">
      <c r="A79" s="82">
        <v>1</v>
      </c>
      <c r="B79" s="82" t="str">
        <f>E8</f>
        <v>C1VB 15 Elite Grvl</v>
      </c>
      <c r="C79" s="82">
        <f>VLOOKUP(B79,AU$3:BB$33,3,FALSE)</f>
        <v>2537.8748707914665</v>
      </c>
      <c r="D79" s="82">
        <f>IF(B72,B87,IF(D72,D87,C79))</f>
        <v>2537.8748707914665</v>
      </c>
      <c r="E79" s="82"/>
      <c r="F79" s="82"/>
      <c r="G79" s="82">
        <f>IF(E72,E87,IF(G72,G87,D79))</f>
        <v>2545.6774082420907</v>
      </c>
      <c r="H79" s="82"/>
      <c r="I79" s="82"/>
      <c r="J79" s="82">
        <f>IF(H72,H87,IF(J72,J87,G79))</f>
        <v>2545.6774082420907</v>
      </c>
      <c r="K79" s="82"/>
      <c r="L79" s="82"/>
      <c r="M79" s="82">
        <f>IF(K72,K87,IF(M72,M87,J79))</f>
        <v>2503.402296927658</v>
      </c>
      <c r="N79" s="82"/>
      <c r="O79" s="82"/>
      <c r="P79" s="82">
        <f>IF(N72,N87,IF(P72,P87,M79))</f>
        <v>2503.402296927658</v>
      </c>
      <c r="Q79" s="82"/>
      <c r="R79" s="82"/>
      <c r="S79" s="82">
        <f>IF(Q72,Q87,IF(S72,S87,P79))</f>
        <v>2504.9734736000346</v>
      </c>
      <c r="T79" s="82"/>
      <c r="U79" s="82"/>
      <c r="V79" s="82">
        <f>IF(T72,T87,IF(V72,V87,S79))</f>
        <v>2504.9734736000346</v>
      </c>
      <c r="W79" s="82"/>
      <c r="X79" s="82"/>
      <c r="Y79" s="82">
        <f>IF(W72,W87,IF(Y72,Y87,V79))</f>
        <v>2504.9734736000346</v>
      </c>
      <c r="Z79" s="82"/>
      <c r="AA79" s="82"/>
      <c r="AB79" s="82">
        <f>IF(Z72,Z87,IF(AB72,AB87,Y79))</f>
        <v>2504.9734736000346</v>
      </c>
      <c r="AC79" s="82"/>
      <c r="AD79" s="82"/>
      <c r="AE79" s="82">
        <f>IF(AC72,AC87,IF(AE72,AE87,AB79))</f>
        <v>2504.9734736000346</v>
      </c>
      <c r="AF79" s="4"/>
      <c r="AG79" s="4"/>
      <c r="AJ79" s="4"/>
      <c r="AK79" s="4"/>
      <c r="AL79" s="4"/>
      <c r="AM79" s="4"/>
      <c r="AN79" s="4"/>
      <c r="AO79" s="4"/>
      <c r="AT79" s="77" t="str">
        <f>B79</f>
        <v>C1VB 15 Elite Grvl</v>
      </c>
      <c r="AU79" s="77">
        <f>AE79</f>
        <v>2504.9734736000346</v>
      </c>
      <c r="AW79" s="81"/>
      <c r="BB79" s="81"/>
    </row>
    <row r="80" spans="1:54" s="77" customFormat="1" hidden="1" x14ac:dyDescent="0.2">
      <c r="A80" s="82">
        <v>2</v>
      </c>
      <c r="B80" s="82" t="str">
        <f>E10</f>
        <v>Beaufort 15 Grey</v>
      </c>
      <c r="C80" s="82">
        <f>VLOOKUP(B80,AU$3:BB$33,3,FALSE)</f>
        <v>2366.7411744211154</v>
      </c>
      <c r="D80" s="82">
        <f>IF(B73,B87,IF(D73,D87,C80))</f>
        <v>2379.7611216659166</v>
      </c>
      <c r="E80" s="82"/>
      <c r="F80" s="82"/>
      <c r="G80" s="82">
        <f>IF(E73,E87,IF(G73,G87,D80))</f>
        <v>2379.7611216659166</v>
      </c>
      <c r="H80" s="82"/>
      <c r="I80" s="82"/>
      <c r="J80" s="82">
        <f>IF(H73,H87,IF(J73,J87,G80))</f>
        <v>2395.6348626241447</v>
      </c>
      <c r="K80" s="82"/>
      <c r="L80" s="82"/>
      <c r="M80" s="82">
        <f>IF(K73,K87,IF(M73,M87,J80))</f>
        <v>2395.6348626241447</v>
      </c>
      <c r="N80" s="82"/>
      <c r="O80" s="82"/>
      <c r="P80" s="82">
        <f>IF(N73,N87,IF(P73,P87,M80))</f>
        <v>2395.6348626241447</v>
      </c>
      <c r="Q80" s="82"/>
      <c r="R80" s="82"/>
      <c r="S80" s="82">
        <f>IF(Q73,Q87,IF(S73,S87,P80))</f>
        <v>2394.0636859517681</v>
      </c>
      <c r="T80" s="82"/>
      <c r="U80" s="82"/>
      <c r="V80" s="82">
        <f>IF(T73,T87,IF(V73,V87,S80))</f>
        <v>2394.0636859517681</v>
      </c>
      <c r="W80" s="82"/>
      <c r="X80" s="82"/>
      <c r="Y80" s="82">
        <f>IF(W73,W87,IF(Y73,Y87,V80))</f>
        <v>2394.0636859517681</v>
      </c>
      <c r="Z80" s="82"/>
      <c r="AA80" s="82"/>
      <c r="AB80" s="82">
        <f>IF(Z73,Z87,IF(AB73,AB87,Y80))</f>
        <v>2394.0636859517681</v>
      </c>
      <c r="AC80" s="82"/>
      <c r="AD80" s="82"/>
      <c r="AE80" s="82">
        <f>IF(AC73,AC87,IF(AE73,AE87,AB80))</f>
        <v>2394.0636859517681</v>
      </c>
      <c r="AF80" s="4"/>
      <c r="AG80" s="4"/>
      <c r="AJ80" s="4"/>
      <c r="AL80" s="4"/>
      <c r="AM80" s="4"/>
      <c r="AN80" s="4"/>
      <c r="AO80" s="4"/>
      <c r="AT80" s="77" t="str">
        <f>B80</f>
        <v>Beaufort 15 Grey</v>
      </c>
      <c r="AU80" s="77">
        <f>AE80</f>
        <v>2394.0636859517681</v>
      </c>
      <c r="AW80" s="81"/>
      <c r="BB80" s="81"/>
    </row>
    <row r="81" spans="1:54" s="77" customFormat="1" hidden="1" x14ac:dyDescent="0.2">
      <c r="A81" s="82">
        <v>3</v>
      </c>
      <c r="B81" s="82" t="str">
        <f>E12</f>
        <v>Emerald City 15-Power</v>
      </c>
      <c r="C81" s="82">
        <f>VLOOKUP(B81,AU$3:BB$33,3,FALSE)</f>
        <v>2345.1430549012343</v>
      </c>
      <c r="D81" s="82">
        <f>IF(B74,B87,IF(D74,D87,C81))</f>
        <v>2332.1231076564331</v>
      </c>
      <c r="E81" s="82"/>
      <c r="F81" s="82"/>
      <c r="G81" s="82">
        <f>IF(E74,E87,IF(G74,G87,D81))</f>
        <v>2332.1231076564331</v>
      </c>
      <c r="H81" s="82"/>
      <c r="I81" s="82"/>
      <c r="J81" s="82">
        <f>IF(H74,H87,IF(J74,J87,G81))</f>
        <v>2332.1231076564331</v>
      </c>
      <c r="K81" s="82"/>
      <c r="L81" s="82"/>
      <c r="M81" s="82">
        <f>IF(K74,K87,IF(M74,M87,J81))</f>
        <v>2374.3982189708659</v>
      </c>
      <c r="N81" s="82"/>
      <c r="O81" s="82"/>
      <c r="P81" s="82">
        <f>IF(N74,N87,IF(P74,P87,M81))</f>
        <v>2389.5607908815518</v>
      </c>
      <c r="Q81" s="82"/>
      <c r="R81" s="82"/>
      <c r="S81" s="82">
        <f>IF(Q74,Q87,IF(S74,S87,P81))</f>
        <v>2389.5607908815518</v>
      </c>
      <c r="T81" s="82"/>
      <c r="U81" s="82"/>
      <c r="V81" s="82">
        <f>IF(T74,T87,IF(V74,V87,S81))</f>
        <v>2389.5607908815518</v>
      </c>
      <c r="W81" s="82"/>
      <c r="X81" s="82"/>
      <c r="Y81" s="82">
        <f>IF(W74,W87,IF(Y74,Y87,V81))</f>
        <v>2389.5607908815518</v>
      </c>
      <c r="Z81" s="82"/>
      <c r="AA81" s="82"/>
      <c r="AB81" s="82">
        <f>IF(Z74,Z87,IF(AB74,AB87,Y81))</f>
        <v>2389.5607908815518</v>
      </c>
      <c r="AC81" s="82"/>
      <c r="AD81" s="82"/>
      <c r="AE81" s="82">
        <f>IF(AC74,AC87,IF(AE74,AE87,AB81))</f>
        <v>2389.5607908815518</v>
      </c>
      <c r="AF81" s="4"/>
      <c r="AG81" s="4"/>
      <c r="AJ81" s="4"/>
      <c r="AL81" s="4"/>
      <c r="AM81" s="4"/>
      <c r="AN81" s="4"/>
      <c r="AO81" s="4"/>
      <c r="AT81" s="77" t="str">
        <f>B81</f>
        <v>Emerald City 15-Power</v>
      </c>
      <c r="AU81" s="77">
        <f>AE81</f>
        <v>2389.5607908815518</v>
      </c>
      <c r="AW81" s="81"/>
      <c r="BB81" s="81"/>
    </row>
    <row r="82" spans="1:54" s="77" customFormat="1" hidden="1" x14ac:dyDescent="0.2">
      <c r="A82" s="82">
        <v>4</v>
      </c>
      <c r="B82" s="82" t="str">
        <f>E14</f>
        <v>CSRA Heat 15 Gold</v>
      </c>
      <c r="C82" s="82">
        <f>VLOOKUP(B82,AU$3:BB$33,3,FALSE)</f>
        <v>2194.8825329107262</v>
      </c>
      <c r="D82" s="82">
        <f>IF(B75,B87,IF(D75,D87,C82))</f>
        <v>2194.8825329107262</v>
      </c>
      <c r="E82" s="82"/>
      <c r="F82" s="82"/>
      <c r="G82" s="82">
        <f>IF(E75,E87,IF(G75,G87,D82))</f>
        <v>2187.0799954601021</v>
      </c>
      <c r="H82" s="82"/>
      <c r="I82" s="82"/>
      <c r="J82" s="82">
        <f>IF(H75,H87,IF(J75,J87,G82))</f>
        <v>2171.2062545018739</v>
      </c>
      <c r="K82" s="82"/>
      <c r="L82" s="82"/>
      <c r="M82" s="82">
        <f>IF(K75,K87,IF(M75,M87,J82))</f>
        <v>2171.2062545018739</v>
      </c>
      <c r="N82" s="82"/>
      <c r="O82" s="82"/>
      <c r="P82" s="82">
        <f>IF(N75,N87,IF(P75,P87,M82))</f>
        <v>2156.0436825911879</v>
      </c>
      <c r="Q82" s="82"/>
      <c r="R82" s="82"/>
      <c r="S82" s="82">
        <f>IF(Q75,Q87,IF(S75,S87,P82))</f>
        <v>2156.0436825911879</v>
      </c>
      <c r="T82" s="82"/>
      <c r="U82" s="82"/>
      <c r="V82" s="82">
        <f>IF(T75,T87,IF(V75,V87,S82))</f>
        <v>2156.0436825911879</v>
      </c>
      <c r="W82" s="82"/>
      <c r="X82" s="82"/>
      <c r="Y82" s="82">
        <f>IF(W75,W87,IF(Y75,Y87,V82))</f>
        <v>2156.0436825911879</v>
      </c>
      <c r="Z82" s="82"/>
      <c r="AA82" s="82"/>
      <c r="AB82" s="82">
        <f>IF(Z75,Z87,IF(AB75,AB87,Y82))</f>
        <v>2156.0436825911879</v>
      </c>
      <c r="AC82" s="82"/>
      <c r="AD82" s="82"/>
      <c r="AE82" s="82">
        <f>IF(AC75,AC87,IF(AE75,AE87,AB82))</f>
        <v>2156.0436825911879</v>
      </c>
      <c r="AF82" s="4"/>
      <c r="AG82" s="4"/>
      <c r="AJ82" s="4"/>
      <c r="AL82" s="4"/>
      <c r="AM82" s="4"/>
      <c r="AN82" s="4"/>
      <c r="AO82" s="4"/>
      <c r="AT82" s="77" t="str">
        <f>B82</f>
        <v>CSRA Heat 15 Gold</v>
      </c>
      <c r="AU82" s="77">
        <f>AE82</f>
        <v>2156.0436825911879</v>
      </c>
      <c r="AW82" s="81"/>
      <c r="BB82" s="81"/>
    </row>
    <row r="83" spans="1:54" s="77" customFormat="1" hidden="1" x14ac:dyDescent="0.2">
      <c r="A83" s="82">
        <v>5</v>
      </c>
      <c r="B83" s="82">
        <f>E16</f>
        <v>0</v>
      </c>
      <c r="C83" s="82" t="e">
        <f>VLOOKUP(B83,AU$3:BB$33,3,FALSE)</f>
        <v>#N/A</v>
      </c>
      <c r="D83" s="82" t="e">
        <f>IF(B76,B87,IF(D76,D87,C83))</f>
        <v>#N/A</v>
      </c>
      <c r="E83" s="82"/>
      <c r="F83" s="82"/>
      <c r="G83" s="82" t="e">
        <f>IF(E76,E87,IF(G76,G87,D83))</f>
        <v>#N/A</v>
      </c>
      <c r="H83" s="82"/>
      <c r="I83" s="82"/>
      <c r="J83" s="82" t="e">
        <f>IF(H76,H87,IF(J76,J87,G83))</f>
        <v>#N/A</v>
      </c>
      <c r="K83" s="82"/>
      <c r="L83" s="82"/>
      <c r="M83" s="82" t="e">
        <f>IF(K76,K87,IF(M76,M87,J83))</f>
        <v>#N/A</v>
      </c>
      <c r="N83" s="82"/>
      <c r="O83" s="82"/>
      <c r="P83" s="82" t="e">
        <f>IF(N76,N87,IF(P76,P87,M83))</f>
        <v>#N/A</v>
      </c>
      <c r="Q83" s="82"/>
      <c r="R83" s="82"/>
      <c r="S83" s="82" t="e">
        <f>IF(Q76,Q87,IF(S76,S87,P83))</f>
        <v>#N/A</v>
      </c>
      <c r="T83" s="82"/>
      <c r="U83" s="82"/>
      <c r="V83" s="82" t="e">
        <f>IF(T76,T87,IF(V76,V87,S83))</f>
        <v>#N/A</v>
      </c>
      <c r="W83" s="82"/>
      <c r="X83" s="82"/>
      <c r="Y83" s="82" t="e">
        <f>IF(W76,W87,IF(Y76,Y87,V83))</f>
        <v>#N/A</v>
      </c>
      <c r="Z83" s="82"/>
      <c r="AA83" s="82"/>
      <c r="AB83" s="82" t="e">
        <f>IF(Z76,Z87,IF(AB76,AB87,Y83))</f>
        <v>#N/A</v>
      </c>
      <c r="AC83" s="82"/>
      <c r="AD83" s="82"/>
      <c r="AE83" s="82" t="e">
        <f>IF(AC76,AC87,IF(AE76,AE87,AB83))</f>
        <v>#N/A</v>
      </c>
      <c r="AF83" s="4"/>
      <c r="AG83" s="4"/>
      <c r="AJ83" s="4"/>
      <c r="AL83" s="4"/>
      <c r="AM83" s="4"/>
      <c r="AN83" s="4"/>
      <c r="AO83" s="4"/>
      <c r="AT83" s="77">
        <f>B83</f>
        <v>0</v>
      </c>
      <c r="AU83" s="77" t="e">
        <f>AE83</f>
        <v>#N/A</v>
      </c>
      <c r="AW83" s="81"/>
      <c r="BB83" s="81"/>
    </row>
    <row r="84" spans="1:54" s="77" customFormat="1" hidden="1" x14ac:dyDescent="0.2">
      <c r="A84" s="82"/>
      <c r="B84" s="82"/>
      <c r="C84" s="82"/>
      <c r="D84" s="82"/>
      <c r="E84" s="82"/>
      <c r="F84" s="82"/>
      <c r="G84" s="82"/>
      <c r="H84" s="82"/>
      <c r="I84" s="82"/>
      <c r="J84" s="82"/>
      <c r="K84" s="82"/>
      <c r="L84" s="82"/>
      <c r="M84" s="82"/>
      <c r="N84" s="82"/>
      <c r="O84" s="82"/>
      <c r="P84" s="82"/>
      <c r="Q84" s="82"/>
      <c r="R84" s="82"/>
      <c r="S84" s="82"/>
      <c r="T84" s="82"/>
      <c r="U84" s="82"/>
      <c r="V84" s="82"/>
      <c r="W84" s="82"/>
      <c r="X84" s="82"/>
      <c r="Y84" s="82"/>
      <c r="Z84" s="82"/>
      <c r="AA84" s="82"/>
      <c r="AB84" s="82"/>
      <c r="AC84" s="82"/>
      <c r="AD84" s="82"/>
      <c r="AE84" s="82"/>
      <c r="AF84" s="4"/>
      <c r="AG84" s="4"/>
      <c r="AJ84" s="4"/>
      <c r="AL84" s="4"/>
      <c r="AM84" s="4"/>
      <c r="AN84" s="4"/>
      <c r="AO84" s="4"/>
      <c r="AW84" s="81"/>
      <c r="BB84" s="81"/>
    </row>
    <row r="85" spans="1:54" s="77" customFormat="1" hidden="1" x14ac:dyDescent="0.2">
      <c r="A85" s="82" t="s">
        <v>110</v>
      </c>
      <c r="B85" s="82">
        <f>VLOOKUP(B24,$A79:$AE83,3,FALSE)</f>
        <v>2366.7411744211154</v>
      </c>
      <c r="C85" s="82">
        <v>1</v>
      </c>
      <c r="D85" s="82">
        <f>VLOOKUP(D24,$A79:$AE83,3,FALSE)</f>
        <v>2345.1430549012343</v>
      </c>
      <c r="E85" s="82">
        <f>VLOOKUP(E24,$A79:$AE83,4,FALSE)</f>
        <v>2537.8748707914665</v>
      </c>
      <c r="F85" s="82">
        <v>2</v>
      </c>
      <c r="G85" s="82">
        <f>VLOOKUP(G24,$A79:$AE83,4,FALSE)</f>
        <v>2194.8825329107262</v>
      </c>
      <c r="H85" s="82">
        <f>VLOOKUP(H24,$A79:$AE83,7,FALSE)</f>
        <v>2379.7611216659166</v>
      </c>
      <c r="I85" s="82">
        <v>3</v>
      </c>
      <c r="J85" s="82">
        <f>VLOOKUP(J24,$A79:$AE83,7,FALSE)</f>
        <v>2187.0799954601021</v>
      </c>
      <c r="K85" s="82">
        <f>VLOOKUP(K24,$A79:$AE83,10,FALSE)</f>
        <v>2545.6774082420907</v>
      </c>
      <c r="L85" s="82">
        <v>4</v>
      </c>
      <c r="M85" s="82">
        <f>VLOOKUP(M24,$A79:$AE83,10,FALSE)</f>
        <v>2332.1231076564331</v>
      </c>
      <c r="N85" s="82">
        <f>VLOOKUP(N24,$A79:$AE83,13,FALSE)</f>
        <v>2374.3982189708659</v>
      </c>
      <c r="O85" s="82">
        <v>5</v>
      </c>
      <c r="P85" s="82">
        <f>VLOOKUP(P24,$A79:$AE83,13,FALSE)</f>
        <v>2171.2062545018739</v>
      </c>
      <c r="Q85" s="82">
        <f>VLOOKUP(Q24,$A79:$AE83,16,FALSE)</f>
        <v>2503.402296927658</v>
      </c>
      <c r="R85" s="82">
        <v>6</v>
      </c>
      <c r="S85" s="82">
        <f>VLOOKUP(S24,$A79:$AE83,16,FALSE)</f>
        <v>2395.6348626241447</v>
      </c>
      <c r="T85" s="82" t="e">
        <f>VLOOKUP(T24,$A79:$AE83,19,FALSE)</f>
        <v>#N/A</v>
      </c>
      <c r="U85" s="82">
        <v>7</v>
      </c>
      <c r="V85" s="82" t="e">
        <f>VLOOKUP(V24,$A79:$AE83,19,FALSE)</f>
        <v>#N/A</v>
      </c>
      <c r="W85" s="82" t="e">
        <f>VLOOKUP(W24,$A79:$AE83,22,FALSE)</f>
        <v>#N/A</v>
      </c>
      <c r="X85" s="82">
        <v>8</v>
      </c>
      <c r="Y85" s="82" t="e">
        <f>VLOOKUP(Y24,$A79:$AE83,22,FALSE)</f>
        <v>#N/A</v>
      </c>
      <c r="Z85" s="82" t="e">
        <f>VLOOKUP(Z24,$A79:$AE83,25,FALSE)</f>
        <v>#N/A</v>
      </c>
      <c r="AA85" s="82">
        <v>9</v>
      </c>
      <c r="AB85" s="82" t="e">
        <f>VLOOKUP(AB24,$A79:$AE83,25,FALSE)</f>
        <v>#N/A</v>
      </c>
      <c r="AC85" s="82" t="e">
        <f>VLOOKUP(AC24,$A79:$AE83,28,FALSE)</f>
        <v>#N/A</v>
      </c>
      <c r="AD85" s="82">
        <v>10</v>
      </c>
      <c r="AE85" s="82" t="e">
        <f>VLOOKUP(AE24,$A79:$AE83,28,FALSE)</f>
        <v>#N/A</v>
      </c>
      <c r="AF85" s="4"/>
      <c r="AG85" s="95"/>
      <c r="AH85" s="95"/>
      <c r="AI85" s="95"/>
      <c r="AJ85" s="95"/>
      <c r="AK85" s="95"/>
      <c r="AL85" s="95"/>
      <c r="AM85" s="95"/>
      <c r="AN85" s="96"/>
      <c r="AO85" s="96"/>
      <c r="AP85" s="96"/>
      <c r="AQ85" s="96"/>
      <c r="AW85" s="81"/>
      <c r="BB85" s="81"/>
    </row>
    <row r="86" spans="1:54" s="87" customFormat="1" hidden="1" x14ac:dyDescent="0.2">
      <c r="A86" s="83" t="s">
        <v>111</v>
      </c>
      <c r="B86" s="83">
        <f>1/(1+(10^-((B85-D85)/400)))*(B36+D36)</f>
        <v>1.5931266485999633</v>
      </c>
      <c r="C86" s="83"/>
      <c r="D86" s="83">
        <f>1/(1+(10^-((D85-B85)/400)))*(B36+D36)</f>
        <v>1.4068733514000362</v>
      </c>
      <c r="E86" s="83">
        <f>1/(1+(10^-((E85-G85)/400)))*(E36+G36)</f>
        <v>1.7561707046679973</v>
      </c>
      <c r="F86" s="83"/>
      <c r="G86" s="83">
        <f>1/(1+(10^-((G85-E85)/400)))*(E36+G36)</f>
        <v>0.24382929533200293</v>
      </c>
      <c r="H86" s="83">
        <f>1/(1+(10^-((H85-J85)/400)))*(H36+J36)</f>
        <v>1.5039455950553757</v>
      </c>
      <c r="I86" s="83"/>
      <c r="J86" s="83">
        <f>1/(1+(10^-((J85-H85)/400)))*(H36+J36)</f>
        <v>0.49605440494462416</v>
      </c>
      <c r="K86" s="83">
        <f>1/(1+(10^-((K85-M85)/400)))*(K36+M36)</f>
        <v>2.3210972285760216</v>
      </c>
      <c r="L86" s="83"/>
      <c r="M86" s="83">
        <f>1/(1+(10^-((M85-K85)/400)))*(K36+M36)</f>
        <v>0.67890277142397859</v>
      </c>
      <c r="N86" s="83">
        <f>1/(1+(10^-((N85-P85)/400)))*(N36+P36)</f>
        <v>1.5261696277910592</v>
      </c>
      <c r="O86" s="83"/>
      <c r="P86" s="83">
        <f>1/(1+(10^-((P85-N85)/400)))*(N36+P36)</f>
        <v>0.47383037220894092</v>
      </c>
      <c r="Q86" s="83">
        <f>1/(1+(10^-((Q85-S85)/400)))*(Q36+S36)</f>
        <v>1.9509007289882305</v>
      </c>
      <c r="R86" s="83"/>
      <c r="S86" s="83">
        <f>1/(1+(10^-((S85-Q85)/400)))*(Q36+S36)</f>
        <v>1.0490992710117695</v>
      </c>
      <c r="T86" s="83" t="e">
        <f>1/(1+(10^-((T85-V85)/400)))*(T36+V36)</f>
        <v>#N/A</v>
      </c>
      <c r="U86" s="83"/>
      <c r="V86" s="83" t="e">
        <f>1/(1+(10^-((V85-T85)/400)))*(T36+V36)</f>
        <v>#N/A</v>
      </c>
      <c r="W86" s="83" t="e">
        <f>1/(1+(10^-((W85-Y85)/400)))*(W36+Y36)</f>
        <v>#N/A</v>
      </c>
      <c r="X86" s="83"/>
      <c r="Y86" s="83" t="e">
        <f>1/(1+(10^-((Y85-W85)/400)))*(W36+Y36)</f>
        <v>#N/A</v>
      </c>
      <c r="Z86" s="83" t="e">
        <f>1/(1+(10^-((Z85-AB85)/400)))*(Z36+AB36)</f>
        <v>#N/A</v>
      </c>
      <c r="AA86" s="83"/>
      <c r="AB86" s="83" t="e">
        <f>1/(1+(10^-((AB85-Z85)/400)))*(Z36+AB36)</f>
        <v>#N/A</v>
      </c>
      <c r="AC86" s="83" t="e">
        <f>1/(1+(10^-((AC85-AE85)/400)))*(AC36+AE36)</f>
        <v>#N/A</v>
      </c>
      <c r="AD86" s="83"/>
      <c r="AE86" s="83" t="e">
        <f>1/(1+(10^-((AE85-AC85)/400)))*(AC36+AE36)</f>
        <v>#N/A</v>
      </c>
      <c r="AF86" s="84"/>
      <c r="AG86" s="85"/>
      <c r="AH86" s="85"/>
      <c r="AI86" s="85"/>
      <c r="AJ86" s="85"/>
      <c r="AK86" s="85"/>
      <c r="AL86" s="85"/>
      <c r="AM86" s="85"/>
      <c r="AN86" s="86"/>
      <c r="AO86" s="86"/>
      <c r="AP86" s="86"/>
      <c r="AQ86" s="86"/>
      <c r="AW86" s="88"/>
      <c r="BB86" s="88"/>
    </row>
    <row r="87" spans="1:54" s="93" customFormat="1" hidden="1" x14ac:dyDescent="0.2">
      <c r="A87" s="89" t="s">
        <v>112</v>
      </c>
      <c r="B87" s="89">
        <f>B85+(B36-B86)*$BA$1</f>
        <v>2379.7611216659166</v>
      </c>
      <c r="C87" s="89"/>
      <c r="D87" s="89">
        <f>D85+(D36-D86)*$BA$1</f>
        <v>2332.1231076564331</v>
      </c>
      <c r="E87" s="89">
        <f>E85+(E36-E86)*$BA$1</f>
        <v>2545.6774082420907</v>
      </c>
      <c r="F87" s="89"/>
      <c r="G87" s="89">
        <f>G85+(G36-G86)*$BA$1</f>
        <v>2187.0799954601021</v>
      </c>
      <c r="H87" s="89">
        <f>H85+(H36-H86)*$BA$1</f>
        <v>2395.6348626241447</v>
      </c>
      <c r="I87" s="89"/>
      <c r="J87" s="89">
        <f>J85+(J36-J86)*$BA$1</f>
        <v>2171.2062545018739</v>
      </c>
      <c r="K87" s="89">
        <f>K85+(K36-K86)*$BA$1</f>
        <v>2503.402296927658</v>
      </c>
      <c r="L87" s="89"/>
      <c r="M87" s="89">
        <f>M85+(M36-M86)*$BA$1</f>
        <v>2374.3982189708659</v>
      </c>
      <c r="N87" s="89">
        <f>N85+(N36-N86)*$BA$1</f>
        <v>2389.5607908815518</v>
      </c>
      <c r="O87" s="89"/>
      <c r="P87" s="89">
        <f>P85+(P36-P86)*$BA$1</f>
        <v>2156.0436825911879</v>
      </c>
      <c r="Q87" s="89">
        <f>Q85+(Q36-Q86)*$BA$1</f>
        <v>2504.9734736000346</v>
      </c>
      <c r="R87" s="89"/>
      <c r="S87" s="89">
        <f>S85+(S36-S86)*$BA$1</f>
        <v>2394.0636859517681</v>
      </c>
      <c r="T87" s="89" t="e">
        <f>T85+(T36-T86)*$BA$1</f>
        <v>#N/A</v>
      </c>
      <c r="U87" s="89"/>
      <c r="V87" s="89" t="e">
        <f>V85+(V36-V86)*$BA$1</f>
        <v>#N/A</v>
      </c>
      <c r="W87" s="89" t="e">
        <f>W85+(W36-W86)*$BA$1</f>
        <v>#N/A</v>
      </c>
      <c r="X87" s="89"/>
      <c r="Y87" s="89" t="e">
        <f>Y85+(Y36-Y86)*$BA$1</f>
        <v>#N/A</v>
      </c>
      <c r="Z87" s="89" t="e">
        <f>Z85+(Z36-Z86)*$BA$1</f>
        <v>#N/A</v>
      </c>
      <c r="AA87" s="89"/>
      <c r="AB87" s="89" t="e">
        <f>AB85+(AB36-AB86)*$BA$1</f>
        <v>#N/A</v>
      </c>
      <c r="AC87" s="89" t="e">
        <f>AC85+(AC36-AC86)*$BA$1</f>
        <v>#N/A</v>
      </c>
      <c r="AD87" s="89"/>
      <c r="AE87" s="89" t="e">
        <f>AE85+(AE36-AE86)*$BA$1</f>
        <v>#N/A</v>
      </c>
      <c r="AF87" s="90"/>
      <c r="AG87" s="91"/>
      <c r="AH87" s="91"/>
      <c r="AI87" s="91"/>
      <c r="AJ87" s="91"/>
      <c r="AK87" s="91"/>
      <c r="AL87" s="91"/>
      <c r="AM87" s="91"/>
      <c r="AN87" s="92"/>
      <c r="AO87" s="92"/>
      <c r="AP87" s="92"/>
      <c r="AQ87" s="92"/>
      <c r="AW87" s="94"/>
      <c r="BB87" s="94"/>
    </row>
    <row r="88" spans="1:54" s="93" customFormat="1" hidden="1" x14ac:dyDescent="0.2">
      <c r="A88" s="89"/>
      <c r="B88" s="89"/>
      <c r="C88" s="89"/>
      <c r="D88" s="89"/>
      <c r="E88" s="89"/>
      <c r="F88" s="89"/>
      <c r="G88" s="89"/>
      <c r="H88" s="89"/>
      <c r="I88" s="89"/>
      <c r="J88" s="89"/>
      <c r="K88" s="89"/>
      <c r="L88" s="89"/>
      <c r="M88" s="89"/>
      <c r="N88" s="89"/>
      <c r="O88" s="89"/>
      <c r="P88" s="89"/>
      <c r="Q88" s="89"/>
      <c r="R88" s="89"/>
      <c r="S88" s="89"/>
      <c r="T88" s="89"/>
      <c r="U88" s="89"/>
      <c r="V88" s="89"/>
      <c r="W88" s="89"/>
      <c r="X88" s="89"/>
      <c r="Y88" s="89"/>
      <c r="Z88" s="89"/>
      <c r="AA88" s="89"/>
      <c r="AB88" s="89"/>
      <c r="AC88" s="89"/>
      <c r="AD88" s="89"/>
      <c r="AE88" s="89"/>
      <c r="AF88" s="90"/>
      <c r="AG88" s="91"/>
      <c r="AH88" s="91"/>
      <c r="AI88" s="91"/>
      <c r="AJ88" s="91"/>
      <c r="AK88" s="91"/>
      <c r="AL88" s="91"/>
      <c r="AM88" s="91"/>
      <c r="AN88" s="92"/>
      <c r="AO88" s="92"/>
      <c r="AP88" s="92"/>
      <c r="AQ88" s="92"/>
      <c r="AW88" s="94"/>
      <c r="BB88" s="94"/>
    </row>
    <row r="89" spans="1:54" s="77" customFormat="1" x14ac:dyDescent="0.2">
      <c r="A89" s="281" t="str">
        <f>IF($AK10=1,"Pool Tiereaker : 1) Matches Won vs Lost (if 3 way tie then #4)  2) Head to Head  3) Game Win %  4) Total Pool Net Points  5) Flip a Coin","Pool Tiebreaker : 1) Games Won vs Lost (if 3 way tie then #5)  2) Head to Head  3) Head to Head Net Points  4) Game Win %  5) Total Pool Net Points  6) Flip a Coin")</f>
        <v>Pool Tiereaker : 1) Matches Won vs Lost (if 3 way tie then #4)  2) Head to Head  3) Game Win %  4) Total Pool Net Points  5) Flip a Coin</v>
      </c>
      <c r="B89" s="281"/>
      <c r="C89" s="281"/>
      <c r="D89" s="281"/>
      <c r="E89" s="281"/>
      <c r="F89" s="281"/>
      <c r="G89" s="281"/>
      <c r="H89" s="281"/>
      <c r="I89" s="281"/>
      <c r="J89" s="281"/>
      <c r="K89" s="281"/>
      <c r="L89" s="281"/>
      <c r="M89" s="281"/>
      <c r="N89" s="281"/>
      <c r="O89" s="281"/>
      <c r="P89" s="281"/>
      <c r="Q89" s="281"/>
      <c r="R89" s="281"/>
      <c r="S89" s="281"/>
      <c r="T89" s="281"/>
      <c r="U89" s="281"/>
      <c r="V89" s="281"/>
      <c r="W89" s="281"/>
      <c r="X89" s="281"/>
      <c r="Y89" s="281"/>
      <c r="Z89" s="281"/>
      <c r="AA89" s="281"/>
      <c r="AB89" s="281"/>
      <c r="AC89" s="281"/>
      <c r="AD89" s="281"/>
      <c r="AE89" s="281"/>
      <c r="AF89" s="281"/>
      <c r="AG89" s="281"/>
      <c r="AH89" s="281"/>
      <c r="AI89" s="281"/>
      <c r="AJ89" s="281"/>
      <c r="AK89" s="281"/>
      <c r="AL89" s="281"/>
      <c r="AM89" s="281"/>
      <c r="AN89" s="259"/>
      <c r="AO89" s="259"/>
      <c r="AP89" s="259"/>
      <c r="AQ89" s="259"/>
      <c r="AW89" s="81"/>
    </row>
    <row r="90" spans="1:54" s="77" customFormat="1" ht="13.5" thickBot="1" x14ac:dyDescent="0.25">
      <c r="A90" s="282"/>
      <c r="B90" s="282"/>
      <c r="C90" s="282"/>
      <c r="D90" s="282"/>
      <c r="E90" s="282"/>
      <c r="F90" s="282"/>
      <c r="G90" s="282"/>
      <c r="H90" s="282"/>
      <c r="I90" s="282"/>
      <c r="J90" s="282"/>
      <c r="K90" s="282"/>
      <c r="L90" s="282"/>
      <c r="M90" s="282"/>
      <c r="N90" s="282"/>
      <c r="O90" s="282"/>
      <c r="P90" s="282"/>
      <c r="Q90" s="282"/>
      <c r="R90" s="282"/>
      <c r="S90" s="282"/>
      <c r="T90" s="282"/>
      <c r="U90" s="282"/>
      <c r="V90" s="282"/>
      <c r="W90" s="282"/>
      <c r="X90" s="282"/>
      <c r="Y90" s="282"/>
      <c r="Z90" s="282"/>
      <c r="AA90" s="282"/>
      <c r="AB90" s="282"/>
      <c r="AC90" s="282"/>
      <c r="AD90" s="282"/>
      <c r="AE90" s="282"/>
      <c r="AF90" s="282"/>
      <c r="AG90" s="282"/>
      <c r="AH90" s="282"/>
      <c r="AI90" s="282"/>
      <c r="AJ90" s="282"/>
      <c r="AK90" s="282"/>
      <c r="AL90" s="282"/>
      <c r="AM90" s="282"/>
      <c r="AN90" s="282"/>
      <c r="AO90" s="282"/>
      <c r="AP90" s="282"/>
      <c r="AQ90" s="282"/>
      <c r="AT90" s="4"/>
      <c r="AU90" s="4"/>
      <c r="AV90" s="4"/>
      <c r="AW90" s="81"/>
    </row>
    <row r="91" spans="1:54" ht="24" customHeight="1" thickBot="1" x14ac:dyDescent="0.25">
      <c r="A91" s="27" t="s">
        <v>34</v>
      </c>
      <c r="B91" s="28" t="s">
        <v>113</v>
      </c>
      <c r="C91" s="353" t="s">
        <v>36</v>
      </c>
      <c r="D91" s="354"/>
      <c r="E91" s="354"/>
      <c r="F91" s="354"/>
      <c r="G91" s="354"/>
      <c r="H91" s="355"/>
      <c r="I91" s="356">
        <v>2</v>
      </c>
      <c r="J91" s="357"/>
      <c r="K91" s="358" t="str">
        <f>"Pool "&amp;B91&amp;" - Round 1 - Court "&amp;I91</f>
        <v>Pool B - Round 1 - Court 2</v>
      </c>
      <c r="L91" s="359"/>
      <c r="M91" s="359"/>
      <c r="N91" s="359"/>
      <c r="O91" s="359"/>
      <c r="P91" s="359"/>
      <c r="Q91" s="359"/>
      <c r="R91" s="359"/>
      <c r="S91" s="359"/>
      <c r="T91" s="359"/>
      <c r="U91" s="359"/>
      <c r="V91" s="359"/>
      <c r="W91" s="359"/>
      <c r="X91" s="359"/>
      <c r="Y91" s="359"/>
      <c r="Z91" s="359"/>
      <c r="AA91" s="359"/>
      <c r="AB91" s="359"/>
      <c r="AC91" s="359"/>
      <c r="AD91" s="359"/>
      <c r="AE91" s="359"/>
      <c r="AF91" s="359"/>
      <c r="AG91" s="359"/>
      <c r="AH91" s="359"/>
      <c r="AI91" s="360"/>
      <c r="AJ91" s="8"/>
      <c r="AK91" s="8"/>
      <c r="AL91" s="8"/>
      <c r="AM91" s="8"/>
      <c r="AN91" s="8"/>
      <c r="AO91" s="8"/>
      <c r="AP91" s="8"/>
      <c r="AQ91" s="8"/>
    </row>
    <row r="92" spans="1:54" ht="27" customHeight="1" thickBot="1" x14ac:dyDescent="0.25">
      <c r="A92" s="29" t="s">
        <v>39</v>
      </c>
      <c r="B92" s="361" t="s">
        <v>10</v>
      </c>
      <c r="C92" s="362"/>
      <c r="D92" s="362"/>
      <c r="E92" s="362"/>
      <c r="F92" s="362"/>
      <c r="G92" s="362"/>
      <c r="H92" s="362"/>
      <c r="I92" s="362"/>
      <c r="J92" s="362"/>
      <c r="K92" s="362"/>
      <c r="L92" s="361" t="str">
        <f>IF($AK95=0,"Games Won","Matches Won")</f>
        <v>Matches Won</v>
      </c>
      <c r="M92" s="362"/>
      <c r="N92" s="362"/>
      <c r="O92" s="362"/>
      <c r="P92" s="362"/>
      <c r="Q92" s="363"/>
      <c r="R92" s="361" t="str">
        <f>IF($AK95=0,"Games Lost","Matches Lost")</f>
        <v>Matches Lost</v>
      </c>
      <c r="S92" s="364"/>
      <c r="T92" s="364"/>
      <c r="U92" s="364"/>
      <c r="V92" s="365"/>
      <c r="W92" s="366" t="s">
        <v>40</v>
      </c>
      <c r="X92" s="367"/>
      <c r="Y92" s="368"/>
      <c r="Z92" s="366" t="s">
        <v>41</v>
      </c>
      <c r="AA92" s="367"/>
      <c r="AB92" s="368"/>
      <c r="AC92" s="369" t="s">
        <v>42</v>
      </c>
      <c r="AD92" s="370"/>
      <c r="AE92" s="371"/>
      <c r="AF92" s="30" t="s">
        <v>43</v>
      </c>
      <c r="AG92" s="31" t="s">
        <v>9</v>
      </c>
      <c r="AH92" s="351" t="s">
        <v>44</v>
      </c>
      <c r="AI92" s="352"/>
      <c r="AJ92" s="32"/>
      <c r="AK92" s="33">
        <v>3</v>
      </c>
      <c r="AL92" s="34" t="s">
        <v>45</v>
      </c>
      <c r="AM92" s="34"/>
      <c r="AN92" s="34"/>
      <c r="AO92" s="34"/>
      <c r="AP92" s="34"/>
      <c r="AQ92" s="34"/>
      <c r="AR92" s="35"/>
    </row>
    <row r="93" spans="1:54" ht="18.75" customHeight="1" x14ac:dyDescent="0.2">
      <c r="A93" s="320" t="str">
        <f>IF($AK94&gt;0,"1","")</f>
        <v>1</v>
      </c>
      <c r="B93" s="348" t="s">
        <v>10</v>
      </c>
      <c r="C93" s="349"/>
      <c r="D93" s="350"/>
      <c r="E93" s="324" t="str">
        <f>AU4</f>
        <v>CSRA Heat 15 National</v>
      </c>
      <c r="F93" s="325"/>
      <c r="G93" s="325"/>
      <c r="H93" s="325"/>
      <c r="I93" s="325"/>
      <c r="J93" s="325"/>
      <c r="K93" s="326"/>
      <c r="L93" s="327">
        <f>IF($AK95=0,AF149,AF131)</f>
        <v>3</v>
      </c>
      <c r="M93" s="328"/>
      <c r="N93" s="328"/>
      <c r="O93" s="328"/>
      <c r="P93" s="328"/>
      <c r="Q93" s="363"/>
      <c r="R93" s="327">
        <f>IF($AK95=0,AG149,AG131)</f>
        <v>0</v>
      </c>
      <c r="S93" s="328"/>
      <c r="T93" s="328"/>
      <c r="U93" s="328"/>
      <c r="V93" s="328"/>
      <c r="W93" s="327">
        <f>AQ109</f>
        <v>35</v>
      </c>
      <c r="X93" s="328"/>
      <c r="Y93" s="328"/>
      <c r="Z93" s="300">
        <f>IF(AF143&gt;0,(AQ109/AF143),0)</f>
        <v>0.23333333333333334</v>
      </c>
      <c r="AA93" s="301"/>
      <c r="AB93" s="301"/>
      <c r="AC93" s="304">
        <f>IF(AF157=0,0,(AF149/AF157))</f>
        <v>1</v>
      </c>
      <c r="AD93" s="305"/>
      <c r="AE93" s="306"/>
      <c r="AF93" s="310">
        <v>1</v>
      </c>
      <c r="AG93" s="310">
        <v>1</v>
      </c>
      <c r="AH93" s="312"/>
      <c r="AI93" s="313"/>
      <c r="AJ93" s="32"/>
      <c r="AK93" s="33">
        <v>6</v>
      </c>
      <c r="AL93" s="34" t="s">
        <v>48</v>
      </c>
      <c r="AM93" s="34"/>
      <c r="AN93" s="34"/>
      <c r="AO93" s="34"/>
      <c r="AP93" s="34"/>
      <c r="AQ93" s="34"/>
      <c r="AR93" s="35"/>
    </row>
    <row r="94" spans="1:54" ht="18.75" customHeight="1" thickBot="1" x14ac:dyDescent="0.25">
      <c r="A94" s="321"/>
      <c r="B94" s="345" t="s">
        <v>11</v>
      </c>
      <c r="C94" s="346"/>
      <c r="D94" s="347"/>
      <c r="E94" s="341" t="str">
        <f>AV4</f>
        <v>fj5csrah1pm</v>
      </c>
      <c r="F94" s="342"/>
      <c r="G94" s="342"/>
      <c r="H94" s="342"/>
      <c r="I94" s="342"/>
      <c r="J94" s="342"/>
      <c r="K94" s="342"/>
      <c r="L94" s="343"/>
      <c r="M94" s="344"/>
      <c r="N94" s="344"/>
      <c r="O94" s="344"/>
      <c r="P94" s="344"/>
      <c r="Q94" s="363"/>
      <c r="R94" s="343"/>
      <c r="S94" s="344"/>
      <c r="T94" s="344"/>
      <c r="U94" s="344"/>
      <c r="V94" s="344"/>
      <c r="W94" s="343"/>
      <c r="X94" s="344"/>
      <c r="Y94" s="344"/>
      <c r="Z94" s="331"/>
      <c r="AA94" s="332"/>
      <c r="AB94" s="332"/>
      <c r="AC94" s="333"/>
      <c r="AD94" s="334"/>
      <c r="AE94" s="335"/>
      <c r="AF94" s="336"/>
      <c r="AG94" s="336"/>
      <c r="AH94" s="337"/>
      <c r="AI94" s="338"/>
      <c r="AJ94" s="32"/>
      <c r="AK94" s="33">
        <v>4</v>
      </c>
      <c r="AL94" s="34" t="s">
        <v>51</v>
      </c>
      <c r="AM94" s="32"/>
      <c r="AN94" s="32"/>
      <c r="AO94" s="32"/>
      <c r="AP94" s="32"/>
      <c r="AQ94" s="32"/>
      <c r="AR94" s="3"/>
    </row>
    <row r="95" spans="1:54" ht="18.75" customHeight="1" x14ac:dyDescent="0.2">
      <c r="A95" s="320" t="str">
        <f>IF($AK94&gt;1,"2","")</f>
        <v>2</v>
      </c>
      <c r="B95" s="348" t="s">
        <v>10</v>
      </c>
      <c r="C95" s="349"/>
      <c r="D95" s="350"/>
      <c r="E95" s="324" t="str">
        <f>AU9</f>
        <v>Magnum 15 Elite</v>
      </c>
      <c r="F95" s="325"/>
      <c r="G95" s="325"/>
      <c r="H95" s="325"/>
      <c r="I95" s="325"/>
      <c r="J95" s="325"/>
      <c r="K95" s="326"/>
      <c r="L95" s="327">
        <f>IF($AK95=0,AF150,AF132)</f>
        <v>2</v>
      </c>
      <c r="M95" s="328"/>
      <c r="N95" s="328"/>
      <c r="O95" s="328"/>
      <c r="P95" s="328"/>
      <c r="Q95" s="363"/>
      <c r="R95" s="327">
        <f>IF($AK95=0,AG150,AG132)</f>
        <v>1</v>
      </c>
      <c r="S95" s="328"/>
      <c r="T95" s="328"/>
      <c r="U95" s="328"/>
      <c r="V95" s="328"/>
      <c r="W95" s="327">
        <f>AQ110</f>
        <v>33</v>
      </c>
      <c r="X95" s="328"/>
      <c r="Y95" s="328"/>
      <c r="Z95" s="300">
        <f>IF(AF144&gt;0,(AQ110/AF144),0)</f>
        <v>0.22</v>
      </c>
      <c r="AA95" s="301"/>
      <c r="AB95" s="301"/>
      <c r="AC95" s="304">
        <f>IF(AF158=0,0,(AF150/AF158))</f>
        <v>0.66666666666666663</v>
      </c>
      <c r="AD95" s="305"/>
      <c r="AE95" s="306"/>
      <c r="AF95" s="310">
        <v>2</v>
      </c>
      <c r="AG95" s="310">
        <v>1</v>
      </c>
      <c r="AH95" s="312"/>
      <c r="AI95" s="313"/>
      <c r="AJ95" s="32"/>
      <c r="AK95" s="33">
        <v>1</v>
      </c>
      <c r="AL95" s="34" t="s">
        <v>54</v>
      </c>
      <c r="AM95" s="34"/>
      <c r="AN95" s="34"/>
      <c r="AO95" s="34"/>
      <c r="AP95" s="34"/>
      <c r="AQ95" s="34"/>
      <c r="AR95" s="35"/>
    </row>
    <row r="96" spans="1:54" ht="18.75" customHeight="1" thickBot="1" x14ac:dyDescent="0.25">
      <c r="A96" s="321"/>
      <c r="B96" s="339" t="s">
        <v>11</v>
      </c>
      <c r="C96" s="340"/>
      <c r="D96" s="340"/>
      <c r="E96" s="341" t="str">
        <f>AV9</f>
        <v>fj5magnm2pm</v>
      </c>
      <c r="F96" s="342"/>
      <c r="G96" s="342"/>
      <c r="H96" s="342"/>
      <c r="I96" s="342"/>
      <c r="J96" s="342"/>
      <c r="K96" s="342"/>
      <c r="L96" s="343"/>
      <c r="M96" s="344"/>
      <c r="N96" s="344"/>
      <c r="O96" s="344"/>
      <c r="P96" s="344"/>
      <c r="Q96" s="363"/>
      <c r="R96" s="343"/>
      <c r="S96" s="344"/>
      <c r="T96" s="344"/>
      <c r="U96" s="344"/>
      <c r="V96" s="344"/>
      <c r="W96" s="343"/>
      <c r="X96" s="344"/>
      <c r="Y96" s="344"/>
      <c r="Z96" s="331"/>
      <c r="AA96" s="332"/>
      <c r="AB96" s="332"/>
      <c r="AC96" s="333"/>
      <c r="AD96" s="334"/>
      <c r="AE96" s="335"/>
      <c r="AF96" s="336"/>
      <c r="AG96" s="336"/>
      <c r="AH96" s="337"/>
      <c r="AI96" s="338"/>
      <c r="AJ96" s="32"/>
      <c r="AK96" s="33">
        <v>1</v>
      </c>
      <c r="AL96" s="34" t="s">
        <v>56</v>
      </c>
      <c r="AM96" s="32"/>
      <c r="AN96" s="32"/>
      <c r="AO96" s="32"/>
      <c r="AP96" s="32"/>
      <c r="AQ96" s="32"/>
      <c r="AR96" s="3"/>
    </row>
    <row r="97" spans="1:44" ht="18.75" customHeight="1" x14ac:dyDescent="0.2">
      <c r="A97" s="320" t="str">
        <f>IF($AK94&gt;2,"3","")</f>
        <v>3</v>
      </c>
      <c r="B97" s="322" t="s">
        <v>10</v>
      </c>
      <c r="C97" s="323"/>
      <c r="D97" s="323"/>
      <c r="E97" s="324" t="str">
        <f>AU12</f>
        <v>Beaufort 15 Pink</v>
      </c>
      <c r="F97" s="325"/>
      <c r="G97" s="325"/>
      <c r="H97" s="325"/>
      <c r="I97" s="325"/>
      <c r="J97" s="325"/>
      <c r="K97" s="326"/>
      <c r="L97" s="327">
        <f>IF($AK95=0,AF151,AF133)</f>
        <v>1</v>
      </c>
      <c r="M97" s="328"/>
      <c r="N97" s="328"/>
      <c r="O97" s="328"/>
      <c r="P97" s="328"/>
      <c r="Q97" s="363"/>
      <c r="R97" s="327">
        <f>IF($AK95=0,AG151,AG133)</f>
        <v>2</v>
      </c>
      <c r="S97" s="328"/>
      <c r="T97" s="328"/>
      <c r="U97" s="328"/>
      <c r="V97" s="328"/>
      <c r="W97" s="327">
        <f>AQ111</f>
        <v>-35</v>
      </c>
      <c r="X97" s="328"/>
      <c r="Y97" s="328"/>
      <c r="Z97" s="300">
        <f>IF(AF145&gt;0,(AQ111/AF145),0)</f>
        <v>-0.23333333333333334</v>
      </c>
      <c r="AA97" s="301"/>
      <c r="AB97" s="301"/>
      <c r="AC97" s="304">
        <f>IF(AF159=0,0,(AF151/AF159))</f>
        <v>0.33333333333333331</v>
      </c>
      <c r="AD97" s="305"/>
      <c r="AE97" s="306"/>
      <c r="AF97" s="310">
        <v>3</v>
      </c>
      <c r="AG97" s="310">
        <v>1</v>
      </c>
      <c r="AH97" s="312"/>
      <c r="AI97" s="313"/>
      <c r="AJ97" s="43"/>
      <c r="AK97" s="33">
        <v>3</v>
      </c>
      <c r="AL97" s="44" t="s">
        <v>57</v>
      </c>
      <c r="AM97" s="34"/>
      <c r="AN97" s="34"/>
      <c r="AO97" s="34"/>
      <c r="AP97" s="34"/>
      <c r="AQ97" s="34"/>
      <c r="AR97" s="35"/>
    </row>
    <row r="98" spans="1:44" ht="18.75" customHeight="1" thickBot="1" x14ac:dyDescent="0.25">
      <c r="A98" s="321"/>
      <c r="B98" s="339" t="s">
        <v>11</v>
      </c>
      <c r="C98" s="340"/>
      <c r="D98" s="340"/>
      <c r="E98" s="341" t="str">
        <f>AV12</f>
        <v>fj5beauf2pm</v>
      </c>
      <c r="F98" s="342"/>
      <c r="G98" s="342"/>
      <c r="H98" s="342"/>
      <c r="I98" s="342"/>
      <c r="J98" s="342"/>
      <c r="K98" s="342"/>
      <c r="L98" s="343"/>
      <c r="M98" s="344"/>
      <c r="N98" s="344"/>
      <c r="O98" s="344"/>
      <c r="P98" s="344"/>
      <c r="Q98" s="363"/>
      <c r="R98" s="343"/>
      <c r="S98" s="344"/>
      <c r="T98" s="344"/>
      <c r="U98" s="344"/>
      <c r="V98" s="344"/>
      <c r="W98" s="343"/>
      <c r="X98" s="344"/>
      <c r="Y98" s="344"/>
      <c r="Z98" s="331"/>
      <c r="AA98" s="332"/>
      <c r="AB98" s="332"/>
      <c r="AC98" s="333"/>
      <c r="AD98" s="334"/>
      <c r="AE98" s="335"/>
      <c r="AF98" s="336"/>
      <c r="AG98" s="336"/>
      <c r="AH98" s="337"/>
      <c r="AI98" s="338"/>
      <c r="AJ98" s="43"/>
      <c r="AK98" s="51"/>
      <c r="AL98" s="52"/>
      <c r="AM98" s="52"/>
      <c r="AN98" s="52"/>
      <c r="AO98" s="52"/>
      <c r="AP98" s="52"/>
      <c r="AQ98" s="32"/>
      <c r="AR98" s="3"/>
    </row>
    <row r="99" spans="1:44" ht="18.75" customHeight="1" x14ac:dyDescent="0.2">
      <c r="A99" s="320" t="str">
        <f>IF($AK94&gt;3,"4","")</f>
        <v>4</v>
      </c>
      <c r="B99" s="322" t="s">
        <v>10</v>
      </c>
      <c r="C99" s="323"/>
      <c r="D99" s="323"/>
      <c r="E99" s="324" t="str">
        <f>AU17</f>
        <v>SC Midlands 15 Perf</v>
      </c>
      <c r="F99" s="325"/>
      <c r="G99" s="325"/>
      <c r="H99" s="325"/>
      <c r="I99" s="325"/>
      <c r="J99" s="325"/>
      <c r="K99" s="326"/>
      <c r="L99" s="327">
        <f>IF($AK95=0,AF152,AF134)</f>
        <v>0</v>
      </c>
      <c r="M99" s="328"/>
      <c r="N99" s="328"/>
      <c r="O99" s="328"/>
      <c r="P99" s="328"/>
      <c r="Q99" s="363"/>
      <c r="R99" s="327">
        <f>IF($AK95=0,AG152,AG134)</f>
        <v>3</v>
      </c>
      <c r="S99" s="328"/>
      <c r="T99" s="328"/>
      <c r="U99" s="328"/>
      <c r="V99" s="328"/>
      <c r="W99" s="327">
        <f>AQ112</f>
        <v>-33</v>
      </c>
      <c r="X99" s="328"/>
      <c r="Y99" s="328"/>
      <c r="Z99" s="300">
        <f>IF(AF146&gt;0,(AQ112/AF146),0)</f>
        <v>-0.22</v>
      </c>
      <c r="AA99" s="301"/>
      <c r="AB99" s="301"/>
      <c r="AC99" s="304">
        <f>IF(AF160=0,0,(AF152/AF160))</f>
        <v>0</v>
      </c>
      <c r="AD99" s="305"/>
      <c r="AE99" s="306"/>
      <c r="AF99" s="310">
        <v>4</v>
      </c>
      <c r="AG99" s="310">
        <v>1</v>
      </c>
      <c r="AH99" s="312"/>
      <c r="AI99" s="313"/>
      <c r="AJ99" s="8"/>
      <c r="AK99" s="52"/>
      <c r="AL99" s="52"/>
      <c r="AM99" s="52"/>
      <c r="AN99" s="52"/>
      <c r="AO99" s="52"/>
      <c r="AP99" s="52"/>
      <c r="AQ99" s="34"/>
      <c r="AR99" s="35"/>
    </row>
    <row r="100" spans="1:44" ht="18.75" customHeight="1" thickBot="1" x14ac:dyDescent="0.25">
      <c r="A100" s="321"/>
      <c r="B100" s="339" t="s">
        <v>11</v>
      </c>
      <c r="C100" s="340"/>
      <c r="D100" s="340"/>
      <c r="E100" s="341" t="str">
        <f>AV17</f>
        <v>fj5scmid2pm</v>
      </c>
      <c r="F100" s="342"/>
      <c r="G100" s="342"/>
      <c r="H100" s="342"/>
      <c r="I100" s="342"/>
      <c r="J100" s="342"/>
      <c r="K100" s="342"/>
      <c r="L100" s="343"/>
      <c r="M100" s="344"/>
      <c r="N100" s="344"/>
      <c r="O100" s="344"/>
      <c r="P100" s="344"/>
      <c r="Q100" s="363"/>
      <c r="R100" s="343"/>
      <c r="S100" s="344"/>
      <c r="T100" s="344"/>
      <c r="U100" s="344"/>
      <c r="V100" s="344"/>
      <c r="W100" s="343"/>
      <c r="X100" s="344"/>
      <c r="Y100" s="344"/>
      <c r="Z100" s="331"/>
      <c r="AA100" s="332"/>
      <c r="AB100" s="332"/>
      <c r="AC100" s="333"/>
      <c r="AD100" s="334"/>
      <c r="AE100" s="335"/>
      <c r="AF100" s="336"/>
      <c r="AG100" s="336"/>
      <c r="AH100" s="337"/>
      <c r="AI100" s="338"/>
      <c r="AJ100" s="8"/>
      <c r="AK100" s="52"/>
      <c r="AL100" s="52"/>
      <c r="AM100" s="52"/>
      <c r="AN100" s="52"/>
      <c r="AO100" s="52"/>
      <c r="AP100" s="52"/>
      <c r="AQ100" s="8"/>
      <c r="AR100" s="3"/>
    </row>
    <row r="101" spans="1:44" ht="18.75" customHeight="1" x14ac:dyDescent="0.2">
      <c r="A101" s="320" t="str">
        <f>IF($AK94&gt;4,"5","")</f>
        <v/>
      </c>
      <c r="B101" s="322" t="s">
        <v>10</v>
      </c>
      <c r="C101" s="323"/>
      <c r="D101" s="323"/>
      <c r="E101" s="427">
        <f>AU20</f>
        <v>0</v>
      </c>
      <c r="F101" s="428"/>
      <c r="G101" s="428"/>
      <c r="H101" s="428"/>
      <c r="I101" s="428"/>
      <c r="J101" s="428"/>
      <c r="K101" s="429"/>
      <c r="L101" s="327">
        <f>IF($AK95=0,AF153,AF135)</f>
        <v>0</v>
      </c>
      <c r="M101" s="328"/>
      <c r="N101" s="328"/>
      <c r="O101" s="328"/>
      <c r="P101" s="328"/>
      <c r="Q101" s="363"/>
      <c r="R101" s="327">
        <f>IF($AK95=0,AG153,AG135)</f>
        <v>0</v>
      </c>
      <c r="S101" s="328"/>
      <c r="T101" s="328"/>
      <c r="U101" s="328"/>
      <c r="V101" s="328"/>
      <c r="W101" s="327">
        <f>AQ113</f>
        <v>0</v>
      </c>
      <c r="X101" s="328"/>
      <c r="Y101" s="328"/>
      <c r="Z101" s="300">
        <f>IF(AF147&gt;0,(AQ113/AF147),0)</f>
        <v>0</v>
      </c>
      <c r="AA101" s="301"/>
      <c r="AB101" s="301"/>
      <c r="AC101" s="304">
        <f>IF(AF161=0,0,(AF153/AF161))</f>
        <v>0</v>
      </c>
      <c r="AD101" s="305"/>
      <c r="AE101" s="306"/>
      <c r="AF101" s="310"/>
      <c r="AG101" s="310"/>
      <c r="AH101" s="312"/>
      <c r="AI101" s="313"/>
      <c r="AJ101" s="8"/>
      <c r="AK101" s="52"/>
      <c r="AL101" s="52"/>
      <c r="AM101" s="52"/>
      <c r="AN101" s="52"/>
      <c r="AO101" s="52"/>
      <c r="AP101" s="52"/>
      <c r="AQ101" s="8"/>
      <c r="AR101" s="3"/>
    </row>
    <row r="102" spans="1:44" ht="18.75" customHeight="1" thickBot="1" x14ac:dyDescent="0.25">
      <c r="A102" s="321"/>
      <c r="B102" s="316" t="s">
        <v>11</v>
      </c>
      <c r="C102" s="317"/>
      <c r="D102" s="317"/>
      <c r="E102" s="430">
        <f>AV20</f>
        <v>0</v>
      </c>
      <c r="F102" s="431"/>
      <c r="G102" s="431"/>
      <c r="H102" s="431"/>
      <c r="I102" s="431"/>
      <c r="J102" s="431"/>
      <c r="K102" s="431"/>
      <c r="L102" s="329"/>
      <c r="M102" s="330"/>
      <c r="N102" s="330"/>
      <c r="O102" s="330"/>
      <c r="P102" s="330"/>
      <c r="Q102" s="363"/>
      <c r="R102" s="329"/>
      <c r="S102" s="330"/>
      <c r="T102" s="330"/>
      <c r="U102" s="330"/>
      <c r="V102" s="330"/>
      <c r="W102" s="329"/>
      <c r="X102" s="330"/>
      <c r="Y102" s="330"/>
      <c r="Z102" s="302"/>
      <c r="AA102" s="303"/>
      <c r="AB102" s="303"/>
      <c r="AC102" s="307"/>
      <c r="AD102" s="308"/>
      <c r="AE102" s="309"/>
      <c r="AF102" s="311"/>
      <c r="AG102" s="311"/>
      <c r="AH102" s="314"/>
      <c r="AI102" s="315"/>
      <c r="AJ102" s="8"/>
      <c r="AK102" s="52"/>
      <c r="AL102" s="52"/>
      <c r="AM102" s="52"/>
      <c r="AN102" s="52"/>
      <c r="AO102" s="52"/>
      <c r="AP102" s="52"/>
      <c r="AQ102" s="8"/>
      <c r="AR102" s="3"/>
    </row>
    <row r="103" spans="1:44" ht="21" customHeight="1" thickTop="1" thickBot="1" x14ac:dyDescent="0.25">
      <c r="A103" s="55"/>
      <c r="B103" s="297" t="s">
        <v>207</v>
      </c>
      <c r="C103" s="298"/>
      <c r="D103" s="298"/>
      <c r="E103" s="298"/>
      <c r="F103" s="298"/>
      <c r="G103" s="298"/>
      <c r="H103" s="298"/>
      <c r="I103" s="298"/>
      <c r="J103" s="298"/>
      <c r="K103" s="298"/>
      <c r="L103" s="298"/>
      <c r="M103" s="298"/>
      <c r="N103" s="298"/>
      <c r="O103" s="298"/>
      <c r="P103" s="298"/>
      <c r="Q103" s="298"/>
      <c r="R103" s="298"/>
      <c r="S103" s="298"/>
      <c r="T103" s="298"/>
      <c r="U103" s="298"/>
      <c r="V103" s="298"/>
      <c r="W103" s="298"/>
      <c r="X103" s="298"/>
      <c r="Y103" s="298"/>
      <c r="Z103" s="298"/>
      <c r="AA103" s="298"/>
      <c r="AB103" s="298"/>
      <c r="AC103" s="298"/>
      <c r="AD103" s="298"/>
      <c r="AE103" s="298"/>
      <c r="AF103" s="298"/>
      <c r="AG103" s="298"/>
      <c r="AH103" s="298"/>
      <c r="AI103" s="299"/>
      <c r="AJ103" s="8"/>
      <c r="AK103" s="52"/>
      <c r="AL103" s="52"/>
      <c r="AM103" s="52"/>
      <c r="AN103" s="52"/>
      <c r="AO103" s="52"/>
      <c r="AP103" s="52"/>
      <c r="AQ103" s="8"/>
      <c r="AR103" s="3"/>
    </row>
    <row r="104" spans="1:44" ht="13.5" thickTop="1" x14ac:dyDescent="0.2">
      <c r="A104" s="4" t="s">
        <v>60</v>
      </c>
      <c r="B104" s="286">
        <v>0.35416666666666669</v>
      </c>
      <c r="C104" s="287"/>
      <c r="D104" s="288"/>
      <c r="E104" s="286">
        <v>0.39583333333333331</v>
      </c>
      <c r="F104" s="287"/>
      <c r="G104" s="288"/>
      <c r="H104" s="286">
        <v>0.4375</v>
      </c>
      <c r="I104" s="287"/>
      <c r="J104" s="288"/>
      <c r="K104" s="286">
        <v>0.47916666666666669</v>
      </c>
      <c r="L104" s="287"/>
      <c r="M104" s="288"/>
      <c r="N104" s="286">
        <v>0.52083333333333337</v>
      </c>
      <c r="O104" s="287"/>
      <c r="P104" s="288"/>
      <c r="Q104" s="286">
        <v>6.25E-2</v>
      </c>
      <c r="R104" s="287"/>
      <c r="S104" s="288"/>
      <c r="T104" s="286"/>
      <c r="U104" s="287"/>
      <c r="V104" s="288"/>
      <c r="W104" s="286"/>
      <c r="X104" s="287"/>
      <c r="Y104" s="288"/>
      <c r="Z104" s="286"/>
      <c r="AA104" s="287"/>
      <c r="AB104" s="288"/>
      <c r="AC104" s="286"/>
      <c r="AD104" s="287"/>
      <c r="AE104" s="288"/>
      <c r="AF104" s="289" t="s">
        <v>61</v>
      </c>
      <c r="AG104" s="290"/>
      <c r="AH104" s="290"/>
      <c r="AI104" s="290"/>
      <c r="AJ104" s="291"/>
      <c r="AK104" s="291"/>
      <c r="AL104" s="291"/>
      <c r="AM104" s="291"/>
      <c r="AN104" s="291"/>
      <c r="AO104" s="291"/>
      <c r="AP104" s="291"/>
      <c r="AQ104" s="292"/>
    </row>
    <row r="105" spans="1:44" x14ac:dyDescent="0.2">
      <c r="A105" s="56" t="s">
        <v>62</v>
      </c>
      <c r="B105" s="283"/>
      <c r="C105" s="284"/>
      <c r="D105" s="285"/>
      <c r="E105" s="283"/>
      <c r="F105" s="284"/>
      <c r="G105" s="285"/>
      <c r="H105" s="283"/>
      <c r="I105" s="284"/>
      <c r="J105" s="285"/>
      <c r="K105" s="283"/>
      <c r="L105" s="284"/>
      <c r="M105" s="285"/>
      <c r="N105" s="283"/>
      <c r="O105" s="284"/>
      <c r="P105" s="285"/>
      <c r="Q105" s="283"/>
      <c r="R105" s="284"/>
      <c r="S105" s="285"/>
      <c r="T105" s="283"/>
      <c r="U105" s="284"/>
      <c r="V105" s="285"/>
      <c r="W105" s="283"/>
      <c r="X105" s="284"/>
      <c r="Y105" s="285"/>
      <c r="Z105" s="283"/>
      <c r="AA105" s="284"/>
      <c r="AB105" s="285"/>
      <c r="AC105" s="283"/>
      <c r="AD105" s="284"/>
      <c r="AE105" s="285"/>
      <c r="AF105" s="289"/>
      <c r="AG105" s="290"/>
      <c r="AH105" s="290"/>
      <c r="AI105" s="290"/>
      <c r="AJ105" s="290"/>
      <c r="AK105" s="290"/>
      <c r="AL105" s="290"/>
      <c r="AM105" s="290"/>
      <c r="AN105" s="290"/>
      <c r="AO105" s="290"/>
      <c r="AP105" s="290"/>
      <c r="AQ105" s="293"/>
    </row>
    <row r="106" spans="1:44" x14ac:dyDescent="0.2">
      <c r="A106" s="56" t="s">
        <v>63</v>
      </c>
      <c r="B106" s="283"/>
      <c r="C106" s="284"/>
      <c r="D106" s="285"/>
      <c r="E106" s="283"/>
      <c r="F106" s="284"/>
      <c r="G106" s="285"/>
      <c r="H106" s="283"/>
      <c r="I106" s="284"/>
      <c r="J106" s="285"/>
      <c r="K106" s="283"/>
      <c r="L106" s="284"/>
      <c r="M106" s="285"/>
      <c r="N106" s="283"/>
      <c r="O106" s="284"/>
      <c r="P106" s="285"/>
      <c r="Q106" s="283"/>
      <c r="R106" s="284"/>
      <c r="S106" s="285"/>
      <c r="T106" s="283"/>
      <c r="U106" s="284"/>
      <c r="V106" s="285"/>
      <c r="W106" s="283"/>
      <c r="X106" s="284"/>
      <c r="Y106" s="285"/>
      <c r="Z106" s="283"/>
      <c r="AA106" s="284"/>
      <c r="AB106" s="285"/>
      <c r="AC106" s="283"/>
      <c r="AD106" s="284"/>
      <c r="AE106" s="285"/>
      <c r="AF106" s="289"/>
      <c r="AG106" s="290"/>
      <c r="AH106" s="290"/>
      <c r="AI106" s="290"/>
      <c r="AJ106" s="290"/>
      <c r="AK106" s="290"/>
      <c r="AL106" s="290"/>
      <c r="AM106" s="290"/>
      <c r="AN106" s="290"/>
      <c r="AO106" s="290"/>
      <c r="AP106" s="290"/>
      <c r="AQ106" s="293"/>
    </row>
    <row r="107" spans="1:44" ht="13.5" thickBot="1" x14ac:dyDescent="0.25">
      <c r="A107" s="8"/>
      <c r="B107" s="173" t="s">
        <v>64</v>
      </c>
      <c r="C107" s="174"/>
      <c r="D107" s="180"/>
      <c r="E107" s="173" t="str">
        <f>IF(AK93&gt;1,"Match 2","")</f>
        <v>Match 2</v>
      </c>
      <c r="F107" s="174"/>
      <c r="G107" s="180"/>
      <c r="H107" s="173" t="str">
        <f>IF(AK93&gt;2,"Match 3","")</f>
        <v>Match 3</v>
      </c>
      <c r="I107" s="174"/>
      <c r="J107" s="180"/>
      <c r="K107" s="173" t="str">
        <f>IF(AK93&gt;3,"Match 4","")</f>
        <v>Match 4</v>
      </c>
      <c r="L107" s="174"/>
      <c r="M107" s="180"/>
      <c r="N107" s="173" t="str">
        <f>IF(AK93&gt;4,"Match 5","")</f>
        <v>Match 5</v>
      </c>
      <c r="O107" s="174"/>
      <c r="P107" s="180"/>
      <c r="Q107" s="173" t="str">
        <f>IF(AK93&gt;5,"Match 6","")</f>
        <v>Match 6</v>
      </c>
      <c r="R107" s="174"/>
      <c r="S107" s="180"/>
      <c r="T107" s="173" t="str">
        <f>IF(AK93&gt;6,"Match 7","")</f>
        <v/>
      </c>
      <c r="U107" s="174"/>
      <c r="V107" s="180"/>
      <c r="W107" s="173" t="str">
        <f>IF(AK93&gt;7,"Match 8","")</f>
        <v/>
      </c>
      <c r="X107" s="174"/>
      <c r="Y107" s="180"/>
      <c r="Z107" s="173" t="str">
        <f>IF(AK93&gt;8,"Match 9","")</f>
        <v/>
      </c>
      <c r="AA107" s="174"/>
      <c r="AB107" s="180"/>
      <c r="AC107" s="173" t="str">
        <f>IF(AK93&gt;9,"Match 10","")</f>
        <v/>
      </c>
      <c r="AD107" s="174"/>
      <c r="AE107" s="180"/>
      <c r="AF107" s="294"/>
      <c r="AG107" s="295"/>
      <c r="AH107" s="295"/>
      <c r="AI107" s="295"/>
      <c r="AJ107" s="295"/>
      <c r="AK107" s="295"/>
      <c r="AL107" s="295"/>
      <c r="AM107" s="295"/>
      <c r="AN107" s="295"/>
      <c r="AO107" s="295"/>
      <c r="AP107" s="295"/>
      <c r="AQ107" s="296"/>
    </row>
    <row r="108" spans="1:44" ht="15.75" x14ac:dyDescent="0.25">
      <c r="A108" s="8"/>
      <c r="B108" s="277" t="s">
        <v>65</v>
      </c>
      <c r="C108" s="278"/>
      <c r="D108" s="279"/>
      <c r="E108" s="277" t="s">
        <v>66</v>
      </c>
      <c r="F108" s="278"/>
      <c r="G108" s="279"/>
      <c r="H108" s="277" t="s">
        <v>67</v>
      </c>
      <c r="I108" s="278"/>
      <c r="J108" s="279"/>
      <c r="K108" s="277" t="s">
        <v>68</v>
      </c>
      <c r="L108" s="278"/>
      <c r="M108" s="279"/>
      <c r="N108" s="277" t="s">
        <v>66</v>
      </c>
      <c r="O108" s="278"/>
      <c r="P108" s="279"/>
      <c r="Q108" s="277" t="s">
        <v>67</v>
      </c>
      <c r="R108" s="278"/>
      <c r="S108" s="279"/>
      <c r="T108" s="277"/>
      <c r="U108" s="278"/>
      <c r="V108" s="279"/>
      <c r="W108" s="277"/>
      <c r="X108" s="278"/>
      <c r="Y108" s="279"/>
      <c r="Z108" s="277"/>
      <c r="AA108" s="278"/>
      <c r="AB108" s="279"/>
      <c r="AC108" s="277"/>
      <c r="AD108" s="278"/>
      <c r="AE108" s="279"/>
      <c r="AF108" s="57" t="s">
        <v>70</v>
      </c>
      <c r="AG108" s="58">
        <v>1</v>
      </c>
      <c r="AH108" s="58">
        <v>2</v>
      </c>
      <c r="AI108" s="58">
        <v>3</v>
      </c>
      <c r="AJ108" s="58">
        <v>4</v>
      </c>
      <c r="AK108" s="58">
        <v>5</v>
      </c>
      <c r="AL108" s="58">
        <v>6</v>
      </c>
      <c r="AM108" s="58">
        <v>7</v>
      </c>
      <c r="AN108" s="58">
        <v>8</v>
      </c>
      <c r="AO108" s="58">
        <v>9</v>
      </c>
      <c r="AP108" s="58">
        <v>10</v>
      </c>
      <c r="AQ108" s="59" t="s">
        <v>71</v>
      </c>
    </row>
    <row r="109" spans="1:44" ht="15.75" x14ac:dyDescent="0.25">
      <c r="A109" s="8"/>
      <c r="B109" s="61">
        <v>2</v>
      </c>
      <c r="C109" s="62" t="s">
        <v>72</v>
      </c>
      <c r="D109" s="63">
        <v>3</v>
      </c>
      <c r="E109" s="61">
        <v>1</v>
      </c>
      <c r="F109" s="62" t="str">
        <f>IF(AK93&gt;1,"v","")</f>
        <v>v</v>
      </c>
      <c r="G109" s="63">
        <v>4</v>
      </c>
      <c r="H109" s="61">
        <v>2</v>
      </c>
      <c r="I109" s="62" t="str">
        <f>IF(AK93&gt;2,"v","")</f>
        <v>v</v>
      </c>
      <c r="J109" s="63">
        <v>4</v>
      </c>
      <c r="K109" s="61">
        <v>1</v>
      </c>
      <c r="L109" s="62" t="str">
        <f>IF(AK93&gt;3,"v","")</f>
        <v>v</v>
      </c>
      <c r="M109" s="63">
        <v>3</v>
      </c>
      <c r="N109" s="61">
        <v>3</v>
      </c>
      <c r="O109" s="62" t="str">
        <f>IF(AK93&gt;4,"v","")</f>
        <v>v</v>
      </c>
      <c r="P109" s="63">
        <v>4</v>
      </c>
      <c r="Q109" s="61">
        <v>1</v>
      </c>
      <c r="R109" s="62" t="str">
        <f>IF(AK93&gt;5,"v","")</f>
        <v>v</v>
      </c>
      <c r="S109" s="63">
        <v>2</v>
      </c>
      <c r="T109" s="61"/>
      <c r="U109" s="62" t="str">
        <f>IF(AK93&gt;6,"v","")</f>
        <v/>
      </c>
      <c r="V109" s="63"/>
      <c r="W109" s="61"/>
      <c r="X109" s="62" t="str">
        <f>IF(AK93&gt;7,"v","")</f>
        <v/>
      </c>
      <c r="Y109" s="63"/>
      <c r="Z109" s="61"/>
      <c r="AA109" s="62" t="str">
        <f>IF(AK93&gt;8,"v","")</f>
        <v/>
      </c>
      <c r="AB109" s="63"/>
      <c r="AC109" s="61"/>
      <c r="AD109" s="62" t="str">
        <f>IF(AK93&gt;9,"v","")</f>
        <v/>
      </c>
      <c r="AE109" s="63"/>
      <c r="AF109" s="57" t="str">
        <f>IF(AK94&gt;0,"Team 1","")</f>
        <v>Team 1</v>
      </c>
      <c r="AG109" s="64" t="str">
        <f>IF(AK94&lt;1,"",IF(AK93&lt;1,"",IF(B109=1,B115-D115,IF(D109=1,D115-B115,""))))</f>
        <v/>
      </c>
      <c r="AH109" s="64">
        <f>IF(AK94&lt;1,"",IF(AK93&lt;2,"",IF(E109=1,E115-G115,IF(G109=1,G115-E115,""))))</f>
        <v>8</v>
      </c>
      <c r="AI109" s="64" t="str">
        <f>IF(AK94&lt;1,"",IF(AK93&lt;3,"",IF(H109=1,H115-J115,IF(J109=1,J115-H115,""))))</f>
        <v/>
      </c>
      <c r="AJ109" s="64">
        <f>IF(AK94&lt;1,"",IF(AK93&lt;4,"",IF(K109=1,K115-M115,IF(M109=1,M115-K115,""))))</f>
        <v>19</v>
      </c>
      <c r="AK109" s="64" t="str">
        <f>IF(AK94&lt;1,"",IF(AK93&lt;5,"",IF(N109=1,N115-P115,IF(P109=1,P115-N115,""))))</f>
        <v/>
      </c>
      <c r="AL109" s="64">
        <f>IF(AK94&lt;1,"",IF(AK93&lt;6,"",IF(Q109=1,Q115-S115,IF(S109=1,S115-Q115,""))))</f>
        <v>8</v>
      </c>
      <c r="AM109" s="64" t="str">
        <f>IF(AK94&lt;1,"",IF(AK93&lt;7,"",IF(T109=1,T115-V115,IF(V109=1,V115-T115,""))))</f>
        <v/>
      </c>
      <c r="AN109" s="64" t="str">
        <f>IF(AK94&lt;1,"",IF(AK93&lt;8,"",IF(W109=1,W115-Y115,IF(Y109=1,Y115-W115,""))))</f>
        <v/>
      </c>
      <c r="AO109" s="64" t="str">
        <f>IF(AK94&lt;1,"",IF(AK93&lt;9,"",IF(Z109=1,Z115-AB115,IF(AB109=1,AB115-Z115,""))))</f>
        <v/>
      </c>
      <c r="AP109" s="64" t="str">
        <f>IF(AK94&lt;1,"",IF(AK93&lt;10,"",IF(AC109=1,AC115-AE115,IF(AE109=1,AE115-AC115,""))))</f>
        <v/>
      </c>
      <c r="AQ109" s="59">
        <f>SUM(AG109:AP109)</f>
        <v>35</v>
      </c>
    </row>
    <row r="110" spans="1:44" ht="15" x14ac:dyDescent="0.2">
      <c r="A110" s="4" t="s">
        <v>73</v>
      </c>
      <c r="B110" s="65">
        <v>25</v>
      </c>
      <c r="C110" s="66" t="s">
        <v>74</v>
      </c>
      <c r="D110" s="67">
        <v>8</v>
      </c>
      <c r="E110" s="65">
        <v>25</v>
      </c>
      <c r="F110" s="66" t="str">
        <f>IF(AK93&gt;1,"/","")</f>
        <v>/</v>
      </c>
      <c r="G110" s="67">
        <v>19</v>
      </c>
      <c r="H110" s="65">
        <v>25</v>
      </c>
      <c r="I110" s="66" t="str">
        <f>IF(AK93&gt;2,"/","")</f>
        <v>/</v>
      </c>
      <c r="J110" s="67">
        <v>19</v>
      </c>
      <c r="K110" s="65">
        <v>25</v>
      </c>
      <c r="L110" s="66" t="str">
        <f>IF(AK93&gt;3,"/","")</f>
        <v>/</v>
      </c>
      <c r="M110" s="67">
        <v>15</v>
      </c>
      <c r="N110" s="65">
        <v>25</v>
      </c>
      <c r="O110" s="66" t="str">
        <f>IF(AK93&gt;4,"/","")</f>
        <v>/</v>
      </c>
      <c r="P110" s="67">
        <v>17</v>
      </c>
      <c r="Q110" s="65">
        <v>25</v>
      </c>
      <c r="R110" s="66" t="str">
        <f>IF(AK93&gt;5,"/","")</f>
        <v>/</v>
      </c>
      <c r="S110" s="67">
        <v>20</v>
      </c>
      <c r="T110" s="65"/>
      <c r="U110" s="66" t="str">
        <f>IF(AK93&gt;6,"/","")</f>
        <v/>
      </c>
      <c r="V110" s="67"/>
      <c r="W110" s="65"/>
      <c r="X110" s="66" t="str">
        <f>IF(AK93&gt;7,"/","")</f>
        <v/>
      </c>
      <c r="Y110" s="67"/>
      <c r="Z110" s="65"/>
      <c r="AA110" s="66" t="str">
        <f>IF(AK93&gt;8,"/","")</f>
        <v/>
      </c>
      <c r="AB110" s="67"/>
      <c r="AC110" s="65"/>
      <c r="AD110" s="66" t="str">
        <f>IF(AK93&gt;9,"/","")</f>
        <v/>
      </c>
      <c r="AE110" s="67"/>
      <c r="AF110" s="57" t="str">
        <f>IF(AK94&gt;1,"Team 2","")</f>
        <v>Team 2</v>
      </c>
      <c r="AG110" s="64">
        <f>IF(AK94&lt;2,"",IF(AK93&lt;1,"",IF(B109=2,B115-D115,IF(D109=2,D115-B115,""))))</f>
        <v>28</v>
      </c>
      <c r="AH110" s="64" t="str">
        <f>IF(AK94&lt;2,"",IF(AK93&lt;2,"",IF(E109=2,E115-G115,IF(G109=2,G115-E115,""))))</f>
        <v/>
      </c>
      <c r="AI110" s="64">
        <f>IF(AK94&lt;2,"",IF(AK93&lt;3,"",IF(H109=2,H115-J115,IF(J109=2,J115-H115,""))))</f>
        <v>13</v>
      </c>
      <c r="AJ110" s="64" t="str">
        <f>IF(AK94&lt;2,"",IF(AK93&lt;4,"",IF(K109=2,K115-M115,IF(M109=2,M115-K115,""))))</f>
        <v/>
      </c>
      <c r="AK110" s="64" t="str">
        <f>IF(AK94&lt;2,"",IF(AK93&lt;5,"",IF(N109=2,N115-P115,IF(P109=2,P115-N115,""))))</f>
        <v/>
      </c>
      <c r="AL110" s="64">
        <f>IF(AK94&lt;2,"",IF(AK93&lt;6,"",IF(Q109=2,Q115-S115,IF(S109=2,S115-Q115,""))))</f>
        <v>-8</v>
      </c>
      <c r="AM110" s="64" t="str">
        <f>IF(AK94&lt;2,"",IF(AK93&lt;7,"",IF(T109=2,T115-V115,IF(V109=2,V115-T115,""))))</f>
        <v/>
      </c>
      <c r="AN110" s="64" t="str">
        <f>IF(AK94&lt;2,"",IF(AK93&lt;8,"",IF(W109=2,W115-Y115,IF(Y109=2,Y115-W115,""))))</f>
        <v/>
      </c>
      <c r="AO110" s="64" t="str">
        <f>IF(AK94&lt;2,"",IF(AK93&lt;9,"",IF(Z109=2,Z115-AB115,IF(AB109=2,AB115-Z115,""))))</f>
        <v/>
      </c>
      <c r="AP110" s="64" t="str">
        <f>IF(AK94&lt;2,"",IF(AK93&lt;10,"",IF(AC109=2,AC115-AE115,IF(AE109=2,AE115-AC115,""))))</f>
        <v/>
      </c>
      <c r="AQ110" s="59">
        <f>SUM(AG110:AP110)</f>
        <v>33</v>
      </c>
    </row>
    <row r="111" spans="1:44" ht="15" x14ac:dyDescent="0.2">
      <c r="A111" s="3" t="str">
        <f>IF(AK92&gt;1,"Game 2","")</f>
        <v>Game 2</v>
      </c>
      <c r="B111" s="65">
        <v>25</v>
      </c>
      <c r="C111" s="66" t="s">
        <v>74</v>
      </c>
      <c r="D111" s="67">
        <v>14</v>
      </c>
      <c r="E111" s="65">
        <v>25</v>
      </c>
      <c r="F111" s="66" t="str">
        <f>IF(AK93&gt;1,IF(AK92&gt;1,"/",""),"")</f>
        <v>/</v>
      </c>
      <c r="G111" s="67">
        <v>23</v>
      </c>
      <c r="H111" s="65">
        <v>25</v>
      </c>
      <c r="I111" s="66" t="str">
        <f>IF(AK93&gt;2,IF(AK92&gt;1,"/",""),"")</f>
        <v>/</v>
      </c>
      <c r="J111" s="67">
        <v>18</v>
      </c>
      <c r="K111" s="65">
        <v>25</v>
      </c>
      <c r="L111" s="66" t="str">
        <f>IF(AK93&gt;3,IF(AK92&gt;1,"/",""),"")</f>
        <v>/</v>
      </c>
      <c r="M111" s="67">
        <v>16</v>
      </c>
      <c r="N111" s="65">
        <v>25</v>
      </c>
      <c r="O111" s="66" t="str">
        <f>IF(AK93&gt;4,IF(AK92&gt;1,"/",""),"")</f>
        <v>/</v>
      </c>
      <c r="P111" s="67">
        <v>21</v>
      </c>
      <c r="Q111" s="65">
        <v>25</v>
      </c>
      <c r="R111" s="66" t="str">
        <f>IF(AK93&gt;5,IF(AK92&gt;1,"/",""),"")</f>
        <v>/</v>
      </c>
      <c r="S111" s="67">
        <v>22</v>
      </c>
      <c r="T111" s="65"/>
      <c r="U111" s="66" t="str">
        <f>IF(AK93&gt;6,IF(AK92&gt;1,"/",""),"")</f>
        <v/>
      </c>
      <c r="V111" s="67"/>
      <c r="W111" s="65"/>
      <c r="X111" s="66" t="str">
        <f>IF(AK93&gt;7,IF(AK92&gt;1,"/",""),"")</f>
        <v/>
      </c>
      <c r="Y111" s="67"/>
      <c r="Z111" s="65"/>
      <c r="AA111" s="66" t="str">
        <f>IF(AK93&gt;8,IF(AK92&gt;1,"/",""),"")</f>
        <v/>
      </c>
      <c r="AB111" s="67"/>
      <c r="AC111" s="65"/>
      <c r="AD111" s="66" t="str">
        <f>IF(AK93&gt;9,IF(AK92&gt;1,"/",""),"")</f>
        <v/>
      </c>
      <c r="AE111" s="67"/>
      <c r="AF111" s="57" t="str">
        <f>IF(AK94&gt;2,"Team 3","")</f>
        <v>Team 3</v>
      </c>
      <c r="AG111" s="64">
        <f>IF(AK94&lt;3,"",IF(AK93&lt;1,"",IF(B109=3,B115-D115,IF(D109=3,D115-B115,""))))</f>
        <v>-28</v>
      </c>
      <c r="AH111" s="64" t="str">
        <f>IF(AK94&lt;3,"",IF(AK93&lt;2,"",IF(E109=3,E115-G115,IF(G109=3,G115-E115,""))))</f>
        <v/>
      </c>
      <c r="AI111" s="64" t="str">
        <f>IF(AK94&lt;3,"",IF(AK93&lt;3,"",IF(H109=3,H115-J115,IF(J109=3,J115-H115,""))))</f>
        <v/>
      </c>
      <c r="AJ111" s="64">
        <f>IF(AK94&lt;3,"",IF(AK93&lt;4,"",IF(K109=3,K115-M115,IF(M109=3,M115-K115,""))))</f>
        <v>-19</v>
      </c>
      <c r="AK111" s="64">
        <f>IF(AK94&lt;3,"",IF(AK93&lt;5,"",IF(N109=3,N115-P115,IF(P109=3,P115-N115,""))))</f>
        <v>12</v>
      </c>
      <c r="AL111" s="64" t="str">
        <f>IF(AK94&lt;3,"",IF(AK93&lt;6,"",IF(Q109=3,Q115-S115,IF(S109=3,S115-Q115,""))))</f>
        <v/>
      </c>
      <c r="AM111" s="64" t="str">
        <f>IF(AK94&lt;3,"",IF(AK93&lt;7,"",IF(T109=3,T115-V115,IF(V109=3,V115-T115,""))))</f>
        <v/>
      </c>
      <c r="AN111" s="64" t="str">
        <f>IF(AK94&lt;3,"",IF(AK93&lt;8,"",IF(W109=3,W115-Y115,IF(Y109=3,Y115-W115,""))))</f>
        <v/>
      </c>
      <c r="AO111" s="64" t="str">
        <f>IF(AK94&lt;3,"",IF(AK93&lt;9,"",IF(Z109=3,Z115-AB115,IF(AB109=3,AB115-Z115,""))))</f>
        <v/>
      </c>
      <c r="AP111" s="64" t="str">
        <f>IF(AK94&lt;3,"",IF(AK93&lt;9,"",IF(AC109=3,AC115-AE115,IF(AE109=3,AE115-AC115,""))))</f>
        <v/>
      </c>
      <c r="AQ111" s="59">
        <f>SUM(AG111:AP111)</f>
        <v>-35</v>
      </c>
    </row>
    <row r="112" spans="1:44" ht="15" x14ac:dyDescent="0.2">
      <c r="A112" s="3" t="str">
        <f>IF(AK92&gt;2,"Game 3","")</f>
        <v>Game 3</v>
      </c>
      <c r="B112" s="65"/>
      <c r="C112" s="66" t="s">
        <v>74</v>
      </c>
      <c r="D112" s="67"/>
      <c r="E112" s="65"/>
      <c r="F112" s="66" t="str">
        <f>IF(AK93&gt;1,IF(AK92&gt;2,"/",""),"")</f>
        <v>/</v>
      </c>
      <c r="G112" s="67"/>
      <c r="H112" s="65"/>
      <c r="I112" s="66" t="str">
        <f>IF(AK93&gt;2,IF(AK92&gt;2,"/",""),"")</f>
        <v>/</v>
      </c>
      <c r="J112" s="67"/>
      <c r="K112" s="65"/>
      <c r="L112" s="66" t="str">
        <f>IF(AK93&gt;3,IF(AK92&gt;2,"/",""),"")</f>
        <v>/</v>
      </c>
      <c r="M112" s="67"/>
      <c r="N112" s="65"/>
      <c r="O112" s="66" t="str">
        <f>IF(AK93&gt;4,IF(AK92&gt;2,"/",""),"")</f>
        <v>/</v>
      </c>
      <c r="P112" s="67"/>
      <c r="Q112" s="65"/>
      <c r="R112" s="66" t="str">
        <f>IF(AK93&gt;5,IF(AK92&gt;2,"/",""),"")</f>
        <v>/</v>
      </c>
      <c r="S112" s="67"/>
      <c r="T112" s="65"/>
      <c r="U112" s="66" t="str">
        <f>IF(AK93&gt;6,IF(AK92&gt;2,"/",""),"")</f>
        <v/>
      </c>
      <c r="V112" s="67"/>
      <c r="W112" s="65"/>
      <c r="X112" s="66" t="str">
        <f>IF(AK93&gt;7,IF(AK92&gt;2,"/",""),"")</f>
        <v/>
      </c>
      <c r="Y112" s="67"/>
      <c r="Z112" s="65"/>
      <c r="AA112" s="66" t="str">
        <f>IF(AK93&gt;8,IF(AK92&gt;2,"/",""),"")</f>
        <v/>
      </c>
      <c r="AB112" s="67"/>
      <c r="AC112" s="65"/>
      <c r="AD112" s="66" t="str">
        <f>IF(AK93&gt;9,IF(AK92&gt;2,"/",""),"")</f>
        <v/>
      </c>
      <c r="AE112" s="67"/>
      <c r="AF112" s="57" t="str">
        <f>IF(AK94&gt;3,"Team 4","")</f>
        <v>Team 4</v>
      </c>
      <c r="AG112" s="64" t="str">
        <f>IF(AK94&lt;4,"",IF(AK93&lt;1,"",IF(B109=4,B115-D115,IF(D109=4,D115-B115,""))))</f>
        <v/>
      </c>
      <c r="AH112" s="64">
        <f>IF(AK94&lt;4,"",IF(AK93&lt;2,"",IF(E109=4,E115-G115,IF(G109=4,G115-E115,""))))</f>
        <v>-8</v>
      </c>
      <c r="AI112" s="64">
        <f>IF(AK94&lt;4,"",IF(AK93&lt;3,"",IF(H109=4,H115-J115,IF(J109=4,J115-H115,""))))</f>
        <v>-13</v>
      </c>
      <c r="AJ112" s="64" t="str">
        <f>IF(AK94&lt;4,"",IF(AK93&lt;4,"",IF(K109=4,K115-M115,IF(M109=4,M115-K115,""))))</f>
        <v/>
      </c>
      <c r="AK112" s="64">
        <f>IF(AK94&lt;4,"",IF(AK93&lt;5,"",IF(N109=4,N115-P115,IF(P109=4,P115-N115,""))))</f>
        <v>-12</v>
      </c>
      <c r="AL112" s="64" t="str">
        <f>IF(AK94&lt;4,"",IF(AK93&lt;6,"",IF(Q109=4,Q115-S115,IF(S109=4,S115-Q115,""))))</f>
        <v/>
      </c>
      <c r="AM112" s="64" t="str">
        <f>IF(AK94&lt;4,"",IF(AK93&lt;7,"",IF(T109=4,T115-V115,IF(V109=4,V115-T115,""))))</f>
        <v/>
      </c>
      <c r="AN112" s="64" t="str">
        <f>IF(AK94&lt;4,"",IF(AK93&lt;8,"",IF(W109=4,W115-Y115,IF(Y109=4,Y115-W115,""))))</f>
        <v/>
      </c>
      <c r="AO112" s="64" t="str">
        <f>IF(AK94&lt;4,"",IF(AK93&lt;9,"",IF(Z109=4,Z115-AB115,IF(AB109=4,AB115-Z115,""))))</f>
        <v/>
      </c>
      <c r="AP112" s="64" t="str">
        <f>IF(AK94&lt;4,"",IF(AK93&lt;10,"",IF(AC109=4,AC115-AE115,IF(AE109=4,AE115-AC115,""))))</f>
        <v/>
      </c>
      <c r="AQ112" s="59">
        <f>SUM(AG112:AP112)</f>
        <v>-33</v>
      </c>
    </row>
    <row r="113" spans="1:49" ht="15" x14ac:dyDescent="0.2">
      <c r="A113" s="3" t="str">
        <f>IF(AK92&gt;3,"Game 4","")</f>
        <v/>
      </c>
      <c r="B113" s="65"/>
      <c r="C113" s="66" t="s">
        <v>74</v>
      </c>
      <c r="D113" s="67"/>
      <c r="E113" s="65"/>
      <c r="F113" s="66" t="str">
        <f>IF(AK93&gt;1,IF(AK92&gt;3,"/",""),"")</f>
        <v/>
      </c>
      <c r="G113" s="67"/>
      <c r="H113" s="65"/>
      <c r="I113" s="66" t="str">
        <f>IF(AK93&gt;2,IF(AK92&gt;3,"/",""),"")</f>
        <v/>
      </c>
      <c r="J113" s="67"/>
      <c r="K113" s="65"/>
      <c r="L113" s="66" t="str">
        <f>IF(AK93&gt;3,IF(AK92&gt;3,"/",""),"")</f>
        <v/>
      </c>
      <c r="M113" s="67"/>
      <c r="N113" s="65"/>
      <c r="O113" s="66" t="str">
        <f>IF(AK93&gt;4,IF(AK92&gt;3,"/",""),"")</f>
        <v/>
      </c>
      <c r="P113" s="67"/>
      <c r="Q113" s="65"/>
      <c r="R113" s="66" t="str">
        <f>IF(AK93&gt;5,IF(AK92&gt;3,"/",""),"")</f>
        <v/>
      </c>
      <c r="S113" s="67"/>
      <c r="T113" s="65"/>
      <c r="U113" s="66" t="str">
        <f>IF(AK93&gt;6,IF(AK92&gt;3,"/",""),"")</f>
        <v/>
      </c>
      <c r="V113" s="67"/>
      <c r="W113" s="65"/>
      <c r="X113" s="66" t="str">
        <f>IF(AK93&gt;7,IF(AK92&gt;3,"/",""),"")</f>
        <v/>
      </c>
      <c r="Y113" s="67"/>
      <c r="Z113" s="65"/>
      <c r="AA113" s="66" t="str">
        <f>IF(AK93&gt;8,IF(AK92&gt;3,"/",""),"")</f>
        <v/>
      </c>
      <c r="AB113" s="67"/>
      <c r="AC113" s="65"/>
      <c r="AD113" s="66" t="str">
        <f>IF(AK93&gt;9,IF(AK92&gt;3,"/",""),"")</f>
        <v/>
      </c>
      <c r="AE113" s="67"/>
      <c r="AF113" s="57" t="str">
        <f>IF(AK94&gt;4,"Team 5","")</f>
        <v/>
      </c>
      <c r="AG113" s="68" t="str">
        <f>IF(AK94&lt;5,"",IF(AK93&lt;1,"",IF(B109=5,B115-D115,IF(D109=5,D115-B115,""))))</f>
        <v/>
      </c>
      <c r="AH113" s="64" t="str">
        <f>IF(AK94&lt;5,"",IF(AK93&lt;2,"",IF(E109=5,E115-G115,IF(G109=5,G115-E115,""))))</f>
        <v/>
      </c>
      <c r="AI113" s="64" t="str">
        <f>IF(AK94&lt;5,"",IF(AK93&lt;3,"",IF(H109=5,H115-J115,IF(J109=5,J115-H115,""))))</f>
        <v/>
      </c>
      <c r="AJ113" s="64" t="str">
        <f>IF(AK94&lt;5,"",IF(AK93&lt;4,"",IF(K109=5,K115-M115,IF(M109=5,M115-K115,""))))</f>
        <v/>
      </c>
      <c r="AK113" s="64" t="str">
        <f>IF(AK94&lt;5,"",IF(AK93&lt;5,"",IF(N109=5,N115-P115,IF(P109=5,P115-N115,""))))</f>
        <v/>
      </c>
      <c r="AL113" s="64" t="str">
        <f>IF(AK94&lt;5,"",IF(AK93&lt;6,"",IF(Q109=5,Q115-S115,IF(S109=5,S115-Q115,""))))</f>
        <v/>
      </c>
      <c r="AM113" s="64" t="str">
        <f>IF(AK94&lt;5,"",IF(AK93&lt;7,"",IF(T109=5,T115-V115,IF(V109=5,V115-T115,""))))</f>
        <v/>
      </c>
      <c r="AN113" s="64" t="str">
        <f>IF(AK94&lt;5,"",IF(AK93&lt;8,"",IF(W109=5,W115-Y115,IF(Y109=5,Y115-W115,""))))</f>
        <v/>
      </c>
      <c r="AO113" s="64" t="str">
        <f>IF(AK94&lt;5,"",IF(AK93&lt;9,"",IF(Z109=5,Z115-AB115,IF(AB109=5,AB115-Z115,""))))</f>
        <v/>
      </c>
      <c r="AP113" s="64" t="str">
        <f>IF(AK94&lt;5,"",IF(AK93&lt;10,"",IF(AC109=5,AC115-AE115,IF(AE109=5,AE115-AC115,""))))</f>
        <v/>
      </c>
      <c r="AQ113" s="59">
        <f>SUM(AG113:AP113)</f>
        <v>0</v>
      </c>
    </row>
    <row r="114" spans="1:49" ht="15" x14ac:dyDescent="0.2">
      <c r="A114" s="3" t="str">
        <f>IF(AK92&gt;4,"Game 5","")</f>
        <v/>
      </c>
      <c r="B114" s="65"/>
      <c r="C114" s="66" t="s">
        <v>74</v>
      </c>
      <c r="D114" s="67"/>
      <c r="E114" s="65"/>
      <c r="F114" s="66" t="str">
        <f>IF(AK93&gt;1,IF(AK92&gt;4,"/",""),"")</f>
        <v/>
      </c>
      <c r="G114" s="67"/>
      <c r="H114" s="65"/>
      <c r="I114" s="66" t="str">
        <f>IF(AK93&gt;2,IF(AK92&gt;4,"/",""),"")</f>
        <v/>
      </c>
      <c r="J114" s="67"/>
      <c r="K114" s="65"/>
      <c r="L114" s="66" t="str">
        <f>IF(AK93&gt;3,IF(AK92&gt;4,"/",""),"")</f>
        <v/>
      </c>
      <c r="M114" s="67"/>
      <c r="N114" s="65"/>
      <c r="O114" s="66" t="str">
        <f>IF(AK93&gt;4,IF(AK92&gt;4,"/",""),"")</f>
        <v/>
      </c>
      <c r="P114" s="67"/>
      <c r="Q114" s="65"/>
      <c r="R114" s="66" t="str">
        <f>IF(AK93&gt;5,IF(AK92&gt;4,"/",""),"")</f>
        <v/>
      </c>
      <c r="S114" s="67"/>
      <c r="T114" s="65"/>
      <c r="U114" s="66" t="str">
        <f>IF(AK93&gt;6,IF(AK92&gt;4,"/",""),"")</f>
        <v/>
      </c>
      <c r="V114" s="67"/>
      <c r="W114" s="65"/>
      <c r="X114" s="66" t="str">
        <f>IF(AK93&gt;7,IF(AK92&gt;4,"/",""),"")</f>
        <v/>
      </c>
      <c r="Y114" s="67"/>
      <c r="Z114" s="65"/>
      <c r="AA114" s="66" t="str">
        <f>IF(AK93&gt;8,IF(AK92&gt;4,"/",""),"")</f>
        <v/>
      </c>
      <c r="AB114" s="67"/>
      <c r="AC114" s="65"/>
      <c r="AD114" s="66" t="str">
        <f>IF(AK93&gt;9,IF(AK92&gt;4,"/",""),"")</f>
        <v/>
      </c>
      <c r="AE114" s="67"/>
      <c r="AF114" s="8"/>
      <c r="AG114" s="8"/>
      <c r="AH114" s="8"/>
      <c r="AI114" s="8"/>
      <c r="AJ114" s="8"/>
      <c r="AK114" s="8"/>
      <c r="AL114" s="8"/>
      <c r="AM114" s="8"/>
      <c r="AN114" s="8"/>
      <c r="AO114" s="8"/>
      <c r="AP114" s="8"/>
      <c r="AQ114" s="8"/>
    </row>
    <row r="115" spans="1:49" hidden="1" x14ac:dyDescent="0.2">
      <c r="A115" s="69"/>
      <c r="B115" s="69">
        <f>IF($AK92=5,SUM(B110:B114),IF($AK92=4,SUM(B110:B113),IF($AK92=3,SUM(B110:B112),IF($AK92=2,SUM(B110:B111),B110))))</f>
        <v>50</v>
      </c>
      <c r="C115" s="69"/>
      <c r="D115" s="69">
        <f>IF($AK92=5,SUM(D110:D114),IF($AK92=4,SUM(D110:D113),IF($AK92=3,SUM(D110:D112),IF($AK92=2,SUM(D110:D111),D110))))</f>
        <v>22</v>
      </c>
      <c r="E115" s="69">
        <f>IF($AK92=5,SUM(E110:E114),IF($AK92=4,SUM(E110:E113),IF($AK92=3,SUM(E110:E112),IF($AK92=2,SUM(E110:E111),E110))))</f>
        <v>50</v>
      </c>
      <c r="F115" s="69"/>
      <c r="G115" s="69">
        <f>IF($AK92=5,SUM(G110:G114),IF($AK92=4,SUM(G110:G113),IF($AK92=3,SUM(G110:G112),IF($AK92=2,SUM(G110:G111),G110))))</f>
        <v>42</v>
      </c>
      <c r="H115" s="69">
        <f>IF($AK92=5,SUM(H110:H114),IF($AK92=4,SUM(H110:H113),IF($AK92=3,SUM(H110:H112),IF($AK92=2,SUM(H110:H111),H110))))</f>
        <v>50</v>
      </c>
      <c r="I115" s="69"/>
      <c r="J115" s="69">
        <f>IF($AK92=5,SUM(J110:J114),IF($AK92=4,SUM(J110:J113),IF($AK92=3,SUM(J110:J112),IF($AK92=2,SUM(J110:J111),J110))))</f>
        <v>37</v>
      </c>
      <c r="K115" s="69">
        <f>IF($AK92=5,SUM(K110:K114),IF($AK92=4,SUM(K110:K113),IF($AK92=3,SUM(K110:K112),IF($AK92=2,SUM(K110:K111),K110))))</f>
        <v>50</v>
      </c>
      <c r="L115" s="69"/>
      <c r="M115" s="69">
        <f>IF($AK92=5,SUM(M110:M114),IF($AK92=4,SUM(M110:M113),IF($AK92=3,SUM(M110:M112),IF($AK92=2,SUM(M110:M111),M110))))</f>
        <v>31</v>
      </c>
      <c r="N115" s="69">
        <f>IF($AK92=5,SUM(N110:N114),IF($AK92=4,SUM(N110:N113),IF($AK92=3,SUM(N110:N112),IF($AK92=2,SUM(N110:N111),N110))))</f>
        <v>50</v>
      </c>
      <c r="O115" s="69"/>
      <c r="P115" s="69">
        <f>IF($AK92=5,SUM(P110:P114),IF($AK92=4,SUM(P110:P113),IF($AK92=3,SUM(P110:P112),IF($AK92=2,SUM(P110:P111),P110))))</f>
        <v>38</v>
      </c>
      <c r="Q115" s="69">
        <f>IF($AK92=5,SUM(Q110:Q114),IF($AK92=4,SUM(Q110:Q113),IF($AK92=3,SUM(Q110:Q112),IF($AK92=2,SUM(Q110:Q111),Q110))))</f>
        <v>50</v>
      </c>
      <c r="R115" s="69"/>
      <c r="S115" s="69">
        <f>IF($AK92=5,SUM(S110:S114),IF($AK92=4,SUM(S110:S113),IF($AK92=3,SUM(S110:S112),IF($AK92=2,SUM(S110:S111),S110))))</f>
        <v>42</v>
      </c>
      <c r="T115" s="69">
        <f>IF($AK92=5,SUM(T110:T114),IF($AK92=4,SUM(T110:T113),IF($AK92=3,SUM(T110:T112),IF($AK92=2,SUM(T110:T111),T110))))</f>
        <v>0</v>
      </c>
      <c r="U115" s="69"/>
      <c r="V115" s="69">
        <f>IF($AK92=5,SUM(V110:V114),IF($AK92=4,SUM(V110:V113),IF($AK92=3,SUM(V110:V112),IF($AK92=2,SUM(V110:V111),V110))))</f>
        <v>0</v>
      </c>
      <c r="W115" s="69">
        <f>IF($AK92=5,SUM(W110:W114),IF($AK92=4,SUM(W110:W113),IF($AK92=3,SUM(W110:W112),IF($AK92=2,SUM(W110:W111),W110))))</f>
        <v>0</v>
      </c>
      <c r="X115" s="69"/>
      <c r="Y115" s="69">
        <f>IF($AK92=5,SUM(Y110:Y114),IF($AK92=4,SUM(Y110:Y113),IF($AK92=3,SUM(Y110:Y112),IF($AK92=2,SUM(Y110:Y111),Y110))))</f>
        <v>0</v>
      </c>
      <c r="Z115" s="69">
        <f>IF($AK92=5,SUM(Z110:Z114),IF($AK92=4,SUM(Z110:Z113),IF($AK92=3,SUM(Z110:Z112),IF($AK92=2,SUM(Z110:Z111),Z110))))</f>
        <v>0</v>
      </c>
      <c r="AA115" s="69"/>
      <c r="AB115" s="69">
        <f>IF($AK92=5,SUM(AB110:AB114),IF($AK92=4,SUM(AB110:AB113),IF($AK92=3,SUM(AB110:AB112),IF($AK92=2,SUM(AB110:AB111),AB110))))</f>
        <v>0</v>
      </c>
      <c r="AC115" s="69">
        <f>IF($AK92=5,SUM(AC110:AC114),IF($AK92=4,SUM(AC110:AC113),IF($AK92=3,SUM(AC110:AC112),IF($AK92=2,SUM(AC110:AC111),AC110))))</f>
        <v>0</v>
      </c>
      <c r="AD115" s="69"/>
      <c r="AE115" s="69">
        <f>IF($AK92=5,SUM(AE110:AE114),IF($AK92=4,SUM(AE110:AE113),IF($AK92=3,SUM(AE110:AE112),IF($AK92=2,SUM(AE110:AE111),AE110))))</f>
        <v>0</v>
      </c>
      <c r="AF115" s="8"/>
      <c r="AG115" s="8"/>
      <c r="AH115" s="8"/>
      <c r="AI115" s="8"/>
      <c r="AJ115" s="8"/>
      <c r="AK115" s="8"/>
      <c r="AL115" s="8"/>
      <c r="AM115" s="8"/>
      <c r="AN115" s="8"/>
      <c r="AO115" s="8"/>
      <c r="AP115" s="8"/>
      <c r="AQ115" s="8"/>
      <c r="AT115" s="70"/>
      <c r="AU115" s="70"/>
      <c r="AV115" s="70"/>
    </row>
    <row r="116" spans="1:49" s="70" customFormat="1" ht="12.75" hidden="1" customHeight="1" x14ac:dyDescent="0.2">
      <c r="A116" s="70" t="s">
        <v>75</v>
      </c>
      <c r="B116" s="71">
        <f>IF(AND(B110&gt;D110,$AK93&gt;0,ISNUMBER(B110),ISNUMBER(D110)),1,0)</f>
        <v>1</v>
      </c>
      <c r="C116" s="71"/>
      <c r="D116" s="72">
        <f>IF(AND(D110&gt;B110,$AK93&gt;0,ISNUMBER(B110),ISNUMBER(D110)),1,0)</f>
        <v>0</v>
      </c>
      <c r="E116" s="71">
        <f>IF(AND(E110&gt;G110,$AK93&gt;1,ISNUMBER(E110),ISNUMBER(G110)),1,0)</f>
        <v>1</v>
      </c>
      <c r="F116" s="71"/>
      <c r="G116" s="72">
        <f>IF(AND(G110&gt;E110,$AK93&gt;1,ISNUMBER(E110),ISNUMBER(G110)),1,0)</f>
        <v>0</v>
      </c>
      <c r="H116" s="71">
        <f>IF(AND(H110&gt;J110,$AK93&gt;2,ISNUMBER(H110),ISNUMBER(J110)),1,0)</f>
        <v>1</v>
      </c>
      <c r="I116" s="71"/>
      <c r="J116" s="72">
        <f>IF(AND(J110&gt;H110,$AK93&gt;2,ISNUMBER(H110),ISNUMBER(J110)),1,0)</f>
        <v>0</v>
      </c>
      <c r="K116" s="71">
        <f>IF(AND(K110&gt;M110,$AK93&gt;3,ISNUMBER(K110),ISNUMBER(M110)),1,0)</f>
        <v>1</v>
      </c>
      <c r="L116" s="71"/>
      <c r="M116" s="72">
        <f>IF(AND(M110&gt;K110,$AK93&gt;3,ISNUMBER(K110),ISNUMBER(M110)),1,0)</f>
        <v>0</v>
      </c>
      <c r="N116" s="71">
        <f>IF(AND(N110&gt;P110,$AK93&gt;4,ISNUMBER(N110),ISNUMBER(P110)),1,0)</f>
        <v>1</v>
      </c>
      <c r="O116" s="71"/>
      <c r="P116" s="72">
        <f>IF(AND(P110&gt;N110,$AK93&gt;4,ISNUMBER(N110),ISNUMBER(P110)),1,0)</f>
        <v>0</v>
      </c>
      <c r="Q116" s="71">
        <f>IF(AND(Q110&gt;S110,$AK93&gt;5,ISNUMBER(Q110),ISNUMBER(S110)),1,0)</f>
        <v>1</v>
      </c>
      <c r="R116" s="71"/>
      <c r="S116" s="72">
        <f>IF(AND(S110&gt;Q110,$AK93&gt;5,ISNUMBER(Q110),ISNUMBER(S110)),1,0)</f>
        <v>0</v>
      </c>
      <c r="T116" s="71">
        <f>IF(AND(T110&gt;V110,$AK93&gt;6,ISNUMBER(T110),ISNUMBER(V110)),1,0)</f>
        <v>0</v>
      </c>
      <c r="U116" s="71"/>
      <c r="V116" s="72">
        <f>IF(AND(V110&gt;T110,$AK93&gt;6,ISNUMBER(T110),ISNUMBER(V110)),1,0)</f>
        <v>0</v>
      </c>
      <c r="W116" s="71">
        <f>IF(AND(W110&gt;Y110,$AK93&gt;7,ISNUMBER(W110),ISNUMBER(Y110)),1,0)</f>
        <v>0</v>
      </c>
      <c r="X116" s="71"/>
      <c r="Y116" s="72">
        <f>IF(AND(Y110&gt;W110,$AK93&gt;7,ISNUMBER(W110),ISNUMBER(Y110)),1,0)</f>
        <v>0</v>
      </c>
      <c r="Z116" s="71">
        <f>IF(AND(Z110&gt;AB110,$AK93&gt;8,ISNUMBER(Z110),ISNUMBER(AB110)),1,0)</f>
        <v>0</v>
      </c>
      <c r="AA116" s="71"/>
      <c r="AB116" s="72">
        <f>IF(AND(AB110&gt;Z110,$AK93&gt;8,ISNUMBER(Z110),ISNUMBER(AB110)),1,0)</f>
        <v>0</v>
      </c>
      <c r="AC116" s="71">
        <f>IF(AND(AC110&gt;AE110,$AK93&gt;9,ISNUMBER(AC110),ISNUMBER(AE110)),1,0)</f>
        <v>0</v>
      </c>
      <c r="AD116" s="71"/>
      <c r="AE116" s="72">
        <f>IF(AND(AE110&gt;AC110,$AK93&gt;9,ISNUMBER(AC110),ISNUMBER(AE110)),1,0)</f>
        <v>0</v>
      </c>
      <c r="AW116" s="154"/>
    </row>
    <row r="117" spans="1:49" s="70" customFormat="1" ht="12.75" hidden="1" customHeight="1" x14ac:dyDescent="0.2">
      <c r="A117" s="70" t="s">
        <v>76</v>
      </c>
      <c r="B117" s="71">
        <f>IF(AND(B111&gt;D111,$AK93&gt;0,$AK92&gt;1,ISNUMBER(B111),ISNUMBER(D111)),1,0)</f>
        <v>1</v>
      </c>
      <c r="C117" s="71"/>
      <c r="D117" s="72">
        <f>IF(AND(D111&gt;B111,$AK93&gt;0,$AK92&gt;1,ISNUMBER(B111),ISNUMBER(D111)),1,0)</f>
        <v>0</v>
      </c>
      <c r="E117" s="71">
        <f>IF(AND(E111&gt;G111,$AK93&gt;1,$AK92&gt;1,ISNUMBER(E111),ISNUMBER(G111)),1,0)</f>
        <v>1</v>
      </c>
      <c r="F117" s="71"/>
      <c r="G117" s="72">
        <f>IF(AND(G111&gt;E111,$AK93&gt;1,$AK92&gt;1,ISNUMBER(E111),ISNUMBER(G111)),1,0)</f>
        <v>0</v>
      </c>
      <c r="H117" s="71">
        <f>IF(AND(H111&gt;J111,$AK93&gt;2,$AK92&gt;1,ISNUMBER(H111),ISNUMBER(J111)),1,0)</f>
        <v>1</v>
      </c>
      <c r="I117" s="71"/>
      <c r="J117" s="72">
        <f>IF(AND(J111&gt;H111,$AK93&gt;2,$AK92&gt;1,ISNUMBER(H111),ISNUMBER(J111)),1,0)</f>
        <v>0</v>
      </c>
      <c r="K117" s="71">
        <f>IF(AND(K111&gt;M111,$AK93&gt;3,$AK92&gt;1,ISNUMBER(K111),ISNUMBER(M111)),1,0)</f>
        <v>1</v>
      </c>
      <c r="L117" s="71"/>
      <c r="M117" s="72">
        <f>IF(AND(M111&gt;K111,$AK93&gt;3,$AK92&gt;1,ISNUMBER(K111),ISNUMBER(M111)),1,0)</f>
        <v>0</v>
      </c>
      <c r="N117" s="71">
        <f>IF(AND(N111&gt;P111,$AK93&gt;4,$AK92&gt;1,ISNUMBER(N111),ISNUMBER(P111)),1,0)</f>
        <v>1</v>
      </c>
      <c r="O117" s="71"/>
      <c r="P117" s="72">
        <f>IF(AND(P111&gt;N111,$AK93&gt;4,$AK92&gt;1,ISNUMBER(N111),ISNUMBER(P111)),1,0)</f>
        <v>0</v>
      </c>
      <c r="Q117" s="71">
        <f>IF(AND(Q111&gt;S111,$AK93&gt;5,$AK92&gt;1,ISNUMBER(Q111),ISNUMBER(S111)),1,0)</f>
        <v>1</v>
      </c>
      <c r="R117" s="71"/>
      <c r="S117" s="72">
        <f>IF(AND(S111&gt;Q111,$AK93&gt;5,$AK92&gt;1,ISNUMBER(Q111),ISNUMBER(S111)),1,0)</f>
        <v>0</v>
      </c>
      <c r="T117" s="71">
        <f>IF(AND(T111&gt;V111,$AK93&gt;6,$AK92&gt;1,ISNUMBER(T111),ISNUMBER(V111)),1,0)</f>
        <v>0</v>
      </c>
      <c r="U117" s="71"/>
      <c r="V117" s="72">
        <f>IF(AND(V111&gt;T111,$AK93&gt;6,$AK92&gt;1,ISNUMBER(T111),ISNUMBER(V111)),1,0)</f>
        <v>0</v>
      </c>
      <c r="W117" s="71">
        <f>IF(AND(W111&gt;Y111,$AK93&gt;7,$AK92&gt;1,ISNUMBER(W111),ISNUMBER(Y111)),1,0)</f>
        <v>0</v>
      </c>
      <c r="X117" s="71"/>
      <c r="Y117" s="72">
        <f>IF(AND(Y111&gt;W111,$AK93&gt;7,$AK92&gt;1,ISNUMBER(W111),ISNUMBER(Y111)),1,0)</f>
        <v>0</v>
      </c>
      <c r="Z117" s="71">
        <f>IF(AND(Z111&gt;AB111,$AK93&gt;8,$AK92&gt;1,ISNUMBER(Z111),ISNUMBER(AB111)),1,0)</f>
        <v>0</v>
      </c>
      <c r="AA117" s="71"/>
      <c r="AB117" s="72">
        <f>IF(AND(AB111&gt;Z111,$AK93&gt;8,$AK92&gt;1,ISNUMBER(Z111),ISNUMBER(AB111)),1,0)</f>
        <v>0</v>
      </c>
      <c r="AC117" s="71">
        <f>IF(AND(AC111&gt;AE111,$AK93&gt;9,$AK92&gt;1,ISNUMBER(AC111),ISNUMBER(AE111)),1,0)</f>
        <v>0</v>
      </c>
      <c r="AD117" s="71"/>
      <c r="AE117" s="72">
        <f>IF(AND(AE111&gt;AC111,$AK93&gt;9,$AK92&gt;1,ISNUMBER(AC111),ISNUMBER(AE111)),1,0)</f>
        <v>0</v>
      </c>
      <c r="AW117" s="154"/>
    </row>
    <row r="118" spans="1:49" s="70" customFormat="1" ht="12.75" hidden="1" customHeight="1" x14ac:dyDescent="0.2">
      <c r="A118" s="70" t="s">
        <v>77</v>
      </c>
      <c r="B118" s="71">
        <f>IF(AND(B112&gt;D112,$AK93&gt;0,$AK92&gt;2,ISNUMBER(B112),ISNUMBER(D112)),1,0)</f>
        <v>0</v>
      </c>
      <c r="C118" s="71"/>
      <c r="D118" s="72">
        <f>IF(AND(D112&gt;B112,$AK93&gt;0,$AK92&gt;2,ISNUMBER(B112),ISNUMBER(D112)),1,0)</f>
        <v>0</v>
      </c>
      <c r="E118" s="71">
        <f>IF(AND(E112&gt;G112,$AK93&gt;1,$AK92&gt;2,ISNUMBER(E112),ISNUMBER(G112)),1,0)</f>
        <v>0</v>
      </c>
      <c r="F118" s="71"/>
      <c r="G118" s="72">
        <f>IF(AND(G112&gt;E112,$AK93&gt;1,$AK92&gt;2,ISNUMBER(E112),ISNUMBER(G112)),1,0)</f>
        <v>0</v>
      </c>
      <c r="H118" s="71">
        <f>IF(AND(H112&gt;J112,$AK93&gt;2,$AK92&gt;2,ISNUMBER(H112),ISNUMBER(J112)),1,0)</f>
        <v>0</v>
      </c>
      <c r="I118" s="71"/>
      <c r="J118" s="72">
        <f>IF(AND(J112&gt;H112,$AK93&gt;2,$AK92&gt;2,ISNUMBER(H112),ISNUMBER(J112)),1,0)</f>
        <v>0</v>
      </c>
      <c r="K118" s="71">
        <f>IF(AND(K112&gt;M112,$AK93&gt;3,$AK92&gt;2,ISNUMBER(K112),ISNUMBER(M112)),1,0)</f>
        <v>0</v>
      </c>
      <c r="L118" s="71"/>
      <c r="M118" s="72">
        <f>IF(AND(M112&gt;K112,$AK93&gt;3,$AK92&gt;2,ISNUMBER(K112),ISNUMBER(M112)),1,0)</f>
        <v>0</v>
      </c>
      <c r="N118" s="71">
        <f>IF(AND(N112&gt;P112,$AK93&gt;4,$AK92&gt;2,ISNUMBER(N112),ISNUMBER(P112)),1,0)</f>
        <v>0</v>
      </c>
      <c r="O118" s="71"/>
      <c r="P118" s="72">
        <f>IF(AND(P112&gt;N112,$AK93&gt;4,$AK92&gt;2,ISNUMBER(N112),ISNUMBER(P112)),1,0)</f>
        <v>0</v>
      </c>
      <c r="Q118" s="71">
        <f>IF(AND(Q112&gt;S112,$AK93&gt;5,$AK92&gt;2,ISNUMBER(Q112),ISNUMBER(S112)),1,0)</f>
        <v>0</v>
      </c>
      <c r="R118" s="71"/>
      <c r="S118" s="72">
        <f>IF(AND(S112&gt;Q112,$AK93&gt;5,$AK92&gt;2,ISNUMBER(Q112),ISNUMBER(S112)),1,0)</f>
        <v>0</v>
      </c>
      <c r="T118" s="71">
        <f>IF(AND(T112&gt;V112,$AK93&gt;6,$AK92&gt;2,ISNUMBER(T112),ISNUMBER(V112)),1,0)</f>
        <v>0</v>
      </c>
      <c r="U118" s="71"/>
      <c r="V118" s="72">
        <f>IF(AND(V112&gt;T112,$AK93&gt;6,$AK92&gt;2,ISNUMBER(T112),ISNUMBER(V112)),1,0)</f>
        <v>0</v>
      </c>
      <c r="W118" s="71">
        <f>IF(AND(W112&gt;Y112,$AK93&gt;7,$AK92&gt;2,ISNUMBER(W112),ISNUMBER(Y112)),1,0)</f>
        <v>0</v>
      </c>
      <c r="X118" s="71"/>
      <c r="Y118" s="72">
        <f>IF(AND(Y112&gt;W112,$AK93&gt;7,$AK92&gt;2,ISNUMBER(W112),ISNUMBER(Y112)),1,0)</f>
        <v>0</v>
      </c>
      <c r="Z118" s="71">
        <f>IF(AND(Z112&gt;AB112,$AK93&gt;8,$AK92&gt;2,ISNUMBER(Z112),ISNUMBER(AB112)),1,0)</f>
        <v>0</v>
      </c>
      <c r="AA118" s="71"/>
      <c r="AB118" s="72">
        <f>IF(AND(AB112&gt;Z112,$AK93&gt;8,$AK92&gt;2,ISNUMBER(Z112),ISNUMBER(AB112)),1,0)</f>
        <v>0</v>
      </c>
      <c r="AC118" s="71">
        <f>IF(AND(AC112&gt;AE112,$AK93&gt;9,$AK92&gt;2,ISNUMBER(AC112),ISNUMBER(AE112)),1,0)</f>
        <v>0</v>
      </c>
      <c r="AD118" s="71"/>
      <c r="AE118" s="72">
        <f>IF(AND(AE112&gt;AC112,$AK93&gt;9,$AK92&gt;2,ISNUMBER(AC112),ISNUMBER(AE112)),1,0)</f>
        <v>0</v>
      </c>
      <c r="AW118" s="154"/>
    </row>
    <row r="119" spans="1:49" s="70" customFormat="1" ht="12.75" hidden="1" customHeight="1" x14ac:dyDescent="0.2">
      <c r="A119" s="70" t="s">
        <v>78</v>
      </c>
      <c r="B119" s="71">
        <f>IF(AND(B113&gt;D113,$AK93&gt;0,$AK92&gt;3,ISNUMBER(B113),ISNUMBER(D113)),1,0)</f>
        <v>0</v>
      </c>
      <c r="C119" s="71"/>
      <c r="D119" s="72">
        <f>IF(AND(D113&gt;B113,$AK93&gt;0,$AK92&gt;3,ISNUMBER(B113),ISNUMBER(D113)),1,0)</f>
        <v>0</v>
      </c>
      <c r="E119" s="71">
        <f>IF(AND(E113&gt;G113,$AK93&gt;1,$AK92&gt;3,ISNUMBER(E113),ISNUMBER(G113)),1,0)</f>
        <v>0</v>
      </c>
      <c r="F119" s="71"/>
      <c r="G119" s="72">
        <f>IF(AND(G113&gt;E113,$AK93&gt;1,$AK92&gt;3,ISNUMBER(E113),ISNUMBER(G113)),1,0)</f>
        <v>0</v>
      </c>
      <c r="H119" s="71">
        <f>IF(AND(H113&gt;J113,$AK93&gt;2,$AK92&gt;3,ISNUMBER(H113),ISNUMBER(J113)),1,0)</f>
        <v>0</v>
      </c>
      <c r="I119" s="71"/>
      <c r="J119" s="72">
        <f>IF(AND(J113&gt;H113,$AK93&gt;2,$AK92&gt;3,ISNUMBER(H113),ISNUMBER(J113)),1,0)</f>
        <v>0</v>
      </c>
      <c r="K119" s="71">
        <f>IF(AND(K113&gt;M113,$AK93&gt;3,$AK92&gt;3,ISNUMBER(K113),ISNUMBER(M113)),1,0)</f>
        <v>0</v>
      </c>
      <c r="L119" s="71"/>
      <c r="M119" s="72">
        <f>IF(AND(M113&gt;K113,$AK93&gt;3,$AK92&gt;3,ISNUMBER(K113),ISNUMBER(M113)),1,0)</f>
        <v>0</v>
      </c>
      <c r="N119" s="71">
        <f>IF(AND(N113&gt;P113,$AK93&gt;4,$AK92&gt;3,ISNUMBER(N113),ISNUMBER(P113)),1,0)</f>
        <v>0</v>
      </c>
      <c r="O119" s="71"/>
      <c r="P119" s="72">
        <f>IF(AND(P113&gt;N113,$AK93&gt;4,$AK92&gt;3,ISNUMBER(N113),ISNUMBER(P113)),1,0)</f>
        <v>0</v>
      </c>
      <c r="Q119" s="71">
        <f>IF(AND(Q113&gt;S113,$AK93&gt;5,$AK92&gt;3,ISNUMBER(Q113),ISNUMBER(S113)),1,0)</f>
        <v>0</v>
      </c>
      <c r="R119" s="71"/>
      <c r="S119" s="72">
        <f>IF(AND(S113&gt;Q113,$AK93&gt;5,$AK92&gt;3,ISNUMBER(Q113),ISNUMBER(S113)),1,0)</f>
        <v>0</v>
      </c>
      <c r="T119" s="71">
        <f>IF(AND(T113&gt;V113,$AK93&gt;6,$AK92&gt;3,ISNUMBER(T113),ISNUMBER(V113)),1,0)</f>
        <v>0</v>
      </c>
      <c r="U119" s="71"/>
      <c r="V119" s="72">
        <f>IF(AND(V113&gt;T113,$AK93&gt;6,$AK92&gt;3,ISNUMBER(T113),ISNUMBER(V113)),1,0)</f>
        <v>0</v>
      </c>
      <c r="W119" s="71">
        <f>IF(AND(W113&gt;Y113,$AK93&gt;7,$AK92&gt;3,ISNUMBER(W113),ISNUMBER(Y113)),1,0)</f>
        <v>0</v>
      </c>
      <c r="X119" s="71"/>
      <c r="Y119" s="72">
        <f>IF(AND(Y113&gt;W113,$AK93&gt;7,$AK92&gt;3,ISNUMBER(W113),ISNUMBER(Y113)),1,0)</f>
        <v>0</v>
      </c>
      <c r="Z119" s="71">
        <f>IF(AND(Z113&gt;AB113,$AK93&gt;8,$AK92&gt;3,ISNUMBER(Z113),ISNUMBER(AB113)),1,0)</f>
        <v>0</v>
      </c>
      <c r="AA119" s="71"/>
      <c r="AB119" s="72">
        <f>IF(AND(AB113&gt;Z113,$AK93&gt;8,$AK92&gt;3,ISNUMBER(Z113),ISNUMBER(AB113)),1,0)</f>
        <v>0</v>
      </c>
      <c r="AC119" s="71">
        <f>IF(AND(AC113&gt;AE113,$AK93&gt;9,$AK92&gt;3,ISNUMBER(AC113),ISNUMBER(AE113)),1,0)</f>
        <v>0</v>
      </c>
      <c r="AD119" s="71"/>
      <c r="AE119" s="72">
        <f>IF(AND(AE113&gt;AC113,$AK93&gt;9,$AK92&gt;3,ISNUMBER(AC113),ISNUMBER(AE113)),1,0)</f>
        <v>0</v>
      </c>
      <c r="AW119" s="154"/>
    </row>
    <row r="120" spans="1:49" s="70" customFormat="1" ht="12.75" hidden="1" customHeight="1" x14ac:dyDescent="0.2">
      <c r="A120" s="70" t="s">
        <v>79</v>
      </c>
      <c r="B120" s="71">
        <f>IF(AND(B114&gt;D114,$AK93&gt;0,$AK92&gt;4,ISNUMBER(B114),ISNUMBER(D114)),1,0)</f>
        <v>0</v>
      </c>
      <c r="C120" s="71"/>
      <c r="D120" s="72">
        <f>IF(AND(D114&gt;B114,$AK93&gt;0,$AK92&gt;4,ISNUMBER(B114),ISNUMBER(D114)),1,0)</f>
        <v>0</v>
      </c>
      <c r="E120" s="71">
        <f>IF(AND(E114&gt;G114,$AK93&gt;1,$AK92&gt;4,ISNUMBER(E114),ISNUMBER(G114)),1,0)</f>
        <v>0</v>
      </c>
      <c r="F120" s="71"/>
      <c r="G120" s="72">
        <f>IF(AND(G114&gt;E114,$AK93&gt;1,$AK92&gt;4,ISNUMBER(E114),ISNUMBER(G114)),1,0)</f>
        <v>0</v>
      </c>
      <c r="H120" s="71">
        <f>IF(AND(H114&gt;J114,$AK93&gt;2,$AK92&gt;4,ISNUMBER(H114),ISNUMBER(J114)),1,0)</f>
        <v>0</v>
      </c>
      <c r="I120" s="71"/>
      <c r="J120" s="72">
        <f>IF(AND(J114&gt;H114,$AK93&gt;2,$AK92&gt;4,ISNUMBER(H114),ISNUMBER(J114)),1,0)</f>
        <v>0</v>
      </c>
      <c r="K120" s="71">
        <f>IF(AND(K114&gt;M114,$AK93&gt;3,$AK92&gt;4,ISNUMBER(K114),ISNUMBER(M114)),1,0)</f>
        <v>0</v>
      </c>
      <c r="L120" s="71"/>
      <c r="M120" s="72">
        <f>IF(AND(M114&gt;K114,$AK93&gt;3,$AK92&gt;4,ISNUMBER(K114),ISNUMBER(M114)),1,0)</f>
        <v>0</v>
      </c>
      <c r="N120" s="71">
        <f>IF(AND(N114&gt;P114,$AK93&gt;4,$AK92&gt;4,ISNUMBER(N114),ISNUMBER(P114)),1,0)</f>
        <v>0</v>
      </c>
      <c r="O120" s="71"/>
      <c r="P120" s="72">
        <f>IF(AND(P114&gt;N114,$AK93&gt;4,$AK92&gt;4,ISNUMBER(N114),ISNUMBER(P114)),1,0)</f>
        <v>0</v>
      </c>
      <c r="Q120" s="71">
        <f>IF(AND(Q114&gt;S114,$AK93&gt;5,$AK92&gt;4,ISNUMBER(Q114),ISNUMBER(S114)),1,0)</f>
        <v>0</v>
      </c>
      <c r="R120" s="71"/>
      <c r="S120" s="72">
        <f>IF(AND(S114&gt;Q114,$AK93&gt;5,$AK92&gt;4,ISNUMBER(Q114),ISNUMBER(S114)),1,0)</f>
        <v>0</v>
      </c>
      <c r="T120" s="71">
        <f>IF(AND(T114&gt;V114,$AK93&gt;6,$AK92&gt;4,ISNUMBER(T114),ISNUMBER(V114)),1,0)</f>
        <v>0</v>
      </c>
      <c r="U120" s="71"/>
      <c r="V120" s="72">
        <f>IF(AND(V114&gt;T114,$AK93&gt;6,$AK92&gt;4,ISNUMBER(T114),ISNUMBER(V114)),1,0)</f>
        <v>0</v>
      </c>
      <c r="W120" s="71">
        <f>IF(AND(W114&gt;Y114,$AK93&gt;7,$AK92&gt;4,ISNUMBER(W114),ISNUMBER(Y114)),1,0)</f>
        <v>0</v>
      </c>
      <c r="X120" s="71"/>
      <c r="Y120" s="72">
        <f>IF(AND(Y114&gt;W114,$AK93&gt;7,$AK92&gt;4,ISNUMBER(W114),ISNUMBER(Y114)),1,0)</f>
        <v>0</v>
      </c>
      <c r="Z120" s="71">
        <f>IF(AND(Z114&gt;AB114,$AK93&gt;8,$AK92&gt;4,ISNUMBER(Z114),ISNUMBER(AB114)),1,0)</f>
        <v>0</v>
      </c>
      <c r="AA120" s="71"/>
      <c r="AB120" s="72">
        <f>IF(AND(AB114&gt;Z114,$AK93&gt;8,$AK92&gt;4,ISNUMBER(Z114),ISNUMBER(AB114)),1,0)</f>
        <v>0</v>
      </c>
      <c r="AC120" s="71">
        <f>IF(AND(AC114&gt;AE114,$AK93&gt;9,$AK92&gt;4,ISNUMBER(AC114),ISNUMBER(AE114)),1,0)</f>
        <v>0</v>
      </c>
      <c r="AD120" s="71"/>
      <c r="AE120" s="72">
        <f>IF(AND(AE114&gt;AC114,$AK93&gt;9,$AK92&gt;4,ISNUMBER(AC114),ISNUMBER(AE114)),1,0)</f>
        <v>0</v>
      </c>
      <c r="AW120" s="154"/>
    </row>
    <row r="121" spans="1:49" s="70" customFormat="1" ht="38.25" hidden="1" customHeight="1" x14ac:dyDescent="0.2">
      <c r="A121" s="73" t="s">
        <v>80</v>
      </c>
      <c r="B121" s="70">
        <f>SUM(B116:B120)</f>
        <v>2</v>
      </c>
      <c r="D121" s="74">
        <f>SUM(D116:D120)</f>
        <v>0</v>
      </c>
      <c r="E121" s="70">
        <f>SUM(E116:E120)</f>
        <v>2</v>
      </c>
      <c r="G121" s="74">
        <f>SUM(G116:G120)</f>
        <v>0</v>
      </c>
      <c r="H121" s="70">
        <f>SUM(H116:H120)</f>
        <v>2</v>
      </c>
      <c r="J121" s="74">
        <f>SUM(J116:J120)</f>
        <v>0</v>
      </c>
      <c r="K121" s="70">
        <f>SUM(K116:K120)</f>
        <v>2</v>
      </c>
      <c r="M121" s="74">
        <f>SUM(M116:M120)</f>
        <v>0</v>
      </c>
      <c r="N121" s="70">
        <f>SUM(N116:N120)</f>
        <v>2</v>
      </c>
      <c r="P121" s="74">
        <f>SUM(P116:P120)</f>
        <v>0</v>
      </c>
      <c r="Q121" s="70">
        <f>SUM(Q116:Q120)</f>
        <v>2</v>
      </c>
      <c r="S121" s="74">
        <f>SUM(S116:S120)</f>
        <v>0</v>
      </c>
      <c r="T121" s="70">
        <f>SUM(T116:T120)</f>
        <v>0</v>
      </c>
      <c r="V121" s="74">
        <f>SUM(V116:V120)</f>
        <v>0</v>
      </c>
      <c r="W121" s="70">
        <f>SUM(W116:W120)</f>
        <v>0</v>
      </c>
      <c r="Y121" s="74">
        <f>SUM(Y116:Y120)</f>
        <v>0</v>
      </c>
      <c r="Z121" s="70">
        <f>SUM(Z116:Z120)</f>
        <v>0</v>
      </c>
      <c r="AB121" s="74">
        <f>SUM(AB116:AB120)</f>
        <v>0</v>
      </c>
      <c r="AC121" s="70">
        <f>SUM(AC116:AC120)</f>
        <v>0</v>
      </c>
      <c r="AE121" s="74">
        <f>SUM(AE116:AE120)</f>
        <v>0</v>
      </c>
      <c r="AW121" s="154"/>
    </row>
    <row r="122" spans="1:49" s="70" customFormat="1" ht="25.5" hidden="1" customHeight="1" x14ac:dyDescent="0.2">
      <c r="A122" s="73" t="s">
        <v>81</v>
      </c>
      <c r="B122" s="70">
        <f>IF(B121&gt;D121,IF(C156=AK92,1,IF(C156=AK92-1,1,0)),0)</f>
        <v>1</v>
      </c>
      <c r="C122" s="70">
        <f>B122+D122</f>
        <v>1</v>
      </c>
      <c r="D122" s="74">
        <f>IF(D121&gt;B121,IF(C156=AK92,1,IF(C156=AK92-1,1,0)),0)</f>
        <v>0</v>
      </c>
      <c r="E122" s="70">
        <f>IF(E121&gt;G121,IF(F156=AK92,1,IF(F156=AK92-1,1,0)),0)</f>
        <v>1</v>
      </c>
      <c r="F122" s="70">
        <f>E122+G122</f>
        <v>1</v>
      </c>
      <c r="G122" s="74">
        <f>IF(G121&gt;E121,IF(F156=AK92,1,IF(F156=AK92-1,1,0)),0)</f>
        <v>0</v>
      </c>
      <c r="H122" s="70">
        <f>IF(H121&gt;J121,IF(I156=AK92,1,IF(I156=AK92-1,1,0)),0)</f>
        <v>1</v>
      </c>
      <c r="I122" s="70">
        <f>H122+J122</f>
        <v>1</v>
      </c>
      <c r="J122" s="74">
        <f>IF(J121&gt;H121,IF(I156=AK92,1,IF(I156=AK92-1,1,0)),0)</f>
        <v>0</v>
      </c>
      <c r="K122" s="70">
        <f>IF(K121&gt;M121,IF(L156=AK92,1,IF(L156=AK92-1,1,0)),0)</f>
        <v>1</v>
      </c>
      <c r="L122" s="70">
        <f>K122+M122</f>
        <v>1</v>
      </c>
      <c r="M122" s="74">
        <f>IF(M121&gt;K121,IF(L156=AK92,1,IF(L156=AK92-1,1,0)),0)</f>
        <v>0</v>
      </c>
      <c r="N122" s="70">
        <f>IF(N121&gt;P121,IF(O156=AK92,1,IF(O156=AK92-1,1,0)),0)</f>
        <v>1</v>
      </c>
      <c r="O122" s="70">
        <f>N122+P122</f>
        <v>1</v>
      </c>
      <c r="P122" s="74">
        <f>IF(P121&gt;N121,IF(O156=AK92,1,IF(O156=AK92-1,1,0)),0)</f>
        <v>0</v>
      </c>
      <c r="Q122" s="70">
        <f>IF(Q121&gt;S121,IF(R156=AK92,1,IF(R156=AK92-1,1,0)),0)</f>
        <v>1</v>
      </c>
      <c r="R122" s="70">
        <f>Q122+S122</f>
        <v>1</v>
      </c>
      <c r="S122" s="74">
        <f>IF(S121&gt;Q121,IF(R156=AK92,1,IF(R156=AK92-1,1,0)),0)</f>
        <v>0</v>
      </c>
      <c r="T122" s="70">
        <f>IF(T121&gt;V121,IF(U156=AK92,1,IF(U156=AK92-1,1,0)),0)</f>
        <v>0</v>
      </c>
      <c r="U122" s="70">
        <f>T122+V122</f>
        <v>0</v>
      </c>
      <c r="V122" s="74">
        <f>IF(V121&gt;T121,IF(U156=AK92,1,IF(U156=AK92-1,1,0)),0)</f>
        <v>0</v>
      </c>
      <c r="W122" s="70">
        <f>IF(W121&gt;Y121,IF(X156=AK92,1,IF(X156=AK92-1,1,0)),0)</f>
        <v>0</v>
      </c>
      <c r="X122" s="70">
        <f>W122+Y122</f>
        <v>0</v>
      </c>
      <c r="Y122" s="74">
        <f>IF(Y121&gt;W121,IF(X156=AK92,1,IF(X156=AK92-1,1,0)),0)</f>
        <v>0</v>
      </c>
      <c r="Z122" s="70">
        <f>IF(Z121&gt;AB121,IF(AA156=AK92,1,IF(AA156=AK92-1,1,0)),0)</f>
        <v>0</v>
      </c>
      <c r="AA122" s="70">
        <f>Z122+AB122</f>
        <v>0</v>
      </c>
      <c r="AB122" s="74">
        <f>IF(AB121&gt;Z121,IF(AA156=AK92,1,IF(AA156=AK92-1,1,0)),0)</f>
        <v>0</v>
      </c>
      <c r="AC122" s="70">
        <f>IF(AC121&gt;AE121,IF(AD156=AK92,1,IF(AD156=AK92-1,1,0)),0)</f>
        <v>0</v>
      </c>
      <c r="AD122" s="70">
        <f>AC122+AE122</f>
        <v>0</v>
      </c>
      <c r="AE122" s="74">
        <f>IF(AE121&gt;AC121,IF(AD156=AK92,1,IF(AD156=AK92-1,1,0)),0)</f>
        <v>0</v>
      </c>
      <c r="AW122" s="154"/>
    </row>
    <row r="123" spans="1:49" s="70" customFormat="1" ht="25.5" hidden="1" customHeight="1" x14ac:dyDescent="0.2">
      <c r="A123" s="73"/>
      <c r="D123" s="74"/>
      <c r="G123" s="74"/>
      <c r="J123" s="74"/>
      <c r="M123" s="74"/>
      <c r="P123" s="74"/>
      <c r="S123" s="74"/>
      <c r="V123" s="74"/>
      <c r="Y123" s="74"/>
      <c r="AB123" s="74"/>
      <c r="AE123" s="74"/>
      <c r="AW123" s="154"/>
    </row>
    <row r="124" spans="1:49" s="70" customFormat="1" ht="12.75" hidden="1" customHeight="1" x14ac:dyDescent="0.2">
      <c r="A124" s="70" t="s">
        <v>82</v>
      </c>
      <c r="B124" s="70">
        <f>IF(B116=1,B110,0)</f>
        <v>25</v>
      </c>
      <c r="D124" s="74">
        <f t="shared" ref="D124:E128" si="11">IF(D116=1,D110,0)</f>
        <v>0</v>
      </c>
      <c r="E124" s="70">
        <f t="shared" si="11"/>
        <v>25</v>
      </c>
      <c r="G124" s="74">
        <f t="shared" ref="G124:H128" si="12">IF(G116=1,G110,0)</f>
        <v>0</v>
      </c>
      <c r="H124" s="70">
        <f t="shared" si="12"/>
        <v>25</v>
      </c>
      <c r="J124" s="74">
        <f t="shared" ref="J124:K128" si="13">IF(J116=1,J110,0)</f>
        <v>0</v>
      </c>
      <c r="K124" s="70">
        <f t="shared" si="13"/>
        <v>25</v>
      </c>
      <c r="M124" s="74">
        <f t="shared" ref="M124:N128" si="14">IF(M116=1,M110,0)</f>
        <v>0</v>
      </c>
      <c r="N124" s="70">
        <f t="shared" si="14"/>
        <v>25</v>
      </c>
      <c r="P124" s="74">
        <f t="shared" ref="P124:Q128" si="15">IF(P116=1,P110,0)</f>
        <v>0</v>
      </c>
      <c r="Q124" s="70">
        <f t="shared" si="15"/>
        <v>25</v>
      </c>
      <c r="S124" s="74">
        <f t="shared" ref="S124:T128" si="16">IF(S116=1,S110,0)</f>
        <v>0</v>
      </c>
      <c r="T124" s="70">
        <f t="shared" si="16"/>
        <v>0</v>
      </c>
      <c r="V124" s="74">
        <f t="shared" ref="V124:W128" si="17">IF(V116=1,V110,0)</f>
        <v>0</v>
      </c>
      <c r="W124" s="70">
        <f t="shared" si="17"/>
        <v>0</v>
      </c>
      <c r="Y124" s="74">
        <f t="shared" ref="Y124:Z128" si="18">IF(Y116=1,Y110,0)</f>
        <v>0</v>
      </c>
      <c r="Z124" s="70">
        <f t="shared" si="18"/>
        <v>0</v>
      </c>
      <c r="AB124" s="74">
        <f t="shared" ref="AB124:AC128" si="19">IF(AB116=1,AB110,0)</f>
        <v>0</v>
      </c>
      <c r="AC124" s="70">
        <f t="shared" si="19"/>
        <v>0</v>
      </c>
      <c r="AE124" s="74">
        <f>IF(AE116=1,AE110,0)</f>
        <v>0</v>
      </c>
      <c r="AW124" s="154"/>
    </row>
    <row r="125" spans="1:49" s="70" customFormat="1" ht="12.75" hidden="1" customHeight="1" x14ac:dyDescent="0.2">
      <c r="A125" s="70" t="s">
        <v>83</v>
      </c>
      <c r="B125" s="70">
        <f>IF(B117=1,B111,0)</f>
        <v>25</v>
      </c>
      <c r="D125" s="74">
        <f t="shared" si="11"/>
        <v>0</v>
      </c>
      <c r="E125" s="70">
        <f t="shared" si="11"/>
        <v>25</v>
      </c>
      <c r="G125" s="74">
        <f t="shared" si="12"/>
        <v>0</v>
      </c>
      <c r="H125" s="70">
        <f t="shared" si="12"/>
        <v>25</v>
      </c>
      <c r="J125" s="74">
        <f t="shared" si="13"/>
        <v>0</v>
      </c>
      <c r="K125" s="70">
        <f t="shared" si="13"/>
        <v>25</v>
      </c>
      <c r="M125" s="74">
        <f t="shared" si="14"/>
        <v>0</v>
      </c>
      <c r="N125" s="70">
        <f t="shared" si="14"/>
        <v>25</v>
      </c>
      <c r="P125" s="74">
        <f t="shared" si="15"/>
        <v>0</v>
      </c>
      <c r="Q125" s="70">
        <f t="shared" si="15"/>
        <v>25</v>
      </c>
      <c r="S125" s="74">
        <f t="shared" si="16"/>
        <v>0</v>
      </c>
      <c r="T125" s="70">
        <f t="shared" si="16"/>
        <v>0</v>
      </c>
      <c r="V125" s="74">
        <f t="shared" si="17"/>
        <v>0</v>
      </c>
      <c r="W125" s="70">
        <f t="shared" si="17"/>
        <v>0</v>
      </c>
      <c r="Y125" s="74">
        <f t="shared" si="18"/>
        <v>0</v>
      </c>
      <c r="Z125" s="70">
        <f t="shared" si="18"/>
        <v>0</v>
      </c>
      <c r="AB125" s="74">
        <f t="shared" si="19"/>
        <v>0</v>
      </c>
      <c r="AC125" s="70">
        <f t="shared" si="19"/>
        <v>0</v>
      </c>
      <c r="AE125" s="74">
        <f>IF(AE117=1,AE111,0)</f>
        <v>0</v>
      </c>
      <c r="AW125" s="154"/>
    </row>
    <row r="126" spans="1:49" s="70" customFormat="1" ht="12.75" hidden="1" customHeight="1" x14ac:dyDescent="0.2">
      <c r="A126" s="70" t="s">
        <v>84</v>
      </c>
      <c r="B126" s="70">
        <f>IF(B118=1,B112,0)</f>
        <v>0</v>
      </c>
      <c r="D126" s="74">
        <f t="shared" si="11"/>
        <v>0</v>
      </c>
      <c r="E126" s="70">
        <f t="shared" si="11"/>
        <v>0</v>
      </c>
      <c r="G126" s="74">
        <f t="shared" si="12"/>
        <v>0</v>
      </c>
      <c r="H126" s="70">
        <f t="shared" si="12"/>
        <v>0</v>
      </c>
      <c r="J126" s="74">
        <f t="shared" si="13"/>
        <v>0</v>
      </c>
      <c r="K126" s="70">
        <f t="shared" si="13"/>
        <v>0</v>
      </c>
      <c r="M126" s="74">
        <f t="shared" si="14"/>
        <v>0</v>
      </c>
      <c r="N126" s="70">
        <f t="shared" si="14"/>
        <v>0</v>
      </c>
      <c r="P126" s="74">
        <f t="shared" si="15"/>
        <v>0</v>
      </c>
      <c r="Q126" s="70">
        <f t="shared" si="15"/>
        <v>0</v>
      </c>
      <c r="S126" s="74">
        <f t="shared" si="16"/>
        <v>0</v>
      </c>
      <c r="T126" s="70">
        <f t="shared" si="16"/>
        <v>0</v>
      </c>
      <c r="V126" s="74">
        <f t="shared" si="17"/>
        <v>0</v>
      </c>
      <c r="W126" s="70">
        <f t="shared" si="17"/>
        <v>0</v>
      </c>
      <c r="Y126" s="74">
        <f t="shared" si="18"/>
        <v>0</v>
      </c>
      <c r="Z126" s="70">
        <f t="shared" si="18"/>
        <v>0</v>
      </c>
      <c r="AB126" s="74">
        <f t="shared" si="19"/>
        <v>0</v>
      </c>
      <c r="AC126" s="70">
        <f t="shared" si="19"/>
        <v>0</v>
      </c>
      <c r="AE126" s="74">
        <f>IF(AE118=1,AE112,0)</f>
        <v>0</v>
      </c>
      <c r="AW126" s="154"/>
    </row>
    <row r="127" spans="1:49" s="70" customFormat="1" ht="12.75" hidden="1" customHeight="1" x14ac:dyDescent="0.2">
      <c r="A127" s="70" t="s">
        <v>85</v>
      </c>
      <c r="B127" s="70">
        <f>IF(B119=1,B113,0)</f>
        <v>0</v>
      </c>
      <c r="D127" s="74">
        <f t="shared" si="11"/>
        <v>0</v>
      </c>
      <c r="E127" s="70">
        <f t="shared" si="11"/>
        <v>0</v>
      </c>
      <c r="G127" s="74">
        <f t="shared" si="12"/>
        <v>0</v>
      </c>
      <c r="H127" s="70">
        <f t="shared" si="12"/>
        <v>0</v>
      </c>
      <c r="J127" s="74">
        <f t="shared" si="13"/>
        <v>0</v>
      </c>
      <c r="K127" s="70">
        <f t="shared" si="13"/>
        <v>0</v>
      </c>
      <c r="M127" s="74">
        <f t="shared" si="14"/>
        <v>0</v>
      </c>
      <c r="N127" s="70">
        <f t="shared" si="14"/>
        <v>0</v>
      </c>
      <c r="P127" s="74">
        <f t="shared" si="15"/>
        <v>0</v>
      </c>
      <c r="Q127" s="70">
        <f t="shared" si="15"/>
        <v>0</v>
      </c>
      <c r="S127" s="74">
        <f t="shared" si="16"/>
        <v>0</v>
      </c>
      <c r="T127" s="70">
        <f t="shared" si="16"/>
        <v>0</v>
      </c>
      <c r="V127" s="74">
        <f t="shared" si="17"/>
        <v>0</v>
      </c>
      <c r="W127" s="70">
        <f t="shared" si="17"/>
        <v>0</v>
      </c>
      <c r="Y127" s="74">
        <f t="shared" si="18"/>
        <v>0</v>
      </c>
      <c r="Z127" s="70">
        <f t="shared" si="18"/>
        <v>0</v>
      </c>
      <c r="AB127" s="74">
        <f t="shared" si="19"/>
        <v>0</v>
      </c>
      <c r="AC127" s="70">
        <f t="shared" si="19"/>
        <v>0</v>
      </c>
      <c r="AE127" s="74">
        <f>IF(AE119=1,AE113,0)</f>
        <v>0</v>
      </c>
      <c r="AW127" s="154"/>
    </row>
    <row r="128" spans="1:49" s="70" customFormat="1" ht="12.75" hidden="1" customHeight="1" x14ac:dyDescent="0.2">
      <c r="A128" s="70" t="s">
        <v>86</v>
      </c>
      <c r="B128" s="70">
        <f>IF(B120=1,B114,0)</f>
        <v>0</v>
      </c>
      <c r="D128" s="74">
        <f t="shared" si="11"/>
        <v>0</v>
      </c>
      <c r="E128" s="70">
        <f t="shared" si="11"/>
        <v>0</v>
      </c>
      <c r="G128" s="74">
        <f t="shared" si="12"/>
        <v>0</v>
      </c>
      <c r="H128" s="70">
        <f t="shared" si="12"/>
        <v>0</v>
      </c>
      <c r="J128" s="74">
        <f t="shared" si="13"/>
        <v>0</v>
      </c>
      <c r="K128" s="70">
        <f t="shared" si="13"/>
        <v>0</v>
      </c>
      <c r="M128" s="74">
        <f t="shared" si="14"/>
        <v>0</v>
      </c>
      <c r="N128" s="70">
        <f t="shared" si="14"/>
        <v>0</v>
      </c>
      <c r="P128" s="74">
        <f t="shared" si="15"/>
        <v>0</v>
      </c>
      <c r="Q128" s="70">
        <f t="shared" si="15"/>
        <v>0</v>
      </c>
      <c r="S128" s="74">
        <f t="shared" si="16"/>
        <v>0</v>
      </c>
      <c r="T128" s="70">
        <f t="shared" si="16"/>
        <v>0</v>
      </c>
      <c r="V128" s="74">
        <f t="shared" si="17"/>
        <v>0</v>
      </c>
      <c r="W128" s="70">
        <f t="shared" si="17"/>
        <v>0</v>
      </c>
      <c r="Y128" s="74">
        <f t="shared" si="18"/>
        <v>0</v>
      </c>
      <c r="Z128" s="70">
        <f t="shared" si="18"/>
        <v>0</v>
      </c>
      <c r="AB128" s="74">
        <f t="shared" si="19"/>
        <v>0</v>
      </c>
      <c r="AC128" s="70">
        <f t="shared" si="19"/>
        <v>0</v>
      </c>
      <c r="AE128" s="74">
        <f>IF(AE120=1,AE114,0)</f>
        <v>0</v>
      </c>
      <c r="AW128" s="154"/>
    </row>
    <row r="129" spans="1:49" s="70" customFormat="1" ht="38.25" hidden="1" customHeight="1" x14ac:dyDescent="0.2">
      <c r="A129" s="73" t="s">
        <v>87</v>
      </c>
      <c r="B129" s="70">
        <f>SUM(B124:D128)</f>
        <v>50</v>
      </c>
      <c r="D129" s="74"/>
      <c r="E129" s="70">
        <f>SUM(E124:G128)</f>
        <v>50</v>
      </c>
      <c r="G129" s="74"/>
      <c r="H129" s="70">
        <f>SUM(H124:J128)</f>
        <v>50</v>
      </c>
      <c r="J129" s="74"/>
      <c r="K129" s="70">
        <f>SUM(K124:M128)</f>
        <v>50</v>
      </c>
      <c r="M129" s="74"/>
      <c r="N129" s="70">
        <f>SUM(N124:P128)</f>
        <v>50</v>
      </c>
      <c r="P129" s="74"/>
      <c r="Q129" s="70">
        <f>SUM(Q124:S128)</f>
        <v>50</v>
      </c>
      <c r="S129" s="74"/>
      <c r="T129" s="70">
        <f>SUM(T124:V128)</f>
        <v>0</v>
      </c>
      <c r="V129" s="74"/>
      <c r="W129" s="70">
        <f>SUM(W124:Y128)</f>
        <v>0</v>
      </c>
      <c r="Y129" s="74"/>
      <c r="Z129" s="70">
        <f>SUM(Z124:AB128)</f>
        <v>0</v>
      </c>
      <c r="AB129" s="74"/>
      <c r="AC129" s="70">
        <f>SUM(AC124:AE128)</f>
        <v>0</v>
      </c>
      <c r="AE129" s="74"/>
      <c r="AW129" s="154"/>
    </row>
    <row r="130" spans="1:49" s="70" customFormat="1" ht="38.25" hidden="1" customHeight="1" x14ac:dyDescent="0.2">
      <c r="A130" s="70" t="s">
        <v>88</v>
      </c>
      <c r="D130" s="74"/>
      <c r="G130" s="74"/>
      <c r="J130" s="74"/>
      <c r="M130" s="74"/>
      <c r="P130" s="74"/>
      <c r="S130" s="74"/>
      <c r="V130" s="74"/>
      <c r="Y130" s="74"/>
      <c r="AB130" s="74"/>
      <c r="AE130" s="74"/>
      <c r="AF130" s="73" t="s">
        <v>89</v>
      </c>
      <c r="AG130" s="70" t="s">
        <v>90</v>
      </c>
      <c r="AW130" s="154"/>
    </row>
    <row r="131" spans="1:49" s="70" customFormat="1" ht="12.75" hidden="1" customHeight="1" x14ac:dyDescent="0.2">
      <c r="A131" s="70" t="s">
        <v>91</v>
      </c>
      <c r="B131" s="70">
        <f>IF(B109=1,IF(B122=1,1,0),0)</f>
        <v>0</v>
      </c>
      <c r="D131" s="74">
        <f>IF(D109=1,IF(D122=1,1,0),0)</f>
        <v>0</v>
      </c>
      <c r="E131" s="70">
        <f>IF(E109=1,IF(E122=1,1,0),0)</f>
        <v>1</v>
      </c>
      <c r="G131" s="74">
        <f>IF(G109=1,IF(G122=1,1,0),0)</f>
        <v>0</v>
      </c>
      <c r="H131" s="70">
        <f>IF(H109=1,IF(H122=1,1,0),0)</f>
        <v>0</v>
      </c>
      <c r="J131" s="74">
        <f>IF(J109=1,IF(J122=1,1,0),0)</f>
        <v>0</v>
      </c>
      <c r="K131" s="70">
        <f>IF(K109=1,IF(K122=1,1,0),0)</f>
        <v>1</v>
      </c>
      <c r="M131" s="74">
        <f>IF(M109=1,IF(M122=1,1,0),0)</f>
        <v>0</v>
      </c>
      <c r="N131" s="70">
        <f>IF(N109=1,IF(N122=1,1,0),0)</f>
        <v>0</v>
      </c>
      <c r="P131" s="74">
        <f>IF(P109=1,IF(P122=1,1,0),0)</f>
        <v>0</v>
      </c>
      <c r="Q131" s="70">
        <f>IF(Q109=1,IF(Q122=1,1,0),0)</f>
        <v>1</v>
      </c>
      <c r="S131" s="74">
        <f>IF(S109=1,IF(S122=1,1,0),0)</f>
        <v>0</v>
      </c>
      <c r="T131" s="70">
        <f>IF(T109=1,IF(T122=1,1,0),0)</f>
        <v>0</v>
      </c>
      <c r="V131" s="74">
        <f>IF(V109=1,IF(V122=1,1,0),0)</f>
        <v>0</v>
      </c>
      <c r="W131" s="70">
        <f>IF(W109=1,IF(W122=1,1,0),0)</f>
        <v>0</v>
      </c>
      <c r="Y131" s="74">
        <f>IF(Y109=1,IF(Y122=1,1,0),0)</f>
        <v>0</v>
      </c>
      <c r="Z131" s="70">
        <f>IF(Z109=1,IF(Z122=1,1,0),0)</f>
        <v>0</v>
      </c>
      <c r="AB131" s="74">
        <f>IF(AB109=1,IF(AB122=1,1,0),0)</f>
        <v>0</v>
      </c>
      <c r="AC131" s="70">
        <f>IF(AC109=1,IF(AC122=1,1,0),0)</f>
        <v>0</v>
      </c>
      <c r="AE131" s="74">
        <f>IF(AE109=1,IF(AE122=1,1,0),0)</f>
        <v>0</v>
      </c>
      <c r="AF131" s="70">
        <f>SUM(B131:AE131)</f>
        <v>3</v>
      </c>
      <c r="AG131" s="70">
        <f>AF137-AF131</f>
        <v>0</v>
      </c>
      <c r="AW131" s="154"/>
    </row>
    <row r="132" spans="1:49" s="70" customFormat="1" ht="12.75" hidden="1" customHeight="1" x14ac:dyDescent="0.2">
      <c r="A132" s="70" t="s">
        <v>92</v>
      </c>
      <c r="B132" s="70">
        <f>IF(B109=2,IF(B122=1,1,0),0)</f>
        <v>1</v>
      </c>
      <c r="D132" s="74">
        <f>IF(D109=2,IF(D122=1,1,0),0)</f>
        <v>0</v>
      </c>
      <c r="E132" s="70">
        <f>IF(E109=2,IF(E122=1,1,0),0)</f>
        <v>0</v>
      </c>
      <c r="G132" s="74">
        <f>IF(G109=2,IF(G122=1,1,0),0)</f>
        <v>0</v>
      </c>
      <c r="H132" s="70">
        <f>IF(H109=2,IF(H122=1,1,0),0)</f>
        <v>1</v>
      </c>
      <c r="J132" s="74">
        <f>IF(J109=2,IF(J122=1,1,0),0)</f>
        <v>0</v>
      </c>
      <c r="K132" s="70">
        <f>IF(K109=2,IF(K122=1,1,0),0)</f>
        <v>0</v>
      </c>
      <c r="M132" s="74">
        <f>IF(M109=2,IF(M122=1,1,0),0)</f>
        <v>0</v>
      </c>
      <c r="N132" s="70">
        <f>IF(N109=2,IF(N122=1,1,0),0)</f>
        <v>0</v>
      </c>
      <c r="P132" s="74">
        <f>IF(P109=2,IF(P122=1,1,0),0)</f>
        <v>0</v>
      </c>
      <c r="Q132" s="70">
        <f>IF(Q109=2,IF(Q122=1,1,0),0)</f>
        <v>0</v>
      </c>
      <c r="S132" s="74">
        <f>IF(S109=2,IF(S122=1,1,0),0)</f>
        <v>0</v>
      </c>
      <c r="T132" s="70">
        <f>IF(T109=2,IF(T122=1,1,0),0)</f>
        <v>0</v>
      </c>
      <c r="V132" s="74">
        <f>IF(V109=2,IF(V122=1,1,0),0)</f>
        <v>0</v>
      </c>
      <c r="W132" s="70">
        <f>IF(W109=2,IF(W122=1,1,0),0)</f>
        <v>0</v>
      </c>
      <c r="Y132" s="74">
        <f>IF(Y109=2,IF(Y122=1,1,0),0)</f>
        <v>0</v>
      </c>
      <c r="Z132" s="70">
        <f>IF(Z109=2,IF(Z122=1,1,0),0)</f>
        <v>0</v>
      </c>
      <c r="AB132" s="74">
        <f>IF(AB109=2,IF(AB122=1,1,0),0)</f>
        <v>0</v>
      </c>
      <c r="AC132" s="70">
        <f>IF(AC109=2,IF(AC122=1,1,0),0)</f>
        <v>0</v>
      </c>
      <c r="AE132" s="74">
        <f>IF(AE109=2,IF(AE122=1,1,0),0)</f>
        <v>0</v>
      </c>
      <c r="AF132" s="70">
        <f>SUM(B132:AE132)</f>
        <v>2</v>
      </c>
      <c r="AG132" s="70">
        <f>AF138-AF132</f>
        <v>1</v>
      </c>
      <c r="AW132" s="154"/>
    </row>
    <row r="133" spans="1:49" s="70" customFormat="1" ht="12.75" hidden="1" customHeight="1" x14ac:dyDescent="0.2">
      <c r="A133" s="70" t="s">
        <v>93</v>
      </c>
      <c r="B133" s="70">
        <f>IF(B109=3,IF(B122=1,1,0),0)</f>
        <v>0</v>
      </c>
      <c r="D133" s="74">
        <f>IF(D109=3,IF(D122=1,1,0),0)</f>
        <v>0</v>
      </c>
      <c r="E133" s="70">
        <f>IF(E109=3,IF(E122=1,1,0),0)</f>
        <v>0</v>
      </c>
      <c r="G133" s="74">
        <f>IF(G109=3,IF(G122=1,1,0),0)</f>
        <v>0</v>
      </c>
      <c r="H133" s="70">
        <f>IF(H109=3,IF(H122=1,1,0),0)</f>
        <v>0</v>
      </c>
      <c r="J133" s="74">
        <f>IF(J109=3,IF(J122=1,1,0),0)</f>
        <v>0</v>
      </c>
      <c r="K133" s="70">
        <f>IF(K109=3,IF(K122=1,1,0),0)</f>
        <v>0</v>
      </c>
      <c r="M133" s="74">
        <f>IF(M109=3,IF(M122=1,1,0),0)</f>
        <v>0</v>
      </c>
      <c r="N133" s="70">
        <f>IF(N109=3,IF(N122=1,1,0),0)</f>
        <v>1</v>
      </c>
      <c r="P133" s="74">
        <f>IF(P109=3,IF(P122=1,1,0),0)</f>
        <v>0</v>
      </c>
      <c r="Q133" s="70">
        <f>IF(Q109=3,IF(Q122=1,1,0),0)</f>
        <v>0</v>
      </c>
      <c r="S133" s="74">
        <f>IF(S109=3,IF(S122=1,1,0),0)</f>
        <v>0</v>
      </c>
      <c r="T133" s="70">
        <f>IF(T109=3,IF(T122=1,1,0),0)</f>
        <v>0</v>
      </c>
      <c r="V133" s="74">
        <f>IF(V109=3,IF(V122=1,1,0),0)</f>
        <v>0</v>
      </c>
      <c r="W133" s="70">
        <f>IF(W109=3,IF(W122=1,1,0),0)</f>
        <v>0</v>
      </c>
      <c r="Y133" s="74">
        <f>IF(Y109=3,IF(Y122=1,1,0),0)</f>
        <v>0</v>
      </c>
      <c r="Z133" s="70">
        <f>IF(Z109=3,IF(Z122=1,1,0),0)</f>
        <v>0</v>
      </c>
      <c r="AB133" s="74">
        <f>IF(AB109=3,IF(AB122=1,1,0),0)</f>
        <v>0</v>
      </c>
      <c r="AC133" s="70">
        <f>IF(AC109=3,IF(AC122=1,1,0),0)</f>
        <v>0</v>
      </c>
      <c r="AE133" s="74">
        <f>IF(AE109=3,IF(AE122=1,1,0),0)</f>
        <v>0</v>
      </c>
      <c r="AF133" s="70">
        <f>SUM(B133:AE133)</f>
        <v>1</v>
      </c>
      <c r="AG133" s="70">
        <f>AF139-AF133</f>
        <v>2</v>
      </c>
      <c r="AW133" s="154"/>
    </row>
    <row r="134" spans="1:49" s="70" customFormat="1" ht="12.75" hidden="1" customHeight="1" x14ac:dyDescent="0.2">
      <c r="A134" s="70" t="s">
        <v>94</v>
      </c>
      <c r="B134" s="70">
        <f>IF(B109=4,IF(B122=1,1,0),0)</f>
        <v>0</v>
      </c>
      <c r="D134" s="74">
        <f>IF(D109=4,IF(D122=1,1,0),0)</f>
        <v>0</v>
      </c>
      <c r="E134" s="70">
        <f>IF(E109=4,IF(E122=1,1,0),0)</f>
        <v>0</v>
      </c>
      <c r="G134" s="74">
        <f>IF(G109=4,IF(G122=1,1,0),0)</f>
        <v>0</v>
      </c>
      <c r="H134" s="70">
        <f>IF(H109=4,IF(H122=1,1,0),0)</f>
        <v>0</v>
      </c>
      <c r="J134" s="74">
        <f>IF(J109=4,IF(J122=1,1,0),0)</f>
        <v>0</v>
      </c>
      <c r="K134" s="70">
        <f>IF(K109=4,IF(K122=1,1,0),0)</f>
        <v>0</v>
      </c>
      <c r="M134" s="74">
        <f>IF(M109=4,IF(M122=1,1,0),0)</f>
        <v>0</v>
      </c>
      <c r="N134" s="70">
        <f>IF(N109=4,IF(N122=1,1,0),0)</f>
        <v>0</v>
      </c>
      <c r="P134" s="74">
        <f>IF(P109=4,IF(P122=1,1,0),0)</f>
        <v>0</v>
      </c>
      <c r="Q134" s="70">
        <f>IF(Q109=4,IF(Q122=1,1,0),0)</f>
        <v>0</v>
      </c>
      <c r="S134" s="74">
        <f>IF(S109=4,IF(S122=1,1,0),0)</f>
        <v>0</v>
      </c>
      <c r="T134" s="70">
        <f>IF(T109=4,IF(T122=1,1,0),0)</f>
        <v>0</v>
      </c>
      <c r="V134" s="74">
        <f>IF(V109=4,IF(V122=1,1,0),0)</f>
        <v>0</v>
      </c>
      <c r="W134" s="70">
        <f>IF(W109=4,IF(W122=1,1,0),0)</f>
        <v>0</v>
      </c>
      <c r="Y134" s="74">
        <f>IF(Y109=4,IF(Y122=1,1,0),0)</f>
        <v>0</v>
      </c>
      <c r="Z134" s="70">
        <f>IF(Z109=4,IF(Z122=1,1,0),0)</f>
        <v>0</v>
      </c>
      <c r="AB134" s="74">
        <f>IF(AB109=4,IF(AB122=1,1,0),0)</f>
        <v>0</v>
      </c>
      <c r="AC134" s="70">
        <f>IF(AC109=4,IF(AC122=1,1,0),0)</f>
        <v>0</v>
      </c>
      <c r="AE134" s="74">
        <f>IF(AE109=4,IF(AE122=1,1,0),0)</f>
        <v>0</v>
      </c>
      <c r="AF134" s="70">
        <f>SUM(B134:AE134)</f>
        <v>0</v>
      </c>
      <c r="AG134" s="70">
        <f>AF140-AF134</f>
        <v>3</v>
      </c>
      <c r="AW134" s="154"/>
    </row>
    <row r="135" spans="1:49" s="70" customFormat="1" ht="12.75" hidden="1" customHeight="1" x14ac:dyDescent="0.2">
      <c r="A135" s="70" t="s">
        <v>95</v>
      </c>
      <c r="B135" s="70">
        <f>IF(B109=5,IF(B122=1,1,0),0)</f>
        <v>0</v>
      </c>
      <c r="D135" s="74">
        <f>IF(D109=5,IF(D122=1,1,0),0)</f>
        <v>0</v>
      </c>
      <c r="E135" s="70">
        <f>IF(E109=5,IF(E122=1,1,0),0)</f>
        <v>0</v>
      </c>
      <c r="G135" s="74">
        <f>IF(G109=5,IF(G122=1,1,0),0)</f>
        <v>0</v>
      </c>
      <c r="H135" s="70">
        <f>IF(H109=5,IF(H122=1,1,0),0)</f>
        <v>0</v>
      </c>
      <c r="J135" s="74">
        <f>IF(J109=5,IF(J122=1,1,0),0)</f>
        <v>0</v>
      </c>
      <c r="K135" s="70">
        <f>IF(K109=5,IF(K122=1,1,0),0)</f>
        <v>0</v>
      </c>
      <c r="M135" s="74">
        <f>IF(M109=5,IF(M122=1,1,0),0)</f>
        <v>0</v>
      </c>
      <c r="N135" s="70">
        <f>IF(N109=5,IF(N122=1,1,0),0)</f>
        <v>0</v>
      </c>
      <c r="P135" s="74">
        <f>IF(P109=5,IF(P122=1,1,0),0)</f>
        <v>0</v>
      </c>
      <c r="Q135" s="70">
        <f>IF(Q109=5,IF(Q122=1,1,0),0)</f>
        <v>0</v>
      </c>
      <c r="S135" s="74">
        <f>IF(S109=5,IF(S122=1,1,0),0)</f>
        <v>0</v>
      </c>
      <c r="T135" s="70">
        <f>IF(T109=5,IF(T122=1,1,0),0)</f>
        <v>0</v>
      </c>
      <c r="V135" s="74">
        <f>IF(V109=5,IF(V122=1,1,0),0)</f>
        <v>0</v>
      </c>
      <c r="W135" s="70">
        <f>IF(W109=5,IF(W122=1,1,0),0)</f>
        <v>0</v>
      </c>
      <c r="Y135" s="74">
        <f>IF(Y109=5,IF(Y122=1,1,0),0)</f>
        <v>0</v>
      </c>
      <c r="Z135" s="70">
        <f>IF(Z109=5,IF(Z122=1,1,0),0)</f>
        <v>0</v>
      </c>
      <c r="AB135" s="74">
        <f>IF(AB109=5,IF(AB122=1,1,0),0)</f>
        <v>0</v>
      </c>
      <c r="AC135" s="70">
        <f>IF(AC109=5,IF(AC122=1,1,0),0)</f>
        <v>0</v>
      </c>
      <c r="AE135" s="74">
        <f>IF(AE109=5,IF(AE122=1,1,0),0)</f>
        <v>0</v>
      </c>
      <c r="AF135" s="70">
        <f>SUM(B135:AE135)</f>
        <v>0</v>
      </c>
      <c r="AG135" s="70">
        <f>AF141-AF135</f>
        <v>0</v>
      </c>
      <c r="AW135" s="154"/>
    </row>
    <row r="136" spans="1:49" s="70" customFormat="1" ht="38.25" hidden="1" customHeight="1" x14ac:dyDescent="0.2">
      <c r="A136" s="73"/>
      <c r="D136" s="74"/>
      <c r="G136" s="74"/>
      <c r="J136" s="74"/>
      <c r="M136" s="74"/>
      <c r="P136" s="74"/>
      <c r="S136" s="74"/>
      <c r="V136" s="74"/>
      <c r="Y136" s="74"/>
      <c r="AB136" s="74"/>
      <c r="AE136" s="74"/>
      <c r="AF136" s="73" t="s">
        <v>96</v>
      </c>
      <c r="AW136" s="154"/>
    </row>
    <row r="137" spans="1:49" s="70" customFormat="1" ht="12.75" hidden="1" customHeight="1" x14ac:dyDescent="0.2">
      <c r="A137" s="70" t="s">
        <v>97</v>
      </c>
      <c r="B137" s="70">
        <f>IF(B109=1,IF(C122=1,1,0),0)</f>
        <v>0</v>
      </c>
      <c r="D137" s="74">
        <f>IF(D109=1,IF(C122=1,1,0),0)</f>
        <v>0</v>
      </c>
      <c r="E137" s="70">
        <f>IF(E109=1,IF(F122=1,1,0),0)</f>
        <v>1</v>
      </c>
      <c r="G137" s="74">
        <f>IF(G109=1,IF(F122=1,1,0),0)</f>
        <v>0</v>
      </c>
      <c r="H137" s="70">
        <f>IF(H109=1,IF(I122=1,1,0),0)</f>
        <v>0</v>
      </c>
      <c r="J137" s="74">
        <f>IF(J109=1,IF(I122=1,1,0),0)</f>
        <v>0</v>
      </c>
      <c r="K137" s="70">
        <f>IF(K109=1,IF(L122=1,1,0),0)</f>
        <v>1</v>
      </c>
      <c r="M137" s="74">
        <f>IF(M109=1,IF(L122=1,1,0),0)</f>
        <v>0</v>
      </c>
      <c r="N137" s="70">
        <f>IF(N109=1,IF(O122=1,1,0),0)</f>
        <v>0</v>
      </c>
      <c r="P137" s="74">
        <f>IF(P109=1,IF(O122=1,1,0),0)</f>
        <v>0</v>
      </c>
      <c r="Q137" s="70">
        <f>IF(Q109=1,IF(R122=1,1,0),0)</f>
        <v>1</v>
      </c>
      <c r="S137" s="74">
        <f>IF(S109=1,IF(R122=1,1,0),0)</f>
        <v>0</v>
      </c>
      <c r="T137" s="70">
        <f>IF(T109=1,IF(U122=1,1,0),0)</f>
        <v>0</v>
      </c>
      <c r="V137" s="74">
        <f>IF(V109=1,IF(U122=1,1,0),0)</f>
        <v>0</v>
      </c>
      <c r="W137" s="70">
        <f>IF(W109=1,IF(X122=1,1,0),0)</f>
        <v>0</v>
      </c>
      <c r="Y137" s="74">
        <f>IF(Y109=1,IF(X122=1,1,0),0)</f>
        <v>0</v>
      </c>
      <c r="Z137" s="70">
        <f>IF(Z109=1,IF(AA122=1,1,0),0)</f>
        <v>0</v>
      </c>
      <c r="AB137" s="74">
        <f>IF(AB109=1,IF(AA122=1,1,0),0)</f>
        <v>0</v>
      </c>
      <c r="AC137" s="70">
        <f>IF(AC109=1,IF(AD122=1,1,0),0)</f>
        <v>0</v>
      </c>
      <c r="AE137" s="74">
        <f>IF(AE109=1,IF(AD122=1,1,0),0)</f>
        <v>0</v>
      </c>
      <c r="AF137" s="70">
        <f>SUM(B137:AE137)</f>
        <v>3</v>
      </c>
      <c r="AW137" s="154"/>
    </row>
    <row r="138" spans="1:49" s="70" customFormat="1" ht="12.75" hidden="1" customHeight="1" x14ac:dyDescent="0.2">
      <c r="A138" s="70" t="s">
        <v>98</v>
      </c>
      <c r="B138" s="70">
        <f>IF(B109=2,IF(C122=1,1,0),0)</f>
        <v>1</v>
      </c>
      <c r="D138" s="74">
        <f>IF(D109=2,IF(C122=1,1,0),0)</f>
        <v>0</v>
      </c>
      <c r="E138" s="70">
        <f>IF(E109=2,IF(F122=1,1,0),0)</f>
        <v>0</v>
      </c>
      <c r="G138" s="74">
        <f>IF(G109=2,IF(F122=1,1,0),0)</f>
        <v>0</v>
      </c>
      <c r="H138" s="70">
        <f>IF(H109=2,IF(I122=1,1,0),0)</f>
        <v>1</v>
      </c>
      <c r="J138" s="74">
        <f>IF(J109=2,IF(I122=1,1,0),0)</f>
        <v>0</v>
      </c>
      <c r="K138" s="70">
        <f>IF(K109=2,IF(L122=1,1,0),0)</f>
        <v>0</v>
      </c>
      <c r="M138" s="74">
        <f>IF(M109=2,IF(L122=1,1,0),0)</f>
        <v>0</v>
      </c>
      <c r="N138" s="70">
        <f>IF(N109=2,IF(O122=1,1,0),0)</f>
        <v>0</v>
      </c>
      <c r="P138" s="74">
        <f>IF(P109=2,IF(O122=1,1,0),0)</f>
        <v>0</v>
      </c>
      <c r="Q138" s="70">
        <f>IF(Q109=2,IF(R122=1,1,0),0)</f>
        <v>0</v>
      </c>
      <c r="S138" s="74">
        <f>IF(S109=2,IF(R122=1,1,0),0)</f>
        <v>1</v>
      </c>
      <c r="T138" s="70">
        <f>IF(T109=2,IF(U122=1,1,0),0)</f>
        <v>0</v>
      </c>
      <c r="V138" s="74">
        <f>IF(V109=2,IF(U122=1,1,0),0)</f>
        <v>0</v>
      </c>
      <c r="W138" s="70">
        <f>IF(W109=2,IF(X122=1,1,0),0)</f>
        <v>0</v>
      </c>
      <c r="Y138" s="74">
        <f>IF(Y109=2,IF(X122=1,1,0),0)</f>
        <v>0</v>
      </c>
      <c r="Z138" s="70">
        <f>IF(Z109=2,IF(AA122=1,1,0),0)</f>
        <v>0</v>
      </c>
      <c r="AB138" s="74">
        <f>IF(AB109=2,IF(AA122=1,1,0),0)</f>
        <v>0</v>
      </c>
      <c r="AC138" s="70">
        <f>IF(AC109=2,IF(AD122=1,1,0),0)</f>
        <v>0</v>
      </c>
      <c r="AE138" s="74">
        <f>IF(AE109=2,IF(AD122=1,1,0),0)</f>
        <v>0</v>
      </c>
      <c r="AF138" s="70">
        <f>SUM(B138:AE138)</f>
        <v>3</v>
      </c>
      <c r="AW138" s="154"/>
    </row>
    <row r="139" spans="1:49" s="70" customFormat="1" ht="12.75" hidden="1" customHeight="1" x14ac:dyDescent="0.2">
      <c r="A139" s="70" t="s">
        <v>99</v>
      </c>
      <c r="B139" s="70">
        <f>IF(B109=3,IF(C122=1,1,0),0)</f>
        <v>0</v>
      </c>
      <c r="D139" s="74">
        <f>IF(D109=3,IF(C122=1,1,0),0)</f>
        <v>1</v>
      </c>
      <c r="E139" s="70">
        <f>IF(E109=3,IF(F122=1,1,0),0)</f>
        <v>0</v>
      </c>
      <c r="G139" s="74">
        <f>IF(G109=3,IF(F122=1,1,0),0)</f>
        <v>0</v>
      </c>
      <c r="H139" s="70">
        <f>IF(H109=3,IF(I122=1,1,0),0)</f>
        <v>0</v>
      </c>
      <c r="J139" s="74">
        <f>IF(J109=3,IF(I122=1,1,0),0)</f>
        <v>0</v>
      </c>
      <c r="K139" s="70">
        <f>IF(K109=3,IF(L122=1,1,0),0)</f>
        <v>0</v>
      </c>
      <c r="M139" s="74">
        <f>IF(M109=3,IF(L122=1,1,0),0)</f>
        <v>1</v>
      </c>
      <c r="N139" s="70">
        <f>IF(N109=3,IF(O122=1,1,0),0)</f>
        <v>1</v>
      </c>
      <c r="P139" s="74">
        <f>IF(P109=3,IF(O122=1,1,0),0)</f>
        <v>0</v>
      </c>
      <c r="Q139" s="70">
        <f>IF(Q109=3,IF(R122=1,1,0),0)</f>
        <v>0</v>
      </c>
      <c r="S139" s="74">
        <f>IF(S109=3,IF(R122=1,1,0),0)</f>
        <v>0</v>
      </c>
      <c r="T139" s="70">
        <f>IF(T109=3,IF(U122=1,1,0),0)</f>
        <v>0</v>
      </c>
      <c r="V139" s="74">
        <f>IF(V109=3,IF(U122=1,1,0),0)</f>
        <v>0</v>
      </c>
      <c r="W139" s="70">
        <f>IF(W109=3,IF(X122=1,1,0),0)</f>
        <v>0</v>
      </c>
      <c r="Y139" s="74">
        <f>IF(Y109=3,IF(X122=1,1,0),0)</f>
        <v>0</v>
      </c>
      <c r="Z139" s="70">
        <f>IF(Z109=3,IF(AA122=1,1,0),0)</f>
        <v>0</v>
      </c>
      <c r="AB139" s="74">
        <f>IF(AB109=3,IF(AA122=1,1,0),0)</f>
        <v>0</v>
      </c>
      <c r="AC139" s="70">
        <f>IF(AC109=3,IF(AD122=1,1,0),0)</f>
        <v>0</v>
      </c>
      <c r="AE139" s="74">
        <f>IF(AE109=3,IF(AD122=1,1,0),0)</f>
        <v>0</v>
      </c>
      <c r="AF139" s="70">
        <f>SUM(B139:AE139)</f>
        <v>3</v>
      </c>
      <c r="AW139" s="154"/>
    </row>
    <row r="140" spans="1:49" s="70" customFormat="1" ht="12.75" hidden="1" customHeight="1" x14ac:dyDescent="0.2">
      <c r="A140" s="70" t="s">
        <v>100</v>
      </c>
      <c r="B140" s="70">
        <f>IF(B109=4,IF(C122=1,1,0),0)</f>
        <v>0</v>
      </c>
      <c r="D140" s="74">
        <f>IF(D109=4,IF(C122=1,1,0),0)</f>
        <v>0</v>
      </c>
      <c r="E140" s="70">
        <f>IF(E109=4,IF(F122=1,1,0),0)</f>
        <v>0</v>
      </c>
      <c r="G140" s="74">
        <f>IF(G109=4,IF(F122=1,1,0),0)</f>
        <v>1</v>
      </c>
      <c r="H140" s="70">
        <f>IF(H109=4,IF(I122=1,1,0),0)</f>
        <v>0</v>
      </c>
      <c r="J140" s="74">
        <f>IF(J109=4,IF(I122=1,1,0),0)</f>
        <v>1</v>
      </c>
      <c r="K140" s="70">
        <f>IF(K109=4,IF(L122=1,1,0),0)</f>
        <v>0</v>
      </c>
      <c r="M140" s="74">
        <f>IF(M109=4,IF(L122=1,1,0),0)</f>
        <v>0</v>
      </c>
      <c r="N140" s="70">
        <f>IF(N109=4,IF(O122=1,1,0),0)</f>
        <v>0</v>
      </c>
      <c r="P140" s="74">
        <f>IF(P109=4,IF(O122=1,1,0),0)</f>
        <v>1</v>
      </c>
      <c r="Q140" s="70">
        <f>IF(Q109=4,IF(R122=1,1,0),0)</f>
        <v>0</v>
      </c>
      <c r="S140" s="74">
        <f>IF(S109=4,IF(R122=1,1,0),0)</f>
        <v>0</v>
      </c>
      <c r="T140" s="70">
        <f>IF(T109=4,IF(U122=1,1,0),0)</f>
        <v>0</v>
      </c>
      <c r="V140" s="74">
        <f>IF(V109=4,IF(U122=1,1,0),0)</f>
        <v>0</v>
      </c>
      <c r="W140" s="70">
        <f>IF(W109=4,IF(X122=1,1,0),0)</f>
        <v>0</v>
      </c>
      <c r="Y140" s="74">
        <f>IF(Y109=4,IF(X122=1,1,0),0)</f>
        <v>0</v>
      </c>
      <c r="Z140" s="70">
        <f>IF(Z109=4,IF(AA122=1,1,0),0)</f>
        <v>0</v>
      </c>
      <c r="AB140" s="74">
        <f>IF(AB109=4,IF(AA122=1,1,0),0)</f>
        <v>0</v>
      </c>
      <c r="AC140" s="70">
        <f>IF(AC109=4,IF(AD122=1,1,0),0)</f>
        <v>0</v>
      </c>
      <c r="AE140" s="74">
        <f>IF(AE109=4,IF(AD122=1,1,0),0)</f>
        <v>0</v>
      </c>
      <c r="AF140" s="70">
        <f>SUM(B140:AE140)</f>
        <v>3</v>
      </c>
      <c r="AW140" s="154"/>
    </row>
    <row r="141" spans="1:49" s="70" customFormat="1" ht="12.75" hidden="1" customHeight="1" x14ac:dyDescent="0.2">
      <c r="A141" s="70" t="s">
        <v>101</v>
      </c>
      <c r="B141" s="70">
        <f>IF(B109=5,IF(C122=1,1,0),0)</f>
        <v>0</v>
      </c>
      <c r="D141" s="74">
        <f>IF(D109=5,IF(C122=1,1,0),0)</f>
        <v>0</v>
      </c>
      <c r="E141" s="70">
        <f>IF(E109=5,IF(F122=1,1,0),0)</f>
        <v>0</v>
      </c>
      <c r="G141" s="74">
        <f>IF(G109=5,IF(F122=1,1,0),0)</f>
        <v>0</v>
      </c>
      <c r="H141" s="70">
        <f>IF(H109=5,IF(I122=1,1,0),0)</f>
        <v>0</v>
      </c>
      <c r="J141" s="74">
        <f>IF(J109=5,IF(I122=1,1,0),0)</f>
        <v>0</v>
      </c>
      <c r="K141" s="70">
        <f>IF(K109=5,IF(L122=1,1,0),0)</f>
        <v>0</v>
      </c>
      <c r="M141" s="74">
        <f>IF(M109=5,IF(L122=1,1,0),0)</f>
        <v>0</v>
      </c>
      <c r="N141" s="70">
        <f>IF(N109=5,IF(O122=1,1,0),0)</f>
        <v>0</v>
      </c>
      <c r="P141" s="74">
        <f>IF(P109=5,IF(O122=1,1,0),0)</f>
        <v>0</v>
      </c>
      <c r="Q141" s="70">
        <f>IF(Q109=5,IF(R122=1,1,0),0)</f>
        <v>0</v>
      </c>
      <c r="S141" s="74">
        <f>IF(S109=5,IF(R122=1,1,0),0)</f>
        <v>0</v>
      </c>
      <c r="T141" s="70">
        <f>IF(T109=5,IF(U122=1,1,0),0)</f>
        <v>0</v>
      </c>
      <c r="V141" s="74">
        <f>IF(V109=5,IF(U122=1,1,0),0)</f>
        <v>0</v>
      </c>
      <c r="W141" s="70">
        <f>IF(W109=5,IF(X122=1,1,0),0)</f>
        <v>0</v>
      </c>
      <c r="Y141" s="74">
        <f>IF(Y109=5,IF(X122=1,1,0),0)</f>
        <v>0</v>
      </c>
      <c r="Z141" s="70">
        <f>IF(Z109=5,IF(AA122=1,1,0),0)</f>
        <v>0</v>
      </c>
      <c r="AB141" s="74">
        <f>IF(AB109=5,IF(AA122=1,1,0),0)</f>
        <v>0</v>
      </c>
      <c r="AC141" s="70">
        <f>IF(AC109=5,IF(AD122=1,1,0),0)</f>
        <v>0</v>
      </c>
      <c r="AE141" s="74">
        <f>IF(AE109=5,IF(AD122=1,1,0),0)</f>
        <v>0</v>
      </c>
      <c r="AF141" s="70">
        <f>SUM(B141:AE141)</f>
        <v>0</v>
      </c>
      <c r="AW141" s="154"/>
    </row>
    <row r="142" spans="1:49" s="70" customFormat="1" ht="38.25" hidden="1" customHeight="1" x14ac:dyDescent="0.2">
      <c r="A142" s="73"/>
      <c r="D142" s="74"/>
      <c r="G142" s="74"/>
      <c r="J142" s="74"/>
      <c r="M142" s="74"/>
      <c r="P142" s="74"/>
      <c r="S142" s="74"/>
      <c r="V142" s="74"/>
      <c r="Y142" s="74"/>
      <c r="AB142" s="74"/>
      <c r="AE142" s="74"/>
      <c r="AF142" s="73" t="s">
        <v>102</v>
      </c>
      <c r="AG142" s="280"/>
      <c r="AH142" s="280"/>
      <c r="AI142" s="280"/>
      <c r="AJ142" s="280"/>
      <c r="AK142" s="280"/>
      <c r="AW142" s="154"/>
    </row>
    <row r="143" spans="1:49" s="70" customFormat="1" ht="12.75" hidden="1" customHeight="1" x14ac:dyDescent="0.2">
      <c r="A143" s="70" t="s">
        <v>97</v>
      </c>
      <c r="B143" s="70">
        <f>IF(B109=1,B129,0)</f>
        <v>0</v>
      </c>
      <c r="D143" s="74">
        <f>IF(D109=1,B129,0)</f>
        <v>0</v>
      </c>
      <c r="E143" s="70">
        <f>IF(E109=1,E129,0)</f>
        <v>50</v>
      </c>
      <c r="G143" s="74">
        <f>IF(G109=1,E129,0)</f>
        <v>0</v>
      </c>
      <c r="H143" s="70">
        <f>IF(H109=1,H129,0)</f>
        <v>0</v>
      </c>
      <c r="J143" s="74">
        <f>IF(J109=1,H129,0)</f>
        <v>0</v>
      </c>
      <c r="K143" s="70">
        <f>IF(K109=1,K129,0)</f>
        <v>50</v>
      </c>
      <c r="M143" s="74">
        <f>IF(M109=1,K129,0)</f>
        <v>0</v>
      </c>
      <c r="N143" s="70">
        <f>IF(N109=1,N129,0)</f>
        <v>0</v>
      </c>
      <c r="P143" s="74">
        <f>IF(P109=1,N129,0)</f>
        <v>0</v>
      </c>
      <c r="Q143" s="70">
        <f>IF(Q109=1,Q129,0)</f>
        <v>50</v>
      </c>
      <c r="S143" s="74">
        <f>IF(S109=1,Q129,0)</f>
        <v>0</v>
      </c>
      <c r="T143" s="70">
        <f>IF(T109=1,T129,0)</f>
        <v>0</v>
      </c>
      <c r="V143" s="74">
        <f>IF(V109=1,T129,0)</f>
        <v>0</v>
      </c>
      <c r="W143" s="70">
        <f>IF(W109=1,W129,0)</f>
        <v>0</v>
      </c>
      <c r="Y143" s="74">
        <f>IF(Y109=1,W129,0)</f>
        <v>0</v>
      </c>
      <c r="Z143" s="70">
        <f>IF(Z109=1,Z129,0)</f>
        <v>0</v>
      </c>
      <c r="AB143" s="74">
        <f>IF(AB109=1,Z129,0)</f>
        <v>0</v>
      </c>
      <c r="AC143" s="70">
        <f>IF(AC109=1,AC129,0)</f>
        <v>0</v>
      </c>
      <c r="AE143" s="74">
        <f>IF(AE109=1,AC129,0)</f>
        <v>0</v>
      </c>
      <c r="AF143" s="70">
        <f>SUM(B143:AE143)</f>
        <v>150</v>
      </c>
      <c r="AW143" s="154"/>
    </row>
    <row r="144" spans="1:49" s="70" customFormat="1" ht="12.75" hidden="1" customHeight="1" x14ac:dyDescent="0.2">
      <c r="A144" s="70" t="s">
        <v>98</v>
      </c>
      <c r="B144" s="70">
        <f>IF(B109=2,B129,0)</f>
        <v>50</v>
      </c>
      <c r="D144" s="74">
        <f>IF(D109=2,B129,0)</f>
        <v>0</v>
      </c>
      <c r="E144" s="70">
        <f>IF(E109=2,E129,0)</f>
        <v>0</v>
      </c>
      <c r="G144" s="74">
        <f>IF(G109=2,E129,0)</f>
        <v>0</v>
      </c>
      <c r="H144" s="70">
        <f>IF(H109=2,H129,0)</f>
        <v>50</v>
      </c>
      <c r="J144" s="74">
        <f>IF(J109=2,H129,0)</f>
        <v>0</v>
      </c>
      <c r="K144" s="70">
        <f>IF(K109=2,K129,0)</f>
        <v>0</v>
      </c>
      <c r="M144" s="74">
        <f>IF(M109=2,K129,0)</f>
        <v>0</v>
      </c>
      <c r="N144" s="70">
        <f>IF(N109=2,N129,0)</f>
        <v>0</v>
      </c>
      <c r="P144" s="74">
        <f>IF(P109=2,N129,0)</f>
        <v>0</v>
      </c>
      <c r="Q144" s="70">
        <f>IF(Q109=2,Q129,0)</f>
        <v>0</v>
      </c>
      <c r="S144" s="74">
        <f>IF(S109=2,Q129,0)</f>
        <v>50</v>
      </c>
      <c r="T144" s="70">
        <f>IF(T109=2,T129,0)</f>
        <v>0</v>
      </c>
      <c r="V144" s="74">
        <f>IF(V109=2,T129,0)</f>
        <v>0</v>
      </c>
      <c r="W144" s="70">
        <f>IF(W109=2,W129,0)</f>
        <v>0</v>
      </c>
      <c r="Y144" s="74">
        <f>IF(Y109=2,W129,0)</f>
        <v>0</v>
      </c>
      <c r="Z144" s="70">
        <f>IF(Z109=2,Z129,0)</f>
        <v>0</v>
      </c>
      <c r="AB144" s="74">
        <f>IF(AB109=2,Z129,0)</f>
        <v>0</v>
      </c>
      <c r="AC144" s="70">
        <f>IF(AC109=2,AC129,0)</f>
        <v>0</v>
      </c>
      <c r="AE144" s="74">
        <f>IF(AE109=2,AC129,0)</f>
        <v>0</v>
      </c>
      <c r="AF144" s="70">
        <f>SUM(B144:AE144)</f>
        <v>150</v>
      </c>
      <c r="AW144" s="154"/>
    </row>
    <row r="145" spans="1:49" s="70" customFormat="1" ht="12.75" hidden="1" customHeight="1" x14ac:dyDescent="0.2">
      <c r="A145" s="70" t="s">
        <v>99</v>
      </c>
      <c r="B145" s="70">
        <f>IF(B109=3,B129,0)</f>
        <v>0</v>
      </c>
      <c r="D145" s="74">
        <f>IF(D109=3,B129,0)</f>
        <v>50</v>
      </c>
      <c r="E145" s="70">
        <f>IF(E109=3,E129,0)</f>
        <v>0</v>
      </c>
      <c r="G145" s="74">
        <f>IF(G109=3,E129,0)</f>
        <v>0</v>
      </c>
      <c r="H145" s="70">
        <f>IF(H109=3,H129,0)</f>
        <v>0</v>
      </c>
      <c r="J145" s="74">
        <f>IF(J109=3,H129,0)</f>
        <v>0</v>
      </c>
      <c r="K145" s="70">
        <f>IF(K109=3,K129,0)</f>
        <v>0</v>
      </c>
      <c r="M145" s="74">
        <f>IF(M109=3,K129,0)</f>
        <v>50</v>
      </c>
      <c r="N145" s="70">
        <f>IF(N109=3,N129,0)</f>
        <v>50</v>
      </c>
      <c r="P145" s="74">
        <f>IF(P109=3,N129,0)</f>
        <v>0</v>
      </c>
      <c r="Q145" s="70">
        <f>IF(Q109=3,Q129,0)</f>
        <v>0</v>
      </c>
      <c r="S145" s="74">
        <f>IF(S109=3,Q129,0)</f>
        <v>0</v>
      </c>
      <c r="T145" s="70">
        <f>IF(T109=3,T129,0)</f>
        <v>0</v>
      </c>
      <c r="V145" s="74">
        <f>IF(V109=3,T129,0)</f>
        <v>0</v>
      </c>
      <c r="W145" s="70">
        <f>IF(W109=3,W129,0)</f>
        <v>0</v>
      </c>
      <c r="Y145" s="74">
        <f>IF(Y109=3,W129,0)</f>
        <v>0</v>
      </c>
      <c r="Z145" s="70">
        <f>IF(Z109=3,Z129,0)</f>
        <v>0</v>
      </c>
      <c r="AB145" s="74">
        <f>IF(AB109=3,Z129,0)</f>
        <v>0</v>
      </c>
      <c r="AC145" s="70">
        <f>IF(AC109=3,AC129,0)</f>
        <v>0</v>
      </c>
      <c r="AE145" s="74">
        <f>IF(AE109=3,AC129,0)</f>
        <v>0</v>
      </c>
      <c r="AF145" s="70">
        <f>SUM(B145:AE145)</f>
        <v>150</v>
      </c>
      <c r="AW145" s="154"/>
    </row>
    <row r="146" spans="1:49" s="70" customFormat="1" ht="12.75" hidden="1" customHeight="1" x14ac:dyDescent="0.2">
      <c r="A146" s="70" t="s">
        <v>100</v>
      </c>
      <c r="B146" s="70">
        <f>IF(B109=4,B129,0)</f>
        <v>0</v>
      </c>
      <c r="D146" s="74">
        <f>IF(D109=4,B129,0)</f>
        <v>0</v>
      </c>
      <c r="E146" s="70">
        <f>IF(E109=4,E129,0)</f>
        <v>0</v>
      </c>
      <c r="G146" s="74">
        <f>IF(G109=4,E129,0)</f>
        <v>50</v>
      </c>
      <c r="H146" s="70">
        <f>IF(H109=4,H129,0)</f>
        <v>0</v>
      </c>
      <c r="J146" s="74">
        <f>IF(J109=4,H129,0)</f>
        <v>50</v>
      </c>
      <c r="K146" s="70">
        <f>IF(K109=4,K129,0)</f>
        <v>0</v>
      </c>
      <c r="M146" s="74">
        <f>IF(M109=4,K129,0)</f>
        <v>0</v>
      </c>
      <c r="N146" s="70">
        <f>IF(N109=4,N129,0)</f>
        <v>0</v>
      </c>
      <c r="P146" s="74">
        <f>IF(P109=4,N129,0)</f>
        <v>50</v>
      </c>
      <c r="Q146" s="70">
        <f>IF(Q109=4,Q129,0)</f>
        <v>0</v>
      </c>
      <c r="S146" s="74">
        <f>IF(S109=4,Q129,0)</f>
        <v>0</v>
      </c>
      <c r="T146" s="70">
        <f>IF(T109=4,T129,0)</f>
        <v>0</v>
      </c>
      <c r="V146" s="74">
        <f>IF(V109=4,T129,0)</f>
        <v>0</v>
      </c>
      <c r="W146" s="70">
        <f>IF(W109=4,W129,0)</f>
        <v>0</v>
      </c>
      <c r="Y146" s="74">
        <f>IF(Y109=4,W129,0)</f>
        <v>0</v>
      </c>
      <c r="Z146" s="70">
        <f>IF(Z109=4,Z129,0)</f>
        <v>0</v>
      </c>
      <c r="AB146" s="74">
        <f>IF(AB109=4,Z129,0)</f>
        <v>0</v>
      </c>
      <c r="AC146" s="70">
        <f>IF(AC109=4,AC129,0)</f>
        <v>0</v>
      </c>
      <c r="AE146" s="74">
        <f>IF(AE109=4,AC129,0)</f>
        <v>0</v>
      </c>
      <c r="AF146" s="70">
        <f>SUM(B146:AE146)</f>
        <v>150</v>
      </c>
      <c r="AW146" s="154"/>
    </row>
    <row r="147" spans="1:49" s="70" customFormat="1" ht="12.75" hidden="1" customHeight="1" x14ac:dyDescent="0.2">
      <c r="A147" s="70" t="s">
        <v>101</v>
      </c>
      <c r="B147" s="70">
        <f>IF(B109=5,B129,0)</f>
        <v>0</v>
      </c>
      <c r="D147" s="74">
        <f>IF(D109=5,B129,0)</f>
        <v>0</v>
      </c>
      <c r="E147" s="70">
        <f>IF(E109=5,E129,0)</f>
        <v>0</v>
      </c>
      <c r="G147" s="74">
        <f>IF(G109=5,E129,0)</f>
        <v>0</v>
      </c>
      <c r="H147" s="70">
        <f>IF(H109=5,H129,0)</f>
        <v>0</v>
      </c>
      <c r="J147" s="74">
        <f>IF(J109=5,H129,0)</f>
        <v>0</v>
      </c>
      <c r="K147" s="70">
        <f>IF(K109=5,K129,0)</f>
        <v>0</v>
      </c>
      <c r="M147" s="74">
        <f>IF(M109=5,K129,0)</f>
        <v>0</v>
      </c>
      <c r="N147" s="70">
        <f>IF(N109=5,N129,0)</f>
        <v>0</v>
      </c>
      <c r="P147" s="74">
        <f>IF(P109=5,N129,0)</f>
        <v>0</v>
      </c>
      <c r="Q147" s="70">
        <f>IF(Q109=5,Q129,0)</f>
        <v>0</v>
      </c>
      <c r="S147" s="74">
        <f>IF(S109=5,Q129,0)</f>
        <v>0</v>
      </c>
      <c r="T147" s="70">
        <f>IF(T109=5,T129,0)</f>
        <v>0</v>
      </c>
      <c r="V147" s="74">
        <f>IF(V109=5,T129,0)</f>
        <v>0</v>
      </c>
      <c r="W147" s="70">
        <f>IF(W109=5,W129,0)</f>
        <v>0</v>
      </c>
      <c r="Y147" s="74">
        <f>IF(Y109=5,W129,0)</f>
        <v>0</v>
      </c>
      <c r="Z147" s="70">
        <f>IF(Z109=5,Z129,0)</f>
        <v>0</v>
      </c>
      <c r="AB147" s="74">
        <f>IF(AB109=5,Z129,0)</f>
        <v>0</v>
      </c>
      <c r="AC147" s="70">
        <f>IF(AC109=5,AC129,0)</f>
        <v>0</v>
      </c>
      <c r="AE147" s="74">
        <f>IF(AE109=5,AC129,0)</f>
        <v>0</v>
      </c>
      <c r="AF147" s="70">
        <f>SUM(B147:AE147)</f>
        <v>0</v>
      </c>
      <c r="AW147" s="154"/>
    </row>
    <row r="148" spans="1:49" s="70" customFormat="1" ht="38.25" hidden="1" customHeight="1" x14ac:dyDescent="0.2">
      <c r="A148" s="70" t="s">
        <v>103</v>
      </c>
      <c r="D148" s="74"/>
      <c r="G148" s="74"/>
      <c r="J148" s="74"/>
      <c r="M148" s="74"/>
      <c r="P148" s="74"/>
      <c r="S148" s="74"/>
      <c r="V148" s="74"/>
      <c r="Y148" s="74"/>
      <c r="AB148" s="74"/>
      <c r="AE148" s="74"/>
      <c r="AF148" s="73" t="s">
        <v>104</v>
      </c>
      <c r="AG148" s="70" t="s">
        <v>105</v>
      </c>
      <c r="AW148" s="154"/>
    </row>
    <row r="149" spans="1:49" s="70" customFormat="1" ht="12.75" hidden="1" customHeight="1" x14ac:dyDescent="0.2">
      <c r="A149" s="70" t="s">
        <v>91</v>
      </c>
      <c r="B149" s="70">
        <f>IF(B109=1,SUMIF(B116:B120,"&gt;0"),0)</f>
        <v>0</v>
      </c>
      <c r="D149" s="74">
        <f>IF(D109=1,SUMIF(D116:D120,"&gt;0"),0)</f>
        <v>0</v>
      </c>
      <c r="E149" s="70">
        <f>IF(E109=1,SUMIF(E116:E120,"&gt;0"),0)</f>
        <v>2</v>
      </c>
      <c r="G149" s="74">
        <f>IF(G109=1,SUMIF(G116:G120,"&gt;0"),0)</f>
        <v>0</v>
      </c>
      <c r="H149" s="70">
        <f>IF(H109=1,SUMIF(H116:H120,"&gt;0"),0)</f>
        <v>0</v>
      </c>
      <c r="J149" s="74">
        <f>IF(J109=1,SUMIF(J116:J120,"&gt;0"),0)</f>
        <v>0</v>
      </c>
      <c r="K149" s="70">
        <f>IF(K109=1,SUMIF(K116:K120,"&gt;0"),0)</f>
        <v>2</v>
      </c>
      <c r="M149" s="74">
        <f>IF(M109=1,SUMIF(M116:M120,"&gt;0"),0)</f>
        <v>0</v>
      </c>
      <c r="N149" s="70">
        <f>IF(N109=1,SUMIF(N116:N120,"&gt;0"),0)</f>
        <v>0</v>
      </c>
      <c r="P149" s="74">
        <f>IF(P109=1,SUMIF(P116:P120,"&gt;0"),0)</f>
        <v>0</v>
      </c>
      <c r="Q149" s="70">
        <f>IF(Q109=1,SUMIF(Q116:Q120,"&gt;0"),0)</f>
        <v>2</v>
      </c>
      <c r="S149" s="74">
        <f>IF(S109=1,SUMIF(S116:S120,"&gt;0"),0)</f>
        <v>0</v>
      </c>
      <c r="T149" s="70">
        <f>IF(T109=1,SUMIF(T116:T120,"&gt;0"),0)</f>
        <v>0</v>
      </c>
      <c r="V149" s="74">
        <f>IF(V109=1,SUMIF(V116:V120,"&gt;0"),0)</f>
        <v>0</v>
      </c>
      <c r="W149" s="70">
        <f>IF(W109=1,SUMIF(W116:W120,"&gt;0"),0)</f>
        <v>0</v>
      </c>
      <c r="Y149" s="74">
        <f>IF(Y109=1,SUMIF(Y116:Y120,"&gt;0"),0)</f>
        <v>0</v>
      </c>
      <c r="Z149" s="70">
        <f>IF(Z109=1,SUMIF(Z116:Z120,"&gt;0"),0)</f>
        <v>0</v>
      </c>
      <c r="AB149" s="74">
        <f>IF(AB109=1,SUMIF(AB116:AB120,"&gt;0"),0)</f>
        <v>0</v>
      </c>
      <c r="AC149" s="70">
        <f>IF(AC109=1,SUMIF(AC116:AC120,"&gt;0"),0)</f>
        <v>0</v>
      </c>
      <c r="AE149" s="74">
        <f>IF(AE109=1,SUMIF(AE116:AE120,"&gt;0"),0)</f>
        <v>0</v>
      </c>
      <c r="AF149" s="70">
        <f>SUM(B149:AE149)</f>
        <v>6</v>
      </c>
      <c r="AG149" s="70">
        <f>AF157-AF149</f>
        <v>0</v>
      </c>
      <c r="AW149" s="154"/>
    </row>
    <row r="150" spans="1:49" s="70" customFormat="1" ht="12.75" hidden="1" customHeight="1" x14ac:dyDescent="0.2">
      <c r="A150" s="70" t="s">
        <v>92</v>
      </c>
      <c r="B150" s="70">
        <f>IF(B109=2,SUMIF(B116:B120,"&gt;0"),0)</f>
        <v>2</v>
      </c>
      <c r="D150" s="74">
        <f>IF(D109=2,SUMIF(D116:D120,"&gt;0"),0)</f>
        <v>0</v>
      </c>
      <c r="E150" s="70">
        <f>IF(E109=2,SUMIF(E116:E120,"&gt;0"),0)</f>
        <v>0</v>
      </c>
      <c r="G150" s="74">
        <f>IF(G109=2,SUMIF(G116:G120,"&gt;0"),0)</f>
        <v>0</v>
      </c>
      <c r="H150" s="70">
        <f>IF(H109=2,SUMIF(H116:H120,"&gt;0"),0)</f>
        <v>2</v>
      </c>
      <c r="J150" s="74">
        <f>IF(J109=2,SUMIF(J116:J120,"&gt;0"),0)</f>
        <v>0</v>
      </c>
      <c r="K150" s="70">
        <f>IF(K109=2,SUMIF(K116:K120,"&gt;0"),0)</f>
        <v>0</v>
      </c>
      <c r="M150" s="74">
        <f>IF(M109=2,SUMIF(M116:M120,"&gt;0"),0)</f>
        <v>0</v>
      </c>
      <c r="N150" s="70">
        <f>IF(N109=2,SUMIF(N116:N120,"&gt;0"),0)</f>
        <v>0</v>
      </c>
      <c r="P150" s="74">
        <f>IF(P109=2,SUMIF(P116:P120,"&gt;0"),0)</f>
        <v>0</v>
      </c>
      <c r="Q150" s="70">
        <f>IF(Q109=2,SUMIF(Q116:Q120,"&gt;0"),0)</f>
        <v>0</v>
      </c>
      <c r="S150" s="74">
        <f>IF(S109=2,SUMIF(S116:S120,"&gt;0"),0)</f>
        <v>0</v>
      </c>
      <c r="T150" s="70">
        <f>IF(T109=2,SUMIF(T116:T120,"&gt;0"),0)</f>
        <v>0</v>
      </c>
      <c r="V150" s="74">
        <f>IF(V109=2,SUMIF(V116:V120,"&gt;0"),0)</f>
        <v>0</v>
      </c>
      <c r="W150" s="70">
        <f>IF(W109=2,SUMIF(W116:W120,"&gt;0"),0)</f>
        <v>0</v>
      </c>
      <c r="Y150" s="74">
        <f>IF(Y109=2,SUMIF(Y116:Y120,"&gt;0"),0)</f>
        <v>0</v>
      </c>
      <c r="Z150" s="70">
        <f>IF(Z109=2,SUMIF(Z116:Z120,"&gt;0"),0)</f>
        <v>0</v>
      </c>
      <c r="AB150" s="74">
        <f>IF(AB109=2,SUMIF(AB116:AB120,"&gt;0"),0)</f>
        <v>0</v>
      </c>
      <c r="AC150" s="70">
        <f>IF(AC109=2,SUMIF(AC116:AC120,"&gt;0"),0)</f>
        <v>0</v>
      </c>
      <c r="AE150" s="74">
        <f>IF(AE109=2,SUMIF(AE116:AE120,"&gt;0"),0)</f>
        <v>0</v>
      </c>
      <c r="AF150" s="70">
        <f>SUM(B150:AE150)</f>
        <v>4</v>
      </c>
      <c r="AG150" s="70">
        <f>AF158-AF150</f>
        <v>2</v>
      </c>
      <c r="AW150" s="154"/>
    </row>
    <row r="151" spans="1:49" s="70" customFormat="1" ht="12.75" hidden="1" customHeight="1" x14ac:dyDescent="0.2">
      <c r="A151" s="70" t="s">
        <v>93</v>
      </c>
      <c r="B151" s="70">
        <f>IF(B109=3,SUMIF(B116:B120,"&gt;0"),0)</f>
        <v>0</v>
      </c>
      <c r="D151" s="74">
        <f>IF(D109=3,SUMIF(D116:D120,"&gt;0"),0)</f>
        <v>0</v>
      </c>
      <c r="E151" s="70">
        <f>IF(E109=3,SUMIF(E116:E120,"&gt;0"),0)</f>
        <v>0</v>
      </c>
      <c r="G151" s="74">
        <f>IF(G109=3,SUMIF(G116:G120,"&gt;0"),0)</f>
        <v>0</v>
      </c>
      <c r="H151" s="70">
        <f>IF(H109=3,SUMIF(H116:H120,"&gt;0"),0)</f>
        <v>0</v>
      </c>
      <c r="J151" s="74">
        <f>IF(J109=3,SUMIF(J116:J120,"&gt;0"),0)</f>
        <v>0</v>
      </c>
      <c r="K151" s="70">
        <f>IF(K109=3,SUMIF(K116:K120,"&gt;0"),0)</f>
        <v>0</v>
      </c>
      <c r="M151" s="74">
        <f>IF(M109=3,SUMIF(M116:M120,"&gt;0"),0)</f>
        <v>0</v>
      </c>
      <c r="N151" s="70">
        <f>IF(N109=3,SUMIF(N116:N120,"&gt;0"),0)</f>
        <v>2</v>
      </c>
      <c r="P151" s="74">
        <f>IF(P109=3,SUMIF(P116:P120,"&gt;0"),0)</f>
        <v>0</v>
      </c>
      <c r="Q151" s="70">
        <f>IF(Q109=3,SUMIF(Q116:Q120,"&gt;0"),0)</f>
        <v>0</v>
      </c>
      <c r="S151" s="74">
        <f>IF(S109=3,SUMIF(S116:S120,"&gt;0"),0)</f>
        <v>0</v>
      </c>
      <c r="T151" s="70">
        <f>IF(T109=3,SUMIF(T116:T120,"&gt;0"),0)</f>
        <v>0</v>
      </c>
      <c r="V151" s="74">
        <f>IF(V109=3,SUMIF(V116:V120,"&gt;0"),0)</f>
        <v>0</v>
      </c>
      <c r="W151" s="70">
        <f>IF(W109=3,SUMIF(W116:W120,"&gt;0"),0)</f>
        <v>0</v>
      </c>
      <c r="Y151" s="74">
        <f>IF(Y109=3,SUMIF(Y116:Y120,"&gt;0"),0)</f>
        <v>0</v>
      </c>
      <c r="Z151" s="70">
        <f>IF(Z109=3,SUMIF(Z116:Z120,"&gt;0"),0)</f>
        <v>0</v>
      </c>
      <c r="AB151" s="74">
        <f>IF(AB109=3,SUMIF(AB116:AB120,"&gt;0"),0)</f>
        <v>0</v>
      </c>
      <c r="AC151" s="70">
        <f>IF(AC109=3,SUMIF(AC116:AC120,"&gt;0"),0)</f>
        <v>0</v>
      </c>
      <c r="AE151" s="74">
        <f>IF(AE109=3,SUMIF(AE116:AE120,"&gt;0"),0)</f>
        <v>0</v>
      </c>
      <c r="AF151" s="70">
        <f>SUM(B151:AE151)</f>
        <v>2</v>
      </c>
      <c r="AG151" s="70">
        <f>AF159-AF151</f>
        <v>4</v>
      </c>
      <c r="AW151" s="154"/>
    </row>
    <row r="152" spans="1:49" s="70" customFormat="1" ht="12.75" hidden="1" customHeight="1" x14ac:dyDescent="0.2">
      <c r="A152" s="70" t="s">
        <v>94</v>
      </c>
      <c r="B152" s="70">
        <f>IF(B109=4,SUMIF(B116:B120,"&gt;0"),0)</f>
        <v>0</v>
      </c>
      <c r="D152" s="74">
        <f>IF(D109=4,SUMIF(D116:D120,"&gt;0"),0)</f>
        <v>0</v>
      </c>
      <c r="E152" s="70">
        <f>IF(E109=4,SUMIF(E116:E120,"&gt;0"),0)</f>
        <v>0</v>
      </c>
      <c r="G152" s="74">
        <f>IF(G109=4,SUMIF(G116:G120,"&gt;0"),0)</f>
        <v>0</v>
      </c>
      <c r="H152" s="70">
        <f>IF(H109=4,SUMIF(H116:H120,"&gt;0"),0)</f>
        <v>0</v>
      </c>
      <c r="J152" s="74">
        <f>IF(J109=4,SUMIF(J116:J120,"&gt;0"),0)</f>
        <v>0</v>
      </c>
      <c r="K152" s="70">
        <f>IF(K109=4,SUMIF(K116:K120,"&gt;0"),0)</f>
        <v>0</v>
      </c>
      <c r="M152" s="74">
        <f>IF(M109=4,SUMIF(M116:M120,"&gt;0"),0)</f>
        <v>0</v>
      </c>
      <c r="N152" s="70">
        <f>IF(N109=4,SUMIF(N116:N120,"&gt;0"),0)</f>
        <v>0</v>
      </c>
      <c r="P152" s="74">
        <f>IF(P109=4,SUMIF(P116:P120,"&gt;0"),0)</f>
        <v>0</v>
      </c>
      <c r="Q152" s="70">
        <f>IF(Q109=4,SUMIF(Q116:Q120,"&gt;0"),0)</f>
        <v>0</v>
      </c>
      <c r="S152" s="74">
        <f>IF(S109=4,SUMIF(S116:S120,"&gt;0"),0)</f>
        <v>0</v>
      </c>
      <c r="T152" s="70">
        <f>IF(T109=4,SUMIF(T116:T120,"&gt;0"),0)</f>
        <v>0</v>
      </c>
      <c r="V152" s="74">
        <f>IF(V109=4,SUMIF(V116:V120,"&gt;0"),0)</f>
        <v>0</v>
      </c>
      <c r="W152" s="70">
        <f>IF(W109=4,SUMIF(W116:W120,"&gt;0"),0)</f>
        <v>0</v>
      </c>
      <c r="Y152" s="74">
        <f>IF(Y109=4,SUMIF(Y116:Y120,"&gt;0"),0)</f>
        <v>0</v>
      </c>
      <c r="Z152" s="70">
        <f>IF(Z109=4,SUMIF(Z116:Z120,"&gt;0"),0)</f>
        <v>0</v>
      </c>
      <c r="AB152" s="74">
        <f>IF(AB109=4,SUMIF(AB116:AB120,"&gt;0"),0)</f>
        <v>0</v>
      </c>
      <c r="AC152" s="70">
        <f>IF(AC109=4,SUMIF(AC116:AC120,"&gt;0"),0)</f>
        <v>0</v>
      </c>
      <c r="AE152" s="74">
        <f>IF(AE109=4,SUMIF(AE116:AE120,"&gt;0"),0)</f>
        <v>0</v>
      </c>
      <c r="AF152" s="70">
        <f>SUM(B152:AE152)</f>
        <v>0</v>
      </c>
      <c r="AG152" s="70">
        <f>AF160-AF152</f>
        <v>6</v>
      </c>
      <c r="AW152" s="154"/>
    </row>
    <row r="153" spans="1:49" s="70" customFormat="1" ht="12.75" hidden="1" customHeight="1" x14ac:dyDescent="0.2">
      <c r="A153" s="70" t="s">
        <v>95</v>
      </c>
      <c r="B153" s="70">
        <f>IF(B109=5,SUMIF(B116:B120,"&gt;0"),0)</f>
        <v>0</v>
      </c>
      <c r="D153" s="74">
        <f>IF(D109=5,SUMIF(D116:D120,"&gt;0"),0)</f>
        <v>0</v>
      </c>
      <c r="E153" s="70">
        <f>IF(E109=5,SUMIF(E116:E120,"&gt;0"),0)</f>
        <v>0</v>
      </c>
      <c r="G153" s="74">
        <f>IF(G109=5,SUMIF(G116:G120,"&gt;0"),0)</f>
        <v>0</v>
      </c>
      <c r="H153" s="70">
        <f>IF(H109=5,SUMIF(H116:H120,"&gt;0"),0)</f>
        <v>0</v>
      </c>
      <c r="J153" s="74">
        <f>IF(J109=5,SUMIF(J116:J120,"&gt;0"),0)</f>
        <v>0</v>
      </c>
      <c r="K153" s="70">
        <f>IF(K109=5,SUMIF(K116:K120,"&gt;0"),0)</f>
        <v>0</v>
      </c>
      <c r="M153" s="74">
        <f>IF(M109=5,SUMIF(M116:M120,"&gt;0"),0)</f>
        <v>0</v>
      </c>
      <c r="N153" s="70">
        <f>IF(N109=5,SUMIF(N116:N120,"&gt;0"),0)</f>
        <v>0</v>
      </c>
      <c r="P153" s="74">
        <f>IF(P109=5,SUMIF(P116:P120,"&gt;0"),0)</f>
        <v>0</v>
      </c>
      <c r="Q153" s="70">
        <f>IF(Q109=5,SUMIF(Q116:Q120,"&gt;0"),0)</f>
        <v>0</v>
      </c>
      <c r="S153" s="74">
        <f>IF(S109=5,SUMIF(S116:S120,"&gt;0"),0)</f>
        <v>0</v>
      </c>
      <c r="T153" s="70">
        <f>IF(T109=5,SUMIF(T116:T120,"&gt;0"),0)</f>
        <v>0</v>
      </c>
      <c r="V153" s="74">
        <f>IF(V109=5,SUMIF(V116:V120,"&gt;0"),0)</f>
        <v>0</v>
      </c>
      <c r="W153" s="70">
        <f>IF(W109=5,SUMIF(W116:W120,"&gt;0"),0)</f>
        <v>0</v>
      </c>
      <c r="Y153" s="74">
        <f>IF(Y109=5,SUMIF(Y116:Y120,"&gt;0"),0)</f>
        <v>0</v>
      </c>
      <c r="Z153" s="70">
        <f>IF(Z109=5,SUMIF(Z116:Z120,"&gt;0"),0)</f>
        <v>0</v>
      </c>
      <c r="AB153" s="74">
        <f>IF(AB109=5,SUMIF(AB116:AB120,"&gt;0"),0)</f>
        <v>0</v>
      </c>
      <c r="AC153" s="70">
        <f>IF(AC109=5,SUMIF(AC116:AC120,"&gt;0"),0)</f>
        <v>0</v>
      </c>
      <c r="AE153" s="74">
        <f>IF(AE109=5,SUMIF(AE116:AE120,"&gt;0"),0)</f>
        <v>0</v>
      </c>
      <c r="AF153" s="70">
        <f>SUM(B153:AE153)</f>
        <v>0</v>
      </c>
      <c r="AG153" s="70">
        <f>AF161-AF153</f>
        <v>0</v>
      </c>
      <c r="AW153" s="154"/>
    </row>
    <row r="154" spans="1:49" s="70" customFormat="1" ht="12.75" hidden="1" customHeight="1" x14ac:dyDescent="0.2">
      <c r="D154" s="74"/>
      <c r="G154" s="74"/>
      <c r="J154" s="74"/>
      <c r="M154" s="74"/>
      <c r="P154" s="74"/>
      <c r="S154" s="74"/>
      <c r="V154" s="74"/>
      <c r="Y154" s="74"/>
      <c r="AB154" s="74"/>
      <c r="AE154" s="74"/>
      <c r="AW154" s="154"/>
    </row>
    <row r="155" spans="1:49" s="70" customFormat="1" ht="12.75" hidden="1" customHeight="1" x14ac:dyDescent="0.2">
      <c r="D155" s="74"/>
      <c r="G155" s="74"/>
      <c r="J155" s="74"/>
      <c r="M155" s="74"/>
      <c r="P155" s="74"/>
      <c r="S155" s="74"/>
      <c r="V155" s="74"/>
      <c r="Y155" s="74"/>
      <c r="AB155" s="74"/>
      <c r="AE155" s="74"/>
      <c r="AW155" s="154"/>
    </row>
    <row r="156" spans="1:49" s="70" customFormat="1" ht="51" hidden="1" customHeight="1" x14ac:dyDescent="0.2">
      <c r="A156" s="73" t="s">
        <v>106</v>
      </c>
      <c r="C156" s="70">
        <f>SUMIF(B149:D153,"&gt;0")</f>
        <v>2</v>
      </c>
      <c r="D156" s="74"/>
      <c r="F156" s="70">
        <f>SUMIF(E149:G153,"&gt;0")</f>
        <v>2</v>
      </c>
      <c r="G156" s="74"/>
      <c r="I156" s="70">
        <f>SUMIF(H149:J153,"&gt;0")</f>
        <v>2</v>
      </c>
      <c r="J156" s="74"/>
      <c r="L156" s="70">
        <f>SUMIF(K149:M153,"&gt;0")</f>
        <v>2</v>
      </c>
      <c r="M156" s="74"/>
      <c r="O156" s="70">
        <f>SUMIF(N149:P153,"&gt;0")</f>
        <v>2</v>
      </c>
      <c r="P156" s="74"/>
      <c r="R156" s="70">
        <f>SUMIF(Q149:S153,"&gt;0")</f>
        <v>2</v>
      </c>
      <c r="S156" s="74"/>
      <c r="U156" s="70">
        <f>SUMIF(T149:V153,"&gt;0")</f>
        <v>0</v>
      </c>
      <c r="V156" s="74"/>
      <c r="X156" s="70">
        <f>SUMIF(W149:Y153,"&gt;0")</f>
        <v>0</v>
      </c>
      <c r="Y156" s="74"/>
      <c r="AA156" s="70">
        <f>SUMIF(Z149:AB153,"&gt;0")</f>
        <v>0</v>
      </c>
      <c r="AB156" s="74"/>
      <c r="AD156" s="70">
        <f>SUMIF(AC149:AE153,"&gt;0")</f>
        <v>0</v>
      </c>
      <c r="AE156" s="74"/>
      <c r="AF156" s="73" t="s">
        <v>107</v>
      </c>
      <c r="AW156" s="154"/>
    </row>
    <row r="157" spans="1:49" s="70" customFormat="1" ht="12.75" hidden="1" customHeight="1" x14ac:dyDescent="0.2">
      <c r="A157" s="70" t="s">
        <v>97</v>
      </c>
      <c r="B157" s="70">
        <f>IF(B109=1,C156,0)</f>
        <v>0</v>
      </c>
      <c r="D157" s="74">
        <f>IF(D109=1,C156,0)</f>
        <v>0</v>
      </c>
      <c r="E157" s="70">
        <f>IF(E109=1,F156,0)</f>
        <v>2</v>
      </c>
      <c r="G157" s="74">
        <f>IF(G109=1,F156,0)</f>
        <v>0</v>
      </c>
      <c r="H157" s="70">
        <f>IF(H109=1,I156,0)</f>
        <v>0</v>
      </c>
      <c r="J157" s="74">
        <f>IF(J109=1,I156,0)</f>
        <v>0</v>
      </c>
      <c r="K157" s="70">
        <f>IF(K109=1,L156,0)</f>
        <v>2</v>
      </c>
      <c r="M157" s="74">
        <f>IF(M109=1,L156,0)</f>
        <v>0</v>
      </c>
      <c r="N157" s="70">
        <f>IF(N109=1,O156,0)</f>
        <v>0</v>
      </c>
      <c r="P157" s="74">
        <f>IF(P109=1,O156,0)</f>
        <v>0</v>
      </c>
      <c r="Q157" s="70">
        <f>IF(Q109=1,R156,0)</f>
        <v>2</v>
      </c>
      <c r="S157" s="74">
        <f>IF(S109=1,R156,0)</f>
        <v>0</v>
      </c>
      <c r="T157" s="70">
        <f>IF(T109=1,U156,0)</f>
        <v>0</v>
      </c>
      <c r="V157" s="74">
        <f>IF(V109=1,U156,0)</f>
        <v>0</v>
      </c>
      <c r="W157" s="70">
        <f>IF(W109=1,X156,0)</f>
        <v>0</v>
      </c>
      <c r="Y157" s="74">
        <f>IF(Y109=1,X156,0)</f>
        <v>0</v>
      </c>
      <c r="Z157" s="70">
        <f>IF(Z109=1,AA156,0)</f>
        <v>0</v>
      </c>
      <c r="AB157" s="74">
        <f>IF(AB109=1,AA156,0)</f>
        <v>0</v>
      </c>
      <c r="AC157" s="70">
        <f>IF(AC109=1,AD156,0)</f>
        <v>0</v>
      </c>
      <c r="AE157" s="74">
        <f>IF(AE109=1,AD156,0)</f>
        <v>0</v>
      </c>
      <c r="AF157" s="70">
        <f>SUM(B157:AE157)</f>
        <v>6</v>
      </c>
      <c r="AW157" s="154"/>
    </row>
    <row r="158" spans="1:49" s="70" customFormat="1" ht="12.75" hidden="1" customHeight="1" x14ac:dyDescent="0.2">
      <c r="A158" s="70" t="s">
        <v>98</v>
      </c>
      <c r="B158" s="70">
        <f>IF(B109=2,C156,0)</f>
        <v>2</v>
      </c>
      <c r="D158" s="74">
        <f>IF(D109=2,C156,0)</f>
        <v>0</v>
      </c>
      <c r="E158" s="70">
        <f>IF(E109=2,F156,0)</f>
        <v>0</v>
      </c>
      <c r="G158" s="74">
        <f>IF(G109=2,F156,0)</f>
        <v>0</v>
      </c>
      <c r="H158" s="70">
        <f>IF(H109=2,I156,0)</f>
        <v>2</v>
      </c>
      <c r="J158" s="74">
        <f>IF(J109=2,I156,0)</f>
        <v>0</v>
      </c>
      <c r="K158" s="70">
        <f>IF(K109=2,L156,0)</f>
        <v>0</v>
      </c>
      <c r="M158" s="74">
        <f>IF(M109=2,L156,0)</f>
        <v>0</v>
      </c>
      <c r="N158" s="70">
        <f>IF(N109=2,O156,0)</f>
        <v>0</v>
      </c>
      <c r="P158" s="74">
        <f>IF(P109=2,O156,0)</f>
        <v>0</v>
      </c>
      <c r="Q158" s="70">
        <f>IF(Q109=2,R156,0)</f>
        <v>0</v>
      </c>
      <c r="S158" s="74">
        <f>IF(S109=2,R156,0)</f>
        <v>2</v>
      </c>
      <c r="T158" s="70">
        <f>IF(T109=2,U156,0)</f>
        <v>0</v>
      </c>
      <c r="V158" s="74">
        <f>IF(V109=2,U156,0)</f>
        <v>0</v>
      </c>
      <c r="W158" s="70">
        <f>IF(W109=2,X156,0)</f>
        <v>0</v>
      </c>
      <c r="Y158" s="74">
        <f>IF(Y109=2,X156,0)</f>
        <v>0</v>
      </c>
      <c r="Z158" s="70">
        <f>IF(Z109=2,AA156,0)</f>
        <v>0</v>
      </c>
      <c r="AB158" s="74">
        <f>IF(AB109=2,AA156,0)</f>
        <v>0</v>
      </c>
      <c r="AC158" s="70">
        <f>IF(AC109=2,AD156,0)</f>
        <v>0</v>
      </c>
      <c r="AE158" s="74">
        <f>IF(AE109=2,AD156,0)</f>
        <v>0</v>
      </c>
      <c r="AF158" s="70">
        <f>SUM(B158:AE158)</f>
        <v>6</v>
      </c>
      <c r="AW158" s="154"/>
    </row>
    <row r="159" spans="1:49" s="70" customFormat="1" ht="12.75" hidden="1" customHeight="1" x14ac:dyDescent="0.2">
      <c r="A159" s="70" t="s">
        <v>99</v>
      </c>
      <c r="B159" s="70">
        <f>IF(B109=3,C156,0)</f>
        <v>0</v>
      </c>
      <c r="D159" s="74">
        <f>IF(D109=3,C156,0)</f>
        <v>2</v>
      </c>
      <c r="E159" s="70">
        <f>IF(E109=3,F156,0)</f>
        <v>0</v>
      </c>
      <c r="G159" s="74">
        <f>IF(G109=3,F156,0)</f>
        <v>0</v>
      </c>
      <c r="H159" s="70">
        <f>IF(H109=3,I156,0)</f>
        <v>0</v>
      </c>
      <c r="J159" s="74">
        <f>IF(J109=3,I156,0)</f>
        <v>0</v>
      </c>
      <c r="K159" s="70">
        <f>IF(K109=3,L156,0)</f>
        <v>0</v>
      </c>
      <c r="M159" s="74">
        <f>IF(M109=3,L156,0)</f>
        <v>2</v>
      </c>
      <c r="N159" s="70">
        <f>IF(N109=3,O156,0)</f>
        <v>2</v>
      </c>
      <c r="P159" s="74">
        <f>IF(P109=3,O156,0)</f>
        <v>0</v>
      </c>
      <c r="Q159" s="70">
        <f>IF(Q109=3,R156,0)</f>
        <v>0</v>
      </c>
      <c r="S159" s="74">
        <f>IF(S109=3,R156,0)</f>
        <v>0</v>
      </c>
      <c r="T159" s="70">
        <f>IF(T109=3,U156,0)</f>
        <v>0</v>
      </c>
      <c r="V159" s="74">
        <f>IF(V109=3,U156,0)</f>
        <v>0</v>
      </c>
      <c r="W159" s="70">
        <f>IF(W109=3,X156,0)</f>
        <v>0</v>
      </c>
      <c r="Y159" s="74">
        <f>IF(Y109=3,X156,0)</f>
        <v>0</v>
      </c>
      <c r="Z159" s="70">
        <f>IF(Z109=3,AA156,0)</f>
        <v>0</v>
      </c>
      <c r="AB159" s="74">
        <f>IF(AB109=3,AA156,0)</f>
        <v>0</v>
      </c>
      <c r="AC159" s="70">
        <f>IF(AC109=3,AD156,0)</f>
        <v>0</v>
      </c>
      <c r="AE159" s="74">
        <f>IF(AE109=3,AD156,0)</f>
        <v>0</v>
      </c>
      <c r="AF159" s="70">
        <f>SUM(B159:AE159)</f>
        <v>6</v>
      </c>
      <c r="AW159" s="154"/>
    </row>
    <row r="160" spans="1:49" s="70" customFormat="1" ht="12.75" hidden="1" customHeight="1" x14ac:dyDescent="0.2">
      <c r="A160" s="70" t="s">
        <v>100</v>
      </c>
      <c r="B160" s="70">
        <f>IF(B109=4,C156,0)</f>
        <v>0</v>
      </c>
      <c r="D160" s="74">
        <f>IF(D109=4,C156,0)</f>
        <v>0</v>
      </c>
      <c r="E160" s="70">
        <f>IF(E109=4,F156,0)</f>
        <v>0</v>
      </c>
      <c r="G160" s="74">
        <f>IF(G109=4,F156,0)</f>
        <v>2</v>
      </c>
      <c r="H160" s="70">
        <f>IF(H109=4,I156,0)</f>
        <v>0</v>
      </c>
      <c r="J160" s="74">
        <f>IF(J109=4,I156,0)</f>
        <v>2</v>
      </c>
      <c r="K160" s="70">
        <f>IF(K109=4,L156,0)</f>
        <v>0</v>
      </c>
      <c r="M160" s="74">
        <f>IF(M109=4,L156,0)</f>
        <v>0</v>
      </c>
      <c r="N160" s="70">
        <f>IF(N109=4,O156,0)</f>
        <v>0</v>
      </c>
      <c r="P160" s="74">
        <f>IF(P109=4,O156,0)</f>
        <v>2</v>
      </c>
      <c r="Q160" s="70">
        <f>IF(Q109=4,R156,0)</f>
        <v>0</v>
      </c>
      <c r="S160" s="74">
        <f>IF(S109=4,R156,0)</f>
        <v>0</v>
      </c>
      <c r="T160" s="70">
        <f>IF(T109=4,U156,0)</f>
        <v>0</v>
      </c>
      <c r="V160" s="74">
        <f>IF(V109=4,U156,0)</f>
        <v>0</v>
      </c>
      <c r="W160" s="70">
        <f>IF(W109=4,X156,0)</f>
        <v>0</v>
      </c>
      <c r="Y160" s="74">
        <f>IF(Y109=4,X156,0)</f>
        <v>0</v>
      </c>
      <c r="Z160" s="70">
        <f>IF(Z109=4,AA156,0)</f>
        <v>0</v>
      </c>
      <c r="AB160" s="74">
        <f>IF(AB109=4,AA156,0)</f>
        <v>0</v>
      </c>
      <c r="AC160" s="70">
        <f>IF(AC109=4,AD156,0)</f>
        <v>0</v>
      </c>
      <c r="AE160" s="74">
        <f>IF(AE109=4,AD156,0)</f>
        <v>0</v>
      </c>
      <c r="AF160" s="70">
        <f>SUM(B160:AE160)</f>
        <v>6</v>
      </c>
      <c r="AW160" s="154"/>
    </row>
    <row r="161" spans="1:54" s="70" customFormat="1" ht="12.75" hidden="1" customHeight="1" x14ac:dyDescent="0.2">
      <c r="A161" s="70" t="s">
        <v>101</v>
      </c>
      <c r="B161" s="70">
        <f>IF(B109=5,C156,0)</f>
        <v>0</v>
      </c>
      <c r="D161" s="74">
        <f>IF(D109=5,C156,0)</f>
        <v>0</v>
      </c>
      <c r="E161" s="70">
        <f>IF(E109=5,F156,0)</f>
        <v>0</v>
      </c>
      <c r="G161" s="74">
        <f>IF(G109=5,F156,0)</f>
        <v>0</v>
      </c>
      <c r="H161" s="70">
        <f>IF(H109=5,I156,0)</f>
        <v>0</v>
      </c>
      <c r="J161" s="74">
        <f>IF(J109=5,I156,0)</f>
        <v>0</v>
      </c>
      <c r="K161" s="70">
        <f>IF(K109=5,L156,0)</f>
        <v>0</v>
      </c>
      <c r="M161" s="74">
        <f>IF(M109=5,L156,0)</f>
        <v>0</v>
      </c>
      <c r="N161" s="70">
        <f>IF(N109=5,O156,0)</f>
        <v>0</v>
      </c>
      <c r="P161" s="74">
        <f>IF(P109=5,O156,0)</f>
        <v>0</v>
      </c>
      <c r="Q161" s="70">
        <f>IF(Q109=5,R156,0)</f>
        <v>0</v>
      </c>
      <c r="S161" s="74">
        <f>IF(S109=5,R156,0)</f>
        <v>0</v>
      </c>
      <c r="T161" s="70">
        <f>IF(T109=5,U156,0)</f>
        <v>0</v>
      </c>
      <c r="V161" s="74">
        <f>IF(V109=5,U156,0)</f>
        <v>0</v>
      </c>
      <c r="W161" s="70">
        <f>IF(W109=5,X156,0)</f>
        <v>0</v>
      </c>
      <c r="Y161" s="74">
        <f>IF(Y109=5,X156,0)</f>
        <v>0</v>
      </c>
      <c r="Z161" s="70">
        <f>IF(Z109=5,AA156,0)</f>
        <v>0</v>
      </c>
      <c r="AB161" s="74">
        <f>IF(AB109=5,AA156,0)</f>
        <v>0</v>
      </c>
      <c r="AC161" s="70">
        <f>IF(AC109=5,AD156,0)</f>
        <v>0</v>
      </c>
      <c r="AE161" s="74">
        <f>IF(AE109=5,AD156,0)</f>
        <v>0</v>
      </c>
      <c r="AF161" s="70">
        <f>SUM(B161:AE161)</f>
        <v>0</v>
      </c>
      <c r="AT161" s="77"/>
      <c r="AU161" s="77"/>
      <c r="AV161" s="77"/>
      <c r="AW161" s="154"/>
    </row>
    <row r="162" spans="1:54" hidden="1" x14ac:dyDescent="0.2">
      <c r="A162" s="95"/>
      <c r="B162" s="95"/>
      <c r="C162" s="95"/>
      <c r="D162" s="95"/>
      <c r="E162" s="95"/>
      <c r="F162" s="95"/>
      <c r="G162" s="95"/>
      <c r="H162" s="95"/>
      <c r="I162" s="95"/>
      <c r="J162" s="95"/>
      <c r="K162" s="95"/>
      <c r="L162" s="95"/>
      <c r="M162" s="95"/>
      <c r="N162" s="95"/>
      <c r="O162" s="95"/>
      <c r="P162" s="95"/>
      <c r="Q162" s="95"/>
      <c r="R162" s="95"/>
      <c r="S162" s="95"/>
      <c r="T162" s="95"/>
      <c r="U162" s="95"/>
      <c r="V162" s="95"/>
      <c r="W162" s="95"/>
      <c r="X162" s="95"/>
      <c r="Y162" s="95"/>
      <c r="Z162" s="95"/>
      <c r="AA162" s="95"/>
      <c r="AB162" s="95"/>
      <c r="AC162" s="95"/>
      <c r="AD162" s="95"/>
      <c r="AE162" s="95"/>
      <c r="AF162" s="95"/>
      <c r="AG162" s="95"/>
      <c r="AH162" s="95"/>
      <c r="AI162" s="95"/>
      <c r="AJ162" s="95"/>
      <c r="AK162" s="95"/>
      <c r="AL162" s="95"/>
      <c r="AM162" s="95"/>
      <c r="AN162" s="96"/>
      <c r="AO162" s="96"/>
      <c r="AP162" s="96"/>
      <c r="AQ162" s="96"/>
      <c r="AR162" s="77"/>
      <c r="AS162" s="77"/>
      <c r="AT162" s="77"/>
      <c r="AU162" s="77"/>
      <c r="AV162" s="77"/>
      <c r="BB162" s="156"/>
    </row>
    <row r="163" spans="1:54" s="77" customFormat="1" hidden="1" x14ac:dyDescent="0.2">
      <c r="A163" s="79"/>
      <c r="B163" s="79"/>
      <c r="C163" s="79" t="s">
        <v>108</v>
      </c>
      <c r="D163" s="79">
        <v>1</v>
      </c>
      <c r="E163" s="79"/>
      <c r="F163" s="79"/>
      <c r="G163" s="79">
        <v>2</v>
      </c>
      <c r="H163" s="79"/>
      <c r="I163" s="79"/>
      <c r="J163" s="79">
        <v>3</v>
      </c>
      <c r="K163" s="79"/>
      <c r="L163" s="79"/>
      <c r="M163" s="79">
        <v>4</v>
      </c>
      <c r="N163" s="79"/>
      <c r="O163" s="79"/>
      <c r="P163" s="79">
        <v>5</v>
      </c>
      <c r="Q163" s="79"/>
      <c r="R163" s="79"/>
      <c r="S163" s="79">
        <v>6</v>
      </c>
      <c r="T163" s="79"/>
      <c r="U163" s="79"/>
      <c r="V163" s="79">
        <v>7</v>
      </c>
      <c r="W163" s="79"/>
      <c r="X163" s="79"/>
      <c r="Y163" s="79">
        <v>8</v>
      </c>
      <c r="Z163" s="79"/>
      <c r="AA163" s="79"/>
      <c r="AB163" s="79">
        <v>9</v>
      </c>
      <c r="AC163" s="79"/>
      <c r="AD163" s="79"/>
      <c r="AE163" s="79">
        <v>10</v>
      </c>
      <c r="AF163" s="4"/>
      <c r="AG163" s="79"/>
      <c r="AI163" s="80"/>
      <c r="AJ163" s="4"/>
      <c r="AK163" s="4"/>
      <c r="AL163" s="4"/>
      <c r="AM163" s="4"/>
      <c r="AN163" s="4"/>
      <c r="AO163" s="4"/>
      <c r="AT163" s="80" t="s">
        <v>109</v>
      </c>
      <c r="AW163" s="81"/>
      <c r="BB163" s="81"/>
    </row>
    <row r="164" spans="1:54" s="77" customFormat="1" hidden="1" x14ac:dyDescent="0.2">
      <c r="A164" s="82">
        <v>1</v>
      </c>
      <c r="B164" s="82" t="str">
        <f>E93</f>
        <v>CSRA Heat 15 National</v>
      </c>
      <c r="C164" s="82">
        <f>VLOOKUP(B164,AU$3:BB$33,3,FALSE)</f>
        <v>2521.1020498080788</v>
      </c>
      <c r="D164" s="82">
        <f>IF(B157,B172,IF(D157,D172,C164))</f>
        <v>2521.1020498080788</v>
      </c>
      <c r="E164" s="82"/>
      <c r="F164" s="82"/>
      <c r="G164" s="82">
        <f>IF(E157,E172,IF(G157,G172,D164))</f>
        <v>2530.5045610860388</v>
      </c>
      <c r="H164" s="82"/>
      <c r="I164" s="82"/>
      <c r="J164" s="82">
        <f>IF(H157,H172,IF(J157,J172,G164))</f>
        <v>2530.5045610860388</v>
      </c>
      <c r="K164" s="82"/>
      <c r="L164" s="82"/>
      <c r="M164" s="82">
        <f>IF(K157,K172,IF(M157,M172,J164))</f>
        <v>2545.6553329438439</v>
      </c>
      <c r="N164" s="82"/>
      <c r="O164" s="82"/>
      <c r="P164" s="82">
        <f>IF(N157,N172,IF(P157,P172,M164))</f>
        <v>2545.6553329438439</v>
      </c>
      <c r="Q164" s="82"/>
      <c r="R164" s="82"/>
      <c r="S164" s="82">
        <f>IF(Q157,Q172,IF(S157,S172,P164))</f>
        <v>2566.5229275315605</v>
      </c>
      <c r="T164" s="82"/>
      <c r="U164" s="82"/>
      <c r="V164" s="82">
        <f>IF(T157,T172,IF(V157,V172,S164))</f>
        <v>2566.5229275315605</v>
      </c>
      <c r="W164" s="82"/>
      <c r="X164" s="82"/>
      <c r="Y164" s="82">
        <f>IF(W157,W172,IF(Y157,Y172,V164))</f>
        <v>2566.5229275315605</v>
      </c>
      <c r="Z164" s="82"/>
      <c r="AA164" s="82"/>
      <c r="AB164" s="82">
        <f>IF(Z157,Z172,IF(AB157,AB172,Y164))</f>
        <v>2566.5229275315605</v>
      </c>
      <c r="AC164" s="82"/>
      <c r="AD164" s="82"/>
      <c r="AE164" s="82">
        <f>IF(AC157,AC172,IF(AE157,AE172,AB164))</f>
        <v>2566.5229275315605</v>
      </c>
      <c r="AF164" s="4"/>
      <c r="AG164" s="4"/>
      <c r="AJ164" s="4"/>
      <c r="AK164" s="4"/>
      <c r="AL164" s="4"/>
      <c r="AM164" s="4"/>
      <c r="AN164" s="4"/>
      <c r="AO164" s="4"/>
      <c r="AT164" s="77" t="str">
        <f>B164</f>
        <v>CSRA Heat 15 National</v>
      </c>
      <c r="AU164" s="77">
        <f>AE164</f>
        <v>2566.5229275315605</v>
      </c>
      <c r="AW164" s="81"/>
      <c r="BB164" s="81"/>
    </row>
    <row r="165" spans="1:54" s="77" customFormat="1" hidden="1" x14ac:dyDescent="0.2">
      <c r="A165" s="82">
        <v>2</v>
      </c>
      <c r="B165" s="82" t="str">
        <f>E95</f>
        <v>Magnum 15 Elite</v>
      </c>
      <c r="C165" s="82">
        <f>VLOOKUP(B165,AU$3:BB$33,3,FALSE)</f>
        <v>2373.4548553972368</v>
      </c>
      <c r="D165" s="82">
        <f>IF(B158,B172,IF(D158,D172,C165))</f>
        <v>2404.0032854923925</v>
      </c>
      <c r="E165" s="82"/>
      <c r="F165" s="82"/>
      <c r="G165" s="82">
        <f>IF(E158,E172,IF(G158,G172,D165))</f>
        <v>2404.0032854923925</v>
      </c>
      <c r="H165" s="82"/>
      <c r="I165" s="82"/>
      <c r="J165" s="82">
        <f>IF(H158,H172,IF(J158,J172,G165))</f>
        <v>2419.5228177956178</v>
      </c>
      <c r="K165" s="82"/>
      <c r="L165" s="82"/>
      <c r="M165" s="82">
        <f>IF(K158,K172,IF(M158,M172,J165))</f>
        <v>2419.5228177956178</v>
      </c>
      <c r="N165" s="82"/>
      <c r="O165" s="82"/>
      <c r="P165" s="82">
        <f>IF(N158,N172,IF(P158,P172,M165))</f>
        <v>2419.5228177956178</v>
      </c>
      <c r="Q165" s="82"/>
      <c r="R165" s="82"/>
      <c r="S165" s="82">
        <f>IF(Q158,Q172,IF(S158,S172,P165))</f>
        <v>2398.6552232079011</v>
      </c>
      <c r="T165" s="82"/>
      <c r="U165" s="82"/>
      <c r="V165" s="82">
        <f>IF(T158,T172,IF(V158,V172,S165))</f>
        <v>2398.6552232079011</v>
      </c>
      <c r="W165" s="82"/>
      <c r="X165" s="82"/>
      <c r="Y165" s="82">
        <f>IF(W158,W172,IF(Y158,Y172,V165))</f>
        <v>2398.6552232079011</v>
      </c>
      <c r="Z165" s="82"/>
      <c r="AA165" s="82"/>
      <c r="AB165" s="82">
        <f>IF(Z158,Z172,IF(AB158,AB172,Y165))</f>
        <v>2398.6552232079011</v>
      </c>
      <c r="AC165" s="82"/>
      <c r="AD165" s="82"/>
      <c r="AE165" s="82">
        <f>IF(AC158,AC172,IF(AE158,AE172,AB165))</f>
        <v>2398.6552232079011</v>
      </c>
      <c r="AF165" s="4"/>
      <c r="AG165" s="4"/>
      <c r="AJ165" s="4"/>
      <c r="AL165" s="4"/>
      <c r="AM165" s="4"/>
      <c r="AN165" s="4"/>
      <c r="AO165" s="4"/>
      <c r="AT165" s="77" t="str">
        <f>B165</f>
        <v>Magnum 15 Elite</v>
      </c>
      <c r="AU165" s="77">
        <f>AE165</f>
        <v>2398.6552232079011</v>
      </c>
      <c r="AW165" s="81"/>
      <c r="BB165" s="81"/>
    </row>
    <row r="166" spans="1:54" s="77" customFormat="1" hidden="1" x14ac:dyDescent="0.2">
      <c r="A166" s="82">
        <v>3</v>
      </c>
      <c r="B166" s="82" t="str">
        <f>E97</f>
        <v>Beaufort 15 Pink</v>
      </c>
      <c r="C166" s="82">
        <f>VLOOKUP(B166,AU$3:BB$33,3,FALSE)</f>
        <v>2357.6838122545587</v>
      </c>
      <c r="D166" s="82">
        <f>IF(B159,B172,IF(D159,D172,C166))</f>
        <v>2327.135382159403</v>
      </c>
      <c r="E166" s="82"/>
      <c r="F166" s="82"/>
      <c r="G166" s="82">
        <f>IF(E159,E172,IF(G159,G172,D166))</f>
        <v>2327.135382159403</v>
      </c>
      <c r="H166" s="82"/>
      <c r="I166" s="82"/>
      <c r="J166" s="82">
        <f>IF(H159,H172,IF(J159,J172,G166))</f>
        <v>2327.135382159403</v>
      </c>
      <c r="K166" s="82"/>
      <c r="L166" s="82"/>
      <c r="M166" s="82">
        <f>IF(K159,K172,IF(M159,M172,J166))</f>
        <v>2311.984610301598</v>
      </c>
      <c r="N166" s="82"/>
      <c r="O166" s="82"/>
      <c r="P166" s="82">
        <f>IF(N159,N172,IF(P159,P172,M166))</f>
        <v>2333.2390839598011</v>
      </c>
      <c r="Q166" s="82"/>
      <c r="R166" s="82"/>
      <c r="S166" s="82">
        <f>IF(Q159,Q172,IF(S159,S172,P166))</f>
        <v>2333.2390839598011</v>
      </c>
      <c r="T166" s="82"/>
      <c r="U166" s="82"/>
      <c r="V166" s="82">
        <f>IF(T159,T172,IF(V159,V172,S166))</f>
        <v>2333.2390839598011</v>
      </c>
      <c r="W166" s="82"/>
      <c r="X166" s="82"/>
      <c r="Y166" s="82">
        <f>IF(W159,W172,IF(Y159,Y172,V166))</f>
        <v>2333.2390839598011</v>
      </c>
      <c r="Z166" s="82"/>
      <c r="AA166" s="82"/>
      <c r="AB166" s="82">
        <f>IF(Z159,Z172,IF(AB159,AB172,Y166))</f>
        <v>2333.2390839598011</v>
      </c>
      <c r="AC166" s="82"/>
      <c r="AD166" s="82"/>
      <c r="AE166" s="82">
        <f>IF(AC159,AC172,IF(AE159,AE172,AB166))</f>
        <v>2333.2390839598011</v>
      </c>
      <c r="AF166" s="4"/>
      <c r="AG166" s="4"/>
      <c r="AJ166" s="4"/>
      <c r="AL166" s="4"/>
      <c r="AM166" s="4"/>
      <c r="AN166" s="4"/>
      <c r="AO166" s="4"/>
      <c r="AT166" s="77" t="str">
        <f>B166</f>
        <v>Beaufort 15 Pink</v>
      </c>
      <c r="AU166" s="77">
        <f>AE166</f>
        <v>2333.2390839598011</v>
      </c>
      <c r="AW166" s="81"/>
      <c r="BB166" s="81"/>
    </row>
    <row r="167" spans="1:54" s="77" customFormat="1" hidden="1" x14ac:dyDescent="0.2">
      <c r="A167" s="82">
        <v>4</v>
      </c>
      <c r="B167" s="82" t="str">
        <f>E99</f>
        <v>SC Midlands 15 Perf</v>
      </c>
      <c r="C167" s="82">
        <f>VLOOKUP(B167,AU$3:BB$33,3,FALSE)</f>
        <v>2215.5305281096694</v>
      </c>
      <c r="D167" s="82">
        <f>IF(B160,B172,IF(D160,D172,C167))</f>
        <v>2215.5305281096694</v>
      </c>
      <c r="E167" s="82"/>
      <c r="F167" s="82"/>
      <c r="G167" s="82">
        <f>IF(E160,E172,IF(G160,G172,D167))</f>
        <v>2206.1280168317094</v>
      </c>
      <c r="H167" s="82"/>
      <c r="I167" s="82"/>
      <c r="J167" s="82">
        <f>IF(H160,H172,IF(J160,J172,G167))</f>
        <v>2190.6084845284845</v>
      </c>
      <c r="K167" s="82"/>
      <c r="L167" s="82"/>
      <c r="M167" s="82">
        <f>IF(K160,K172,IF(M160,M172,J167))</f>
        <v>2190.6084845284845</v>
      </c>
      <c r="N167" s="82"/>
      <c r="O167" s="82"/>
      <c r="P167" s="82">
        <f>IF(N160,N172,IF(P160,P172,M167))</f>
        <v>2169.3540108702814</v>
      </c>
      <c r="Q167" s="82"/>
      <c r="R167" s="82"/>
      <c r="S167" s="82">
        <f>IF(Q160,Q172,IF(S160,S172,P167))</f>
        <v>2169.3540108702814</v>
      </c>
      <c r="T167" s="82"/>
      <c r="U167" s="82"/>
      <c r="V167" s="82">
        <f>IF(T160,T172,IF(V160,V172,S167))</f>
        <v>2169.3540108702814</v>
      </c>
      <c r="W167" s="82"/>
      <c r="X167" s="82"/>
      <c r="Y167" s="82">
        <f>IF(W160,W172,IF(Y160,Y172,V167))</f>
        <v>2169.3540108702814</v>
      </c>
      <c r="Z167" s="82"/>
      <c r="AA167" s="82"/>
      <c r="AB167" s="82">
        <f>IF(Z160,Z172,IF(AB160,AB172,Y167))</f>
        <v>2169.3540108702814</v>
      </c>
      <c r="AC167" s="82"/>
      <c r="AD167" s="82"/>
      <c r="AE167" s="82">
        <f>IF(AC160,AC172,IF(AE160,AE172,AB167))</f>
        <v>2169.3540108702814</v>
      </c>
      <c r="AF167" s="4"/>
      <c r="AG167" s="4"/>
      <c r="AJ167" s="4"/>
      <c r="AL167" s="4"/>
      <c r="AM167" s="4"/>
      <c r="AN167" s="4"/>
      <c r="AO167" s="4"/>
      <c r="AT167" s="77" t="str">
        <f>B167</f>
        <v>SC Midlands 15 Perf</v>
      </c>
      <c r="AU167" s="77">
        <f>AE167</f>
        <v>2169.3540108702814</v>
      </c>
      <c r="AW167" s="81"/>
      <c r="BB167" s="81"/>
    </row>
    <row r="168" spans="1:54" s="77" customFormat="1" hidden="1" x14ac:dyDescent="0.2">
      <c r="A168" s="82">
        <v>5</v>
      </c>
      <c r="B168" s="82">
        <f>E101</f>
        <v>0</v>
      </c>
      <c r="C168" s="82" t="e">
        <f>VLOOKUP(B168,AU$3:BB$33,3,FALSE)</f>
        <v>#N/A</v>
      </c>
      <c r="D168" s="82" t="e">
        <f>IF(B161,B172,IF(D161,D172,C168))</f>
        <v>#N/A</v>
      </c>
      <c r="E168" s="82"/>
      <c r="F168" s="82"/>
      <c r="G168" s="82" t="e">
        <f>IF(E161,E172,IF(G161,G172,D168))</f>
        <v>#N/A</v>
      </c>
      <c r="H168" s="82"/>
      <c r="I168" s="82"/>
      <c r="J168" s="82" t="e">
        <f>IF(H161,H172,IF(J161,J172,G168))</f>
        <v>#N/A</v>
      </c>
      <c r="K168" s="82"/>
      <c r="L168" s="82"/>
      <c r="M168" s="82" t="e">
        <f>IF(K161,K172,IF(M161,M172,J168))</f>
        <v>#N/A</v>
      </c>
      <c r="N168" s="82"/>
      <c r="O168" s="82"/>
      <c r="P168" s="82" t="e">
        <f>IF(N161,N172,IF(P161,P172,M168))</f>
        <v>#N/A</v>
      </c>
      <c r="Q168" s="82"/>
      <c r="R168" s="82"/>
      <c r="S168" s="82" t="e">
        <f>IF(Q161,Q172,IF(S161,S172,P168))</f>
        <v>#N/A</v>
      </c>
      <c r="T168" s="82"/>
      <c r="U168" s="82"/>
      <c r="V168" s="82" t="e">
        <f>IF(T161,T172,IF(V161,V172,S168))</f>
        <v>#N/A</v>
      </c>
      <c r="W168" s="82"/>
      <c r="X168" s="82"/>
      <c r="Y168" s="82" t="e">
        <f>IF(W161,W172,IF(Y161,Y172,V168))</f>
        <v>#N/A</v>
      </c>
      <c r="Z168" s="82"/>
      <c r="AA168" s="82"/>
      <c r="AB168" s="82" t="e">
        <f>IF(Z161,Z172,IF(AB161,AB172,Y168))</f>
        <v>#N/A</v>
      </c>
      <c r="AC168" s="82"/>
      <c r="AD168" s="82"/>
      <c r="AE168" s="82" t="e">
        <f>IF(AC161,AC172,IF(AE161,AE172,AB168))</f>
        <v>#N/A</v>
      </c>
      <c r="AF168" s="4"/>
      <c r="AG168" s="4"/>
      <c r="AJ168" s="4"/>
      <c r="AL168" s="4"/>
      <c r="AM168" s="4"/>
      <c r="AN168" s="4"/>
      <c r="AO168" s="4"/>
      <c r="AT168" s="77">
        <f>B168</f>
        <v>0</v>
      </c>
      <c r="AU168" s="77" t="e">
        <f>AE168</f>
        <v>#N/A</v>
      </c>
      <c r="AW168" s="81"/>
      <c r="BB168" s="81"/>
    </row>
    <row r="169" spans="1:54" s="77" customFormat="1" hidden="1" x14ac:dyDescent="0.2">
      <c r="A169" s="82"/>
      <c r="B169" s="82"/>
      <c r="C169" s="82"/>
      <c r="D169" s="82"/>
      <c r="E169" s="82"/>
      <c r="F169" s="82"/>
      <c r="G169" s="82"/>
      <c r="H169" s="82"/>
      <c r="I169" s="82"/>
      <c r="J169" s="82"/>
      <c r="K169" s="82"/>
      <c r="L169" s="82"/>
      <c r="M169" s="82"/>
      <c r="N169" s="82"/>
      <c r="O169" s="82"/>
      <c r="P169" s="82"/>
      <c r="Q169" s="82"/>
      <c r="R169" s="82"/>
      <c r="S169" s="82"/>
      <c r="T169" s="82"/>
      <c r="U169" s="82"/>
      <c r="V169" s="82"/>
      <c r="W169" s="82"/>
      <c r="X169" s="82"/>
      <c r="Y169" s="82"/>
      <c r="Z169" s="82"/>
      <c r="AA169" s="82"/>
      <c r="AB169" s="82"/>
      <c r="AC169" s="82"/>
      <c r="AD169" s="82"/>
      <c r="AE169" s="82"/>
      <c r="AF169" s="4"/>
      <c r="AG169" s="4"/>
      <c r="AJ169" s="4"/>
      <c r="AL169" s="4"/>
      <c r="AM169" s="4"/>
      <c r="AN169" s="4"/>
      <c r="AO169" s="4"/>
      <c r="AW169" s="81"/>
      <c r="BB169" s="81"/>
    </row>
    <row r="170" spans="1:54" s="77" customFormat="1" hidden="1" x14ac:dyDescent="0.2">
      <c r="A170" s="82" t="s">
        <v>110</v>
      </c>
      <c r="B170" s="82">
        <f>VLOOKUP(B109,$A164:$AE168,3,FALSE)</f>
        <v>2373.4548553972368</v>
      </c>
      <c r="C170" s="82">
        <v>1</v>
      </c>
      <c r="D170" s="82">
        <f>VLOOKUP(D109,$A164:$AE168,3,FALSE)</f>
        <v>2357.6838122545587</v>
      </c>
      <c r="E170" s="82">
        <f>VLOOKUP(E109,$A164:$AE168,4,FALSE)</f>
        <v>2521.1020498080788</v>
      </c>
      <c r="F170" s="82">
        <v>2</v>
      </c>
      <c r="G170" s="82">
        <f>VLOOKUP(G109,$A164:$AE168,4,FALSE)</f>
        <v>2215.5305281096694</v>
      </c>
      <c r="H170" s="82">
        <f>VLOOKUP(H109,$A164:$AE168,7,FALSE)</f>
        <v>2404.0032854923925</v>
      </c>
      <c r="I170" s="82">
        <v>3</v>
      </c>
      <c r="J170" s="82">
        <f>VLOOKUP(J109,$A164:$AE168,7,FALSE)</f>
        <v>2206.1280168317094</v>
      </c>
      <c r="K170" s="82">
        <f>VLOOKUP(K109,$A164:$AE168,10,FALSE)</f>
        <v>2530.5045610860388</v>
      </c>
      <c r="L170" s="82">
        <v>4</v>
      </c>
      <c r="M170" s="82">
        <f>VLOOKUP(M109,$A164:$AE168,10,FALSE)</f>
        <v>2327.135382159403</v>
      </c>
      <c r="N170" s="82">
        <f>VLOOKUP(N109,$A164:$AE168,13,FALSE)</f>
        <v>2311.984610301598</v>
      </c>
      <c r="O170" s="82">
        <v>5</v>
      </c>
      <c r="P170" s="82">
        <f>VLOOKUP(P109,$A164:$AE168,13,FALSE)</f>
        <v>2190.6084845284845</v>
      </c>
      <c r="Q170" s="82">
        <f>VLOOKUP(Q109,$A164:$AE168,16,FALSE)</f>
        <v>2545.6553329438439</v>
      </c>
      <c r="R170" s="82">
        <v>6</v>
      </c>
      <c r="S170" s="82">
        <f>VLOOKUP(S109,$A164:$AE168,16,FALSE)</f>
        <v>2419.5228177956178</v>
      </c>
      <c r="T170" s="82" t="e">
        <f>VLOOKUP(T109,$A164:$AE168,19,FALSE)</f>
        <v>#N/A</v>
      </c>
      <c r="U170" s="82">
        <v>7</v>
      </c>
      <c r="V170" s="82" t="e">
        <f>VLOOKUP(V109,$A164:$AE168,19,FALSE)</f>
        <v>#N/A</v>
      </c>
      <c r="W170" s="82" t="e">
        <f>VLOOKUP(W109,$A164:$AE168,22,FALSE)</f>
        <v>#N/A</v>
      </c>
      <c r="X170" s="82">
        <v>8</v>
      </c>
      <c r="Y170" s="82" t="e">
        <f>VLOOKUP(Y109,$A164:$AE168,22,FALSE)</f>
        <v>#N/A</v>
      </c>
      <c r="Z170" s="82" t="e">
        <f>VLOOKUP(Z109,$A164:$AE168,25,FALSE)</f>
        <v>#N/A</v>
      </c>
      <c r="AA170" s="82">
        <v>9</v>
      </c>
      <c r="AB170" s="82" t="e">
        <f>VLOOKUP(AB109,$A164:$AE168,25,FALSE)</f>
        <v>#N/A</v>
      </c>
      <c r="AC170" s="82" t="e">
        <f>VLOOKUP(AC109,$A164:$AE168,28,FALSE)</f>
        <v>#N/A</v>
      </c>
      <c r="AD170" s="82">
        <v>10</v>
      </c>
      <c r="AE170" s="82" t="e">
        <f>VLOOKUP(AE109,$A164:$AE168,28,FALSE)</f>
        <v>#N/A</v>
      </c>
      <c r="AF170" s="4"/>
      <c r="AG170" s="95"/>
      <c r="AH170" s="95"/>
      <c r="AI170" s="95"/>
      <c r="AJ170" s="95"/>
      <c r="AK170" s="95"/>
      <c r="AL170" s="95"/>
      <c r="AM170" s="95"/>
      <c r="AN170" s="96"/>
      <c r="AO170" s="96"/>
      <c r="AP170" s="96"/>
      <c r="AQ170" s="96"/>
      <c r="AW170" s="81"/>
      <c r="BB170" s="81"/>
    </row>
    <row r="171" spans="1:54" s="87" customFormat="1" hidden="1" x14ac:dyDescent="0.2">
      <c r="A171" s="83" t="s">
        <v>111</v>
      </c>
      <c r="B171" s="83">
        <f>1/(1+(10^-((B170-D170)/400)))*(B121+D121)</f>
        <v>1.0453615595263772</v>
      </c>
      <c r="C171" s="83"/>
      <c r="D171" s="83">
        <f>1/(1+(10^-((D170-B170)/400)))*(B121+D121)</f>
        <v>0.95463844047362278</v>
      </c>
      <c r="E171" s="83">
        <f>1/(1+(10^-((E170-G170)/400)))*(E121+G121)</f>
        <v>1.7061715225637506</v>
      </c>
      <c r="F171" s="83"/>
      <c r="G171" s="83">
        <f>1/(1+(10^-((G170-E170)/400)))*(E121+G121)</f>
        <v>0.29382847743624962</v>
      </c>
      <c r="H171" s="83">
        <f>1/(1+(10^-((H170-J170)/400)))*(H121+J121)</f>
        <v>1.5150146155242155</v>
      </c>
      <c r="I171" s="83"/>
      <c r="J171" s="83">
        <f>1/(1+(10^-((J170-H170)/400)))*(H121+J121)</f>
        <v>0.48498538447578449</v>
      </c>
      <c r="K171" s="83">
        <f>1/(1+(10^-((K170-M170)/400)))*(K121+M121)</f>
        <v>1.5265383794435918</v>
      </c>
      <c r="L171" s="83"/>
      <c r="M171" s="83">
        <f>1/(1+(10^-((M170-K170)/400)))*(K121+M121)</f>
        <v>0.473461620556408</v>
      </c>
      <c r="N171" s="83">
        <f>1/(1+(10^-((N170-P170)/400)))*(N121+P121)</f>
        <v>1.3357976981811581</v>
      </c>
      <c r="O171" s="83"/>
      <c r="P171" s="83">
        <f>1/(1+(10^-((P170-N170)/400)))*(N121+P121)</f>
        <v>0.66420230181884188</v>
      </c>
      <c r="Q171" s="83">
        <f>1/(1+(10^-((Q170-S170)/400)))*(Q121+S121)</f>
        <v>1.347887669133855</v>
      </c>
      <c r="R171" s="83"/>
      <c r="S171" s="83">
        <f>1/(1+(10^-((S170-Q170)/400)))*(Q121+S121)</f>
        <v>0.65211233086614506</v>
      </c>
      <c r="T171" s="83" t="e">
        <f>1/(1+(10^-((T170-V170)/400)))*(T121+V121)</f>
        <v>#N/A</v>
      </c>
      <c r="U171" s="83"/>
      <c r="V171" s="83" t="e">
        <f>1/(1+(10^-((V170-T170)/400)))*(T121+V121)</f>
        <v>#N/A</v>
      </c>
      <c r="W171" s="83" t="e">
        <f>1/(1+(10^-((W170-Y170)/400)))*(W121+Y121)</f>
        <v>#N/A</v>
      </c>
      <c r="X171" s="83"/>
      <c r="Y171" s="83" t="e">
        <f>1/(1+(10^-((Y170-W170)/400)))*(W121+Y121)</f>
        <v>#N/A</v>
      </c>
      <c r="Z171" s="83" t="e">
        <f>1/(1+(10^-((Z170-AB170)/400)))*(Z121+AB121)</f>
        <v>#N/A</v>
      </c>
      <c r="AA171" s="83"/>
      <c r="AB171" s="83" t="e">
        <f>1/(1+(10^-((AB170-Z170)/400)))*(Z121+AB121)</f>
        <v>#N/A</v>
      </c>
      <c r="AC171" s="83" t="e">
        <f>1/(1+(10^-((AC170-AE170)/400)))*(AC121+AE121)</f>
        <v>#N/A</v>
      </c>
      <c r="AD171" s="83"/>
      <c r="AE171" s="83" t="e">
        <f>1/(1+(10^-((AE170-AC170)/400)))*(AC121+AE121)</f>
        <v>#N/A</v>
      </c>
      <c r="AF171" s="84"/>
      <c r="AG171" s="85"/>
      <c r="AH171" s="85"/>
      <c r="AI171" s="85"/>
      <c r="AJ171" s="85"/>
      <c r="AK171" s="85"/>
      <c r="AL171" s="85"/>
      <c r="AM171" s="85"/>
      <c r="AN171" s="86"/>
      <c r="AO171" s="86"/>
      <c r="AP171" s="86"/>
      <c r="AQ171" s="86"/>
      <c r="AW171" s="88"/>
      <c r="BB171" s="88"/>
    </row>
    <row r="172" spans="1:54" s="93" customFormat="1" hidden="1" x14ac:dyDescent="0.2">
      <c r="A172" s="89" t="s">
        <v>112</v>
      </c>
      <c r="B172" s="89">
        <f>B170+(B121-B171)*$BA$1</f>
        <v>2404.0032854923925</v>
      </c>
      <c r="C172" s="89"/>
      <c r="D172" s="89">
        <f>D170+(D121-D171)*$BA$1</f>
        <v>2327.135382159403</v>
      </c>
      <c r="E172" s="89">
        <f>E170+(E121-E171)*$BA$1</f>
        <v>2530.5045610860388</v>
      </c>
      <c r="F172" s="89"/>
      <c r="G172" s="89">
        <f>G170+(G121-G171)*$BA$1</f>
        <v>2206.1280168317094</v>
      </c>
      <c r="H172" s="89">
        <f>H170+(H121-H171)*$BA$1</f>
        <v>2419.5228177956178</v>
      </c>
      <c r="I172" s="89"/>
      <c r="J172" s="89">
        <f>J170+(J121-J171)*$BA$1</f>
        <v>2190.6084845284845</v>
      </c>
      <c r="K172" s="89">
        <f>K170+(K121-K171)*$BA$1</f>
        <v>2545.6553329438439</v>
      </c>
      <c r="L172" s="89"/>
      <c r="M172" s="89">
        <f>M170+(M121-M171)*$BA$1</f>
        <v>2311.984610301598</v>
      </c>
      <c r="N172" s="89">
        <f>N170+(N121-N171)*$BA$1</f>
        <v>2333.2390839598011</v>
      </c>
      <c r="O172" s="89"/>
      <c r="P172" s="89">
        <f>P170+(P121-P171)*$BA$1</f>
        <v>2169.3540108702814</v>
      </c>
      <c r="Q172" s="89">
        <f>Q170+(Q121-Q171)*$BA$1</f>
        <v>2566.5229275315605</v>
      </c>
      <c r="R172" s="89"/>
      <c r="S172" s="89">
        <f>S170+(S121-S171)*$BA$1</f>
        <v>2398.6552232079011</v>
      </c>
      <c r="T172" s="89" t="e">
        <f>T170+(T121-T171)*$BA$1</f>
        <v>#N/A</v>
      </c>
      <c r="U172" s="89"/>
      <c r="V172" s="89" t="e">
        <f>V170+(V121-V171)*$BA$1</f>
        <v>#N/A</v>
      </c>
      <c r="W172" s="89" t="e">
        <f>W170+(W121-W171)*$BA$1</f>
        <v>#N/A</v>
      </c>
      <c r="X172" s="89"/>
      <c r="Y172" s="89" t="e">
        <f>Y170+(Y121-Y171)*$BA$1</f>
        <v>#N/A</v>
      </c>
      <c r="Z172" s="89" t="e">
        <f>Z170+(Z121-Z171)*$BA$1</f>
        <v>#N/A</v>
      </c>
      <c r="AA172" s="89"/>
      <c r="AB172" s="89" t="e">
        <f>AB170+(AB121-AB171)*$BA$1</f>
        <v>#N/A</v>
      </c>
      <c r="AC172" s="89" t="e">
        <f>AC170+(AC121-AC171)*$BA$1</f>
        <v>#N/A</v>
      </c>
      <c r="AD172" s="89"/>
      <c r="AE172" s="89" t="e">
        <f>AE170+(AE121-AE171)*$BA$1</f>
        <v>#N/A</v>
      </c>
      <c r="AF172" s="90"/>
      <c r="AG172" s="91"/>
      <c r="AH172" s="91"/>
      <c r="AI172" s="91"/>
      <c r="AJ172" s="91"/>
      <c r="AK172" s="91"/>
      <c r="AL172" s="91"/>
      <c r="AM172" s="91"/>
      <c r="AN172" s="92"/>
      <c r="AO172" s="92"/>
      <c r="AP172" s="92"/>
      <c r="AQ172" s="92"/>
      <c r="AW172" s="94"/>
      <c r="BB172" s="94"/>
    </row>
    <row r="173" spans="1:54" s="93" customFormat="1" hidden="1" x14ac:dyDescent="0.2">
      <c r="A173" s="89"/>
      <c r="B173" s="89"/>
      <c r="C173" s="89"/>
      <c r="D173" s="89"/>
      <c r="E173" s="89"/>
      <c r="F173" s="89"/>
      <c r="G173" s="89"/>
      <c r="H173" s="89"/>
      <c r="I173" s="89"/>
      <c r="J173" s="89"/>
      <c r="K173" s="89"/>
      <c r="L173" s="89"/>
      <c r="M173" s="89"/>
      <c r="N173" s="89"/>
      <c r="O173" s="89"/>
      <c r="P173" s="89"/>
      <c r="Q173" s="89"/>
      <c r="R173" s="89"/>
      <c r="S173" s="89"/>
      <c r="T173" s="89"/>
      <c r="U173" s="89"/>
      <c r="V173" s="89"/>
      <c r="W173" s="89"/>
      <c r="X173" s="89"/>
      <c r="Y173" s="89"/>
      <c r="Z173" s="89"/>
      <c r="AA173" s="89"/>
      <c r="AB173" s="89"/>
      <c r="AC173" s="89"/>
      <c r="AD173" s="89"/>
      <c r="AE173" s="89"/>
      <c r="AF173" s="90"/>
      <c r="AG173" s="91"/>
      <c r="AH173" s="91"/>
      <c r="AI173" s="91"/>
      <c r="AJ173" s="91"/>
      <c r="AK173" s="91"/>
      <c r="AL173" s="91"/>
      <c r="AM173" s="91"/>
      <c r="AN173" s="92"/>
      <c r="AO173" s="92"/>
      <c r="AP173" s="92"/>
      <c r="AQ173" s="92"/>
      <c r="AW173" s="94"/>
      <c r="BB173" s="94"/>
    </row>
    <row r="174" spans="1:54" s="77" customFormat="1" x14ac:dyDescent="0.2">
      <c r="A174" s="281" t="str">
        <f>IF($AK95=1,"Pool Tiereaker : 1) Matches Won vs Lost (if 3 way tie then #4)  2) Head to Head  3) Game Win %  4) Total Pool Net Points  5) Flip a Coin","Pool Tiebreaker : 1) Games Won vs Lost (if 3 way tie then #5)  2) Head to Head  3) Head to Head Net Points  4) Game Win %  5) Total Pool Net Points  6) Flip a Coin")</f>
        <v>Pool Tiereaker : 1) Matches Won vs Lost (if 3 way tie then #4)  2) Head to Head  3) Game Win %  4) Total Pool Net Points  5) Flip a Coin</v>
      </c>
      <c r="B174" s="281"/>
      <c r="C174" s="281"/>
      <c r="D174" s="281"/>
      <c r="E174" s="281"/>
      <c r="F174" s="281"/>
      <c r="G174" s="281"/>
      <c r="H174" s="281"/>
      <c r="I174" s="281"/>
      <c r="J174" s="281"/>
      <c r="K174" s="281"/>
      <c r="L174" s="281"/>
      <c r="M174" s="281"/>
      <c r="N174" s="281"/>
      <c r="O174" s="281"/>
      <c r="P174" s="281"/>
      <c r="Q174" s="281"/>
      <c r="R174" s="281"/>
      <c r="S174" s="281"/>
      <c r="T174" s="281"/>
      <c r="U174" s="281"/>
      <c r="V174" s="281"/>
      <c r="W174" s="281"/>
      <c r="X174" s="281"/>
      <c r="Y174" s="281"/>
      <c r="Z174" s="281"/>
      <c r="AA174" s="281"/>
      <c r="AB174" s="281"/>
      <c r="AC174" s="281"/>
      <c r="AD174" s="281"/>
      <c r="AE174" s="281"/>
      <c r="AF174" s="281"/>
      <c r="AG174" s="281"/>
      <c r="AH174" s="281"/>
      <c r="AI174" s="281"/>
      <c r="AJ174" s="281"/>
      <c r="AK174" s="281"/>
      <c r="AL174" s="281"/>
      <c r="AM174" s="281"/>
      <c r="AN174" s="259"/>
      <c r="AO174" s="259"/>
      <c r="AP174" s="259"/>
      <c r="AQ174" s="259"/>
      <c r="AW174" s="81"/>
    </row>
    <row r="175" spans="1:54" s="77" customFormat="1" ht="13.5" thickBot="1" x14ac:dyDescent="0.25">
      <c r="A175" s="282"/>
      <c r="B175" s="282"/>
      <c r="C175" s="282"/>
      <c r="D175" s="282"/>
      <c r="E175" s="282"/>
      <c r="F175" s="282"/>
      <c r="G175" s="282"/>
      <c r="H175" s="282"/>
      <c r="I175" s="282"/>
      <c r="J175" s="282"/>
      <c r="K175" s="282"/>
      <c r="L175" s="282"/>
      <c r="M175" s="282"/>
      <c r="N175" s="282"/>
      <c r="O175" s="282"/>
      <c r="P175" s="282"/>
      <c r="Q175" s="282"/>
      <c r="R175" s="282"/>
      <c r="S175" s="282"/>
      <c r="T175" s="282"/>
      <c r="U175" s="282"/>
      <c r="V175" s="282"/>
      <c r="W175" s="282"/>
      <c r="X175" s="282"/>
      <c r="Y175" s="282"/>
      <c r="Z175" s="282"/>
      <c r="AA175" s="282"/>
      <c r="AB175" s="282"/>
      <c r="AC175" s="282"/>
      <c r="AD175" s="282"/>
      <c r="AE175" s="282"/>
      <c r="AF175" s="282"/>
      <c r="AG175" s="282"/>
      <c r="AH175" s="282"/>
      <c r="AI175" s="282"/>
      <c r="AJ175" s="282"/>
      <c r="AK175" s="282"/>
      <c r="AL175" s="282"/>
      <c r="AM175" s="282"/>
      <c r="AN175" s="282"/>
      <c r="AO175" s="282"/>
      <c r="AP175" s="282"/>
      <c r="AQ175" s="282"/>
      <c r="AT175" s="4"/>
      <c r="AU175" s="4"/>
      <c r="AV175" s="4"/>
      <c r="AW175" s="81"/>
    </row>
    <row r="176" spans="1:54" ht="24" customHeight="1" thickBot="1" x14ac:dyDescent="0.25">
      <c r="A176" s="27" t="s">
        <v>34</v>
      </c>
      <c r="B176" s="28" t="s">
        <v>205</v>
      </c>
      <c r="C176" s="353" t="s">
        <v>36</v>
      </c>
      <c r="D176" s="354"/>
      <c r="E176" s="354"/>
      <c r="F176" s="354"/>
      <c r="G176" s="354"/>
      <c r="H176" s="355"/>
      <c r="I176" s="356">
        <v>3</v>
      </c>
      <c r="J176" s="357"/>
      <c r="K176" s="358" t="str">
        <f>"Pool "&amp;B176&amp;" - Round 1 - Court "&amp;I176</f>
        <v>Pool C - Round 1 - Court 3</v>
      </c>
      <c r="L176" s="359"/>
      <c r="M176" s="359"/>
      <c r="N176" s="359"/>
      <c r="O176" s="359"/>
      <c r="P176" s="359"/>
      <c r="Q176" s="359"/>
      <c r="R176" s="359"/>
      <c r="S176" s="359"/>
      <c r="T176" s="359"/>
      <c r="U176" s="359"/>
      <c r="V176" s="359"/>
      <c r="W176" s="359"/>
      <c r="X176" s="359"/>
      <c r="Y176" s="359"/>
      <c r="Z176" s="359"/>
      <c r="AA176" s="359"/>
      <c r="AB176" s="359"/>
      <c r="AC176" s="359"/>
      <c r="AD176" s="359"/>
      <c r="AE176" s="359"/>
      <c r="AF176" s="359"/>
      <c r="AG176" s="359"/>
      <c r="AH176" s="359"/>
      <c r="AI176" s="360"/>
      <c r="AJ176" s="8"/>
      <c r="AK176" s="8"/>
      <c r="AL176" s="8"/>
      <c r="AM176" s="8"/>
      <c r="AN176" s="8"/>
      <c r="AO176" s="8"/>
      <c r="AP176" s="8"/>
      <c r="AQ176" s="8"/>
    </row>
    <row r="177" spans="1:44" ht="27" customHeight="1" thickBot="1" x14ac:dyDescent="0.25">
      <c r="A177" s="29" t="s">
        <v>39</v>
      </c>
      <c r="B177" s="361" t="s">
        <v>10</v>
      </c>
      <c r="C177" s="362"/>
      <c r="D177" s="362"/>
      <c r="E177" s="362"/>
      <c r="F177" s="362"/>
      <c r="G177" s="362"/>
      <c r="H177" s="362"/>
      <c r="I177" s="362"/>
      <c r="J177" s="362"/>
      <c r="K177" s="362"/>
      <c r="L177" s="361" t="str">
        <f>IF($AK180=0,"Games Won","Matches Won")</f>
        <v>Matches Won</v>
      </c>
      <c r="M177" s="362"/>
      <c r="N177" s="362"/>
      <c r="O177" s="362"/>
      <c r="P177" s="362"/>
      <c r="Q177" s="363"/>
      <c r="R177" s="361" t="str">
        <f>IF($AK180=0,"Games Lost","Matches Lost")</f>
        <v>Matches Lost</v>
      </c>
      <c r="S177" s="364"/>
      <c r="T177" s="364"/>
      <c r="U177" s="364"/>
      <c r="V177" s="365"/>
      <c r="W177" s="366" t="s">
        <v>40</v>
      </c>
      <c r="X177" s="367"/>
      <c r="Y177" s="368"/>
      <c r="Z177" s="366" t="s">
        <v>41</v>
      </c>
      <c r="AA177" s="367"/>
      <c r="AB177" s="368"/>
      <c r="AC177" s="369" t="s">
        <v>42</v>
      </c>
      <c r="AD177" s="370"/>
      <c r="AE177" s="371"/>
      <c r="AF177" s="30" t="s">
        <v>43</v>
      </c>
      <c r="AG177" s="31" t="s">
        <v>9</v>
      </c>
      <c r="AH177" s="351" t="s">
        <v>44</v>
      </c>
      <c r="AI177" s="352"/>
      <c r="AJ177" s="32"/>
      <c r="AK177" s="33">
        <v>3</v>
      </c>
      <c r="AL177" s="34" t="s">
        <v>45</v>
      </c>
      <c r="AM177" s="34"/>
      <c r="AN177" s="34"/>
      <c r="AO177" s="34"/>
      <c r="AP177" s="34"/>
      <c r="AQ177" s="34"/>
      <c r="AR177" s="35"/>
    </row>
    <row r="178" spans="1:44" ht="18.75" customHeight="1" x14ac:dyDescent="0.2">
      <c r="A178" s="320" t="str">
        <f>IF($AK179&gt;0,"1","")</f>
        <v>1</v>
      </c>
      <c r="B178" s="348" t="s">
        <v>10</v>
      </c>
      <c r="C178" s="349"/>
      <c r="D178" s="350"/>
      <c r="E178" s="324" t="str">
        <f>AU5</f>
        <v>Lake Murray 15 Red</v>
      </c>
      <c r="F178" s="325"/>
      <c r="G178" s="325"/>
      <c r="H178" s="325"/>
      <c r="I178" s="325"/>
      <c r="J178" s="325"/>
      <c r="K178" s="326"/>
      <c r="L178" s="327">
        <f>IF($AK180=0,AF234,AF216)</f>
        <v>2</v>
      </c>
      <c r="M178" s="328"/>
      <c r="N178" s="328"/>
      <c r="O178" s="328"/>
      <c r="P178" s="328"/>
      <c r="Q178" s="363"/>
      <c r="R178" s="327">
        <f>IF($AK180=0,AG234,AG216)</f>
        <v>1</v>
      </c>
      <c r="S178" s="328"/>
      <c r="T178" s="328"/>
      <c r="U178" s="328"/>
      <c r="V178" s="328"/>
      <c r="W178" s="327">
        <f>AQ194</f>
        <v>33</v>
      </c>
      <c r="X178" s="328"/>
      <c r="Y178" s="328"/>
      <c r="Z178" s="300">
        <f>IF(AF228&gt;0,(AQ194/AF228),0)</f>
        <v>0.19879518072289157</v>
      </c>
      <c r="AA178" s="301"/>
      <c r="AB178" s="301"/>
      <c r="AC178" s="304">
        <f>IF(AF242=0,0,(AF234/AF242))</f>
        <v>0.7142857142857143</v>
      </c>
      <c r="AD178" s="305"/>
      <c r="AE178" s="306"/>
      <c r="AF178" s="310">
        <v>2</v>
      </c>
      <c r="AG178" s="310">
        <v>2</v>
      </c>
      <c r="AH178" s="312"/>
      <c r="AI178" s="313"/>
      <c r="AJ178" s="32"/>
      <c r="AK178" s="33">
        <v>6</v>
      </c>
      <c r="AL178" s="34" t="s">
        <v>48</v>
      </c>
      <c r="AM178" s="34"/>
      <c r="AN178" s="34"/>
      <c r="AO178" s="34"/>
      <c r="AP178" s="34"/>
      <c r="AQ178" s="34"/>
      <c r="AR178" s="35"/>
    </row>
    <row r="179" spans="1:44" ht="18.75" customHeight="1" thickBot="1" x14ac:dyDescent="0.25">
      <c r="A179" s="321"/>
      <c r="B179" s="345" t="s">
        <v>11</v>
      </c>
      <c r="C179" s="346"/>
      <c r="D179" s="347"/>
      <c r="E179" s="341" t="str">
        <f>AV5</f>
        <v>fj5lakem1pm</v>
      </c>
      <c r="F179" s="342"/>
      <c r="G179" s="342"/>
      <c r="H179" s="342"/>
      <c r="I179" s="342"/>
      <c r="J179" s="342"/>
      <c r="K179" s="342"/>
      <c r="L179" s="343"/>
      <c r="M179" s="344"/>
      <c r="N179" s="344"/>
      <c r="O179" s="344"/>
      <c r="P179" s="344"/>
      <c r="Q179" s="363"/>
      <c r="R179" s="343"/>
      <c r="S179" s="344"/>
      <c r="T179" s="344"/>
      <c r="U179" s="344"/>
      <c r="V179" s="344"/>
      <c r="W179" s="343"/>
      <c r="X179" s="344"/>
      <c r="Y179" s="344"/>
      <c r="Z179" s="331"/>
      <c r="AA179" s="332"/>
      <c r="AB179" s="332"/>
      <c r="AC179" s="333"/>
      <c r="AD179" s="334"/>
      <c r="AE179" s="335"/>
      <c r="AF179" s="336"/>
      <c r="AG179" s="336"/>
      <c r="AH179" s="337"/>
      <c r="AI179" s="338"/>
      <c r="AJ179" s="32"/>
      <c r="AK179" s="33">
        <v>4</v>
      </c>
      <c r="AL179" s="34" t="s">
        <v>51</v>
      </c>
      <c r="AM179" s="32"/>
      <c r="AN179" s="32"/>
      <c r="AO179" s="32"/>
      <c r="AP179" s="32"/>
      <c r="AQ179" s="32"/>
      <c r="AR179" s="3"/>
    </row>
    <row r="180" spans="1:44" ht="18.75" customHeight="1" x14ac:dyDescent="0.2">
      <c r="A180" s="320" t="str">
        <f>IF($AK179&gt;1,"2","")</f>
        <v>2</v>
      </c>
      <c r="B180" s="348" t="s">
        <v>10</v>
      </c>
      <c r="C180" s="349"/>
      <c r="D180" s="350"/>
      <c r="E180" s="324" t="str">
        <f>AU8</f>
        <v>Kershaw 15 Black</v>
      </c>
      <c r="F180" s="325"/>
      <c r="G180" s="325"/>
      <c r="H180" s="325"/>
      <c r="I180" s="325"/>
      <c r="J180" s="325"/>
      <c r="K180" s="326"/>
      <c r="L180" s="327">
        <f>IF($AK180=0,AF235,AF217)</f>
        <v>1</v>
      </c>
      <c r="M180" s="328"/>
      <c r="N180" s="328"/>
      <c r="O180" s="328"/>
      <c r="P180" s="328"/>
      <c r="Q180" s="363"/>
      <c r="R180" s="327">
        <f>IF($AK180=0,AG235,AG217)</f>
        <v>2</v>
      </c>
      <c r="S180" s="328"/>
      <c r="T180" s="328"/>
      <c r="U180" s="328"/>
      <c r="V180" s="328"/>
      <c r="W180" s="327">
        <f>AQ195</f>
        <v>-16</v>
      </c>
      <c r="X180" s="328"/>
      <c r="Y180" s="328"/>
      <c r="Z180" s="300">
        <f>IF(AF229&gt;0,(AQ195/AF229),0)</f>
        <v>-8.7912087912087919E-2</v>
      </c>
      <c r="AA180" s="301"/>
      <c r="AB180" s="301"/>
      <c r="AC180" s="304">
        <f>IF(AF243=0,0,(AF235/AF243))</f>
        <v>0.375</v>
      </c>
      <c r="AD180" s="305"/>
      <c r="AE180" s="306"/>
      <c r="AF180" s="310">
        <v>4</v>
      </c>
      <c r="AG180" s="310">
        <v>2</v>
      </c>
      <c r="AH180" s="312"/>
      <c r="AI180" s="313"/>
      <c r="AJ180" s="32"/>
      <c r="AK180" s="33">
        <v>1</v>
      </c>
      <c r="AL180" s="34" t="s">
        <v>54</v>
      </c>
      <c r="AM180" s="34"/>
      <c r="AN180" s="34"/>
      <c r="AO180" s="34"/>
      <c r="AP180" s="34"/>
      <c r="AQ180" s="34"/>
      <c r="AR180" s="35"/>
    </row>
    <row r="181" spans="1:44" ht="18.75" customHeight="1" thickBot="1" x14ac:dyDescent="0.25">
      <c r="A181" s="321"/>
      <c r="B181" s="339" t="s">
        <v>11</v>
      </c>
      <c r="C181" s="340"/>
      <c r="D181" s="340"/>
      <c r="E181" s="341" t="str">
        <f>AV8</f>
        <v>fj5kersh1pm</v>
      </c>
      <c r="F181" s="342"/>
      <c r="G181" s="342"/>
      <c r="H181" s="342"/>
      <c r="I181" s="342"/>
      <c r="J181" s="342"/>
      <c r="K181" s="342"/>
      <c r="L181" s="343"/>
      <c r="M181" s="344"/>
      <c r="N181" s="344"/>
      <c r="O181" s="344"/>
      <c r="P181" s="344"/>
      <c r="Q181" s="363"/>
      <c r="R181" s="343"/>
      <c r="S181" s="344"/>
      <c r="T181" s="344"/>
      <c r="U181" s="344"/>
      <c r="V181" s="344"/>
      <c r="W181" s="343"/>
      <c r="X181" s="344"/>
      <c r="Y181" s="344"/>
      <c r="Z181" s="331"/>
      <c r="AA181" s="332"/>
      <c r="AB181" s="332"/>
      <c r="AC181" s="333"/>
      <c r="AD181" s="334"/>
      <c r="AE181" s="335"/>
      <c r="AF181" s="336"/>
      <c r="AG181" s="336"/>
      <c r="AH181" s="337"/>
      <c r="AI181" s="338"/>
      <c r="AJ181" s="32"/>
      <c r="AK181" s="33">
        <v>1</v>
      </c>
      <c r="AL181" s="34" t="s">
        <v>56</v>
      </c>
      <c r="AM181" s="32"/>
      <c r="AN181" s="32"/>
      <c r="AO181" s="32"/>
      <c r="AP181" s="32"/>
      <c r="AQ181" s="32"/>
      <c r="AR181" s="3"/>
    </row>
    <row r="182" spans="1:44" ht="18.75" customHeight="1" x14ac:dyDescent="0.2">
      <c r="A182" s="320" t="str">
        <f>IF($AK179&gt;2,"3","")</f>
        <v>3</v>
      </c>
      <c r="B182" s="322" t="s">
        <v>10</v>
      </c>
      <c r="C182" s="323"/>
      <c r="D182" s="323"/>
      <c r="E182" s="324" t="str">
        <f>AU13</f>
        <v>C1VB 15 Power Grvl</v>
      </c>
      <c r="F182" s="325"/>
      <c r="G182" s="325"/>
      <c r="H182" s="325"/>
      <c r="I182" s="325"/>
      <c r="J182" s="325"/>
      <c r="K182" s="326"/>
      <c r="L182" s="327">
        <f>IF($AK180=0,AF236,AF218)</f>
        <v>2</v>
      </c>
      <c r="M182" s="328"/>
      <c r="N182" s="328"/>
      <c r="O182" s="328"/>
      <c r="P182" s="328"/>
      <c r="Q182" s="363"/>
      <c r="R182" s="327">
        <f>IF($AK180=0,AG236,AG218)</f>
        <v>1</v>
      </c>
      <c r="S182" s="328"/>
      <c r="T182" s="328"/>
      <c r="U182" s="328"/>
      <c r="V182" s="328"/>
      <c r="W182" s="327">
        <f>AQ196</f>
        <v>20</v>
      </c>
      <c r="X182" s="328"/>
      <c r="Y182" s="328"/>
      <c r="Z182" s="300">
        <f>IF(AF230&gt;0,(AQ196/AF230),0)</f>
        <v>0.10928961748633879</v>
      </c>
      <c r="AA182" s="301"/>
      <c r="AB182" s="301"/>
      <c r="AC182" s="304">
        <f>IF(AF244=0,0,(AF236/AF244))</f>
        <v>0.625</v>
      </c>
      <c r="AD182" s="305"/>
      <c r="AE182" s="306"/>
      <c r="AF182" s="310">
        <v>1</v>
      </c>
      <c r="AG182" s="310">
        <v>2</v>
      </c>
      <c r="AH182" s="312"/>
      <c r="AI182" s="313"/>
      <c r="AJ182" s="43"/>
      <c r="AK182" s="33">
        <v>3</v>
      </c>
      <c r="AL182" s="44" t="s">
        <v>57</v>
      </c>
      <c r="AM182" s="34"/>
      <c r="AN182" s="34"/>
      <c r="AO182" s="34"/>
      <c r="AP182" s="34"/>
      <c r="AQ182" s="34"/>
      <c r="AR182" s="35"/>
    </row>
    <row r="183" spans="1:44" ht="18.75" customHeight="1" thickBot="1" x14ac:dyDescent="0.25">
      <c r="A183" s="321"/>
      <c r="B183" s="339" t="s">
        <v>11</v>
      </c>
      <c r="C183" s="340"/>
      <c r="D183" s="340"/>
      <c r="E183" s="341" t="str">
        <f>AV13</f>
        <v>fj5crone3pm</v>
      </c>
      <c r="F183" s="342"/>
      <c r="G183" s="342"/>
      <c r="H183" s="342"/>
      <c r="I183" s="342"/>
      <c r="J183" s="342"/>
      <c r="K183" s="342"/>
      <c r="L183" s="343"/>
      <c r="M183" s="344"/>
      <c r="N183" s="344"/>
      <c r="O183" s="344"/>
      <c r="P183" s="344"/>
      <c r="Q183" s="363"/>
      <c r="R183" s="343"/>
      <c r="S183" s="344"/>
      <c r="T183" s="344"/>
      <c r="U183" s="344"/>
      <c r="V183" s="344"/>
      <c r="W183" s="343"/>
      <c r="X183" s="344"/>
      <c r="Y183" s="344"/>
      <c r="Z183" s="331"/>
      <c r="AA183" s="332"/>
      <c r="AB183" s="332"/>
      <c r="AC183" s="333"/>
      <c r="AD183" s="334"/>
      <c r="AE183" s="335"/>
      <c r="AF183" s="336"/>
      <c r="AG183" s="336"/>
      <c r="AH183" s="337"/>
      <c r="AI183" s="338"/>
      <c r="AJ183" s="43"/>
      <c r="AK183" s="51"/>
      <c r="AL183" s="52"/>
      <c r="AM183" s="52"/>
      <c r="AN183" s="52"/>
      <c r="AO183" s="52"/>
      <c r="AP183" s="52"/>
      <c r="AQ183" s="32"/>
      <c r="AR183" s="3"/>
    </row>
    <row r="184" spans="1:44" ht="18.75" customHeight="1" x14ac:dyDescent="0.2">
      <c r="A184" s="320" t="str">
        <f>IF($AK179&gt;3,"4","")</f>
        <v>4</v>
      </c>
      <c r="B184" s="322" t="s">
        <v>10</v>
      </c>
      <c r="C184" s="323"/>
      <c r="D184" s="323"/>
      <c r="E184" s="324" t="str">
        <f>AU16</f>
        <v>Intense 15 Elite Rock Hil</v>
      </c>
      <c r="F184" s="325"/>
      <c r="G184" s="325"/>
      <c r="H184" s="325"/>
      <c r="I184" s="325"/>
      <c r="J184" s="325"/>
      <c r="K184" s="326"/>
      <c r="L184" s="327">
        <f>IF($AK180=0,AF237,AF219)</f>
        <v>1</v>
      </c>
      <c r="M184" s="328"/>
      <c r="N184" s="328"/>
      <c r="O184" s="328"/>
      <c r="P184" s="328"/>
      <c r="Q184" s="363"/>
      <c r="R184" s="327">
        <f>IF($AK180=0,AG237,AG219)</f>
        <v>2</v>
      </c>
      <c r="S184" s="328"/>
      <c r="T184" s="328"/>
      <c r="U184" s="328"/>
      <c r="V184" s="328"/>
      <c r="W184" s="327">
        <f>AQ197</f>
        <v>-37</v>
      </c>
      <c r="X184" s="328"/>
      <c r="Y184" s="328"/>
      <c r="Z184" s="300">
        <f>IF(AF231&gt;0,(AQ197/AF231),0)</f>
        <v>-0.22424242424242424</v>
      </c>
      <c r="AA184" s="301"/>
      <c r="AB184" s="301"/>
      <c r="AC184" s="304">
        <f>IF(AF245=0,0,(AF237/AF245))</f>
        <v>0.2857142857142857</v>
      </c>
      <c r="AD184" s="305"/>
      <c r="AE184" s="306"/>
      <c r="AF184" s="310">
        <v>3</v>
      </c>
      <c r="AG184" s="310">
        <v>2</v>
      </c>
      <c r="AH184" s="312"/>
      <c r="AI184" s="313"/>
      <c r="AJ184" s="8"/>
      <c r="AK184" s="52"/>
      <c r="AL184" s="52"/>
      <c r="AM184" s="52"/>
      <c r="AN184" s="52"/>
      <c r="AO184" s="52"/>
      <c r="AP184" s="52"/>
      <c r="AQ184" s="34"/>
      <c r="AR184" s="35"/>
    </row>
    <row r="185" spans="1:44" ht="18.75" customHeight="1" thickBot="1" x14ac:dyDescent="0.25">
      <c r="A185" s="321"/>
      <c r="B185" s="339" t="s">
        <v>11</v>
      </c>
      <c r="C185" s="340"/>
      <c r="D185" s="340"/>
      <c r="E185" s="341" t="str">
        <f>AV16</f>
        <v>fj5inten3pm</v>
      </c>
      <c r="F185" s="342"/>
      <c r="G185" s="342"/>
      <c r="H185" s="342"/>
      <c r="I185" s="342"/>
      <c r="J185" s="342"/>
      <c r="K185" s="342"/>
      <c r="L185" s="343"/>
      <c r="M185" s="344"/>
      <c r="N185" s="344"/>
      <c r="O185" s="344"/>
      <c r="P185" s="344"/>
      <c r="Q185" s="363"/>
      <c r="R185" s="343"/>
      <c r="S185" s="344"/>
      <c r="T185" s="344"/>
      <c r="U185" s="344"/>
      <c r="V185" s="344"/>
      <c r="W185" s="343"/>
      <c r="X185" s="344"/>
      <c r="Y185" s="344"/>
      <c r="Z185" s="331"/>
      <c r="AA185" s="332"/>
      <c r="AB185" s="332"/>
      <c r="AC185" s="333"/>
      <c r="AD185" s="334"/>
      <c r="AE185" s="335"/>
      <c r="AF185" s="336"/>
      <c r="AG185" s="336"/>
      <c r="AH185" s="337"/>
      <c r="AI185" s="338"/>
      <c r="AJ185" s="8"/>
      <c r="AK185" s="52"/>
      <c r="AL185" s="52"/>
      <c r="AM185" s="52"/>
      <c r="AN185" s="52"/>
      <c r="AO185" s="52"/>
      <c r="AP185" s="52"/>
      <c r="AQ185" s="8"/>
      <c r="AR185" s="3"/>
    </row>
    <row r="186" spans="1:44" ht="18.75" customHeight="1" x14ac:dyDescent="0.2">
      <c r="A186" s="320" t="str">
        <f>IF($AK179&gt;4,"5","")</f>
        <v/>
      </c>
      <c r="B186" s="322" t="s">
        <v>10</v>
      </c>
      <c r="C186" s="323"/>
      <c r="D186" s="323"/>
      <c r="E186" s="427">
        <f>AU21</f>
        <v>0</v>
      </c>
      <c r="F186" s="428"/>
      <c r="G186" s="428"/>
      <c r="H186" s="428"/>
      <c r="I186" s="428"/>
      <c r="J186" s="428"/>
      <c r="K186" s="429"/>
      <c r="L186" s="327">
        <f>IF($AK180=0,AF238,AF220)</f>
        <v>0</v>
      </c>
      <c r="M186" s="328"/>
      <c r="N186" s="328"/>
      <c r="O186" s="328"/>
      <c r="P186" s="328"/>
      <c r="Q186" s="363"/>
      <c r="R186" s="327">
        <f>IF($AK180=0,AG238,AG220)</f>
        <v>0</v>
      </c>
      <c r="S186" s="328"/>
      <c r="T186" s="328"/>
      <c r="U186" s="328"/>
      <c r="V186" s="328"/>
      <c r="W186" s="327">
        <f>AQ198</f>
        <v>0</v>
      </c>
      <c r="X186" s="328"/>
      <c r="Y186" s="328"/>
      <c r="Z186" s="300">
        <f>IF(AF232&gt;0,(AQ198/AF232),0)</f>
        <v>0</v>
      </c>
      <c r="AA186" s="301"/>
      <c r="AB186" s="301"/>
      <c r="AC186" s="304">
        <f>IF(AF246=0,0,(AF238/AF246))</f>
        <v>0</v>
      </c>
      <c r="AD186" s="305"/>
      <c r="AE186" s="306"/>
      <c r="AF186" s="310"/>
      <c r="AG186" s="310"/>
      <c r="AH186" s="312"/>
      <c r="AI186" s="313"/>
      <c r="AJ186" s="8"/>
      <c r="AK186" s="52"/>
      <c r="AL186" s="52"/>
      <c r="AM186" s="52"/>
      <c r="AN186" s="52"/>
      <c r="AO186" s="52"/>
      <c r="AP186" s="52"/>
      <c r="AQ186" s="8"/>
      <c r="AR186" s="3"/>
    </row>
    <row r="187" spans="1:44" ht="18.75" customHeight="1" thickBot="1" x14ac:dyDescent="0.25">
      <c r="A187" s="321"/>
      <c r="B187" s="316" t="s">
        <v>11</v>
      </c>
      <c r="C187" s="317"/>
      <c r="D187" s="317"/>
      <c r="E187" s="430">
        <f>AV21</f>
        <v>0</v>
      </c>
      <c r="F187" s="431"/>
      <c r="G187" s="431"/>
      <c r="H187" s="431"/>
      <c r="I187" s="431"/>
      <c r="J187" s="431"/>
      <c r="K187" s="431"/>
      <c r="L187" s="329"/>
      <c r="M187" s="330"/>
      <c r="N187" s="330"/>
      <c r="O187" s="330"/>
      <c r="P187" s="330"/>
      <c r="Q187" s="363"/>
      <c r="R187" s="329"/>
      <c r="S187" s="330"/>
      <c r="T187" s="330"/>
      <c r="U187" s="330"/>
      <c r="V187" s="330"/>
      <c r="W187" s="329"/>
      <c r="X187" s="330"/>
      <c r="Y187" s="330"/>
      <c r="Z187" s="302"/>
      <c r="AA187" s="303"/>
      <c r="AB187" s="303"/>
      <c r="AC187" s="307"/>
      <c r="AD187" s="308"/>
      <c r="AE187" s="309"/>
      <c r="AF187" s="311"/>
      <c r="AG187" s="311"/>
      <c r="AH187" s="314"/>
      <c r="AI187" s="315"/>
      <c r="AJ187" s="8"/>
      <c r="AK187" s="52"/>
      <c r="AL187" s="52"/>
      <c r="AM187" s="52"/>
      <c r="AN187" s="52"/>
      <c r="AO187" s="52"/>
      <c r="AP187" s="52"/>
      <c r="AQ187" s="8"/>
      <c r="AR187" s="3"/>
    </row>
    <row r="188" spans="1:44" ht="21" customHeight="1" thickTop="1" thickBot="1" x14ac:dyDescent="0.25">
      <c r="A188" s="55"/>
      <c r="B188" s="297" t="s">
        <v>207</v>
      </c>
      <c r="C188" s="298"/>
      <c r="D188" s="298"/>
      <c r="E188" s="298"/>
      <c r="F188" s="298"/>
      <c r="G188" s="298"/>
      <c r="H188" s="298"/>
      <c r="I188" s="298"/>
      <c r="J188" s="298"/>
      <c r="K188" s="298"/>
      <c r="L188" s="298"/>
      <c r="M188" s="298"/>
      <c r="N188" s="298"/>
      <c r="O188" s="298"/>
      <c r="P188" s="298"/>
      <c r="Q188" s="298"/>
      <c r="R188" s="298"/>
      <c r="S188" s="298"/>
      <c r="T188" s="298"/>
      <c r="U188" s="298"/>
      <c r="V188" s="298"/>
      <c r="W188" s="298"/>
      <c r="X188" s="298"/>
      <c r="Y188" s="298"/>
      <c r="Z188" s="298"/>
      <c r="AA188" s="298"/>
      <c r="AB188" s="298"/>
      <c r="AC188" s="298"/>
      <c r="AD188" s="298"/>
      <c r="AE188" s="298"/>
      <c r="AF188" s="298"/>
      <c r="AG188" s="298"/>
      <c r="AH188" s="298"/>
      <c r="AI188" s="299"/>
      <c r="AJ188" s="8"/>
      <c r="AK188" s="52"/>
      <c r="AL188" s="52"/>
      <c r="AM188" s="52"/>
      <c r="AN188" s="52"/>
      <c r="AO188" s="52"/>
      <c r="AP188" s="52"/>
      <c r="AQ188" s="8"/>
      <c r="AR188" s="3"/>
    </row>
    <row r="189" spans="1:44" ht="13.5" thickTop="1" x14ac:dyDescent="0.2">
      <c r="A189" s="4" t="s">
        <v>60</v>
      </c>
      <c r="B189" s="286">
        <v>0.35416666666666669</v>
      </c>
      <c r="C189" s="287"/>
      <c r="D189" s="288"/>
      <c r="E189" s="286">
        <v>0.39583333333333331</v>
      </c>
      <c r="F189" s="287"/>
      <c r="G189" s="288"/>
      <c r="H189" s="286">
        <v>0.4375</v>
      </c>
      <c r="I189" s="287"/>
      <c r="J189" s="288"/>
      <c r="K189" s="286">
        <v>0.47916666666666669</v>
      </c>
      <c r="L189" s="287"/>
      <c r="M189" s="288"/>
      <c r="N189" s="286">
        <v>0.52083333333333337</v>
      </c>
      <c r="O189" s="287"/>
      <c r="P189" s="288"/>
      <c r="Q189" s="286">
        <v>6.25E-2</v>
      </c>
      <c r="R189" s="287"/>
      <c r="S189" s="288"/>
      <c r="T189" s="286"/>
      <c r="U189" s="287"/>
      <c r="V189" s="288"/>
      <c r="W189" s="286"/>
      <c r="X189" s="287"/>
      <c r="Y189" s="288"/>
      <c r="Z189" s="286"/>
      <c r="AA189" s="287"/>
      <c r="AB189" s="288"/>
      <c r="AC189" s="286"/>
      <c r="AD189" s="287"/>
      <c r="AE189" s="288"/>
      <c r="AF189" s="289" t="s">
        <v>61</v>
      </c>
      <c r="AG189" s="290"/>
      <c r="AH189" s="290"/>
      <c r="AI189" s="290"/>
      <c r="AJ189" s="291"/>
      <c r="AK189" s="291"/>
      <c r="AL189" s="291"/>
      <c r="AM189" s="291"/>
      <c r="AN189" s="291"/>
      <c r="AO189" s="291"/>
      <c r="AP189" s="291"/>
      <c r="AQ189" s="292"/>
    </row>
    <row r="190" spans="1:44" x14ac:dyDescent="0.2">
      <c r="A190" s="56" t="s">
        <v>62</v>
      </c>
      <c r="B190" s="283"/>
      <c r="C190" s="284"/>
      <c r="D190" s="285"/>
      <c r="E190" s="283"/>
      <c r="F190" s="284"/>
      <c r="G190" s="285"/>
      <c r="H190" s="283"/>
      <c r="I190" s="284"/>
      <c r="J190" s="285"/>
      <c r="K190" s="283"/>
      <c r="L190" s="284"/>
      <c r="M190" s="285"/>
      <c r="N190" s="283"/>
      <c r="O190" s="284"/>
      <c r="P190" s="285"/>
      <c r="Q190" s="283"/>
      <c r="R190" s="284"/>
      <c r="S190" s="285"/>
      <c r="T190" s="283"/>
      <c r="U190" s="284"/>
      <c r="V190" s="285"/>
      <c r="W190" s="283"/>
      <c r="X190" s="284"/>
      <c r="Y190" s="285"/>
      <c r="Z190" s="283"/>
      <c r="AA190" s="284"/>
      <c r="AB190" s="285"/>
      <c r="AC190" s="283"/>
      <c r="AD190" s="284"/>
      <c r="AE190" s="285"/>
      <c r="AF190" s="289"/>
      <c r="AG190" s="290"/>
      <c r="AH190" s="290"/>
      <c r="AI190" s="290"/>
      <c r="AJ190" s="290"/>
      <c r="AK190" s="290"/>
      <c r="AL190" s="290"/>
      <c r="AM190" s="290"/>
      <c r="AN190" s="290"/>
      <c r="AO190" s="290"/>
      <c r="AP190" s="290"/>
      <c r="AQ190" s="293"/>
    </row>
    <row r="191" spans="1:44" x14ac:dyDescent="0.2">
      <c r="A191" s="56" t="s">
        <v>63</v>
      </c>
      <c r="B191" s="283"/>
      <c r="C191" s="284"/>
      <c r="D191" s="285"/>
      <c r="E191" s="283"/>
      <c r="F191" s="284"/>
      <c r="G191" s="285"/>
      <c r="H191" s="283"/>
      <c r="I191" s="284"/>
      <c r="J191" s="285"/>
      <c r="K191" s="283"/>
      <c r="L191" s="284"/>
      <c r="M191" s="285"/>
      <c r="N191" s="283"/>
      <c r="O191" s="284"/>
      <c r="P191" s="285"/>
      <c r="Q191" s="283"/>
      <c r="R191" s="284"/>
      <c r="S191" s="285"/>
      <c r="T191" s="283"/>
      <c r="U191" s="284"/>
      <c r="V191" s="285"/>
      <c r="W191" s="283"/>
      <c r="X191" s="284"/>
      <c r="Y191" s="285"/>
      <c r="Z191" s="283"/>
      <c r="AA191" s="284"/>
      <c r="AB191" s="285"/>
      <c r="AC191" s="283"/>
      <c r="AD191" s="284"/>
      <c r="AE191" s="285"/>
      <c r="AF191" s="289"/>
      <c r="AG191" s="290"/>
      <c r="AH191" s="290"/>
      <c r="AI191" s="290"/>
      <c r="AJ191" s="290"/>
      <c r="AK191" s="290"/>
      <c r="AL191" s="290"/>
      <c r="AM191" s="290"/>
      <c r="AN191" s="290"/>
      <c r="AO191" s="290"/>
      <c r="AP191" s="290"/>
      <c r="AQ191" s="293"/>
    </row>
    <row r="192" spans="1:44" ht="13.5" thickBot="1" x14ac:dyDescent="0.25">
      <c r="A192" s="8"/>
      <c r="B192" s="173" t="s">
        <v>64</v>
      </c>
      <c r="C192" s="174"/>
      <c r="D192" s="180"/>
      <c r="E192" s="173" t="str">
        <f>IF(AK178&gt;1,"Match 2","")</f>
        <v>Match 2</v>
      </c>
      <c r="F192" s="174"/>
      <c r="G192" s="180"/>
      <c r="H192" s="173" t="str">
        <f>IF(AK178&gt;2,"Match 3","")</f>
        <v>Match 3</v>
      </c>
      <c r="I192" s="174"/>
      <c r="J192" s="180"/>
      <c r="K192" s="173" t="str">
        <f>IF(AK178&gt;3,"Match 4","")</f>
        <v>Match 4</v>
      </c>
      <c r="L192" s="174"/>
      <c r="M192" s="180"/>
      <c r="N192" s="173" t="str">
        <f>IF(AK178&gt;4,"Match 5","")</f>
        <v>Match 5</v>
      </c>
      <c r="O192" s="174"/>
      <c r="P192" s="180"/>
      <c r="Q192" s="173" t="str">
        <f>IF(AK178&gt;5,"Match 6","")</f>
        <v>Match 6</v>
      </c>
      <c r="R192" s="174"/>
      <c r="S192" s="180"/>
      <c r="T192" s="173" t="str">
        <f>IF(AK178&gt;6,"Match 7","")</f>
        <v/>
      </c>
      <c r="U192" s="174"/>
      <c r="V192" s="180"/>
      <c r="W192" s="173" t="str">
        <f>IF(AK178&gt;7,"Match 8","")</f>
        <v/>
      </c>
      <c r="X192" s="174"/>
      <c r="Y192" s="180"/>
      <c r="Z192" s="173" t="str">
        <f>IF(AK178&gt;8,"Match 9","")</f>
        <v/>
      </c>
      <c r="AA192" s="174"/>
      <c r="AB192" s="180"/>
      <c r="AC192" s="173" t="str">
        <f>IF(AK178&gt;9,"Match 10","")</f>
        <v/>
      </c>
      <c r="AD192" s="174"/>
      <c r="AE192" s="180"/>
      <c r="AF192" s="294"/>
      <c r="AG192" s="295"/>
      <c r="AH192" s="295"/>
      <c r="AI192" s="295"/>
      <c r="AJ192" s="295"/>
      <c r="AK192" s="295"/>
      <c r="AL192" s="295"/>
      <c r="AM192" s="295"/>
      <c r="AN192" s="295"/>
      <c r="AO192" s="295"/>
      <c r="AP192" s="295"/>
      <c r="AQ192" s="296"/>
    </row>
    <row r="193" spans="1:49" ht="15.75" x14ac:dyDescent="0.25">
      <c r="A193" s="8"/>
      <c r="B193" s="277" t="s">
        <v>65</v>
      </c>
      <c r="C193" s="278"/>
      <c r="D193" s="279"/>
      <c r="E193" s="277" t="s">
        <v>66</v>
      </c>
      <c r="F193" s="278"/>
      <c r="G193" s="279"/>
      <c r="H193" s="277" t="s">
        <v>67</v>
      </c>
      <c r="I193" s="278"/>
      <c r="J193" s="279"/>
      <c r="K193" s="277" t="s">
        <v>68</v>
      </c>
      <c r="L193" s="278"/>
      <c r="M193" s="279"/>
      <c r="N193" s="277" t="s">
        <v>66</v>
      </c>
      <c r="O193" s="278"/>
      <c r="P193" s="279"/>
      <c r="Q193" s="277" t="s">
        <v>67</v>
      </c>
      <c r="R193" s="278"/>
      <c r="S193" s="279"/>
      <c r="T193" s="277"/>
      <c r="U193" s="278"/>
      <c r="V193" s="279"/>
      <c r="W193" s="277"/>
      <c r="X193" s="278"/>
      <c r="Y193" s="279"/>
      <c r="Z193" s="277"/>
      <c r="AA193" s="278"/>
      <c r="AB193" s="279"/>
      <c r="AC193" s="277"/>
      <c r="AD193" s="278"/>
      <c r="AE193" s="279"/>
      <c r="AF193" s="57" t="s">
        <v>70</v>
      </c>
      <c r="AG193" s="58">
        <v>1</v>
      </c>
      <c r="AH193" s="58">
        <v>2</v>
      </c>
      <c r="AI193" s="58">
        <v>3</v>
      </c>
      <c r="AJ193" s="58">
        <v>4</v>
      </c>
      <c r="AK193" s="58">
        <v>5</v>
      </c>
      <c r="AL193" s="58">
        <v>6</v>
      </c>
      <c r="AM193" s="58">
        <v>7</v>
      </c>
      <c r="AN193" s="58">
        <v>8</v>
      </c>
      <c r="AO193" s="58">
        <v>9</v>
      </c>
      <c r="AP193" s="58">
        <v>10</v>
      </c>
      <c r="AQ193" s="59" t="s">
        <v>71</v>
      </c>
    </row>
    <row r="194" spans="1:49" ht="15.75" x14ac:dyDescent="0.25">
      <c r="A194" s="8"/>
      <c r="B194" s="61">
        <v>2</v>
      </c>
      <c r="C194" s="62" t="s">
        <v>72</v>
      </c>
      <c r="D194" s="63">
        <v>3</v>
      </c>
      <c r="E194" s="61">
        <v>1</v>
      </c>
      <c r="F194" s="62" t="str">
        <f>IF(AK178&gt;1,"v","")</f>
        <v>v</v>
      </c>
      <c r="G194" s="63">
        <v>4</v>
      </c>
      <c r="H194" s="61">
        <v>2</v>
      </c>
      <c r="I194" s="62" t="str">
        <f>IF(AK178&gt;2,"v","")</f>
        <v>v</v>
      </c>
      <c r="J194" s="63">
        <v>4</v>
      </c>
      <c r="K194" s="61">
        <v>1</v>
      </c>
      <c r="L194" s="62" t="str">
        <f>IF(AK178&gt;3,"v","")</f>
        <v>v</v>
      </c>
      <c r="M194" s="63">
        <v>3</v>
      </c>
      <c r="N194" s="61">
        <v>3</v>
      </c>
      <c r="O194" s="62" t="str">
        <f>IF(AK178&gt;4,"v","")</f>
        <v>v</v>
      </c>
      <c r="P194" s="63">
        <v>4</v>
      </c>
      <c r="Q194" s="61">
        <v>1</v>
      </c>
      <c r="R194" s="62" t="str">
        <f>IF(AK178&gt;5,"v","")</f>
        <v>v</v>
      </c>
      <c r="S194" s="63">
        <v>2</v>
      </c>
      <c r="T194" s="61"/>
      <c r="U194" s="62" t="str">
        <f>IF(AK178&gt;6,"v","")</f>
        <v/>
      </c>
      <c r="V194" s="63"/>
      <c r="W194" s="61"/>
      <c r="X194" s="62" t="str">
        <f>IF(AK178&gt;7,"v","")</f>
        <v/>
      </c>
      <c r="Y194" s="63"/>
      <c r="Z194" s="61"/>
      <c r="AA194" s="62" t="str">
        <f>IF(AK178&gt;8,"v","")</f>
        <v/>
      </c>
      <c r="AB194" s="63"/>
      <c r="AC194" s="61"/>
      <c r="AD194" s="62" t="str">
        <f>IF(AK178&gt;9,"v","")</f>
        <v/>
      </c>
      <c r="AE194" s="63"/>
      <c r="AF194" s="57" t="str">
        <f>IF(AK179&gt;0,"Team 1","")</f>
        <v>Team 1</v>
      </c>
      <c r="AG194" s="64" t="str">
        <f>IF(AK179&lt;1,"",IF(AK178&lt;1,"",IF(B194=1,B200-D200,IF(D194=1,D200-B200,""))))</f>
        <v/>
      </c>
      <c r="AH194" s="64">
        <f>IF(AK179&lt;1,"",IF(AK178&lt;2,"",IF(E194=1,E200-G200,IF(G194=1,G200-E200,""))))</f>
        <v>13</v>
      </c>
      <c r="AI194" s="64" t="str">
        <f>IF(AK179&lt;1,"",IF(AK178&lt;3,"",IF(H194=1,H200-J200,IF(J194=1,J200-H200,""))))</f>
        <v/>
      </c>
      <c r="AJ194" s="64">
        <f>IF(AK179&lt;1,"",IF(AK178&lt;4,"",IF(K194=1,K200-M200,IF(M194=1,M200-K200,""))))</f>
        <v>0</v>
      </c>
      <c r="AK194" s="64" t="str">
        <f>IF(AK179&lt;1,"",IF(AK178&lt;5,"",IF(N194=1,N200-P200,IF(P194=1,P200-N200,""))))</f>
        <v/>
      </c>
      <c r="AL194" s="64">
        <f>IF(AK179&lt;1,"",IF(AK178&lt;6,"",IF(Q194=1,Q200-S200,IF(S194=1,S200-Q200,""))))</f>
        <v>20</v>
      </c>
      <c r="AM194" s="64" t="str">
        <f>IF(AK179&lt;1,"",IF(AK178&lt;7,"",IF(T194=1,T200-V200,IF(V194=1,V200-T200,""))))</f>
        <v/>
      </c>
      <c r="AN194" s="64" t="str">
        <f>IF(AK179&lt;1,"",IF(AK178&lt;8,"",IF(W194=1,W200-Y200,IF(Y194=1,Y200-W200,""))))</f>
        <v/>
      </c>
      <c r="AO194" s="64" t="str">
        <f>IF(AK179&lt;1,"",IF(AK178&lt;9,"",IF(Z194=1,Z200-AB200,IF(AB194=1,AB200-Z200,""))))</f>
        <v/>
      </c>
      <c r="AP194" s="64" t="str">
        <f>IF(AK179&lt;1,"",IF(AK178&lt;10,"",IF(AC194=1,AC200-AE200,IF(AE194=1,AE200-AC200,""))))</f>
        <v/>
      </c>
      <c r="AQ194" s="59">
        <f>SUM(AG194:AP194)</f>
        <v>33</v>
      </c>
    </row>
    <row r="195" spans="1:49" ht="15" x14ac:dyDescent="0.2">
      <c r="A195" s="4" t="s">
        <v>73</v>
      </c>
      <c r="B195" s="65">
        <v>26</v>
      </c>
      <c r="C195" s="66" t="s">
        <v>74</v>
      </c>
      <c r="D195" s="67">
        <v>24</v>
      </c>
      <c r="E195" s="65">
        <v>25</v>
      </c>
      <c r="F195" s="66" t="str">
        <f>IF(AK178&gt;1,"/","")</f>
        <v>/</v>
      </c>
      <c r="G195" s="67">
        <v>19</v>
      </c>
      <c r="H195" s="65">
        <v>25</v>
      </c>
      <c r="I195" s="66" t="str">
        <f>IF(AK178&gt;2,"/","")</f>
        <v>/</v>
      </c>
      <c r="J195" s="67">
        <v>19</v>
      </c>
      <c r="K195" s="65">
        <v>25</v>
      </c>
      <c r="L195" s="66" t="str">
        <f>IF(AK178&gt;3,"/","")</f>
        <v>/</v>
      </c>
      <c r="M195" s="67">
        <v>21</v>
      </c>
      <c r="N195" s="65">
        <v>25</v>
      </c>
      <c r="O195" s="66" t="str">
        <f>IF(AK178&gt;4,"/","")</f>
        <v>/</v>
      </c>
      <c r="P195" s="67">
        <v>19</v>
      </c>
      <c r="Q195" s="65">
        <v>25</v>
      </c>
      <c r="R195" s="66" t="str">
        <f>IF(AK178&gt;5,"/","")</f>
        <v>/</v>
      </c>
      <c r="S195" s="67">
        <v>12</v>
      </c>
      <c r="T195" s="65"/>
      <c r="U195" s="66" t="str">
        <f>IF(AK178&gt;6,"/","")</f>
        <v/>
      </c>
      <c r="V195" s="67"/>
      <c r="W195" s="65"/>
      <c r="X195" s="66" t="str">
        <f>IF(AK178&gt;7,"/","")</f>
        <v/>
      </c>
      <c r="Y195" s="67"/>
      <c r="Z195" s="65"/>
      <c r="AA195" s="66" t="str">
        <f>IF(AK178&gt;8,"/","")</f>
        <v/>
      </c>
      <c r="AB195" s="67"/>
      <c r="AC195" s="65"/>
      <c r="AD195" s="66" t="str">
        <f>IF(AK178&gt;9,"/","")</f>
        <v/>
      </c>
      <c r="AE195" s="67"/>
      <c r="AF195" s="57" t="str">
        <f>IF(AK179&gt;1,"Team 2","")</f>
        <v>Team 2</v>
      </c>
      <c r="AG195" s="64">
        <f>IF(AK179&lt;2,"",IF(AK178&lt;1,"",IF(B194=2,B200-D200,IF(D194=2,D200-B200,""))))</f>
        <v>4</v>
      </c>
      <c r="AH195" s="64" t="str">
        <f>IF(AK179&lt;2,"",IF(AK178&lt;2,"",IF(E194=2,E200-G200,IF(G194=2,G200-E200,""))))</f>
        <v/>
      </c>
      <c r="AI195" s="64">
        <f>IF(AK179&lt;2,"",IF(AK178&lt;3,"",IF(H194=2,H200-J200,IF(J194=2,J200-H200,""))))</f>
        <v>0</v>
      </c>
      <c r="AJ195" s="64" t="str">
        <f>IF(AK179&lt;2,"",IF(AK178&lt;4,"",IF(K194=2,K200-M200,IF(M194=2,M200-K200,""))))</f>
        <v/>
      </c>
      <c r="AK195" s="64" t="str">
        <f>IF(AK179&lt;2,"",IF(AK178&lt;5,"",IF(N194=2,N200-P200,IF(P194=2,P200-N200,""))))</f>
        <v/>
      </c>
      <c r="AL195" s="64">
        <f>IF(AK179&lt;2,"",IF(AK178&lt;6,"",IF(Q194=2,Q200-S200,IF(S194=2,S200-Q200,""))))</f>
        <v>-20</v>
      </c>
      <c r="AM195" s="64" t="str">
        <f>IF(AK179&lt;2,"",IF(AK178&lt;7,"",IF(T194=2,T200-V200,IF(V194=2,V200-T200,""))))</f>
        <v/>
      </c>
      <c r="AN195" s="64" t="str">
        <f>IF(AK179&lt;2,"",IF(AK178&lt;8,"",IF(W194=2,W200-Y200,IF(Y194=2,Y200-W200,""))))</f>
        <v/>
      </c>
      <c r="AO195" s="64" t="str">
        <f>IF(AK179&lt;2,"",IF(AK178&lt;9,"",IF(Z194=2,Z200-AB200,IF(AB194=2,AB200-Z200,""))))</f>
        <v/>
      </c>
      <c r="AP195" s="64" t="str">
        <f>IF(AK179&lt;2,"",IF(AK178&lt;10,"",IF(AC194=2,AC200-AE200,IF(AE194=2,AE200-AC200,""))))</f>
        <v/>
      </c>
      <c r="AQ195" s="59">
        <f>SUM(AG195:AP195)</f>
        <v>-16</v>
      </c>
    </row>
    <row r="196" spans="1:49" ht="15" x14ac:dyDescent="0.2">
      <c r="A196" s="3" t="str">
        <f>IF(AK177&gt;1,"Game 2","")</f>
        <v>Game 2</v>
      </c>
      <c r="B196" s="65">
        <v>24</v>
      </c>
      <c r="C196" s="66" t="s">
        <v>74</v>
      </c>
      <c r="D196" s="67">
        <v>26</v>
      </c>
      <c r="E196" s="65">
        <v>25</v>
      </c>
      <c r="F196" s="66" t="str">
        <f>IF(AK178&gt;1,IF(AK177&gt;1,"/",""),"")</f>
        <v>/</v>
      </c>
      <c r="G196" s="67">
        <v>18</v>
      </c>
      <c r="H196" s="65">
        <v>22</v>
      </c>
      <c r="I196" s="66" t="str">
        <f>IF(AK178&gt;2,IF(AK177&gt;1,"/",""),"")</f>
        <v>/</v>
      </c>
      <c r="J196" s="67">
        <v>25</v>
      </c>
      <c r="K196" s="65">
        <v>23</v>
      </c>
      <c r="L196" s="66" t="str">
        <f>IF(AK178&gt;3,IF(AK177&gt;1,"/",""),"")</f>
        <v>/</v>
      </c>
      <c r="M196" s="67">
        <v>25</v>
      </c>
      <c r="N196" s="65">
        <v>25</v>
      </c>
      <c r="O196" s="66" t="str">
        <f>IF(AK178&gt;4,IF(AK177&gt;1,"/",""),"")</f>
        <v>/</v>
      </c>
      <c r="P196" s="67">
        <v>7</v>
      </c>
      <c r="Q196" s="65">
        <v>25</v>
      </c>
      <c r="R196" s="66" t="str">
        <f>IF(AK178&gt;5,IF(AK177&gt;1,"/",""),"")</f>
        <v>/</v>
      </c>
      <c r="S196" s="67">
        <v>18</v>
      </c>
      <c r="T196" s="65"/>
      <c r="U196" s="66" t="str">
        <f>IF(AK178&gt;6,IF(AK177&gt;1,"/",""),"")</f>
        <v/>
      </c>
      <c r="V196" s="67"/>
      <c r="W196" s="65"/>
      <c r="X196" s="66" t="str">
        <f>IF(AK178&gt;7,IF(AK177&gt;1,"/",""),"")</f>
        <v/>
      </c>
      <c r="Y196" s="67"/>
      <c r="Z196" s="65"/>
      <c r="AA196" s="66" t="str">
        <f>IF(AK178&gt;8,IF(AK177&gt;1,"/",""),"")</f>
        <v/>
      </c>
      <c r="AB196" s="67"/>
      <c r="AC196" s="65"/>
      <c r="AD196" s="66" t="str">
        <f>IF(AK178&gt;9,IF(AK177&gt;1,"/",""),"")</f>
        <v/>
      </c>
      <c r="AE196" s="67"/>
      <c r="AF196" s="57" t="str">
        <f>IF(AK179&gt;2,"Team 3","")</f>
        <v>Team 3</v>
      </c>
      <c r="AG196" s="64">
        <f>IF(AK179&lt;3,"",IF(AK178&lt;1,"",IF(B194=3,B200-D200,IF(D194=3,D200-B200,""))))</f>
        <v>-4</v>
      </c>
      <c r="AH196" s="64" t="str">
        <f>IF(AK179&lt;3,"",IF(AK178&lt;2,"",IF(E194=3,E200-G200,IF(G194=3,G200-E200,""))))</f>
        <v/>
      </c>
      <c r="AI196" s="64" t="str">
        <f>IF(AK179&lt;3,"",IF(AK178&lt;3,"",IF(H194=3,H200-J200,IF(J194=3,J200-H200,""))))</f>
        <v/>
      </c>
      <c r="AJ196" s="64">
        <f>IF(AK179&lt;3,"",IF(AK178&lt;4,"",IF(K194=3,K200-M200,IF(M194=3,M200-K200,""))))</f>
        <v>0</v>
      </c>
      <c r="AK196" s="64">
        <f>IF(AK179&lt;3,"",IF(AK178&lt;5,"",IF(N194=3,N200-P200,IF(P194=3,P200-N200,""))))</f>
        <v>24</v>
      </c>
      <c r="AL196" s="64" t="str">
        <f>IF(AK179&lt;3,"",IF(AK178&lt;6,"",IF(Q194=3,Q200-S200,IF(S194=3,S200-Q200,""))))</f>
        <v/>
      </c>
      <c r="AM196" s="64" t="str">
        <f>IF(AK179&lt;3,"",IF(AK178&lt;7,"",IF(T194=3,T200-V200,IF(V194=3,V200-T200,""))))</f>
        <v/>
      </c>
      <c r="AN196" s="64" t="str">
        <f>IF(AK179&lt;3,"",IF(AK178&lt;8,"",IF(W194=3,W200-Y200,IF(Y194=3,Y200-W200,""))))</f>
        <v/>
      </c>
      <c r="AO196" s="64" t="str">
        <f>IF(AK179&lt;3,"",IF(AK178&lt;9,"",IF(Z194=3,Z200-AB200,IF(AB194=3,AB200-Z200,""))))</f>
        <v/>
      </c>
      <c r="AP196" s="64" t="str">
        <f>IF(AK179&lt;3,"",IF(AK178&lt;9,"",IF(AC194=3,AC200-AE200,IF(AE194=3,AE200-AC200,""))))</f>
        <v/>
      </c>
      <c r="AQ196" s="59">
        <f>SUM(AG196:AP196)</f>
        <v>20</v>
      </c>
    </row>
    <row r="197" spans="1:49" ht="15" x14ac:dyDescent="0.2">
      <c r="A197" s="3" t="str">
        <f>IF(AK177&gt;2,"Game 3","")</f>
        <v>Game 3</v>
      </c>
      <c r="B197" s="65">
        <v>15</v>
      </c>
      <c r="C197" s="66" t="s">
        <v>74</v>
      </c>
      <c r="D197" s="67">
        <v>11</v>
      </c>
      <c r="E197" s="65"/>
      <c r="F197" s="66" t="str">
        <f>IF(AK178&gt;1,IF(AK177&gt;2,"/",""),"")</f>
        <v>/</v>
      </c>
      <c r="G197" s="67"/>
      <c r="H197" s="65">
        <v>12</v>
      </c>
      <c r="I197" s="66" t="str">
        <f>IF(AK178&gt;2,IF(AK177&gt;2,"/",""),"")</f>
        <v>/</v>
      </c>
      <c r="J197" s="67">
        <v>15</v>
      </c>
      <c r="K197" s="65">
        <v>14</v>
      </c>
      <c r="L197" s="66" t="str">
        <f>IF(AK178&gt;3,IF(AK177&gt;2,"/",""),"")</f>
        <v>/</v>
      </c>
      <c r="M197" s="67">
        <v>16</v>
      </c>
      <c r="N197" s="65"/>
      <c r="O197" s="66" t="str">
        <f>IF(AK178&gt;4,IF(AK177&gt;2,"/",""),"")</f>
        <v>/</v>
      </c>
      <c r="P197" s="67"/>
      <c r="Q197" s="65"/>
      <c r="R197" s="66" t="str">
        <f>IF(AK178&gt;5,IF(AK177&gt;2,"/",""),"")</f>
        <v>/</v>
      </c>
      <c r="S197" s="67"/>
      <c r="T197" s="65"/>
      <c r="U197" s="66" t="str">
        <f>IF(AK178&gt;6,IF(AK177&gt;2,"/",""),"")</f>
        <v/>
      </c>
      <c r="V197" s="67"/>
      <c r="W197" s="65"/>
      <c r="X197" s="66" t="str">
        <f>IF(AK178&gt;7,IF(AK177&gt;2,"/",""),"")</f>
        <v/>
      </c>
      <c r="Y197" s="67"/>
      <c r="Z197" s="65"/>
      <c r="AA197" s="66" t="str">
        <f>IF(AK178&gt;8,IF(AK177&gt;2,"/",""),"")</f>
        <v/>
      </c>
      <c r="AB197" s="67"/>
      <c r="AC197" s="65"/>
      <c r="AD197" s="66" t="str">
        <f>IF(AK178&gt;9,IF(AK177&gt;2,"/",""),"")</f>
        <v/>
      </c>
      <c r="AE197" s="67"/>
      <c r="AF197" s="57" t="str">
        <f>IF(AK179&gt;3,"Team 4","")</f>
        <v>Team 4</v>
      </c>
      <c r="AG197" s="64" t="str">
        <f>IF(AK179&lt;4,"",IF(AK178&lt;1,"",IF(B194=4,B200-D200,IF(D194=4,D200-B200,""))))</f>
        <v/>
      </c>
      <c r="AH197" s="64">
        <f>IF(AK179&lt;4,"",IF(AK178&lt;2,"",IF(E194=4,E200-G200,IF(G194=4,G200-E200,""))))</f>
        <v>-13</v>
      </c>
      <c r="AI197" s="64">
        <f>IF(AK179&lt;4,"",IF(AK178&lt;3,"",IF(H194=4,H200-J200,IF(J194=4,J200-H200,""))))</f>
        <v>0</v>
      </c>
      <c r="AJ197" s="64" t="str">
        <f>IF(AK179&lt;4,"",IF(AK178&lt;4,"",IF(K194=4,K200-M200,IF(M194=4,M200-K200,""))))</f>
        <v/>
      </c>
      <c r="AK197" s="64">
        <f>IF(AK179&lt;4,"",IF(AK178&lt;5,"",IF(N194=4,N200-P200,IF(P194=4,P200-N200,""))))</f>
        <v>-24</v>
      </c>
      <c r="AL197" s="64" t="str">
        <f>IF(AK179&lt;4,"",IF(AK178&lt;6,"",IF(Q194=4,Q200-S200,IF(S194=4,S200-Q200,""))))</f>
        <v/>
      </c>
      <c r="AM197" s="64" t="str">
        <f>IF(AK179&lt;4,"",IF(AK178&lt;7,"",IF(T194=4,T200-V200,IF(V194=4,V200-T200,""))))</f>
        <v/>
      </c>
      <c r="AN197" s="64" t="str">
        <f>IF(AK179&lt;4,"",IF(AK178&lt;8,"",IF(W194=4,W200-Y200,IF(Y194=4,Y200-W200,""))))</f>
        <v/>
      </c>
      <c r="AO197" s="64" t="str">
        <f>IF(AK179&lt;4,"",IF(AK178&lt;9,"",IF(Z194=4,Z200-AB200,IF(AB194=4,AB200-Z200,""))))</f>
        <v/>
      </c>
      <c r="AP197" s="64" t="str">
        <f>IF(AK179&lt;4,"",IF(AK178&lt;10,"",IF(AC194=4,AC200-AE200,IF(AE194=4,AE200-AC200,""))))</f>
        <v/>
      </c>
      <c r="AQ197" s="59">
        <f>SUM(AG197:AP197)</f>
        <v>-37</v>
      </c>
    </row>
    <row r="198" spans="1:49" ht="15" x14ac:dyDescent="0.2">
      <c r="A198" s="3" t="str">
        <f>IF(AK177&gt;3,"Game 4","")</f>
        <v/>
      </c>
      <c r="B198" s="65"/>
      <c r="C198" s="66" t="s">
        <v>74</v>
      </c>
      <c r="D198" s="67"/>
      <c r="E198" s="65"/>
      <c r="F198" s="66" t="str">
        <f>IF(AK178&gt;1,IF(AK177&gt;3,"/",""),"")</f>
        <v/>
      </c>
      <c r="G198" s="67"/>
      <c r="H198" s="65"/>
      <c r="I198" s="66" t="str">
        <f>IF(AK178&gt;2,IF(AK177&gt;3,"/",""),"")</f>
        <v/>
      </c>
      <c r="J198" s="67"/>
      <c r="K198" s="65"/>
      <c r="L198" s="66" t="str">
        <f>IF(AK178&gt;3,IF(AK177&gt;3,"/",""),"")</f>
        <v/>
      </c>
      <c r="M198" s="67"/>
      <c r="N198" s="65"/>
      <c r="O198" s="66" t="str">
        <f>IF(AK178&gt;4,IF(AK177&gt;3,"/",""),"")</f>
        <v/>
      </c>
      <c r="P198" s="67"/>
      <c r="Q198" s="65"/>
      <c r="R198" s="66" t="str">
        <f>IF(AK178&gt;5,IF(AK177&gt;3,"/",""),"")</f>
        <v/>
      </c>
      <c r="S198" s="67"/>
      <c r="T198" s="65"/>
      <c r="U198" s="66" t="str">
        <f>IF(AK178&gt;6,IF(AK177&gt;3,"/",""),"")</f>
        <v/>
      </c>
      <c r="V198" s="67"/>
      <c r="W198" s="65"/>
      <c r="X198" s="66" t="str">
        <f>IF(AK178&gt;7,IF(AK177&gt;3,"/",""),"")</f>
        <v/>
      </c>
      <c r="Y198" s="67"/>
      <c r="Z198" s="65"/>
      <c r="AA198" s="66" t="str">
        <f>IF(AK178&gt;8,IF(AK177&gt;3,"/",""),"")</f>
        <v/>
      </c>
      <c r="AB198" s="67"/>
      <c r="AC198" s="65"/>
      <c r="AD198" s="66" t="str">
        <f>IF(AK178&gt;9,IF(AK177&gt;3,"/",""),"")</f>
        <v/>
      </c>
      <c r="AE198" s="67"/>
      <c r="AF198" s="57" t="str">
        <f>IF(AK179&gt;4,"Team 5","")</f>
        <v/>
      </c>
      <c r="AG198" s="68" t="str">
        <f>IF(AK179&lt;5,"",IF(AK178&lt;1,"",IF(B194=5,B200-D200,IF(D194=5,D200-B200,""))))</f>
        <v/>
      </c>
      <c r="AH198" s="64" t="str">
        <f>IF(AK179&lt;5,"",IF(AK178&lt;2,"",IF(E194=5,E200-G200,IF(G194=5,G200-E200,""))))</f>
        <v/>
      </c>
      <c r="AI198" s="64" t="str">
        <f>IF(AK179&lt;5,"",IF(AK178&lt;3,"",IF(H194=5,H200-J200,IF(J194=5,J200-H200,""))))</f>
        <v/>
      </c>
      <c r="AJ198" s="64" t="str">
        <f>IF(AK179&lt;5,"",IF(AK178&lt;4,"",IF(K194=5,K200-M200,IF(M194=5,M200-K200,""))))</f>
        <v/>
      </c>
      <c r="AK198" s="64" t="str">
        <f>IF(AK179&lt;5,"",IF(AK178&lt;5,"",IF(N194=5,N200-P200,IF(P194=5,P200-N200,""))))</f>
        <v/>
      </c>
      <c r="AL198" s="64" t="str">
        <f>IF(AK179&lt;5,"",IF(AK178&lt;6,"",IF(Q194=5,Q200-S200,IF(S194=5,S200-Q200,""))))</f>
        <v/>
      </c>
      <c r="AM198" s="64" t="str">
        <f>IF(AK179&lt;5,"",IF(AK178&lt;7,"",IF(T194=5,T200-V200,IF(V194=5,V200-T200,""))))</f>
        <v/>
      </c>
      <c r="AN198" s="64" t="str">
        <f>IF(AK179&lt;5,"",IF(AK178&lt;8,"",IF(W194=5,W200-Y200,IF(Y194=5,Y200-W200,""))))</f>
        <v/>
      </c>
      <c r="AO198" s="64" t="str">
        <f>IF(AK179&lt;5,"",IF(AK178&lt;9,"",IF(Z194=5,Z200-AB200,IF(AB194=5,AB200-Z200,""))))</f>
        <v/>
      </c>
      <c r="AP198" s="64" t="str">
        <f>IF(AK179&lt;5,"",IF(AK178&lt;10,"",IF(AC194=5,AC200-AE200,IF(AE194=5,AE200-AC200,""))))</f>
        <v/>
      </c>
      <c r="AQ198" s="59">
        <f>SUM(AG198:AP198)</f>
        <v>0</v>
      </c>
    </row>
    <row r="199" spans="1:49" ht="15" x14ac:dyDescent="0.2">
      <c r="A199" s="3" t="str">
        <f>IF(AK177&gt;4,"Game 5","")</f>
        <v/>
      </c>
      <c r="B199" s="65"/>
      <c r="C199" s="66" t="s">
        <v>74</v>
      </c>
      <c r="D199" s="67"/>
      <c r="E199" s="65"/>
      <c r="F199" s="66" t="str">
        <f>IF(AK178&gt;1,IF(AK177&gt;4,"/",""),"")</f>
        <v/>
      </c>
      <c r="G199" s="67"/>
      <c r="H199" s="65"/>
      <c r="I199" s="66" t="str">
        <f>IF(AK178&gt;2,IF(AK177&gt;4,"/",""),"")</f>
        <v/>
      </c>
      <c r="J199" s="67"/>
      <c r="K199" s="65"/>
      <c r="L199" s="66" t="str">
        <f>IF(AK178&gt;3,IF(AK177&gt;4,"/",""),"")</f>
        <v/>
      </c>
      <c r="M199" s="67"/>
      <c r="N199" s="65"/>
      <c r="O199" s="66" t="str">
        <f>IF(AK178&gt;4,IF(AK177&gt;4,"/",""),"")</f>
        <v/>
      </c>
      <c r="P199" s="67"/>
      <c r="Q199" s="65"/>
      <c r="R199" s="66" t="str">
        <f>IF(AK178&gt;5,IF(AK177&gt;4,"/",""),"")</f>
        <v/>
      </c>
      <c r="S199" s="67"/>
      <c r="T199" s="65"/>
      <c r="U199" s="66" t="str">
        <f>IF(AK178&gt;6,IF(AK177&gt;4,"/",""),"")</f>
        <v/>
      </c>
      <c r="V199" s="67"/>
      <c r="W199" s="65"/>
      <c r="X199" s="66" t="str">
        <f>IF(AK178&gt;7,IF(AK177&gt;4,"/",""),"")</f>
        <v/>
      </c>
      <c r="Y199" s="67"/>
      <c r="Z199" s="65"/>
      <c r="AA199" s="66" t="str">
        <f>IF(AK178&gt;8,IF(AK177&gt;4,"/",""),"")</f>
        <v/>
      </c>
      <c r="AB199" s="67"/>
      <c r="AC199" s="65"/>
      <c r="AD199" s="66" t="str">
        <f>IF(AK178&gt;9,IF(AK177&gt;4,"/",""),"")</f>
        <v/>
      </c>
      <c r="AE199" s="67"/>
      <c r="AF199" s="8"/>
      <c r="AG199" s="8"/>
      <c r="AH199" s="8"/>
      <c r="AI199" s="8"/>
      <c r="AJ199" s="8"/>
      <c r="AK199" s="8"/>
      <c r="AL199" s="8"/>
      <c r="AM199" s="8"/>
      <c r="AN199" s="8"/>
      <c r="AO199" s="8"/>
      <c r="AP199" s="8"/>
      <c r="AQ199" s="8"/>
    </row>
    <row r="200" spans="1:49" hidden="1" x14ac:dyDescent="0.2">
      <c r="A200" s="69"/>
      <c r="B200" s="69">
        <f>IF($AK177=5,SUM(B195:B199),IF($AK177=4,SUM(B195:B198),IF($AK177=3,SUM(B195:B197),IF($AK177=2,SUM(B195:B196),B195))))</f>
        <v>65</v>
      </c>
      <c r="C200" s="69"/>
      <c r="D200" s="69">
        <f>IF($AK177=5,SUM(D195:D199),IF($AK177=4,SUM(D195:D198),IF($AK177=3,SUM(D195:D197),IF($AK177=2,SUM(D195:D196),D195))))</f>
        <v>61</v>
      </c>
      <c r="E200" s="69">
        <f>IF($AK177=5,SUM(E195:E199),IF($AK177=4,SUM(E195:E198),IF($AK177=3,SUM(E195:E197),IF($AK177=2,SUM(E195:E196),E195))))</f>
        <v>50</v>
      </c>
      <c r="F200" s="69"/>
      <c r="G200" s="69">
        <f>IF($AK177=5,SUM(G195:G199),IF($AK177=4,SUM(G195:G198),IF($AK177=3,SUM(G195:G197),IF($AK177=2,SUM(G195:G196),G195))))</f>
        <v>37</v>
      </c>
      <c r="H200" s="69">
        <f>IF($AK177=5,SUM(H195:H199),IF($AK177=4,SUM(H195:H198),IF($AK177=3,SUM(H195:H197),IF($AK177=2,SUM(H195:H196),H195))))</f>
        <v>59</v>
      </c>
      <c r="I200" s="69"/>
      <c r="J200" s="69">
        <f>IF($AK177=5,SUM(J195:J199),IF($AK177=4,SUM(J195:J198),IF($AK177=3,SUM(J195:J197),IF($AK177=2,SUM(J195:J196),J195))))</f>
        <v>59</v>
      </c>
      <c r="K200" s="69">
        <f>IF($AK177=5,SUM(K195:K199),IF($AK177=4,SUM(K195:K198),IF($AK177=3,SUM(K195:K197),IF($AK177=2,SUM(K195:K196),K195))))</f>
        <v>62</v>
      </c>
      <c r="L200" s="69"/>
      <c r="M200" s="69">
        <f>IF($AK177=5,SUM(M195:M199),IF($AK177=4,SUM(M195:M198),IF($AK177=3,SUM(M195:M197),IF($AK177=2,SUM(M195:M196),M195))))</f>
        <v>62</v>
      </c>
      <c r="N200" s="69">
        <f>IF($AK177=5,SUM(N195:N199),IF($AK177=4,SUM(N195:N198),IF($AK177=3,SUM(N195:N197),IF($AK177=2,SUM(N195:N196),N195))))</f>
        <v>50</v>
      </c>
      <c r="O200" s="69"/>
      <c r="P200" s="69">
        <f>IF($AK177=5,SUM(P195:P199),IF($AK177=4,SUM(P195:P198),IF($AK177=3,SUM(P195:P197),IF($AK177=2,SUM(P195:P196),P195))))</f>
        <v>26</v>
      </c>
      <c r="Q200" s="69">
        <f>IF($AK177=5,SUM(Q195:Q199),IF($AK177=4,SUM(Q195:Q198),IF($AK177=3,SUM(Q195:Q197),IF($AK177=2,SUM(Q195:Q196),Q195))))</f>
        <v>50</v>
      </c>
      <c r="R200" s="69"/>
      <c r="S200" s="69">
        <f>IF($AK177=5,SUM(S195:S199),IF($AK177=4,SUM(S195:S198),IF($AK177=3,SUM(S195:S197),IF($AK177=2,SUM(S195:S196),S195))))</f>
        <v>30</v>
      </c>
      <c r="T200" s="69">
        <f>IF($AK177=5,SUM(T195:T199),IF($AK177=4,SUM(T195:T198),IF($AK177=3,SUM(T195:T197),IF($AK177=2,SUM(T195:T196),T195))))</f>
        <v>0</v>
      </c>
      <c r="U200" s="69"/>
      <c r="V200" s="69">
        <f>IF($AK177=5,SUM(V195:V199),IF($AK177=4,SUM(V195:V198),IF($AK177=3,SUM(V195:V197),IF($AK177=2,SUM(V195:V196),V195))))</f>
        <v>0</v>
      </c>
      <c r="W200" s="69">
        <f>IF($AK177=5,SUM(W195:W199),IF($AK177=4,SUM(W195:W198),IF($AK177=3,SUM(W195:W197),IF($AK177=2,SUM(W195:W196),W195))))</f>
        <v>0</v>
      </c>
      <c r="X200" s="69"/>
      <c r="Y200" s="69">
        <f>IF($AK177=5,SUM(Y195:Y199),IF($AK177=4,SUM(Y195:Y198),IF($AK177=3,SUM(Y195:Y197),IF($AK177=2,SUM(Y195:Y196),Y195))))</f>
        <v>0</v>
      </c>
      <c r="Z200" s="69">
        <f>IF($AK177=5,SUM(Z195:Z199),IF($AK177=4,SUM(Z195:Z198),IF($AK177=3,SUM(Z195:Z197),IF($AK177=2,SUM(Z195:Z196),Z195))))</f>
        <v>0</v>
      </c>
      <c r="AA200" s="69"/>
      <c r="AB200" s="69">
        <f>IF($AK177=5,SUM(AB195:AB199),IF($AK177=4,SUM(AB195:AB198),IF($AK177=3,SUM(AB195:AB197),IF($AK177=2,SUM(AB195:AB196),AB195))))</f>
        <v>0</v>
      </c>
      <c r="AC200" s="69">
        <f>IF($AK177=5,SUM(AC195:AC199),IF($AK177=4,SUM(AC195:AC198),IF($AK177=3,SUM(AC195:AC197),IF($AK177=2,SUM(AC195:AC196),AC195))))</f>
        <v>0</v>
      </c>
      <c r="AD200" s="69"/>
      <c r="AE200" s="69">
        <f>IF($AK177=5,SUM(AE195:AE199),IF($AK177=4,SUM(AE195:AE198),IF($AK177=3,SUM(AE195:AE197),IF($AK177=2,SUM(AE195:AE196),AE195))))</f>
        <v>0</v>
      </c>
      <c r="AF200" s="8"/>
      <c r="AG200" s="8"/>
      <c r="AH200" s="8"/>
      <c r="AI200" s="8"/>
      <c r="AJ200" s="8"/>
      <c r="AK200" s="8"/>
      <c r="AL200" s="8"/>
      <c r="AM200" s="8"/>
      <c r="AN200" s="8"/>
      <c r="AO200" s="8"/>
      <c r="AP200" s="8"/>
      <c r="AQ200" s="8"/>
      <c r="AT200" s="70"/>
      <c r="AU200" s="70"/>
      <c r="AV200" s="70"/>
    </row>
    <row r="201" spans="1:49" s="70" customFormat="1" ht="12.75" hidden="1" customHeight="1" x14ac:dyDescent="0.2">
      <c r="A201" s="70" t="s">
        <v>75</v>
      </c>
      <c r="B201" s="71">
        <f>IF(AND(B195&gt;D195,$AK178&gt;0,ISNUMBER(B195),ISNUMBER(D195)),1,0)</f>
        <v>1</v>
      </c>
      <c r="C201" s="71"/>
      <c r="D201" s="72">
        <f>IF(AND(D195&gt;B195,$AK178&gt;0,ISNUMBER(B195),ISNUMBER(D195)),1,0)</f>
        <v>0</v>
      </c>
      <c r="E201" s="71">
        <f>IF(AND(E195&gt;G195,$AK178&gt;1,ISNUMBER(E195),ISNUMBER(G195)),1,0)</f>
        <v>1</v>
      </c>
      <c r="F201" s="71"/>
      <c r="G201" s="72">
        <f>IF(AND(G195&gt;E195,$AK178&gt;1,ISNUMBER(E195),ISNUMBER(G195)),1,0)</f>
        <v>0</v>
      </c>
      <c r="H201" s="71">
        <f>IF(AND(H195&gt;J195,$AK178&gt;2,ISNUMBER(H195),ISNUMBER(J195)),1,0)</f>
        <v>1</v>
      </c>
      <c r="I201" s="71"/>
      <c r="J201" s="72">
        <f>IF(AND(J195&gt;H195,$AK178&gt;2,ISNUMBER(H195),ISNUMBER(J195)),1,0)</f>
        <v>0</v>
      </c>
      <c r="K201" s="71">
        <f>IF(AND(K195&gt;M195,$AK178&gt;3,ISNUMBER(K195),ISNUMBER(M195)),1,0)</f>
        <v>1</v>
      </c>
      <c r="L201" s="71"/>
      <c r="M201" s="72">
        <f>IF(AND(M195&gt;K195,$AK178&gt;3,ISNUMBER(K195),ISNUMBER(M195)),1,0)</f>
        <v>0</v>
      </c>
      <c r="N201" s="71">
        <f>IF(AND(N195&gt;P195,$AK178&gt;4,ISNUMBER(N195),ISNUMBER(P195)),1,0)</f>
        <v>1</v>
      </c>
      <c r="O201" s="71"/>
      <c r="P201" s="72">
        <f>IF(AND(P195&gt;N195,$AK178&gt;4,ISNUMBER(N195),ISNUMBER(P195)),1,0)</f>
        <v>0</v>
      </c>
      <c r="Q201" s="71">
        <f>IF(AND(Q195&gt;S195,$AK178&gt;5,ISNUMBER(Q195),ISNUMBER(S195)),1,0)</f>
        <v>1</v>
      </c>
      <c r="R201" s="71"/>
      <c r="S201" s="72">
        <f>IF(AND(S195&gt;Q195,$AK178&gt;5,ISNUMBER(Q195),ISNUMBER(S195)),1,0)</f>
        <v>0</v>
      </c>
      <c r="T201" s="71">
        <f>IF(AND(T195&gt;V195,$AK178&gt;6,ISNUMBER(T195),ISNUMBER(V195)),1,0)</f>
        <v>0</v>
      </c>
      <c r="U201" s="71"/>
      <c r="V201" s="72">
        <f>IF(AND(V195&gt;T195,$AK178&gt;6,ISNUMBER(T195),ISNUMBER(V195)),1,0)</f>
        <v>0</v>
      </c>
      <c r="W201" s="71">
        <f>IF(AND(W195&gt;Y195,$AK178&gt;7,ISNUMBER(W195),ISNUMBER(Y195)),1,0)</f>
        <v>0</v>
      </c>
      <c r="X201" s="71"/>
      <c r="Y201" s="72">
        <f>IF(AND(Y195&gt;W195,$AK178&gt;7,ISNUMBER(W195),ISNUMBER(Y195)),1,0)</f>
        <v>0</v>
      </c>
      <c r="Z201" s="71">
        <f>IF(AND(Z195&gt;AB195,$AK178&gt;8,ISNUMBER(Z195),ISNUMBER(AB195)),1,0)</f>
        <v>0</v>
      </c>
      <c r="AA201" s="71"/>
      <c r="AB201" s="72">
        <f>IF(AND(AB195&gt;Z195,$AK178&gt;8,ISNUMBER(Z195),ISNUMBER(AB195)),1,0)</f>
        <v>0</v>
      </c>
      <c r="AC201" s="71">
        <f>IF(AND(AC195&gt;AE195,$AK178&gt;9,ISNUMBER(AC195),ISNUMBER(AE195)),1,0)</f>
        <v>0</v>
      </c>
      <c r="AD201" s="71"/>
      <c r="AE201" s="72">
        <f>IF(AND(AE195&gt;AC195,$AK178&gt;9,ISNUMBER(AC195),ISNUMBER(AE195)),1,0)</f>
        <v>0</v>
      </c>
      <c r="AW201" s="154"/>
    </row>
    <row r="202" spans="1:49" s="70" customFormat="1" ht="12.75" hidden="1" customHeight="1" x14ac:dyDescent="0.2">
      <c r="A202" s="70" t="s">
        <v>76</v>
      </c>
      <c r="B202" s="71">
        <f>IF(AND(B196&gt;D196,$AK178&gt;0,$AK177&gt;1,ISNUMBER(B196),ISNUMBER(D196)),1,0)</f>
        <v>0</v>
      </c>
      <c r="C202" s="71"/>
      <c r="D202" s="72">
        <f>IF(AND(D196&gt;B196,$AK178&gt;0,$AK177&gt;1,ISNUMBER(B196),ISNUMBER(D196)),1,0)</f>
        <v>1</v>
      </c>
      <c r="E202" s="71">
        <f>IF(AND(E196&gt;G196,$AK178&gt;1,$AK177&gt;1,ISNUMBER(E196),ISNUMBER(G196)),1,0)</f>
        <v>1</v>
      </c>
      <c r="F202" s="71"/>
      <c r="G202" s="72">
        <f>IF(AND(G196&gt;E196,$AK178&gt;1,$AK177&gt;1,ISNUMBER(E196),ISNUMBER(G196)),1,0)</f>
        <v>0</v>
      </c>
      <c r="H202" s="71">
        <f>IF(AND(H196&gt;J196,$AK178&gt;2,$AK177&gt;1,ISNUMBER(H196),ISNUMBER(J196)),1,0)</f>
        <v>0</v>
      </c>
      <c r="I202" s="71"/>
      <c r="J202" s="72">
        <f>IF(AND(J196&gt;H196,$AK178&gt;2,$AK177&gt;1,ISNUMBER(H196),ISNUMBER(J196)),1,0)</f>
        <v>1</v>
      </c>
      <c r="K202" s="71">
        <f>IF(AND(K196&gt;M196,$AK178&gt;3,$AK177&gt;1,ISNUMBER(K196),ISNUMBER(M196)),1,0)</f>
        <v>0</v>
      </c>
      <c r="L202" s="71"/>
      <c r="M202" s="72">
        <f>IF(AND(M196&gt;K196,$AK178&gt;3,$AK177&gt;1,ISNUMBER(K196),ISNUMBER(M196)),1,0)</f>
        <v>1</v>
      </c>
      <c r="N202" s="71">
        <f>IF(AND(N196&gt;P196,$AK178&gt;4,$AK177&gt;1,ISNUMBER(N196),ISNUMBER(P196)),1,0)</f>
        <v>1</v>
      </c>
      <c r="O202" s="71"/>
      <c r="P202" s="72">
        <f>IF(AND(P196&gt;N196,$AK178&gt;4,$AK177&gt;1,ISNUMBER(N196),ISNUMBER(P196)),1,0)</f>
        <v>0</v>
      </c>
      <c r="Q202" s="71">
        <f>IF(AND(Q196&gt;S196,$AK178&gt;5,$AK177&gt;1,ISNUMBER(Q196),ISNUMBER(S196)),1,0)</f>
        <v>1</v>
      </c>
      <c r="R202" s="71"/>
      <c r="S202" s="72">
        <f>IF(AND(S196&gt;Q196,$AK178&gt;5,$AK177&gt;1,ISNUMBER(Q196),ISNUMBER(S196)),1,0)</f>
        <v>0</v>
      </c>
      <c r="T202" s="71">
        <f>IF(AND(T196&gt;V196,$AK178&gt;6,$AK177&gt;1,ISNUMBER(T196),ISNUMBER(V196)),1,0)</f>
        <v>0</v>
      </c>
      <c r="U202" s="71"/>
      <c r="V202" s="72">
        <f>IF(AND(V196&gt;T196,$AK178&gt;6,$AK177&gt;1,ISNUMBER(T196),ISNUMBER(V196)),1,0)</f>
        <v>0</v>
      </c>
      <c r="W202" s="71">
        <f>IF(AND(W196&gt;Y196,$AK178&gt;7,$AK177&gt;1,ISNUMBER(W196),ISNUMBER(Y196)),1,0)</f>
        <v>0</v>
      </c>
      <c r="X202" s="71"/>
      <c r="Y202" s="72">
        <f>IF(AND(Y196&gt;W196,$AK178&gt;7,$AK177&gt;1,ISNUMBER(W196),ISNUMBER(Y196)),1,0)</f>
        <v>0</v>
      </c>
      <c r="Z202" s="71">
        <f>IF(AND(Z196&gt;AB196,$AK178&gt;8,$AK177&gt;1,ISNUMBER(Z196),ISNUMBER(AB196)),1,0)</f>
        <v>0</v>
      </c>
      <c r="AA202" s="71"/>
      <c r="AB202" s="72">
        <f>IF(AND(AB196&gt;Z196,$AK178&gt;8,$AK177&gt;1,ISNUMBER(Z196),ISNUMBER(AB196)),1,0)</f>
        <v>0</v>
      </c>
      <c r="AC202" s="71">
        <f>IF(AND(AC196&gt;AE196,$AK178&gt;9,$AK177&gt;1,ISNUMBER(AC196),ISNUMBER(AE196)),1,0)</f>
        <v>0</v>
      </c>
      <c r="AD202" s="71"/>
      <c r="AE202" s="72">
        <f>IF(AND(AE196&gt;AC196,$AK178&gt;9,$AK177&gt;1,ISNUMBER(AC196),ISNUMBER(AE196)),1,0)</f>
        <v>0</v>
      </c>
      <c r="AW202" s="154"/>
    </row>
    <row r="203" spans="1:49" s="70" customFormat="1" ht="12.75" hidden="1" customHeight="1" x14ac:dyDescent="0.2">
      <c r="A203" s="70" t="s">
        <v>77</v>
      </c>
      <c r="B203" s="71">
        <f>IF(AND(B197&gt;D197,$AK178&gt;0,$AK177&gt;2,ISNUMBER(B197),ISNUMBER(D197)),1,0)</f>
        <v>1</v>
      </c>
      <c r="C203" s="71"/>
      <c r="D203" s="72">
        <f>IF(AND(D197&gt;B197,$AK178&gt;0,$AK177&gt;2,ISNUMBER(B197),ISNUMBER(D197)),1,0)</f>
        <v>0</v>
      </c>
      <c r="E203" s="71">
        <f>IF(AND(E197&gt;G197,$AK178&gt;1,$AK177&gt;2,ISNUMBER(E197),ISNUMBER(G197)),1,0)</f>
        <v>0</v>
      </c>
      <c r="F203" s="71"/>
      <c r="G203" s="72">
        <f>IF(AND(G197&gt;E197,$AK178&gt;1,$AK177&gt;2,ISNUMBER(E197),ISNUMBER(G197)),1,0)</f>
        <v>0</v>
      </c>
      <c r="H203" s="71">
        <f>IF(AND(H197&gt;J197,$AK178&gt;2,$AK177&gt;2,ISNUMBER(H197),ISNUMBER(J197)),1,0)</f>
        <v>0</v>
      </c>
      <c r="I203" s="71"/>
      <c r="J203" s="72">
        <f>IF(AND(J197&gt;H197,$AK178&gt;2,$AK177&gt;2,ISNUMBER(H197),ISNUMBER(J197)),1,0)</f>
        <v>1</v>
      </c>
      <c r="K203" s="71">
        <f>IF(AND(K197&gt;M197,$AK178&gt;3,$AK177&gt;2,ISNUMBER(K197),ISNUMBER(M197)),1,0)</f>
        <v>0</v>
      </c>
      <c r="L203" s="71"/>
      <c r="M203" s="72">
        <f>IF(AND(M197&gt;K197,$AK178&gt;3,$AK177&gt;2,ISNUMBER(K197),ISNUMBER(M197)),1,0)</f>
        <v>1</v>
      </c>
      <c r="N203" s="71">
        <f>IF(AND(N197&gt;P197,$AK178&gt;4,$AK177&gt;2,ISNUMBER(N197),ISNUMBER(P197)),1,0)</f>
        <v>0</v>
      </c>
      <c r="O203" s="71"/>
      <c r="P203" s="72">
        <f>IF(AND(P197&gt;N197,$AK178&gt;4,$AK177&gt;2,ISNUMBER(N197),ISNUMBER(P197)),1,0)</f>
        <v>0</v>
      </c>
      <c r="Q203" s="71">
        <f>IF(AND(Q197&gt;S197,$AK178&gt;5,$AK177&gt;2,ISNUMBER(Q197),ISNUMBER(S197)),1,0)</f>
        <v>0</v>
      </c>
      <c r="R203" s="71"/>
      <c r="S203" s="72">
        <f>IF(AND(S197&gt;Q197,$AK178&gt;5,$AK177&gt;2,ISNUMBER(Q197),ISNUMBER(S197)),1,0)</f>
        <v>0</v>
      </c>
      <c r="T203" s="71">
        <f>IF(AND(T197&gt;V197,$AK178&gt;6,$AK177&gt;2,ISNUMBER(T197),ISNUMBER(V197)),1,0)</f>
        <v>0</v>
      </c>
      <c r="U203" s="71"/>
      <c r="V203" s="72">
        <f>IF(AND(V197&gt;T197,$AK178&gt;6,$AK177&gt;2,ISNUMBER(T197),ISNUMBER(V197)),1,0)</f>
        <v>0</v>
      </c>
      <c r="W203" s="71">
        <f>IF(AND(W197&gt;Y197,$AK178&gt;7,$AK177&gt;2,ISNUMBER(W197),ISNUMBER(Y197)),1,0)</f>
        <v>0</v>
      </c>
      <c r="X203" s="71"/>
      <c r="Y203" s="72">
        <f>IF(AND(Y197&gt;W197,$AK178&gt;7,$AK177&gt;2,ISNUMBER(W197),ISNUMBER(Y197)),1,0)</f>
        <v>0</v>
      </c>
      <c r="Z203" s="71">
        <f>IF(AND(Z197&gt;AB197,$AK178&gt;8,$AK177&gt;2,ISNUMBER(Z197),ISNUMBER(AB197)),1,0)</f>
        <v>0</v>
      </c>
      <c r="AA203" s="71"/>
      <c r="AB203" s="72">
        <f>IF(AND(AB197&gt;Z197,$AK178&gt;8,$AK177&gt;2,ISNUMBER(Z197),ISNUMBER(AB197)),1,0)</f>
        <v>0</v>
      </c>
      <c r="AC203" s="71">
        <f>IF(AND(AC197&gt;AE197,$AK178&gt;9,$AK177&gt;2,ISNUMBER(AC197),ISNUMBER(AE197)),1,0)</f>
        <v>0</v>
      </c>
      <c r="AD203" s="71"/>
      <c r="AE203" s="72">
        <f>IF(AND(AE197&gt;AC197,$AK178&gt;9,$AK177&gt;2,ISNUMBER(AC197),ISNUMBER(AE197)),1,0)</f>
        <v>0</v>
      </c>
      <c r="AW203" s="154"/>
    </row>
    <row r="204" spans="1:49" s="70" customFormat="1" ht="12.75" hidden="1" customHeight="1" x14ac:dyDescent="0.2">
      <c r="A204" s="70" t="s">
        <v>78</v>
      </c>
      <c r="B204" s="71">
        <f>IF(AND(B198&gt;D198,$AK178&gt;0,$AK177&gt;3,ISNUMBER(B198),ISNUMBER(D198)),1,0)</f>
        <v>0</v>
      </c>
      <c r="C204" s="71"/>
      <c r="D204" s="72">
        <f>IF(AND(D198&gt;B198,$AK178&gt;0,$AK177&gt;3,ISNUMBER(B198),ISNUMBER(D198)),1,0)</f>
        <v>0</v>
      </c>
      <c r="E204" s="71">
        <f>IF(AND(E198&gt;G198,$AK178&gt;1,$AK177&gt;3,ISNUMBER(E198),ISNUMBER(G198)),1,0)</f>
        <v>0</v>
      </c>
      <c r="F204" s="71"/>
      <c r="G204" s="72">
        <f>IF(AND(G198&gt;E198,$AK178&gt;1,$AK177&gt;3,ISNUMBER(E198),ISNUMBER(G198)),1,0)</f>
        <v>0</v>
      </c>
      <c r="H204" s="71">
        <f>IF(AND(H198&gt;J198,$AK178&gt;2,$AK177&gt;3,ISNUMBER(H198),ISNUMBER(J198)),1,0)</f>
        <v>0</v>
      </c>
      <c r="I204" s="71"/>
      <c r="J204" s="72">
        <f>IF(AND(J198&gt;H198,$AK178&gt;2,$AK177&gt;3,ISNUMBER(H198),ISNUMBER(J198)),1,0)</f>
        <v>0</v>
      </c>
      <c r="K204" s="71">
        <f>IF(AND(K198&gt;M198,$AK178&gt;3,$AK177&gt;3,ISNUMBER(K198),ISNUMBER(M198)),1,0)</f>
        <v>0</v>
      </c>
      <c r="L204" s="71"/>
      <c r="M204" s="72">
        <f>IF(AND(M198&gt;K198,$AK178&gt;3,$AK177&gt;3,ISNUMBER(K198),ISNUMBER(M198)),1,0)</f>
        <v>0</v>
      </c>
      <c r="N204" s="71">
        <f>IF(AND(N198&gt;P198,$AK178&gt;4,$AK177&gt;3,ISNUMBER(N198),ISNUMBER(P198)),1,0)</f>
        <v>0</v>
      </c>
      <c r="O204" s="71"/>
      <c r="P204" s="72">
        <f>IF(AND(P198&gt;N198,$AK178&gt;4,$AK177&gt;3,ISNUMBER(N198),ISNUMBER(P198)),1,0)</f>
        <v>0</v>
      </c>
      <c r="Q204" s="71">
        <f>IF(AND(Q198&gt;S198,$AK178&gt;5,$AK177&gt;3,ISNUMBER(Q198),ISNUMBER(S198)),1,0)</f>
        <v>0</v>
      </c>
      <c r="R204" s="71"/>
      <c r="S204" s="72">
        <f>IF(AND(S198&gt;Q198,$AK178&gt;5,$AK177&gt;3,ISNUMBER(Q198),ISNUMBER(S198)),1,0)</f>
        <v>0</v>
      </c>
      <c r="T204" s="71">
        <f>IF(AND(T198&gt;V198,$AK178&gt;6,$AK177&gt;3,ISNUMBER(T198),ISNUMBER(V198)),1,0)</f>
        <v>0</v>
      </c>
      <c r="U204" s="71"/>
      <c r="V204" s="72">
        <f>IF(AND(V198&gt;T198,$AK178&gt;6,$AK177&gt;3,ISNUMBER(T198),ISNUMBER(V198)),1,0)</f>
        <v>0</v>
      </c>
      <c r="W204" s="71">
        <f>IF(AND(W198&gt;Y198,$AK178&gt;7,$AK177&gt;3,ISNUMBER(W198),ISNUMBER(Y198)),1,0)</f>
        <v>0</v>
      </c>
      <c r="X204" s="71"/>
      <c r="Y204" s="72">
        <f>IF(AND(Y198&gt;W198,$AK178&gt;7,$AK177&gt;3,ISNUMBER(W198),ISNUMBER(Y198)),1,0)</f>
        <v>0</v>
      </c>
      <c r="Z204" s="71">
        <f>IF(AND(Z198&gt;AB198,$AK178&gt;8,$AK177&gt;3,ISNUMBER(Z198),ISNUMBER(AB198)),1,0)</f>
        <v>0</v>
      </c>
      <c r="AA204" s="71"/>
      <c r="AB204" s="72">
        <f>IF(AND(AB198&gt;Z198,$AK178&gt;8,$AK177&gt;3,ISNUMBER(Z198),ISNUMBER(AB198)),1,0)</f>
        <v>0</v>
      </c>
      <c r="AC204" s="71">
        <f>IF(AND(AC198&gt;AE198,$AK178&gt;9,$AK177&gt;3,ISNUMBER(AC198),ISNUMBER(AE198)),1,0)</f>
        <v>0</v>
      </c>
      <c r="AD204" s="71"/>
      <c r="AE204" s="72">
        <f>IF(AND(AE198&gt;AC198,$AK178&gt;9,$AK177&gt;3,ISNUMBER(AC198),ISNUMBER(AE198)),1,0)</f>
        <v>0</v>
      </c>
      <c r="AW204" s="154"/>
    </row>
    <row r="205" spans="1:49" s="70" customFormat="1" ht="12.75" hidden="1" customHeight="1" x14ac:dyDescent="0.2">
      <c r="A205" s="70" t="s">
        <v>79</v>
      </c>
      <c r="B205" s="71">
        <f>IF(AND(B199&gt;D199,$AK178&gt;0,$AK177&gt;4,ISNUMBER(B199),ISNUMBER(D199)),1,0)</f>
        <v>0</v>
      </c>
      <c r="C205" s="71"/>
      <c r="D205" s="72">
        <f>IF(AND(D199&gt;B199,$AK178&gt;0,$AK177&gt;4,ISNUMBER(B199),ISNUMBER(D199)),1,0)</f>
        <v>0</v>
      </c>
      <c r="E205" s="71">
        <f>IF(AND(E199&gt;G199,$AK178&gt;1,$AK177&gt;4,ISNUMBER(E199),ISNUMBER(G199)),1,0)</f>
        <v>0</v>
      </c>
      <c r="F205" s="71"/>
      <c r="G205" s="72">
        <f>IF(AND(G199&gt;E199,$AK178&gt;1,$AK177&gt;4,ISNUMBER(E199),ISNUMBER(G199)),1,0)</f>
        <v>0</v>
      </c>
      <c r="H205" s="71">
        <f>IF(AND(H199&gt;J199,$AK178&gt;2,$AK177&gt;4,ISNUMBER(H199),ISNUMBER(J199)),1,0)</f>
        <v>0</v>
      </c>
      <c r="I205" s="71"/>
      <c r="J205" s="72">
        <f>IF(AND(J199&gt;H199,$AK178&gt;2,$AK177&gt;4,ISNUMBER(H199),ISNUMBER(J199)),1,0)</f>
        <v>0</v>
      </c>
      <c r="K205" s="71">
        <f>IF(AND(K199&gt;M199,$AK178&gt;3,$AK177&gt;4,ISNUMBER(K199),ISNUMBER(M199)),1,0)</f>
        <v>0</v>
      </c>
      <c r="L205" s="71"/>
      <c r="M205" s="72">
        <f>IF(AND(M199&gt;K199,$AK178&gt;3,$AK177&gt;4,ISNUMBER(K199),ISNUMBER(M199)),1,0)</f>
        <v>0</v>
      </c>
      <c r="N205" s="71">
        <f>IF(AND(N199&gt;P199,$AK178&gt;4,$AK177&gt;4,ISNUMBER(N199),ISNUMBER(P199)),1,0)</f>
        <v>0</v>
      </c>
      <c r="O205" s="71"/>
      <c r="P205" s="72">
        <f>IF(AND(P199&gt;N199,$AK178&gt;4,$AK177&gt;4,ISNUMBER(N199),ISNUMBER(P199)),1,0)</f>
        <v>0</v>
      </c>
      <c r="Q205" s="71">
        <f>IF(AND(Q199&gt;S199,$AK178&gt;5,$AK177&gt;4,ISNUMBER(Q199),ISNUMBER(S199)),1,0)</f>
        <v>0</v>
      </c>
      <c r="R205" s="71"/>
      <c r="S205" s="72">
        <f>IF(AND(S199&gt;Q199,$AK178&gt;5,$AK177&gt;4,ISNUMBER(Q199),ISNUMBER(S199)),1,0)</f>
        <v>0</v>
      </c>
      <c r="T205" s="71">
        <f>IF(AND(T199&gt;V199,$AK178&gt;6,$AK177&gt;4,ISNUMBER(T199),ISNUMBER(V199)),1,0)</f>
        <v>0</v>
      </c>
      <c r="U205" s="71"/>
      <c r="V205" s="72">
        <f>IF(AND(V199&gt;T199,$AK178&gt;6,$AK177&gt;4,ISNUMBER(T199),ISNUMBER(V199)),1,0)</f>
        <v>0</v>
      </c>
      <c r="W205" s="71">
        <f>IF(AND(W199&gt;Y199,$AK178&gt;7,$AK177&gt;4,ISNUMBER(W199),ISNUMBER(Y199)),1,0)</f>
        <v>0</v>
      </c>
      <c r="X205" s="71"/>
      <c r="Y205" s="72">
        <f>IF(AND(Y199&gt;W199,$AK178&gt;7,$AK177&gt;4,ISNUMBER(W199),ISNUMBER(Y199)),1,0)</f>
        <v>0</v>
      </c>
      <c r="Z205" s="71">
        <f>IF(AND(Z199&gt;AB199,$AK178&gt;8,$AK177&gt;4,ISNUMBER(Z199),ISNUMBER(AB199)),1,0)</f>
        <v>0</v>
      </c>
      <c r="AA205" s="71"/>
      <c r="AB205" s="72">
        <f>IF(AND(AB199&gt;Z199,$AK178&gt;8,$AK177&gt;4,ISNUMBER(Z199),ISNUMBER(AB199)),1,0)</f>
        <v>0</v>
      </c>
      <c r="AC205" s="71">
        <f>IF(AND(AC199&gt;AE199,$AK178&gt;9,$AK177&gt;4,ISNUMBER(AC199),ISNUMBER(AE199)),1,0)</f>
        <v>0</v>
      </c>
      <c r="AD205" s="71"/>
      <c r="AE205" s="72">
        <f>IF(AND(AE199&gt;AC199,$AK178&gt;9,$AK177&gt;4,ISNUMBER(AC199),ISNUMBER(AE199)),1,0)</f>
        <v>0</v>
      </c>
      <c r="AW205" s="154"/>
    </row>
    <row r="206" spans="1:49" s="70" customFormat="1" ht="38.25" hidden="1" customHeight="1" x14ac:dyDescent="0.2">
      <c r="A206" s="73" t="s">
        <v>80</v>
      </c>
      <c r="B206" s="70">
        <f>SUM(B201:B205)</f>
        <v>2</v>
      </c>
      <c r="D206" s="74">
        <f>SUM(D201:D205)</f>
        <v>1</v>
      </c>
      <c r="E206" s="70">
        <f>SUM(E201:E205)</f>
        <v>2</v>
      </c>
      <c r="G206" s="74">
        <f>SUM(G201:G205)</f>
        <v>0</v>
      </c>
      <c r="H206" s="70">
        <f>SUM(H201:H205)</f>
        <v>1</v>
      </c>
      <c r="J206" s="74">
        <f>SUM(J201:J205)</f>
        <v>2</v>
      </c>
      <c r="K206" s="70">
        <f>SUM(K201:K205)</f>
        <v>1</v>
      </c>
      <c r="M206" s="74">
        <f>SUM(M201:M205)</f>
        <v>2</v>
      </c>
      <c r="N206" s="70">
        <f>SUM(N201:N205)</f>
        <v>2</v>
      </c>
      <c r="P206" s="74">
        <f>SUM(P201:P205)</f>
        <v>0</v>
      </c>
      <c r="Q206" s="70">
        <f>SUM(Q201:Q205)</f>
        <v>2</v>
      </c>
      <c r="S206" s="74">
        <f>SUM(S201:S205)</f>
        <v>0</v>
      </c>
      <c r="T206" s="70">
        <f>SUM(T201:T205)</f>
        <v>0</v>
      </c>
      <c r="V206" s="74">
        <f>SUM(V201:V205)</f>
        <v>0</v>
      </c>
      <c r="W206" s="70">
        <f>SUM(W201:W205)</f>
        <v>0</v>
      </c>
      <c r="Y206" s="74">
        <f>SUM(Y201:Y205)</f>
        <v>0</v>
      </c>
      <c r="Z206" s="70">
        <f>SUM(Z201:Z205)</f>
        <v>0</v>
      </c>
      <c r="AB206" s="74">
        <f>SUM(AB201:AB205)</f>
        <v>0</v>
      </c>
      <c r="AC206" s="70">
        <f>SUM(AC201:AC205)</f>
        <v>0</v>
      </c>
      <c r="AE206" s="74">
        <f>SUM(AE201:AE205)</f>
        <v>0</v>
      </c>
      <c r="AW206" s="154"/>
    </row>
    <row r="207" spans="1:49" s="70" customFormat="1" ht="25.5" hidden="1" customHeight="1" x14ac:dyDescent="0.2">
      <c r="A207" s="73" t="s">
        <v>81</v>
      </c>
      <c r="B207" s="70">
        <f>IF(B206&gt;D206,IF(C241=AK177,1,IF(C241=AK177-1,1,0)),0)</f>
        <v>1</v>
      </c>
      <c r="C207" s="70">
        <f>B207+D207</f>
        <v>1</v>
      </c>
      <c r="D207" s="74">
        <f>IF(D206&gt;B206,IF(C241=AK177,1,IF(C241=AK177-1,1,0)),0)</f>
        <v>0</v>
      </c>
      <c r="E207" s="70">
        <f>IF(E206&gt;G206,IF(F241=AK177,1,IF(F241=AK177-1,1,0)),0)</f>
        <v>1</v>
      </c>
      <c r="F207" s="70">
        <f>E207+G207</f>
        <v>1</v>
      </c>
      <c r="G207" s="74">
        <f>IF(G206&gt;E206,IF(F241=AK177,1,IF(F241=AK177-1,1,0)),0)</f>
        <v>0</v>
      </c>
      <c r="H207" s="70">
        <f>IF(H206&gt;J206,IF(I241=AK177,1,IF(I241=AK177-1,1,0)),0)</f>
        <v>0</v>
      </c>
      <c r="I207" s="70">
        <f>H207+J207</f>
        <v>1</v>
      </c>
      <c r="J207" s="74">
        <f>IF(J206&gt;H206,IF(I241=AK177,1,IF(I241=AK177-1,1,0)),0)</f>
        <v>1</v>
      </c>
      <c r="K207" s="70">
        <f>IF(K206&gt;M206,IF(L241=AK177,1,IF(L241=AK177-1,1,0)),0)</f>
        <v>0</v>
      </c>
      <c r="L207" s="70">
        <f>K207+M207</f>
        <v>1</v>
      </c>
      <c r="M207" s="74">
        <f>IF(M206&gt;K206,IF(L241=AK177,1,IF(L241=AK177-1,1,0)),0)</f>
        <v>1</v>
      </c>
      <c r="N207" s="70">
        <f>IF(N206&gt;P206,IF(O241=AK177,1,IF(O241=AK177-1,1,0)),0)</f>
        <v>1</v>
      </c>
      <c r="O207" s="70">
        <f>N207+P207</f>
        <v>1</v>
      </c>
      <c r="P207" s="74">
        <f>IF(P206&gt;N206,IF(O241=AK177,1,IF(O241=AK177-1,1,0)),0)</f>
        <v>0</v>
      </c>
      <c r="Q207" s="70">
        <f>IF(Q206&gt;S206,IF(R241=AK177,1,IF(R241=AK177-1,1,0)),0)</f>
        <v>1</v>
      </c>
      <c r="R207" s="70">
        <f>Q207+S207</f>
        <v>1</v>
      </c>
      <c r="S207" s="74">
        <f>IF(S206&gt;Q206,IF(R241=AK177,1,IF(R241=AK177-1,1,0)),0)</f>
        <v>0</v>
      </c>
      <c r="T207" s="70">
        <f>IF(T206&gt;V206,IF(U241=AK177,1,IF(U241=AK177-1,1,0)),0)</f>
        <v>0</v>
      </c>
      <c r="U207" s="70">
        <f>T207+V207</f>
        <v>0</v>
      </c>
      <c r="V207" s="74">
        <f>IF(V206&gt;T206,IF(U241=AK177,1,IF(U241=AK177-1,1,0)),0)</f>
        <v>0</v>
      </c>
      <c r="W207" s="70">
        <f>IF(W206&gt;Y206,IF(X241=AK177,1,IF(X241=AK177-1,1,0)),0)</f>
        <v>0</v>
      </c>
      <c r="X207" s="70">
        <f>W207+Y207</f>
        <v>0</v>
      </c>
      <c r="Y207" s="74">
        <f>IF(Y206&gt;W206,IF(X241=AK177,1,IF(X241=AK177-1,1,0)),0)</f>
        <v>0</v>
      </c>
      <c r="Z207" s="70">
        <f>IF(Z206&gt;AB206,IF(AA241=AK177,1,IF(AA241=AK177-1,1,0)),0)</f>
        <v>0</v>
      </c>
      <c r="AA207" s="70">
        <f>Z207+AB207</f>
        <v>0</v>
      </c>
      <c r="AB207" s="74">
        <f>IF(AB206&gt;Z206,IF(AA241=AK177,1,IF(AA241=AK177-1,1,0)),0)</f>
        <v>0</v>
      </c>
      <c r="AC207" s="70">
        <f>IF(AC206&gt;AE206,IF(AD241=AK177,1,IF(AD241=AK177-1,1,0)),0)</f>
        <v>0</v>
      </c>
      <c r="AD207" s="70">
        <f>AC207+AE207</f>
        <v>0</v>
      </c>
      <c r="AE207" s="74">
        <f>IF(AE206&gt;AC206,IF(AD241=AK177,1,IF(AD241=AK177-1,1,0)),0)</f>
        <v>0</v>
      </c>
      <c r="AW207" s="154"/>
    </row>
    <row r="208" spans="1:49" s="70" customFormat="1" ht="25.5" hidden="1" customHeight="1" x14ac:dyDescent="0.2">
      <c r="A208" s="73"/>
      <c r="D208" s="74"/>
      <c r="G208" s="74"/>
      <c r="J208" s="74"/>
      <c r="M208" s="74"/>
      <c r="P208" s="74"/>
      <c r="S208" s="74"/>
      <c r="V208" s="74"/>
      <c r="Y208" s="74"/>
      <c r="AB208" s="74"/>
      <c r="AE208" s="74"/>
      <c r="AW208" s="154"/>
    </row>
    <row r="209" spans="1:49" s="70" customFormat="1" ht="12.75" hidden="1" customHeight="1" x14ac:dyDescent="0.2">
      <c r="A209" s="70" t="s">
        <v>82</v>
      </c>
      <c r="B209" s="70">
        <f>IF(B201=1,B195,0)</f>
        <v>26</v>
      </c>
      <c r="D209" s="74">
        <f t="shared" ref="D209:E213" si="20">IF(D201=1,D195,0)</f>
        <v>0</v>
      </c>
      <c r="E209" s="70">
        <f t="shared" si="20"/>
        <v>25</v>
      </c>
      <c r="G209" s="74">
        <f t="shared" ref="G209:H213" si="21">IF(G201=1,G195,0)</f>
        <v>0</v>
      </c>
      <c r="H209" s="70">
        <f t="shared" si="21"/>
        <v>25</v>
      </c>
      <c r="J209" s="74">
        <f t="shared" ref="J209:K213" si="22">IF(J201=1,J195,0)</f>
        <v>0</v>
      </c>
      <c r="K209" s="70">
        <f t="shared" si="22"/>
        <v>25</v>
      </c>
      <c r="M209" s="74">
        <f t="shared" ref="M209:N213" si="23">IF(M201=1,M195,0)</f>
        <v>0</v>
      </c>
      <c r="N209" s="70">
        <f t="shared" si="23"/>
        <v>25</v>
      </c>
      <c r="P209" s="74">
        <f t="shared" ref="P209:Q213" si="24">IF(P201=1,P195,0)</f>
        <v>0</v>
      </c>
      <c r="Q209" s="70">
        <f t="shared" si="24"/>
        <v>25</v>
      </c>
      <c r="S209" s="74">
        <f t="shared" ref="S209:T213" si="25">IF(S201=1,S195,0)</f>
        <v>0</v>
      </c>
      <c r="T209" s="70">
        <f t="shared" si="25"/>
        <v>0</v>
      </c>
      <c r="V209" s="74">
        <f t="shared" ref="V209:W213" si="26">IF(V201=1,V195,0)</f>
        <v>0</v>
      </c>
      <c r="W209" s="70">
        <f t="shared" si="26"/>
        <v>0</v>
      </c>
      <c r="Y209" s="74">
        <f t="shared" ref="Y209:Z213" si="27">IF(Y201=1,Y195,0)</f>
        <v>0</v>
      </c>
      <c r="Z209" s="70">
        <f t="shared" si="27"/>
        <v>0</v>
      </c>
      <c r="AB209" s="74">
        <f t="shared" ref="AB209:AC213" si="28">IF(AB201=1,AB195,0)</f>
        <v>0</v>
      </c>
      <c r="AC209" s="70">
        <f t="shared" si="28"/>
        <v>0</v>
      </c>
      <c r="AE209" s="74">
        <f>IF(AE201=1,AE195,0)</f>
        <v>0</v>
      </c>
      <c r="AW209" s="154"/>
    </row>
    <row r="210" spans="1:49" s="70" customFormat="1" ht="12.75" hidden="1" customHeight="1" x14ac:dyDescent="0.2">
      <c r="A210" s="70" t="s">
        <v>83</v>
      </c>
      <c r="B210" s="70">
        <f>IF(B202=1,B196,0)</f>
        <v>0</v>
      </c>
      <c r="D210" s="74">
        <f t="shared" si="20"/>
        <v>26</v>
      </c>
      <c r="E210" s="70">
        <f t="shared" si="20"/>
        <v>25</v>
      </c>
      <c r="G210" s="74">
        <f t="shared" si="21"/>
        <v>0</v>
      </c>
      <c r="H210" s="70">
        <f t="shared" si="21"/>
        <v>0</v>
      </c>
      <c r="J210" s="74">
        <f t="shared" si="22"/>
        <v>25</v>
      </c>
      <c r="K210" s="70">
        <f t="shared" si="22"/>
        <v>0</v>
      </c>
      <c r="M210" s="74">
        <f t="shared" si="23"/>
        <v>25</v>
      </c>
      <c r="N210" s="70">
        <f t="shared" si="23"/>
        <v>25</v>
      </c>
      <c r="P210" s="74">
        <f t="shared" si="24"/>
        <v>0</v>
      </c>
      <c r="Q210" s="70">
        <f t="shared" si="24"/>
        <v>25</v>
      </c>
      <c r="S210" s="74">
        <f t="shared" si="25"/>
        <v>0</v>
      </c>
      <c r="T210" s="70">
        <f t="shared" si="25"/>
        <v>0</v>
      </c>
      <c r="V210" s="74">
        <f t="shared" si="26"/>
        <v>0</v>
      </c>
      <c r="W210" s="70">
        <f t="shared" si="26"/>
        <v>0</v>
      </c>
      <c r="Y210" s="74">
        <f t="shared" si="27"/>
        <v>0</v>
      </c>
      <c r="Z210" s="70">
        <f t="shared" si="27"/>
        <v>0</v>
      </c>
      <c r="AB210" s="74">
        <f t="shared" si="28"/>
        <v>0</v>
      </c>
      <c r="AC210" s="70">
        <f t="shared" si="28"/>
        <v>0</v>
      </c>
      <c r="AE210" s="74">
        <f>IF(AE202=1,AE196,0)</f>
        <v>0</v>
      </c>
      <c r="AW210" s="154"/>
    </row>
    <row r="211" spans="1:49" s="70" customFormat="1" ht="12.75" hidden="1" customHeight="1" x14ac:dyDescent="0.2">
      <c r="A211" s="70" t="s">
        <v>84</v>
      </c>
      <c r="B211" s="70">
        <f>IF(B203=1,B197,0)</f>
        <v>15</v>
      </c>
      <c r="D211" s="74">
        <f t="shared" si="20"/>
        <v>0</v>
      </c>
      <c r="E211" s="70">
        <f t="shared" si="20"/>
        <v>0</v>
      </c>
      <c r="G211" s="74">
        <f t="shared" si="21"/>
        <v>0</v>
      </c>
      <c r="H211" s="70">
        <f t="shared" si="21"/>
        <v>0</v>
      </c>
      <c r="J211" s="74">
        <f t="shared" si="22"/>
        <v>15</v>
      </c>
      <c r="K211" s="70">
        <f t="shared" si="22"/>
        <v>0</v>
      </c>
      <c r="M211" s="74">
        <f t="shared" si="23"/>
        <v>16</v>
      </c>
      <c r="N211" s="70">
        <f t="shared" si="23"/>
        <v>0</v>
      </c>
      <c r="P211" s="74">
        <f t="shared" si="24"/>
        <v>0</v>
      </c>
      <c r="Q211" s="70">
        <f t="shared" si="24"/>
        <v>0</v>
      </c>
      <c r="S211" s="74">
        <f t="shared" si="25"/>
        <v>0</v>
      </c>
      <c r="T211" s="70">
        <f t="shared" si="25"/>
        <v>0</v>
      </c>
      <c r="V211" s="74">
        <f t="shared" si="26"/>
        <v>0</v>
      </c>
      <c r="W211" s="70">
        <f t="shared" si="26"/>
        <v>0</v>
      </c>
      <c r="Y211" s="74">
        <f t="shared" si="27"/>
        <v>0</v>
      </c>
      <c r="Z211" s="70">
        <f t="shared" si="27"/>
        <v>0</v>
      </c>
      <c r="AB211" s="74">
        <f t="shared" si="28"/>
        <v>0</v>
      </c>
      <c r="AC211" s="70">
        <f t="shared" si="28"/>
        <v>0</v>
      </c>
      <c r="AE211" s="74">
        <f>IF(AE203=1,AE197,0)</f>
        <v>0</v>
      </c>
      <c r="AW211" s="154"/>
    </row>
    <row r="212" spans="1:49" s="70" customFormat="1" ht="12.75" hidden="1" customHeight="1" x14ac:dyDescent="0.2">
      <c r="A212" s="70" t="s">
        <v>85</v>
      </c>
      <c r="B212" s="70">
        <f>IF(B204=1,B198,0)</f>
        <v>0</v>
      </c>
      <c r="D212" s="74">
        <f t="shared" si="20"/>
        <v>0</v>
      </c>
      <c r="E212" s="70">
        <f t="shared" si="20"/>
        <v>0</v>
      </c>
      <c r="G212" s="74">
        <f t="shared" si="21"/>
        <v>0</v>
      </c>
      <c r="H212" s="70">
        <f t="shared" si="21"/>
        <v>0</v>
      </c>
      <c r="J212" s="74">
        <f t="shared" si="22"/>
        <v>0</v>
      </c>
      <c r="K212" s="70">
        <f t="shared" si="22"/>
        <v>0</v>
      </c>
      <c r="M212" s="74">
        <f t="shared" si="23"/>
        <v>0</v>
      </c>
      <c r="N212" s="70">
        <f t="shared" si="23"/>
        <v>0</v>
      </c>
      <c r="P212" s="74">
        <f t="shared" si="24"/>
        <v>0</v>
      </c>
      <c r="Q212" s="70">
        <f t="shared" si="24"/>
        <v>0</v>
      </c>
      <c r="S212" s="74">
        <f t="shared" si="25"/>
        <v>0</v>
      </c>
      <c r="T212" s="70">
        <f t="shared" si="25"/>
        <v>0</v>
      </c>
      <c r="V212" s="74">
        <f t="shared" si="26"/>
        <v>0</v>
      </c>
      <c r="W212" s="70">
        <f t="shared" si="26"/>
        <v>0</v>
      </c>
      <c r="Y212" s="74">
        <f t="shared" si="27"/>
        <v>0</v>
      </c>
      <c r="Z212" s="70">
        <f t="shared" si="27"/>
        <v>0</v>
      </c>
      <c r="AB212" s="74">
        <f t="shared" si="28"/>
        <v>0</v>
      </c>
      <c r="AC212" s="70">
        <f t="shared" si="28"/>
        <v>0</v>
      </c>
      <c r="AE212" s="74">
        <f>IF(AE204=1,AE198,0)</f>
        <v>0</v>
      </c>
      <c r="AW212" s="154"/>
    </row>
    <row r="213" spans="1:49" s="70" customFormat="1" ht="12.75" hidden="1" customHeight="1" x14ac:dyDescent="0.2">
      <c r="A213" s="70" t="s">
        <v>86</v>
      </c>
      <c r="B213" s="70">
        <f>IF(B205=1,B199,0)</f>
        <v>0</v>
      </c>
      <c r="D213" s="74">
        <f t="shared" si="20"/>
        <v>0</v>
      </c>
      <c r="E213" s="70">
        <f t="shared" si="20"/>
        <v>0</v>
      </c>
      <c r="G213" s="74">
        <f t="shared" si="21"/>
        <v>0</v>
      </c>
      <c r="H213" s="70">
        <f t="shared" si="21"/>
        <v>0</v>
      </c>
      <c r="J213" s="74">
        <f t="shared" si="22"/>
        <v>0</v>
      </c>
      <c r="K213" s="70">
        <f t="shared" si="22"/>
        <v>0</v>
      </c>
      <c r="M213" s="74">
        <f t="shared" si="23"/>
        <v>0</v>
      </c>
      <c r="N213" s="70">
        <f t="shared" si="23"/>
        <v>0</v>
      </c>
      <c r="P213" s="74">
        <f t="shared" si="24"/>
        <v>0</v>
      </c>
      <c r="Q213" s="70">
        <f t="shared" si="24"/>
        <v>0</v>
      </c>
      <c r="S213" s="74">
        <f t="shared" si="25"/>
        <v>0</v>
      </c>
      <c r="T213" s="70">
        <f t="shared" si="25"/>
        <v>0</v>
      </c>
      <c r="V213" s="74">
        <f t="shared" si="26"/>
        <v>0</v>
      </c>
      <c r="W213" s="70">
        <f t="shared" si="26"/>
        <v>0</v>
      </c>
      <c r="Y213" s="74">
        <f t="shared" si="27"/>
        <v>0</v>
      </c>
      <c r="Z213" s="70">
        <f t="shared" si="27"/>
        <v>0</v>
      </c>
      <c r="AB213" s="74">
        <f t="shared" si="28"/>
        <v>0</v>
      </c>
      <c r="AC213" s="70">
        <f t="shared" si="28"/>
        <v>0</v>
      </c>
      <c r="AE213" s="74">
        <f>IF(AE205=1,AE199,0)</f>
        <v>0</v>
      </c>
      <c r="AW213" s="154"/>
    </row>
    <row r="214" spans="1:49" s="70" customFormat="1" ht="38.25" hidden="1" customHeight="1" x14ac:dyDescent="0.2">
      <c r="A214" s="73" t="s">
        <v>87</v>
      </c>
      <c r="B214" s="70">
        <f>SUM(B209:D213)</f>
        <v>67</v>
      </c>
      <c r="D214" s="74"/>
      <c r="E214" s="70">
        <f>SUM(E209:G213)</f>
        <v>50</v>
      </c>
      <c r="G214" s="74"/>
      <c r="H214" s="70">
        <f>SUM(H209:J213)</f>
        <v>65</v>
      </c>
      <c r="J214" s="74"/>
      <c r="K214" s="70">
        <f>SUM(K209:M213)</f>
        <v>66</v>
      </c>
      <c r="M214" s="74"/>
      <c r="N214" s="70">
        <f>SUM(N209:P213)</f>
        <v>50</v>
      </c>
      <c r="P214" s="74"/>
      <c r="Q214" s="70">
        <f>SUM(Q209:S213)</f>
        <v>50</v>
      </c>
      <c r="S214" s="74"/>
      <c r="T214" s="70">
        <f>SUM(T209:V213)</f>
        <v>0</v>
      </c>
      <c r="V214" s="74"/>
      <c r="W214" s="70">
        <f>SUM(W209:Y213)</f>
        <v>0</v>
      </c>
      <c r="Y214" s="74"/>
      <c r="Z214" s="70">
        <f>SUM(Z209:AB213)</f>
        <v>0</v>
      </c>
      <c r="AB214" s="74"/>
      <c r="AC214" s="70">
        <f>SUM(AC209:AE213)</f>
        <v>0</v>
      </c>
      <c r="AE214" s="74"/>
      <c r="AW214" s="154"/>
    </row>
    <row r="215" spans="1:49" s="70" customFormat="1" ht="38.25" hidden="1" customHeight="1" x14ac:dyDescent="0.2">
      <c r="A215" s="70" t="s">
        <v>88</v>
      </c>
      <c r="D215" s="74"/>
      <c r="G215" s="74"/>
      <c r="J215" s="74"/>
      <c r="M215" s="74"/>
      <c r="P215" s="74"/>
      <c r="S215" s="74"/>
      <c r="V215" s="74"/>
      <c r="Y215" s="74"/>
      <c r="AB215" s="74"/>
      <c r="AE215" s="74"/>
      <c r="AF215" s="73" t="s">
        <v>89</v>
      </c>
      <c r="AG215" s="70" t="s">
        <v>90</v>
      </c>
      <c r="AW215" s="154"/>
    </row>
    <row r="216" spans="1:49" s="70" customFormat="1" ht="12.75" hidden="1" customHeight="1" x14ac:dyDescent="0.2">
      <c r="A216" s="70" t="s">
        <v>91</v>
      </c>
      <c r="B216" s="70">
        <f>IF(B194=1,IF(B207=1,1,0),0)</f>
        <v>0</v>
      </c>
      <c r="D216" s="74">
        <f>IF(D194=1,IF(D207=1,1,0),0)</f>
        <v>0</v>
      </c>
      <c r="E216" s="70">
        <f>IF(E194=1,IF(E207=1,1,0),0)</f>
        <v>1</v>
      </c>
      <c r="G216" s="74">
        <f>IF(G194=1,IF(G207=1,1,0),0)</f>
        <v>0</v>
      </c>
      <c r="H216" s="70">
        <f>IF(H194=1,IF(H207=1,1,0),0)</f>
        <v>0</v>
      </c>
      <c r="J216" s="74">
        <f>IF(J194=1,IF(J207=1,1,0),0)</f>
        <v>0</v>
      </c>
      <c r="K216" s="70">
        <f>IF(K194=1,IF(K207=1,1,0),0)</f>
        <v>0</v>
      </c>
      <c r="M216" s="74">
        <f>IF(M194=1,IF(M207=1,1,0),0)</f>
        <v>0</v>
      </c>
      <c r="N216" s="70">
        <f>IF(N194=1,IF(N207=1,1,0),0)</f>
        <v>0</v>
      </c>
      <c r="P216" s="74">
        <f>IF(P194=1,IF(P207=1,1,0),0)</f>
        <v>0</v>
      </c>
      <c r="Q216" s="70">
        <f>IF(Q194=1,IF(Q207=1,1,0),0)</f>
        <v>1</v>
      </c>
      <c r="S216" s="74">
        <f>IF(S194=1,IF(S207=1,1,0),0)</f>
        <v>0</v>
      </c>
      <c r="T216" s="70">
        <f>IF(T194=1,IF(T207=1,1,0),0)</f>
        <v>0</v>
      </c>
      <c r="V216" s="74">
        <f>IF(V194=1,IF(V207=1,1,0),0)</f>
        <v>0</v>
      </c>
      <c r="W216" s="70">
        <f>IF(W194=1,IF(W207=1,1,0),0)</f>
        <v>0</v>
      </c>
      <c r="Y216" s="74">
        <f>IF(Y194=1,IF(Y207=1,1,0),0)</f>
        <v>0</v>
      </c>
      <c r="Z216" s="70">
        <f>IF(Z194=1,IF(Z207=1,1,0),0)</f>
        <v>0</v>
      </c>
      <c r="AB216" s="74">
        <f>IF(AB194=1,IF(AB207=1,1,0),0)</f>
        <v>0</v>
      </c>
      <c r="AC216" s="70">
        <f>IF(AC194=1,IF(AC207=1,1,0),0)</f>
        <v>0</v>
      </c>
      <c r="AE216" s="74">
        <f>IF(AE194=1,IF(AE207=1,1,0),0)</f>
        <v>0</v>
      </c>
      <c r="AF216" s="70">
        <f>SUM(B216:AE216)</f>
        <v>2</v>
      </c>
      <c r="AG216" s="70">
        <f>AF222-AF216</f>
        <v>1</v>
      </c>
      <c r="AW216" s="154"/>
    </row>
    <row r="217" spans="1:49" s="70" customFormat="1" ht="12.75" hidden="1" customHeight="1" x14ac:dyDescent="0.2">
      <c r="A217" s="70" t="s">
        <v>92</v>
      </c>
      <c r="B217" s="70">
        <f>IF(B194=2,IF(B207=1,1,0),0)</f>
        <v>1</v>
      </c>
      <c r="D217" s="74">
        <f>IF(D194=2,IF(D207=1,1,0),0)</f>
        <v>0</v>
      </c>
      <c r="E217" s="70">
        <f>IF(E194=2,IF(E207=1,1,0),0)</f>
        <v>0</v>
      </c>
      <c r="G217" s="74">
        <f>IF(G194=2,IF(G207=1,1,0),0)</f>
        <v>0</v>
      </c>
      <c r="H217" s="70">
        <f>IF(H194=2,IF(H207=1,1,0),0)</f>
        <v>0</v>
      </c>
      <c r="J217" s="74">
        <f>IF(J194=2,IF(J207=1,1,0),0)</f>
        <v>0</v>
      </c>
      <c r="K217" s="70">
        <f>IF(K194=2,IF(K207=1,1,0),0)</f>
        <v>0</v>
      </c>
      <c r="M217" s="74">
        <f>IF(M194=2,IF(M207=1,1,0),0)</f>
        <v>0</v>
      </c>
      <c r="N217" s="70">
        <f>IF(N194=2,IF(N207=1,1,0),0)</f>
        <v>0</v>
      </c>
      <c r="P217" s="74">
        <f>IF(P194=2,IF(P207=1,1,0),0)</f>
        <v>0</v>
      </c>
      <c r="Q217" s="70">
        <f>IF(Q194=2,IF(Q207=1,1,0),0)</f>
        <v>0</v>
      </c>
      <c r="S217" s="74">
        <f>IF(S194=2,IF(S207=1,1,0),0)</f>
        <v>0</v>
      </c>
      <c r="T217" s="70">
        <f>IF(T194=2,IF(T207=1,1,0),0)</f>
        <v>0</v>
      </c>
      <c r="V217" s="74">
        <f>IF(V194=2,IF(V207=1,1,0),0)</f>
        <v>0</v>
      </c>
      <c r="W217" s="70">
        <f>IF(W194=2,IF(W207=1,1,0),0)</f>
        <v>0</v>
      </c>
      <c r="Y217" s="74">
        <f>IF(Y194=2,IF(Y207=1,1,0),0)</f>
        <v>0</v>
      </c>
      <c r="Z217" s="70">
        <f>IF(Z194=2,IF(Z207=1,1,0),0)</f>
        <v>0</v>
      </c>
      <c r="AB217" s="74">
        <f>IF(AB194=2,IF(AB207=1,1,0),0)</f>
        <v>0</v>
      </c>
      <c r="AC217" s="70">
        <f>IF(AC194=2,IF(AC207=1,1,0),0)</f>
        <v>0</v>
      </c>
      <c r="AE217" s="74">
        <f>IF(AE194=2,IF(AE207=1,1,0),0)</f>
        <v>0</v>
      </c>
      <c r="AF217" s="70">
        <f>SUM(B217:AE217)</f>
        <v>1</v>
      </c>
      <c r="AG217" s="70">
        <f>AF223-AF217</f>
        <v>2</v>
      </c>
      <c r="AW217" s="154"/>
    </row>
    <row r="218" spans="1:49" s="70" customFormat="1" ht="12.75" hidden="1" customHeight="1" x14ac:dyDescent="0.2">
      <c r="A218" s="70" t="s">
        <v>93</v>
      </c>
      <c r="B218" s="70">
        <f>IF(B194=3,IF(B207=1,1,0),0)</f>
        <v>0</v>
      </c>
      <c r="D218" s="74">
        <f>IF(D194=3,IF(D207=1,1,0),0)</f>
        <v>0</v>
      </c>
      <c r="E218" s="70">
        <f>IF(E194=3,IF(E207=1,1,0),0)</f>
        <v>0</v>
      </c>
      <c r="G218" s="74">
        <f>IF(G194=3,IF(G207=1,1,0),0)</f>
        <v>0</v>
      </c>
      <c r="H218" s="70">
        <f>IF(H194=3,IF(H207=1,1,0),0)</f>
        <v>0</v>
      </c>
      <c r="J218" s="74">
        <f>IF(J194=3,IF(J207=1,1,0),0)</f>
        <v>0</v>
      </c>
      <c r="K218" s="70">
        <f>IF(K194=3,IF(K207=1,1,0),0)</f>
        <v>0</v>
      </c>
      <c r="M218" s="74">
        <f>IF(M194=3,IF(M207=1,1,0),0)</f>
        <v>1</v>
      </c>
      <c r="N218" s="70">
        <f>IF(N194=3,IF(N207=1,1,0),0)</f>
        <v>1</v>
      </c>
      <c r="P218" s="74">
        <f>IF(P194=3,IF(P207=1,1,0),0)</f>
        <v>0</v>
      </c>
      <c r="Q218" s="70">
        <f>IF(Q194=3,IF(Q207=1,1,0),0)</f>
        <v>0</v>
      </c>
      <c r="S218" s="74">
        <f>IF(S194=3,IF(S207=1,1,0),0)</f>
        <v>0</v>
      </c>
      <c r="T218" s="70">
        <f>IF(T194=3,IF(T207=1,1,0),0)</f>
        <v>0</v>
      </c>
      <c r="V218" s="74">
        <f>IF(V194=3,IF(V207=1,1,0),0)</f>
        <v>0</v>
      </c>
      <c r="W218" s="70">
        <f>IF(W194=3,IF(W207=1,1,0),0)</f>
        <v>0</v>
      </c>
      <c r="Y218" s="74">
        <f>IF(Y194=3,IF(Y207=1,1,0),0)</f>
        <v>0</v>
      </c>
      <c r="Z218" s="70">
        <f>IF(Z194=3,IF(Z207=1,1,0),0)</f>
        <v>0</v>
      </c>
      <c r="AB218" s="74">
        <f>IF(AB194=3,IF(AB207=1,1,0),0)</f>
        <v>0</v>
      </c>
      <c r="AC218" s="70">
        <f>IF(AC194=3,IF(AC207=1,1,0),0)</f>
        <v>0</v>
      </c>
      <c r="AE218" s="74">
        <f>IF(AE194=3,IF(AE207=1,1,0),0)</f>
        <v>0</v>
      </c>
      <c r="AF218" s="70">
        <f>SUM(B218:AE218)</f>
        <v>2</v>
      </c>
      <c r="AG218" s="70">
        <f>AF224-AF218</f>
        <v>1</v>
      </c>
      <c r="AW218" s="154"/>
    </row>
    <row r="219" spans="1:49" s="70" customFormat="1" ht="12.75" hidden="1" customHeight="1" x14ac:dyDescent="0.2">
      <c r="A219" s="70" t="s">
        <v>94</v>
      </c>
      <c r="B219" s="70">
        <f>IF(B194=4,IF(B207=1,1,0),0)</f>
        <v>0</v>
      </c>
      <c r="D219" s="74">
        <f>IF(D194=4,IF(D207=1,1,0),0)</f>
        <v>0</v>
      </c>
      <c r="E219" s="70">
        <f>IF(E194=4,IF(E207=1,1,0),0)</f>
        <v>0</v>
      </c>
      <c r="G219" s="74">
        <f>IF(G194=4,IF(G207=1,1,0),0)</f>
        <v>0</v>
      </c>
      <c r="H219" s="70">
        <f>IF(H194=4,IF(H207=1,1,0),0)</f>
        <v>0</v>
      </c>
      <c r="J219" s="74">
        <f>IF(J194=4,IF(J207=1,1,0),0)</f>
        <v>1</v>
      </c>
      <c r="K219" s="70">
        <f>IF(K194=4,IF(K207=1,1,0),0)</f>
        <v>0</v>
      </c>
      <c r="M219" s="74">
        <f>IF(M194=4,IF(M207=1,1,0),0)</f>
        <v>0</v>
      </c>
      <c r="N219" s="70">
        <f>IF(N194=4,IF(N207=1,1,0),0)</f>
        <v>0</v>
      </c>
      <c r="P219" s="74">
        <f>IF(P194=4,IF(P207=1,1,0),0)</f>
        <v>0</v>
      </c>
      <c r="Q219" s="70">
        <f>IF(Q194=4,IF(Q207=1,1,0),0)</f>
        <v>0</v>
      </c>
      <c r="S219" s="74">
        <f>IF(S194=4,IF(S207=1,1,0),0)</f>
        <v>0</v>
      </c>
      <c r="T219" s="70">
        <f>IF(T194=4,IF(T207=1,1,0),0)</f>
        <v>0</v>
      </c>
      <c r="V219" s="74">
        <f>IF(V194=4,IF(V207=1,1,0),0)</f>
        <v>0</v>
      </c>
      <c r="W219" s="70">
        <f>IF(W194=4,IF(W207=1,1,0),0)</f>
        <v>0</v>
      </c>
      <c r="Y219" s="74">
        <f>IF(Y194=4,IF(Y207=1,1,0),0)</f>
        <v>0</v>
      </c>
      <c r="Z219" s="70">
        <f>IF(Z194=4,IF(Z207=1,1,0),0)</f>
        <v>0</v>
      </c>
      <c r="AB219" s="74">
        <f>IF(AB194=4,IF(AB207=1,1,0),0)</f>
        <v>0</v>
      </c>
      <c r="AC219" s="70">
        <f>IF(AC194=4,IF(AC207=1,1,0),0)</f>
        <v>0</v>
      </c>
      <c r="AE219" s="74">
        <f>IF(AE194=4,IF(AE207=1,1,0),0)</f>
        <v>0</v>
      </c>
      <c r="AF219" s="70">
        <f>SUM(B219:AE219)</f>
        <v>1</v>
      </c>
      <c r="AG219" s="70">
        <f>AF225-AF219</f>
        <v>2</v>
      </c>
      <c r="AW219" s="154"/>
    </row>
    <row r="220" spans="1:49" s="70" customFormat="1" ht="12.75" hidden="1" customHeight="1" x14ac:dyDescent="0.2">
      <c r="A220" s="70" t="s">
        <v>95</v>
      </c>
      <c r="B220" s="70">
        <f>IF(B194=5,IF(B207=1,1,0),0)</f>
        <v>0</v>
      </c>
      <c r="D220" s="74">
        <f>IF(D194=5,IF(D207=1,1,0),0)</f>
        <v>0</v>
      </c>
      <c r="E220" s="70">
        <f>IF(E194=5,IF(E207=1,1,0),0)</f>
        <v>0</v>
      </c>
      <c r="G220" s="74">
        <f>IF(G194=5,IF(G207=1,1,0),0)</f>
        <v>0</v>
      </c>
      <c r="H220" s="70">
        <f>IF(H194=5,IF(H207=1,1,0),0)</f>
        <v>0</v>
      </c>
      <c r="J220" s="74">
        <f>IF(J194=5,IF(J207=1,1,0),0)</f>
        <v>0</v>
      </c>
      <c r="K220" s="70">
        <f>IF(K194=5,IF(K207=1,1,0),0)</f>
        <v>0</v>
      </c>
      <c r="M220" s="74">
        <f>IF(M194=5,IF(M207=1,1,0),0)</f>
        <v>0</v>
      </c>
      <c r="N220" s="70">
        <f>IF(N194=5,IF(N207=1,1,0),0)</f>
        <v>0</v>
      </c>
      <c r="P220" s="74">
        <f>IF(P194=5,IF(P207=1,1,0),0)</f>
        <v>0</v>
      </c>
      <c r="Q220" s="70">
        <f>IF(Q194=5,IF(Q207=1,1,0),0)</f>
        <v>0</v>
      </c>
      <c r="S220" s="74">
        <f>IF(S194=5,IF(S207=1,1,0),0)</f>
        <v>0</v>
      </c>
      <c r="T220" s="70">
        <f>IF(T194=5,IF(T207=1,1,0),0)</f>
        <v>0</v>
      </c>
      <c r="V220" s="74">
        <f>IF(V194=5,IF(V207=1,1,0),0)</f>
        <v>0</v>
      </c>
      <c r="W220" s="70">
        <f>IF(W194=5,IF(W207=1,1,0),0)</f>
        <v>0</v>
      </c>
      <c r="Y220" s="74">
        <f>IF(Y194=5,IF(Y207=1,1,0),0)</f>
        <v>0</v>
      </c>
      <c r="Z220" s="70">
        <f>IF(Z194=5,IF(Z207=1,1,0),0)</f>
        <v>0</v>
      </c>
      <c r="AB220" s="74">
        <f>IF(AB194=5,IF(AB207=1,1,0),0)</f>
        <v>0</v>
      </c>
      <c r="AC220" s="70">
        <f>IF(AC194=5,IF(AC207=1,1,0),0)</f>
        <v>0</v>
      </c>
      <c r="AE220" s="74">
        <f>IF(AE194=5,IF(AE207=1,1,0),0)</f>
        <v>0</v>
      </c>
      <c r="AF220" s="70">
        <f>SUM(B220:AE220)</f>
        <v>0</v>
      </c>
      <c r="AG220" s="70">
        <f>AF226-AF220</f>
        <v>0</v>
      </c>
      <c r="AW220" s="154"/>
    </row>
    <row r="221" spans="1:49" s="70" customFormat="1" ht="38.25" hidden="1" customHeight="1" x14ac:dyDescent="0.2">
      <c r="A221" s="73"/>
      <c r="D221" s="74"/>
      <c r="G221" s="74"/>
      <c r="J221" s="74"/>
      <c r="M221" s="74"/>
      <c r="P221" s="74"/>
      <c r="S221" s="74"/>
      <c r="V221" s="74"/>
      <c r="Y221" s="74"/>
      <c r="AB221" s="74"/>
      <c r="AE221" s="74"/>
      <c r="AF221" s="73" t="s">
        <v>96</v>
      </c>
      <c r="AW221" s="154"/>
    </row>
    <row r="222" spans="1:49" s="70" customFormat="1" ht="12.75" hidden="1" customHeight="1" x14ac:dyDescent="0.2">
      <c r="A222" s="70" t="s">
        <v>97</v>
      </c>
      <c r="B222" s="70">
        <f>IF(B194=1,IF(C207=1,1,0),0)</f>
        <v>0</v>
      </c>
      <c r="D222" s="74">
        <f>IF(D194=1,IF(C207=1,1,0),0)</f>
        <v>0</v>
      </c>
      <c r="E222" s="70">
        <f>IF(E194=1,IF(F207=1,1,0),0)</f>
        <v>1</v>
      </c>
      <c r="G222" s="74">
        <f>IF(G194=1,IF(F207=1,1,0),0)</f>
        <v>0</v>
      </c>
      <c r="H222" s="70">
        <f>IF(H194=1,IF(I207=1,1,0),0)</f>
        <v>0</v>
      </c>
      <c r="J222" s="74">
        <f>IF(J194=1,IF(I207=1,1,0),0)</f>
        <v>0</v>
      </c>
      <c r="K222" s="70">
        <f>IF(K194=1,IF(L207=1,1,0),0)</f>
        <v>1</v>
      </c>
      <c r="M222" s="74">
        <f>IF(M194=1,IF(L207=1,1,0),0)</f>
        <v>0</v>
      </c>
      <c r="N222" s="70">
        <f>IF(N194=1,IF(O207=1,1,0),0)</f>
        <v>0</v>
      </c>
      <c r="P222" s="74">
        <f>IF(P194=1,IF(O207=1,1,0),0)</f>
        <v>0</v>
      </c>
      <c r="Q222" s="70">
        <f>IF(Q194=1,IF(R207=1,1,0),0)</f>
        <v>1</v>
      </c>
      <c r="S222" s="74">
        <f>IF(S194=1,IF(R207=1,1,0),0)</f>
        <v>0</v>
      </c>
      <c r="T222" s="70">
        <f>IF(T194=1,IF(U207=1,1,0),0)</f>
        <v>0</v>
      </c>
      <c r="V222" s="74">
        <f>IF(V194=1,IF(U207=1,1,0),0)</f>
        <v>0</v>
      </c>
      <c r="W222" s="70">
        <f>IF(W194=1,IF(X207=1,1,0),0)</f>
        <v>0</v>
      </c>
      <c r="Y222" s="74">
        <f>IF(Y194=1,IF(X207=1,1,0),0)</f>
        <v>0</v>
      </c>
      <c r="Z222" s="70">
        <f>IF(Z194=1,IF(AA207=1,1,0),0)</f>
        <v>0</v>
      </c>
      <c r="AB222" s="74">
        <f>IF(AB194=1,IF(AA207=1,1,0),0)</f>
        <v>0</v>
      </c>
      <c r="AC222" s="70">
        <f>IF(AC194=1,IF(AD207=1,1,0),0)</f>
        <v>0</v>
      </c>
      <c r="AE222" s="74">
        <f>IF(AE194=1,IF(AD207=1,1,0),0)</f>
        <v>0</v>
      </c>
      <c r="AF222" s="70">
        <f>SUM(B222:AE222)</f>
        <v>3</v>
      </c>
      <c r="AW222" s="154"/>
    </row>
    <row r="223" spans="1:49" s="70" customFormat="1" ht="12.75" hidden="1" customHeight="1" x14ac:dyDescent="0.2">
      <c r="A223" s="70" t="s">
        <v>98</v>
      </c>
      <c r="B223" s="70">
        <f>IF(B194=2,IF(C207=1,1,0),0)</f>
        <v>1</v>
      </c>
      <c r="D223" s="74">
        <f>IF(D194=2,IF(C207=1,1,0),0)</f>
        <v>0</v>
      </c>
      <c r="E223" s="70">
        <f>IF(E194=2,IF(F207=1,1,0),0)</f>
        <v>0</v>
      </c>
      <c r="G223" s="74">
        <f>IF(G194=2,IF(F207=1,1,0),0)</f>
        <v>0</v>
      </c>
      <c r="H223" s="70">
        <f>IF(H194=2,IF(I207=1,1,0),0)</f>
        <v>1</v>
      </c>
      <c r="J223" s="74">
        <f>IF(J194=2,IF(I207=1,1,0),0)</f>
        <v>0</v>
      </c>
      <c r="K223" s="70">
        <f>IF(K194=2,IF(L207=1,1,0),0)</f>
        <v>0</v>
      </c>
      <c r="M223" s="74">
        <f>IF(M194=2,IF(L207=1,1,0),0)</f>
        <v>0</v>
      </c>
      <c r="N223" s="70">
        <f>IF(N194=2,IF(O207=1,1,0),0)</f>
        <v>0</v>
      </c>
      <c r="P223" s="74">
        <f>IF(P194=2,IF(O207=1,1,0),0)</f>
        <v>0</v>
      </c>
      <c r="Q223" s="70">
        <f>IF(Q194=2,IF(R207=1,1,0),0)</f>
        <v>0</v>
      </c>
      <c r="S223" s="74">
        <f>IF(S194=2,IF(R207=1,1,0),0)</f>
        <v>1</v>
      </c>
      <c r="T223" s="70">
        <f>IF(T194=2,IF(U207=1,1,0),0)</f>
        <v>0</v>
      </c>
      <c r="V223" s="74">
        <f>IF(V194=2,IF(U207=1,1,0),0)</f>
        <v>0</v>
      </c>
      <c r="W223" s="70">
        <f>IF(W194=2,IF(X207=1,1,0),0)</f>
        <v>0</v>
      </c>
      <c r="Y223" s="74">
        <f>IF(Y194=2,IF(X207=1,1,0),0)</f>
        <v>0</v>
      </c>
      <c r="Z223" s="70">
        <f>IF(Z194=2,IF(AA207=1,1,0),0)</f>
        <v>0</v>
      </c>
      <c r="AB223" s="74">
        <f>IF(AB194=2,IF(AA207=1,1,0),0)</f>
        <v>0</v>
      </c>
      <c r="AC223" s="70">
        <f>IF(AC194=2,IF(AD207=1,1,0),0)</f>
        <v>0</v>
      </c>
      <c r="AE223" s="74">
        <f>IF(AE194=2,IF(AD207=1,1,0),0)</f>
        <v>0</v>
      </c>
      <c r="AF223" s="70">
        <f>SUM(B223:AE223)</f>
        <v>3</v>
      </c>
      <c r="AW223" s="154"/>
    </row>
    <row r="224" spans="1:49" s="70" customFormat="1" ht="12.75" hidden="1" customHeight="1" x14ac:dyDescent="0.2">
      <c r="A224" s="70" t="s">
        <v>99</v>
      </c>
      <c r="B224" s="70">
        <f>IF(B194=3,IF(C207=1,1,0),0)</f>
        <v>0</v>
      </c>
      <c r="D224" s="74">
        <f>IF(D194=3,IF(C207=1,1,0),0)</f>
        <v>1</v>
      </c>
      <c r="E224" s="70">
        <f>IF(E194=3,IF(F207=1,1,0),0)</f>
        <v>0</v>
      </c>
      <c r="G224" s="74">
        <f>IF(G194=3,IF(F207=1,1,0),0)</f>
        <v>0</v>
      </c>
      <c r="H224" s="70">
        <f>IF(H194=3,IF(I207=1,1,0),0)</f>
        <v>0</v>
      </c>
      <c r="J224" s="74">
        <f>IF(J194=3,IF(I207=1,1,0),0)</f>
        <v>0</v>
      </c>
      <c r="K224" s="70">
        <f>IF(K194=3,IF(L207=1,1,0),0)</f>
        <v>0</v>
      </c>
      <c r="M224" s="74">
        <f>IF(M194=3,IF(L207=1,1,0),0)</f>
        <v>1</v>
      </c>
      <c r="N224" s="70">
        <f>IF(N194=3,IF(O207=1,1,0),0)</f>
        <v>1</v>
      </c>
      <c r="P224" s="74">
        <f>IF(P194=3,IF(O207=1,1,0),0)</f>
        <v>0</v>
      </c>
      <c r="Q224" s="70">
        <f>IF(Q194=3,IF(R207=1,1,0),0)</f>
        <v>0</v>
      </c>
      <c r="S224" s="74">
        <f>IF(S194=3,IF(R207=1,1,0),0)</f>
        <v>0</v>
      </c>
      <c r="T224" s="70">
        <f>IF(T194=3,IF(U207=1,1,0),0)</f>
        <v>0</v>
      </c>
      <c r="V224" s="74">
        <f>IF(V194=3,IF(U207=1,1,0),0)</f>
        <v>0</v>
      </c>
      <c r="W224" s="70">
        <f>IF(W194=3,IF(X207=1,1,0),0)</f>
        <v>0</v>
      </c>
      <c r="Y224" s="74">
        <f>IF(Y194=3,IF(X207=1,1,0),0)</f>
        <v>0</v>
      </c>
      <c r="Z224" s="70">
        <f>IF(Z194=3,IF(AA207=1,1,0),0)</f>
        <v>0</v>
      </c>
      <c r="AB224" s="74">
        <f>IF(AB194=3,IF(AA207=1,1,0),0)</f>
        <v>0</v>
      </c>
      <c r="AC224" s="70">
        <f>IF(AC194=3,IF(AD207=1,1,0),0)</f>
        <v>0</v>
      </c>
      <c r="AE224" s="74">
        <f>IF(AE194=3,IF(AD207=1,1,0),0)</f>
        <v>0</v>
      </c>
      <c r="AF224" s="70">
        <f>SUM(B224:AE224)</f>
        <v>3</v>
      </c>
      <c r="AW224" s="154"/>
    </row>
    <row r="225" spans="1:49" s="70" customFormat="1" ht="12.75" hidden="1" customHeight="1" x14ac:dyDescent="0.2">
      <c r="A225" s="70" t="s">
        <v>100</v>
      </c>
      <c r="B225" s="70">
        <f>IF(B194=4,IF(C207=1,1,0),0)</f>
        <v>0</v>
      </c>
      <c r="D225" s="74">
        <f>IF(D194=4,IF(C207=1,1,0),0)</f>
        <v>0</v>
      </c>
      <c r="E225" s="70">
        <f>IF(E194=4,IF(F207=1,1,0),0)</f>
        <v>0</v>
      </c>
      <c r="G225" s="74">
        <f>IF(G194=4,IF(F207=1,1,0),0)</f>
        <v>1</v>
      </c>
      <c r="H225" s="70">
        <f>IF(H194=4,IF(I207=1,1,0),0)</f>
        <v>0</v>
      </c>
      <c r="J225" s="74">
        <f>IF(J194=4,IF(I207=1,1,0),0)</f>
        <v>1</v>
      </c>
      <c r="K225" s="70">
        <f>IF(K194=4,IF(L207=1,1,0),0)</f>
        <v>0</v>
      </c>
      <c r="M225" s="74">
        <f>IF(M194=4,IF(L207=1,1,0),0)</f>
        <v>0</v>
      </c>
      <c r="N225" s="70">
        <f>IF(N194=4,IF(O207=1,1,0),0)</f>
        <v>0</v>
      </c>
      <c r="P225" s="74">
        <f>IF(P194=4,IF(O207=1,1,0),0)</f>
        <v>1</v>
      </c>
      <c r="Q225" s="70">
        <f>IF(Q194=4,IF(R207=1,1,0),0)</f>
        <v>0</v>
      </c>
      <c r="S225" s="74">
        <f>IF(S194=4,IF(R207=1,1,0),0)</f>
        <v>0</v>
      </c>
      <c r="T225" s="70">
        <f>IF(T194=4,IF(U207=1,1,0),0)</f>
        <v>0</v>
      </c>
      <c r="V225" s="74">
        <f>IF(V194=4,IF(U207=1,1,0),0)</f>
        <v>0</v>
      </c>
      <c r="W225" s="70">
        <f>IF(W194=4,IF(X207=1,1,0),0)</f>
        <v>0</v>
      </c>
      <c r="Y225" s="74">
        <f>IF(Y194=4,IF(X207=1,1,0),0)</f>
        <v>0</v>
      </c>
      <c r="Z225" s="70">
        <f>IF(Z194=4,IF(AA207=1,1,0),0)</f>
        <v>0</v>
      </c>
      <c r="AB225" s="74">
        <f>IF(AB194=4,IF(AA207=1,1,0),0)</f>
        <v>0</v>
      </c>
      <c r="AC225" s="70">
        <f>IF(AC194=4,IF(AD207=1,1,0),0)</f>
        <v>0</v>
      </c>
      <c r="AE225" s="74">
        <f>IF(AE194=4,IF(AD207=1,1,0),0)</f>
        <v>0</v>
      </c>
      <c r="AF225" s="70">
        <f>SUM(B225:AE225)</f>
        <v>3</v>
      </c>
      <c r="AW225" s="154"/>
    </row>
    <row r="226" spans="1:49" s="70" customFormat="1" ht="12.75" hidden="1" customHeight="1" x14ac:dyDescent="0.2">
      <c r="A226" s="70" t="s">
        <v>101</v>
      </c>
      <c r="B226" s="70">
        <f>IF(B194=5,IF(C207=1,1,0),0)</f>
        <v>0</v>
      </c>
      <c r="D226" s="74">
        <f>IF(D194=5,IF(C207=1,1,0),0)</f>
        <v>0</v>
      </c>
      <c r="E226" s="70">
        <f>IF(E194=5,IF(F207=1,1,0),0)</f>
        <v>0</v>
      </c>
      <c r="G226" s="74">
        <f>IF(G194=5,IF(F207=1,1,0),0)</f>
        <v>0</v>
      </c>
      <c r="H226" s="70">
        <f>IF(H194=5,IF(I207=1,1,0),0)</f>
        <v>0</v>
      </c>
      <c r="J226" s="74">
        <f>IF(J194=5,IF(I207=1,1,0),0)</f>
        <v>0</v>
      </c>
      <c r="K226" s="70">
        <f>IF(K194=5,IF(L207=1,1,0),0)</f>
        <v>0</v>
      </c>
      <c r="M226" s="74">
        <f>IF(M194=5,IF(L207=1,1,0),0)</f>
        <v>0</v>
      </c>
      <c r="N226" s="70">
        <f>IF(N194=5,IF(O207=1,1,0),0)</f>
        <v>0</v>
      </c>
      <c r="P226" s="74">
        <f>IF(P194=5,IF(O207=1,1,0),0)</f>
        <v>0</v>
      </c>
      <c r="Q226" s="70">
        <f>IF(Q194=5,IF(R207=1,1,0),0)</f>
        <v>0</v>
      </c>
      <c r="S226" s="74">
        <f>IF(S194=5,IF(R207=1,1,0),0)</f>
        <v>0</v>
      </c>
      <c r="T226" s="70">
        <f>IF(T194=5,IF(U207=1,1,0),0)</f>
        <v>0</v>
      </c>
      <c r="V226" s="74">
        <f>IF(V194=5,IF(U207=1,1,0),0)</f>
        <v>0</v>
      </c>
      <c r="W226" s="70">
        <f>IF(W194=5,IF(X207=1,1,0),0)</f>
        <v>0</v>
      </c>
      <c r="Y226" s="74">
        <f>IF(Y194=5,IF(X207=1,1,0),0)</f>
        <v>0</v>
      </c>
      <c r="Z226" s="70">
        <f>IF(Z194=5,IF(AA207=1,1,0),0)</f>
        <v>0</v>
      </c>
      <c r="AB226" s="74">
        <f>IF(AB194=5,IF(AA207=1,1,0),0)</f>
        <v>0</v>
      </c>
      <c r="AC226" s="70">
        <f>IF(AC194=5,IF(AD207=1,1,0),0)</f>
        <v>0</v>
      </c>
      <c r="AE226" s="74">
        <f>IF(AE194=5,IF(AD207=1,1,0),0)</f>
        <v>0</v>
      </c>
      <c r="AF226" s="70">
        <f>SUM(B226:AE226)</f>
        <v>0</v>
      </c>
      <c r="AW226" s="154"/>
    </row>
    <row r="227" spans="1:49" s="70" customFormat="1" ht="38.25" hidden="1" customHeight="1" x14ac:dyDescent="0.2">
      <c r="A227" s="73"/>
      <c r="D227" s="74"/>
      <c r="G227" s="74"/>
      <c r="J227" s="74"/>
      <c r="M227" s="74"/>
      <c r="P227" s="74"/>
      <c r="S227" s="74"/>
      <c r="V227" s="74"/>
      <c r="Y227" s="74"/>
      <c r="AB227" s="74"/>
      <c r="AE227" s="74"/>
      <c r="AF227" s="73" t="s">
        <v>102</v>
      </c>
      <c r="AG227" s="280"/>
      <c r="AH227" s="280"/>
      <c r="AI227" s="280"/>
      <c r="AJ227" s="280"/>
      <c r="AK227" s="280"/>
      <c r="AW227" s="154"/>
    </row>
    <row r="228" spans="1:49" s="70" customFormat="1" ht="12.75" hidden="1" customHeight="1" x14ac:dyDescent="0.2">
      <c r="A228" s="70" t="s">
        <v>97</v>
      </c>
      <c r="B228" s="70">
        <f>IF(B194=1,B214,0)</f>
        <v>0</v>
      </c>
      <c r="D228" s="74">
        <f>IF(D194=1,B214,0)</f>
        <v>0</v>
      </c>
      <c r="E228" s="70">
        <f>IF(E194=1,E214,0)</f>
        <v>50</v>
      </c>
      <c r="G228" s="74">
        <f>IF(G194=1,E214,0)</f>
        <v>0</v>
      </c>
      <c r="H228" s="70">
        <f>IF(H194=1,H214,0)</f>
        <v>0</v>
      </c>
      <c r="J228" s="74">
        <f>IF(J194=1,H214,0)</f>
        <v>0</v>
      </c>
      <c r="K228" s="70">
        <f>IF(K194=1,K214,0)</f>
        <v>66</v>
      </c>
      <c r="M228" s="74">
        <f>IF(M194=1,K214,0)</f>
        <v>0</v>
      </c>
      <c r="N228" s="70">
        <f>IF(N194=1,N214,0)</f>
        <v>0</v>
      </c>
      <c r="P228" s="74">
        <f>IF(P194=1,N214,0)</f>
        <v>0</v>
      </c>
      <c r="Q228" s="70">
        <f>IF(Q194=1,Q214,0)</f>
        <v>50</v>
      </c>
      <c r="S228" s="74">
        <f>IF(S194=1,Q214,0)</f>
        <v>0</v>
      </c>
      <c r="T228" s="70">
        <f>IF(T194=1,T214,0)</f>
        <v>0</v>
      </c>
      <c r="V228" s="74">
        <f>IF(V194=1,T214,0)</f>
        <v>0</v>
      </c>
      <c r="W228" s="70">
        <f>IF(W194=1,W214,0)</f>
        <v>0</v>
      </c>
      <c r="Y228" s="74">
        <f>IF(Y194=1,W214,0)</f>
        <v>0</v>
      </c>
      <c r="Z228" s="70">
        <f>IF(Z194=1,Z214,0)</f>
        <v>0</v>
      </c>
      <c r="AB228" s="74">
        <f>IF(AB194=1,Z214,0)</f>
        <v>0</v>
      </c>
      <c r="AC228" s="70">
        <f>IF(AC194=1,AC214,0)</f>
        <v>0</v>
      </c>
      <c r="AE228" s="74">
        <f>IF(AE194=1,AC214,0)</f>
        <v>0</v>
      </c>
      <c r="AF228" s="70">
        <f>SUM(B228:AE228)</f>
        <v>166</v>
      </c>
      <c r="AW228" s="154"/>
    </row>
    <row r="229" spans="1:49" s="70" customFormat="1" ht="12.75" hidden="1" customHeight="1" x14ac:dyDescent="0.2">
      <c r="A229" s="70" t="s">
        <v>98</v>
      </c>
      <c r="B229" s="70">
        <f>IF(B194=2,B214,0)</f>
        <v>67</v>
      </c>
      <c r="D229" s="74">
        <f>IF(D194=2,B214,0)</f>
        <v>0</v>
      </c>
      <c r="E229" s="70">
        <f>IF(E194=2,E214,0)</f>
        <v>0</v>
      </c>
      <c r="G229" s="74">
        <f>IF(G194=2,E214,0)</f>
        <v>0</v>
      </c>
      <c r="H229" s="70">
        <f>IF(H194=2,H214,0)</f>
        <v>65</v>
      </c>
      <c r="J229" s="74">
        <f>IF(J194=2,H214,0)</f>
        <v>0</v>
      </c>
      <c r="K229" s="70">
        <f>IF(K194=2,K214,0)</f>
        <v>0</v>
      </c>
      <c r="M229" s="74">
        <f>IF(M194=2,K214,0)</f>
        <v>0</v>
      </c>
      <c r="N229" s="70">
        <f>IF(N194=2,N214,0)</f>
        <v>0</v>
      </c>
      <c r="P229" s="74">
        <f>IF(P194=2,N214,0)</f>
        <v>0</v>
      </c>
      <c r="Q229" s="70">
        <f>IF(Q194=2,Q214,0)</f>
        <v>0</v>
      </c>
      <c r="S229" s="74">
        <f>IF(S194=2,Q214,0)</f>
        <v>50</v>
      </c>
      <c r="T229" s="70">
        <f>IF(T194=2,T214,0)</f>
        <v>0</v>
      </c>
      <c r="V229" s="74">
        <f>IF(V194=2,T214,0)</f>
        <v>0</v>
      </c>
      <c r="W229" s="70">
        <f>IF(W194=2,W214,0)</f>
        <v>0</v>
      </c>
      <c r="Y229" s="74">
        <f>IF(Y194=2,W214,0)</f>
        <v>0</v>
      </c>
      <c r="Z229" s="70">
        <f>IF(Z194=2,Z214,0)</f>
        <v>0</v>
      </c>
      <c r="AB229" s="74">
        <f>IF(AB194=2,Z214,0)</f>
        <v>0</v>
      </c>
      <c r="AC229" s="70">
        <f>IF(AC194=2,AC214,0)</f>
        <v>0</v>
      </c>
      <c r="AE229" s="74">
        <f>IF(AE194=2,AC214,0)</f>
        <v>0</v>
      </c>
      <c r="AF229" s="70">
        <f>SUM(B229:AE229)</f>
        <v>182</v>
      </c>
      <c r="AW229" s="154"/>
    </row>
    <row r="230" spans="1:49" s="70" customFormat="1" ht="12.75" hidden="1" customHeight="1" x14ac:dyDescent="0.2">
      <c r="A230" s="70" t="s">
        <v>99</v>
      </c>
      <c r="B230" s="70">
        <f>IF(B194=3,B214,0)</f>
        <v>0</v>
      </c>
      <c r="D230" s="74">
        <f>IF(D194=3,B214,0)</f>
        <v>67</v>
      </c>
      <c r="E230" s="70">
        <f>IF(E194=3,E214,0)</f>
        <v>0</v>
      </c>
      <c r="G230" s="74">
        <f>IF(G194=3,E214,0)</f>
        <v>0</v>
      </c>
      <c r="H230" s="70">
        <f>IF(H194=3,H214,0)</f>
        <v>0</v>
      </c>
      <c r="J230" s="74">
        <f>IF(J194=3,H214,0)</f>
        <v>0</v>
      </c>
      <c r="K230" s="70">
        <f>IF(K194=3,K214,0)</f>
        <v>0</v>
      </c>
      <c r="M230" s="74">
        <f>IF(M194=3,K214,0)</f>
        <v>66</v>
      </c>
      <c r="N230" s="70">
        <f>IF(N194=3,N214,0)</f>
        <v>50</v>
      </c>
      <c r="P230" s="74">
        <f>IF(P194=3,N214,0)</f>
        <v>0</v>
      </c>
      <c r="Q230" s="70">
        <f>IF(Q194=3,Q214,0)</f>
        <v>0</v>
      </c>
      <c r="S230" s="74">
        <f>IF(S194=3,Q214,0)</f>
        <v>0</v>
      </c>
      <c r="T230" s="70">
        <f>IF(T194=3,T214,0)</f>
        <v>0</v>
      </c>
      <c r="V230" s="74">
        <f>IF(V194=3,T214,0)</f>
        <v>0</v>
      </c>
      <c r="W230" s="70">
        <f>IF(W194=3,W214,0)</f>
        <v>0</v>
      </c>
      <c r="Y230" s="74">
        <f>IF(Y194=3,W214,0)</f>
        <v>0</v>
      </c>
      <c r="Z230" s="70">
        <f>IF(Z194=3,Z214,0)</f>
        <v>0</v>
      </c>
      <c r="AB230" s="74">
        <f>IF(AB194=3,Z214,0)</f>
        <v>0</v>
      </c>
      <c r="AC230" s="70">
        <f>IF(AC194=3,AC214,0)</f>
        <v>0</v>
      </c>
      <c r="AE230" s="74">
        <f>IF(AE194=3,AC214,0)</f>
        <v>0</v>
      </c>
      <c r="AF230" s="70">
        <f>SUM(B230:AE230)</f>
        <v>183</v>
      </c>
      <c r="AW230" s="154"/>
    </row>
    <row r="231" spans="1:49" s="70" customFormat="1" ht="12.75" hidden="1" customHeight="1" x14ac:dyDescent="0.2">
      <c r="A231" s="70" t="s">
        <v>100</v>
      </c>
      <c r="B231" s="70">
        <f>IF(B194=4,B214,0)</f>
        <v>0</v>
      </c>
      <c r="D231" s="74">
        <f>IF(D194=4,B214,0)</f>
        <v>0</v>
      </c>
      <c r="E231" s="70">
        <f>IF(E194=4,E214,0)</f>
        <v>0</v>
      </c>
      <c r="G231" s="74">
        <f>IF(G194=4,E214,0)</f>
        <v>50</v>
      </c>
      <c r="H231" s="70">
        <f>IF(H194=4,H214,0)</f>
        <v>0</v>
      </c>
      <c r="J231" s="74">
        <f>IF(J194=4,H214,0)</f>
        <v>65</v>
      </c>
      <c r="K231" s="70">
        <f>IF(K194=4,K214,0)</f>
        <v>0</v>
      </c>
      <c r="M231" s="74">
        <f>IF(M194=4,K214,0)</f>
        <v>0</v>
      </c>
      <c r="N231" s="70">
        <f>IF(N194=4,N214,0)</f>
        <v>0</v>
      </c>
      <c r="P231" s="74">
        <f>IF(P194=4,N214,0)</f>
        <v>50</v>
      </c>
      <c r="Q231" s="70">
        <f>IF(Q194=4,Q214,0)</f>
        <v>0</v>
      </c>
      <c r="S231" s="74">
        <f>IF(S194=4,Q214,0)</f>
        <v>0</v>
      </c>
      <c r="T231" s="70">
        <f>IF(T194=4,T214,0)</f>
        <v>0</v>
      </c>
      <c r="V231" s="74">
        <f>IF(V194=4,T214,0)</f>
        <v>0</v>
      </c>
      <c r="W231" s="70">
        <f>IF(W194=4,W214,0)</f>
        <v>0</v>
      </c>
      <c r="Y231" s="74">
        <f>IF(Y194=4,W214,0)</f>
        <v>0</v>
      </c>
      <c r="Z231" s="70">
        <f>IF(Z194=4,Z214,0)</f>
        <v>0</v>
      </c>
      <c r="AB231" s="74">
        <f>IF(AB194=4,Z214,0)</f>
        <v>0</v>
      </c>
      <c r="AC231" s="70">
        <f>IF(AC194=4,AC214,0)</f>
        <v>0</v>
      </c>
      <c r="AE231" s="74">
        <f>IF(AE194=4,AC214,0)</f>
        <v>0</v>
      </c>
      <c r="AF231" s="70">
        <f>SUM(B231:AE231)</f>
        <v>165</v>
      </c>
      <c r="AW231" s="154"/>
    </row>
    <row r="232" spans="1:49" s="70" customFormat="1" ht="12.75" hidden="1" customHeight="1" x14ac:dyDescent="0.2">
      <c r="A232" s="70" t="s">
        <v>101</v>
      </c>
      <c r="B232" s="70">
        <f>IF(B194=5,B214,0)</f>
        <v>0</v>
      </c>
      <c r="D232" s="74">
        <f>IF(D194=5,B214,0)</f>
        <v>0</v>
      </c>
      <c r="E232" s="70">
        <f>IF(E194=5,E214,0)</f>
        <v>0</v>
      </c>
      <c r="G232" s="74">
        <f>IF(G194=5,E214,0)</f>
        <v>0</v>
      </c>
      <c r="H232" s="70">
        <f>IF(H194=5,H214,0)</f>
        <v>0</v>
      </c>
      <c r="J232" s="74">
        <f>IF(J194=5,H214,0)</f>
        <v>0</v>
      </c>
      <c r="K232" s="70">
        <f>IF(K194=5,K214,0)</f>
        <v>0</v>
      </c>
      <c r="M232" s="74">
        <f>IF(M194=5,K214,0)</f>
        <v>0</v>
      </c>
      <c r="N232" s="70">
        <f>IF(N194=5,N214,0)</f>
        <v>0</v>
      </c>
      <c r="P232" s="74">
        <f>IF(P194=5,N214,0)</f>
        <v>0</v>
      </c>
      <c r="Q232" s="70">
        <f>IF(Q194=5,Q214,0)</f>
        <v>0</v>
      </c>
      <c r="S232" s="74">
        <f>IF(S194=5,Q214,0)</f>
        <v>0</v>
      </c>
      <c r="T232" s="70">
        <f>IF(T194=5,T214,0)</f>
        <v>0</v>
      </c>
      <c r="V232" s="74">
        <f>IF(V194=5,T214,0)</f>
        <v>0</v>
      </c>
      <c r="W232" s="70">
        <f>IF(W194=5,W214,0)</f>
        <v>0</v>
      </c>
      <c r="Y232" s="74">
        <f>IF(Y194=5,W214,0)</f>
        <v>0</v>
      </c>
      <c r="Z232" s="70">
        <f>IF(Z194=5,Z214,0)</f>
        <v>0</v>
      </c>
      <c r="AB232" s="74">
        <f>IF(AB194=5,Z214,0)</f>
        <v>0</v>
      </c>
      <c r="AC232" s="70">
        <f>IF(AC194=5,AC214,0)</f>
        <v>0</v>
      </c>
      <c r="AE232" s="74">
        <f>IF(AE194=5,AC214,0)</f>
        <v>0</v>
      </c>
      <c r="AF232" s="70">
        <f>SUM(B232:AE232)</f>
        <v>0</v>
      </c>
      <c r="AW232" s="154"/>
    </row>
    <row r="233" spans="1:49" s="70" customFormat="1" ht="38.25" hidden="1" customHeight="1" x14ac:dyDescent="0.2">
      <c r="A233" s="70" t="s">
        <v>103</v>
      </c>
      <c r="D233" s="74"/>
      <c r="G233" s="74"/>
      <c r="J233" s="74"/>
      <c r="M233" s="74"/>
      <c r="P233" s="74"/>
      <c r="S233" s="74"/>
      <c r="V233" s="74"/>
      <c r="Y233" s="74"/>
      <c r="AB233" s="74"/>
      <c r="AE233" s="74"/>
      <c r="AF233" s="73" t="s">
        <v>104</v>
      </c>
      <c r="AG233" s="70" t="s">
        <v>105</v>
      </c>
      <c r="AW233" s="154"/>
    </row>
    <row r="234" spans="1:49" s="70" customFormat="1" ht="12.75" hidden="1" customHeight="1" x14ac:dyDescent="0.2">
      <c r="A234" s="70" t="s">
        <v>91</v>
      </c>
      <c r="B234" s="70">
        <f>IF(B194=1,SUMIF(B201:B205,"&gt;0"),0)</f>
        <v>0</v>
      </c>
      <c r="D234" s="74">
        <f>IF(D194=1,SUMIF(D201:D205,"&gt;0"),0)</f>
        <v>0</v>
      </c>
      <c r="E234" s="70">
        <f>IF(E194=1,SUMIF(E201:E205,"&gt;0"),0)</f>
        <v>2</v>
      </c>
      <c r="G234" s="74">
        <f>IF(G194=1,SUMIF(G201:G205,"&gt;0"),0)</f>
        <v>0</v>
      </c>
      <c r="H234" s="70">
        <f>IF(H194=1,SUMIF(H201:H205,"&gt;0"),0)</f>
        <v>0</v>
      </c>
      <c r="J234" s="74">
        <f>IF(J194=1,SUMIF(J201:J205,"&gt;0"),0)</f>
        <v>0</v>
      </c>
      <c r="K234" s="70">
        <f>IF(K194=1,SUMIF(K201:K205,"&gt;0"),0)</f>
        <v>1</v>
      </c>
      <c r="M234" s="74">
        <f>IF(M194=1,SUMIF(M201:M205,"&gt;0"),0)</f>
        <v>0</v>
      </c>
      <c r="N234" s="70">
        <f>IF(N194=1,SUMIF(N201:N205,"&gt;0"),0)</f>
        <v>0</v>
      </c>
      <c r="P234" s="74">
        <f>IF(P194=1,SUMIF(P201:P205,"&gt;0"),0)</f>
        <v>0</v>
      </c>
      <c r="Q234" s="70">
        <f>IF(Q194=1,SUMIF(Q201:Q205,"&gt;0"),0)</f>
        <v>2</v>
      </c>
      <c r="S234" s="74">
        <f>IF(S194=1,SUMIF(S201:S205,"&gt;0"),0)</f>
        <v>0</v>
      </c>
      <c r="T234" s="70">
        <f>IF(T194=1,SUMIF(T201:T205,"&gt;0"),0)</f>
        <v>0</v>
      </c>
      <c r="V234" s="74">
        <f>IF(V194=1,SUMIF(V201:V205,"&gt;0"),0)</f>
        <v>0</v>
      </c>
      <c r="W234" s="70">
        <f>IF(W194=1,SUMIF(W201:W205,"&gt;0"),0)</f>
        <v>0</v>
      </c>
      <c r="Y234" s="74">
        <f>IF(Y194=1,SUMIF(Y201:Y205,"&gt;0"),0)</f>
        <v>0</v>
      </c>
      <c r="Z234" s="70">
        <f>IF(Z194=1,SUMIF(Z201:Z205,"&gt;0"),0)</f>
        <v>0</v>
      </c>
      <c r="AB234" s="74">
        <f>IF(AB194=1,SUMIF(AB201:AB205,"&gt;0"),0)</f>
        <v>0</v>
      </c>
      <c r="AC234" s="70">
        <f>IF(AC194=1,SUMIF(AC201:AC205,"&gt;0"),0)</f>
        <v>0</v>
      </c>
      <c r="AE234" s="74">
        <f>IF(AE194=1,SUMIF(AE201:AE205,"&gt;0"),0)</f>
        <v>0</v>
      </c>
      <c r="AF234" s="70">
        <f>SUM(B234:AE234)</f>
        <v>5</v>
      </c>
      <c r="AG234" s="70">
        <f>AF242-AF234</f>
        <v>2</v>
      </c>
      <c r="AW234" s="154"/>
    </row>
    <row r="235" spans="1:49" s="70" customFormat="1" ht="12.75" hidden="1" customHeight="1" x14ac:dyDescent="0.2">
      <c r="A235" s="70" t="s">
        <v>92</v>
      </c>
      <c r="B235" s="70">
        <f>IF(B194=2,SUMIF(B201:B205,"&gt;0"),0)</f>
        <v>2</v>
      </c>
      <c r="D235" s="74">
        <f>IF(D194=2,SUMIF(D201:D205,"&gt;0"),0)</f>
        <v>0</v>
      </c>
      <c r="E235" s="70">
        <f>IF(E194=2,SUMIF(E201:E205,"&gt;0"),0)</f>
        <v>0</v>
      </c>
      <c r="G235" s="74">
        <f>IF(G194=2,SUMIF(G201:G205,"&gt;0"),0)</f>
        <v>0</v>
      </c>
      <c r="H235" s="70">
        <f>IF(H194=2,SUMIF(H201:H205,"&gt;0"),0)</f>
        <v>1</v>
      </c>
      <c r="J235" s="74">
        <f>IF(J194=2,SUMIF(J201:J205,"&gt;0"),0)</f>
        <v>0</v>
      </c>
      <c r="K235" s="70">
        <f>IF(K194=2,SUMIF(K201:K205,"&gt;0"),0)</f>
        <v>0</v>
      </c>
      <c r="M235" s="74">
        <f>IF(M194=2,SUMIF(M201:M205,"&gt;0"),0)</f>
        <v>0</v>
      </c>
      <c r="N235" s="70">
        <f>IF(N194=2,SUMIF(N201:N205,"&gt;0"),0)</f>
        <v>0</v>
      </c>
      <c r="P235" s="74">
        <f>IF(P194=2,SUMIF(P201:P205,"&gt;0"),0)</f>
        <v>0</v>
      </c>
      <c r="Q235" s="70">
        <f>IF(Q194=2,SUMIF(Q201:Q205,"&gt;0"),0)</f>
        <v>0</v>
      </c>
      <c r="S235" s="74">
        <f>IF(S194=2,SUMIF(S201:S205,"&gt;0"),0)</f>
        <v>0</v>
      </c>
      <c r="T235" s="70">
        <f>IF(T194=2,SUMIF(T201:T205,"&gt;0"),0)</f>
        <v>0</v>
      </c>
      <c r="V235" s="74">
        <f>IF(V194=2,SUMIF(V201:V205,"&gt;0"),0)</f>
        <v>0</v>
      </c>
      <c r="W235" s="70">
        <f>IF(W194=2,SUMIF(W201:W205,"&gt;0"),0)</f>
        <v>0</v>
      </c>
      <c r="Y235" s="74">
        <f>IF(Y194=2,SUMIF(Y201:Y205,"&gt;0"),0)</f>
        <v>0</v>
      </c>
      <c r="Z235" s="70">
        <f>IF(Z194=2,SUMIF(Z201:Z205,"&gt;0"),0)</f>
        <v>0</v>
      </c>
      <c r="AB235" s="74">
        <f>IF(AB194=2,SUMIF(AB201:AB205,"&gt;0"),0)</f>
        <v>0</v>
      </c>
      <c r="AC235" s="70">
        <f>IF(AC194=2,SUMIF(AC201:AC205,"&gt;0"),0)</f>
        <v>0</v>
      </c>
      <c r="AE235" s="74">
        <f>IF(AE194=2,SUMIF(AE201:AE205,"&gt;0"),0)</f>
        <v>0</v>
      </c>
      <c r="AF235" s="70">
        <f>SUM(B235:AE235)</f>
        <v>3</v>
      </c>
      <c r="AG235" s="70">
        <f>AF243-AF235</f>
        <v>5</v>
      </c>
      <c r="AW235" s="154"/>
    </row>
    <row r="236" spans="1:49" s="70" customFormat="1" ht="12.75" hidden="1" customHeight="1" x14ac:dyDescent="0.2">
      <c r="A236" s="70" t="s">
        <v>93</v>
      </c>
      <c r="B236" s="70">
        <f>IF(B194=3,SUMIF(B201:B205,"&gt;0"),0)</f>
        <v>0</v>
      </c>
      <c r="D236" s="74">
        <f>IF(D194=3,SUMIF(D201:D205,"&gt;0"),0)</f>
        <v>1</v>
      </c>
      <c r="E236" s="70">
        <f>IF(E194=3,SUMIF(E201:E205,"&gt;0"),0)</f>
        <v>0</v>
      </c>
      <c r="G236" s="74">
        <f>IF(G194=3,SUMIF(G201:G205,"&gt;0"),0)</f>
        <v>0</v>
      </c>
      <c r="H236" s="70">
        <f>IF(H194=3,SUMIF(H201:H205,"&gt;0"),0)</f>
        <v>0</v>
      </c>
      <c r="J236" s="74">
        <f>IF(J194=3,SUMIF(J201:J205,"&gt;0"),0)</f>
        <v>0</v>
      </c>
      <c r="K236" s="70">
        <f>IF(K194=3,SUMIF(K201:K205,"&gt;0"),0)</f>
        <v>0</v>
      </c>
      <c r="M236" s="74">
        <f>IF(M194=3,SUMIF(M201:M205,"&gt;0"),0)</f>
        <v>2</v>
      </c>
      <c r="N236" s="70">
        <f>IF(N194=3,SUMIF(N201:N205,"&gt;0"),0)</f>
        <v>2</v>
      </c>
      <c r="P236" s="74">
        <f>IF(P194=3,SUMIF(P201:P205,"&gt;0"),0)</f>
        <v>0</v>
      </c>
      <c r="Q236" s="70">
        <f>IF(Q194=3,SUMIF(Q201:Q205,"&gt;0"),0)</f>
        <v>0</v>
      </c>
      <c r="S236" s="74">
        <f>IF(S194=3,SUMIF(S201:S205,"&gt;0"),0)</f>
        <v>0</v>
      </c>
      <c r="T236" s="70">
        <f>IF(T194=3,SUMIF(T201:T205,"&gt;0"),0)</f>
        <v>0</v>
      </c>
      <c r="V236" s="74">
        <f>IF(V194=3,SUMIF(V201:V205,"&gt;0"),0)</f>
        <v>0</v>
      </c>
      <c r="W236" s="70">
        <f>IF(W194=3,SUMIF(W201:W205,"&gt;0"),0)</f>
        <v>0</v>
      </c>
      <c r="Y236" s="74">
        <f>IF(Y194=3,SUMIF(Y201:Y205,"&gt;0"),0)</f>
        <v>0</v>
      </c>
      <c r="Z236" s="70">
        <f>IF(Z194=3,SUMIF(Z201:Z205,"&gt;0"),0)</f>
        <v>0</v>
      </c>
      <c r="AB236" s="74">
        <f>IF(AB194=3,SUMIF(AB201:AB205,"&gt;0"),0)</f>
        <v>0</v>
      </c>
      <c r="AC236" s="70">
        <f>IF(AC194=3,SUMIF(AC201:AC205,"&gt;0"),0)</f>
        <v>0</v>
      </c>
      <c r="AE236" s="74">
        <f>IF(AE194=3,SUMIF(AE201:AE205,"&gt;0"),0)</f>
        <v>0</v>
      </c>
      <c r="AF236" s="70">
        <f>SUM(B236:AE236)</f>
        <v>5</v>
      </c>
      <c r="AG236" s="70">
        <f>AF244-AF236</f>
        <v>3</v>
      </c>
      <c r="AW236" s="154"/>
    </row>
    <row r="237" spans="1:49" s="70" customFormat="1" ht="12.75" hidden="1" customHeight="1" x14ac:dyDescent="0.2">
      <c r="A237" s="70" t="s">
        <v>94</v>
      </c>
      <c r="B237" s="70">
        <f>IF(B194=4,SUMIF(B201:B205,"&gt;0"),0)</f>
        <v>0</v>
      </c>
      <c r="D237" s="74">
        <f>IF(D194=4,SUMIF(D201:D205,"&gt;0"),0)</f>
        <v>0</v>
      </c>
      <c r="E237" s="70">
        <f>IF(E194=4,SUMIF(E201:E205,"&gt;0"),0)</f>
        <v>0</v>
      </c>
      <c r="G237" s="74">
        <f>IF(G194=4,SUMIF(G201:G205,"&gt;0"),0)</f>
        <v>0</v>
      </c>
      <c r="H237" s="70">
        <f>IF(H194=4,SUMIF(H201:H205,"&gt;0"),0)</f>
        <v>0</v>
      </c>
      <c r="J237" s="74">
        <f>IF(J194=4,SUMIF(J201:J205,"&gt;0"),0)</f>
        <v>2</v>
      </c>
      <c r="K237" s="70">
        <f>IF(K194=4,SUMIF(K201:K205,"&gt;0"),0)</f>
        <v>0</v>
      </c>
      <c r="M237" s="74">
        <f>IF(M194=4,SUMIF(M201:M205,"&gt;0"),0)</f>
        <v>0</v>
      </c>
      <c r="N237" s="70">
        <f>IF(N194=4,SUMIF(N201:N205,"&gt;0"),0)</f>
        <v>0</v>
      </c>
      <c r="P237" s="74">
        <f>IF(P194=4,SUMIF(P201:P205,"&gt;0"),0)</f>
        <v>0</v>
      </c>
      <c r="Q237" s="70">
        <f>IF(Q194=4,SUMIF(Q201:Q205,"&gt;0"),0)</f>
        <v>0</v>
      </c>
      <c r="S237" s="74">
        <f>IF(S194=4,SUMIF(S201:S205,"&gt;0"),0)</f>
        <v>0</v>
      </c>
      <c r="T237" s="70">
        <f>IF(T194=4,SUMIF(T201:T205,"&gt;0"),0)</f>
        <v>0</v>
      </c>
      <c r="V237" s="74">
        <f>IF(V194=4,SUMIF(V201:V205,"&gt;0"),0)</f>
        <v>0</v>
      </c>
      <c r="W237" s="70">
        <f>IF(W194=4,SUMIF(W201:W205,"&gt;0"),0)</f>
        <v>0</v>
      </c>
      <c r="Y237" s="74">
        <f>IF(Y194=4,SUMIF(Y201:Y205,"&gt;0"),0)</f>
        <v>0</v>
      </c>
      <c r="Z237" s="70">
        <f>IF(Z194=4,SUMIF(Z201:Z205,"&gt;0"),0)</f>
        <v>0</v>
      </c>
      <c r="AB237" s="74">
        <f>IF(AB194=4,SUMIF(AB201:AB205,"&gt;0"),0)</f>
        <v>0</v>
      </c>
      <c r="AC237" s="70">
        <f>IF(AC194=4,SUMIF(AC201:AC205,"&gt;0"),0)</f>
        <v>0</v>
      </c>
      <c r="AE237" s="74">
        <f>IF(AE194=4,SUMIF(AE201:AE205,"&gt;0"),0)</f>
        <v>0</v>
      </c>
      <c r="AF237" s="70">
        <f>SUM(B237:AE237)</f>
        <v>2</v>
      </c>
      <c r="AG237" s="70">
        <f>AF245-AF237</f>
        <v>5</v>
      </c>
      <c r="AW237" s="154"/>
    </row>
    <row r="238" spans="1:49" s="70" customFormat="1" ht="12.75" hidden="1" customHeight="1" x14ac:dyDescent="0.2">
      <c r="A238" s="70" t="s">
        <v>95</v>
      </c>
      <c r="B238" s="70">
        <f>IF(B194=5,SUMIF(B201:B205,"&gt;0"),0)</f>
        <v>0</v>
      </c>
      <c r="D238" s="74">
        <f>IF(D194=5,SUMIF(D201:D205,"&gt;0"),0)</f>
        <v>0</v>
      </c>
      <c r="E238" s="70">
        <f>IF(E194=5,SUMIF(E201:E205,"&gt;0"),0)</f>
        <v>0</v>
      </c>
      <c r="G238" s="74">
        <f>IF(G194=5,SUMIF(G201:G205,"&gt;0"),0)</f>
        <v>0</v>
      </c>
      <c r="H238" s="70">
        <f>IF(H194=5,SUMIF(H201:H205,"&gt;0"),0)</f>
        <v>0</v>
      </c>
      <c r="J238" s="74">
        <f>IF(J194=5,SUMIF(J201:J205,"&gt;0"),0)</f>
        <v>0</v>
      </c>
      <c r="K238" s="70">
        <f>IF(K194=5,SUMIF(K201:K205,"&gt;0"),0)</f>
        <v>0</v>
      </c>
      <c r="M238" s="74">
        <f>IF(M194=5,SUMIF(M201:M205,"&gt;0"),0)</f>
        <v>0</v>
      </c>
      <c r="N238" s="70">
        <f>IF(N194=5,SUMIF(N201:N205,"&gt;0"),0)</f>
        <v>0</v>
      </c>
      <c r="P238" s="74">
        <f>IF(P194=5,SUMIF(P201:P205,"&gt;0"),0)</f>
        <v>0</v>
      </c>
      <c r="Q238" s="70">
        <f>IF(Q194=5,SUMIF(Q201:Q205,"&gt;0"),0)</f>
        <v>0</v>
      </c>
      <c r="S238" s="74">
        <f>IF(S194=5,SUMIF(S201:S205,"&gt;0"),0)</f>
        <v>0</v>
      </c>
      <c r="T238" s="70">
        <f>IF(T194=5,SUMIF(T201:T205,"&gt;0"),0)</f>
        <v>0</v>
      </c>
      <c r="V238" s="74">
        <f>IF(V194=5,SUMIF(V201:V205,"&gt;0"),0)</f>
        <v>0</v>
      </c>
      <c r="W238" s="70">
        <f>IF(W194=5,SUMIF(W201:W205,"&gt;0"),0)</f>
        <v>0</v>
      </c>
      <c r="Y238" s="74">
        <f>IF(Y194=5,SUMIF(Y201:Y205,"&gt;0"),0)</f>
        <v>0</v>
      </c>
      <c r="Z238" s="70">
        <f>IF(Z194=5,SUMIF(Z201:Z205,"&gt;0"),0)</f>
        <v>0</v>
      </c>
      <c r="AB238" s="74">
        <f>IF(AB194=5,SUMIF(AB201:AB205,"&gt;0"),0)</f>
        <v>0</v>
      </c>
      <c r="AC238" s="70">
        <f>IF(AC194=5,SUMIF(AC201:AC205,"&gt;0"),0)</f>
        <v>0</v>
      </c>
      <c r="AE238" s="74">
        <f>IF(AE194=5,SUMIF(AE201:AE205,"&gt;0"),0)</f>
        <v>0</v>
      </c>
      <c r="AF238" s="70">
        <f>SUM(B238:AE238)</f>
        <v>0</v>
      </c>
      <c r="AG238" s="70">
        <f>AF246-AF238</f>
        <v>0</v>
      </c>
      <c r="AW238" s="154"/>
    </row>
    <row r="239" spans="1:49" s="70" customFormat="1" ht="12.75" hidden="1" customHeight="1" x14ac:dyDescent="0.2">
      <c r="D239" s="74"/>
      <c r="G239" s="74"/>
      <c r="J239" s="74"/>
      <c r="M239" s="74"/>
      <c r="P239" s="74"/>
      <c r="S239" s="74"/>
      <c r="V239" s="74"/>
      <c r="Y239" s="74"/>
      <c r="AB239" s="74"/>
      <c r="AE239" s="74"/>
      <c r="AW239" s="154"/>
    </row>
    <row r="240" spans="1:49" s="70" customFormat="1" ht="12.75" hidden="1" customHeight="1" x14ac:dyDescent="0.2">
      <c r="D240" s="74"/>
      <c r="G240" s="74"/>
      <c r="J240" s="74"/>
      <c r="M240" s="74"/>
      <c r="P240" s="74"/>
      <c r="S240" s="74"/>
      <c r="V240" s="74"/>
      <c r="Y240" s="74"/>
      <c r="AB240" s="74"/>
      <c r="AE240" s="74"/>
      <c r="AW240" s="154"/>
    </row>
    <row r="241" spans="1:54" s="70" customFormat="1" ht="51" hidden="1" customHeight="1" x14ac:dyDescent="0.2">
      <c r="A241" s="73" t="s">
        <v>106</v>
      </c>
      <c r="C241" s="70">
        <f>SUMIF(B234:D238,"&gt;0")</f>
        <v>3</v>
      </c>
      <c r="D241" s="74"/>
      <c r="F241" s="70">
        <f>SUMIF(E234:G238,"&gt;0")</f>
        <v>2</v>
      </c>
      <c r="G241" s="74"/>
      <c r="I241" s="70">
        <f>SUMIF(H234:J238,"&gt;0")</f>
        <v>3</v>
      </c>
      <c r="J241" s="74"/>
      <c r="L241" s="70">
        <f>SUMIF(K234:M238,"&gt;0")</f>
        <v>3</v>
      </c>
      <c r="M241" s="74"/>
      <c r="O241" s="70">
        <f>SUMIF(N234:P238,"&gt;0")</f>
        <v>2</v>
      </c>
      <c r="P241" s="74"/>
      <c r="R241" s="70">
        <f>SUMIF(Q234:S238,"&gt;0")</f>
        <v>2</v>
      </c>
      <c r="S241" s="74"/>
      <c r="U241" s="70">
        <f>SUMIF(T234:V238,"&gt;0")</f>
        <v>0</v>
      </c>
      <c r="V241" s="74"/>
      <c r="X241" s="70">
        <f>SUMIF(W234:Y238,"&gt;0")</f>
        <v>0</v>
      </c>
      <c r="Y241" s="74"/>
      <c r="AA241" s="70">
        <f>SUMIF(Z234:AB238,"&gt;0")</f>
        <v>0</v>
      </c>
      <c r="AB241" s="74"/>
      <c r="AD241" s="70">
        <f>SUMIF(AC234:AE238,"&gt;0")</f>
        <v>0</v>
      </c>
      <c r="AE241" s="74"/>
      <c r="AF241" s="73" t="s">
        <v>107</v>
      </c>
      <c r="AW241" s="154"/>
    </row>
    <row r="242" spans="1:54" s="70" customFormat="1" ht="12.75" hidden="1" customHeight="1" x14ac:dyDescent="0.2">
      <c r="A242" s="70" t="s">
        <v>97</v>
      </c>
      <c r="B242" s="70">
        <f>IF(B194=1,C241,0)</f>
        <v>0</v>
      </c>
      <c r="D242" s="74">
        <f>IF(D194=1,C241,0)</f>
        <v>0</v>
      </c>
      <c r="E242" s="70">
        <f>IF(E194=1,F241,0)</f>
        <v>2</v>
      </c>
      <c r="G242" s="74">
        <f>IF(G194=1,F241,0)</f>
        <v>0</v>
      </c>
      <c r="H242" s="70">
        <f>IF(H194=1,I241,0)</f>
        <v>0</v>
      </c>
      <c r="J242" s="74">
        <f>IF(J194=1,I241,0)</f>
        <v>0</v>
      </c>
      <c r="K242" s="70">
        <f>IF(K194=1,L241,0)</f>
        <v>3</v>
      </c>
      <c r="M242" s="74">
        <f>IF(M194=1,L241,0)</f>
        <v>0</v>
      </c>
      <c r="N242" s="70">
        <f>IF(N194=1,O241,0)</f>
        <v>0</v>
      </c>
      <c r="P242" s="74">
        <f>IF(P194=1,O241,0)</f>
        <v>0</v>
      </c>
      <c r="Q242" s="70">
        <f>IF(Q194=1,R241,0)</f>
        <v>2</v>
      </c>
      <c r="S242" s="74">
        <f>IF(S194=1,R241,0)</f>
        <v>0</v>
      </c>
      <c r="T242" s="70">
        <f>IF(T194=1,U241,0)</f>
        <v>0</v>
      </c>
      <c r="V242" s="74">
        <f>IF(V194=1,U241,0)</f>
        <v>0</v>
      </c>
      <c r="W242" s="70">
        <f>IF(W194=1,X241,0)</f>
        <v>0</v>
      </c>
      <c r="Y242" s="74">
        <f>IF(Y194=1,X241,0)</f>
        <v>0</v>
      </c>
      <c r="Z242" s="70">
        <f>IF(Z194=1,AA241,0)</f>
        <v>0</v>
      </c>
      <c r="AB242" s="74">
        <f>IF(AB194=1,AA241,0)</f>
        <v>0</v>
      </c>
      <c r="AC242" s="70">
        <f>IF(AC194=1,AD241,0)</f>
        <v>0</v>
      </c>
      <c r="AE242" s="74">
        <f>IF(AE194=1,AD241,0)</f>
        <v>0</v>
      </c>
      <c r="AF242" s="70">
        <f>SUM(B242:AE242)</f>
        <v>7</v>
      </c>
      <c r="AW242" s="154"/>
    </row>
    <row r="243" spans="1:54" s="70" customFormat="1" ht="12.75" hidden="1" customHeight="1" x14ac:dyDescent="0.2">
      <c r="A243" s="70" t="s">
        <v>98</v>
      </c>
      <c r="B243" s="70">
        <f>IF(B194=2,C241,0)</f>
        <v>3</v>
      </c>
      <c r="D243" s="74">
        <f>IF(D194=2,C241,0)</f>
        <v>0</v>
      </c>
      <c r="E243" s="70">
        <f>IF(E194=2,F241,0)</f>
        <v>0</v>
      </c>
      <c r="G243" s="74">
        <f>IF(G194=2,F241,0)</f>
        <v>0</v>
      </c>
      <c r="H243" s="70">
        <f>IF(H194=2,I241,0)</f>
        <v>3</v>
      </c>
      <c r="J243" s="74">
        <f>IF(J194=2,I241,0)</f>
        <v>0</v>
      </c>
      <c r="K243" s="70">
        <f>IF(K194=2,L241,0)</f>
        <v>0</v>
      </c>
      <c r="M243" s="74">
        <f>IF(M194=2,L241,0)</f>
        <v>0</v>
      </c>
      <c r="N243" s="70">
        <f>IF(N194=2,O241,0)</f>
        <v>0</v>
      </c>
      <c r="P243" s="74">
        <f>IF(P194=2,O241,0)</f>
        <v>0</v>
      </c>
      <c r="Q243" s="70">
        <f>IF(Q194=2,R241,0)</f>
        <v>0</v>
      </c>
      <c r="S243" s="74">
        <f>IF(S194=2,R241,0)</f>
        <v>2</v>
      </c>
      <c r="T243" s="70">
        <f>IF(T194=2,U241,0)</f>
        <v>0</v>
      </c>
      <c r="V243" s="74">
        <f>IF(V194=2,U241,0)</f>
        <v>0</v>
      </c>
      <c r="W243" s="70">
        <f>IF(W194=2,X241,0)</f>
        <v>0</v>
      </c>
      <c r="Y243" s="74">
        <f>IF(Y194=2,X241,0)</f>
        <v>0</v>
      </c>
      <c r="Z243" s="70">
        <f>IF(Z194=2,AA241,0)</f>
        <v>0</v>
      </c>
      <c r="AB243" s="74">
        <f>IF(AB194=2,AA241,0)</f>
        <v>0</v>
      </c>
      <c r="AC243" s="70">
        <f>IF(AC194=2,AD241,0)</f>
        <v>0</v>
      </c>
      <c r="AE243" s="74">
        <f>IF(AE194=2,AD241,0)</f>
        <v>0</v>
      </c>
      <c r="AF243" s="70">
        <f>SUM(B243:AE243)</f>
        <v>8</v>
      </c>
      <c r="AW243" s="154"/>
    </row>
    <row r="244" spans="1:54" s="70" customFormat="1" ht="12.75" hidden="1" customHeight="1" x14ac:dyDescent="0.2">
      <c r="A244" s="70" t="s">
        <v>99</v>
      </c>
      <c r="B244" s="70">
        <f>IF(B194=3,C241,0)</f>
        <v>0</v>
      </c>
      <c r="D244" s="74">
        <f>IF(D194=3,C241,0)</f>
        <v>3</v>
      </c>
      <c r="E244" s="70">
        <f>IF(E194=3,F241,0)</f>
        <v>0</v>
      </c>
      <c r="G244" s="74">
        <f>IF(G194=3,F241,0)</f>
        <v>0</v>
      </c>
      <c r="H244" s="70">
        <f>IF(H194=3,I241,0)</f>
        <v>0</v>
      </c>
      <c r="J244" s="74">
        <f>IF(J194=3,I241,0)</f>
        <v>0</v>
      </c>
      <c r="K244" s="70">
        <f>IF(K194=3,L241,0)</f>
        <v>0</v>
      </c>
      <c r="M244" s="74">
        <f>IF(M194=3,L241,0)</f>
        <v>3</v>
      </c>
      <c r="N244" s="70">
        <f>IF(N194=3,O241,0)</f>
        <v>2</v>
      </c>
      <c r="P244" s="74">
        <f>IF(P194=3,O241,0)</f>
        <v>0</v>
      </c>
      <c r="Q244" s="70">
        <f>IF(Q194=3,R241,0)</f>
        <v>0</v>
      </c>
      <c r="S244" s="74">
        <f>IF(S194=3,R241,0)</f>
        <v>0</v>
      </c>
      <c r="T244" s="70">
        <f>IF(T194=3,U241,0)</f>
        <v>0</v>
      </c>
      <c r="V244" s="74">
        <f>IF(V194=3,U241,0)</f>
        <v>0</v>
      </c>
      <c r="W244" s="70">
        <f>IF(W194=3,X241,0)</f>
        <v>0</v>
      </c>
      <c r="Y244" s="74">
        <f>IF(Y194=3,X241,0)</f>
        <v>0</v>
      </c>
      <c r="Z244" s="70">
        <f>IF(Z194=3,AA241,0)</f>
        <v>0</v>
      </c>
      <c r="AB244" s="74">
        <f>IF(AB194=3,AA241,0)</f>
        <v>0</v>
      </c>
      <c r="AC244" s="70">
        <f>IF(AC194=3,AD241,0)</f>
        <v>0</v>
      </c>
      <c r="AE244" s="74">
        <f>IF(AE194=3,AD241,0)</f>
        <v>0</v>
      </c>
      <c r="AF244" s="70">
        <f>SUM(B244:AE244)</f>
        <v>8</v>
      </c>
      <c r="AW244" s="154"/>
    </row>
    <row r="245" spans="1:54" s="70" customFormat="1" ht="12.75" hidden="1" customHeight="1" x14ac:dyDescent="0.2">
      <c r="A245" s="70" t="s">
        <v>100</v>
      </c>
      <c r="B245" s="70">
        <f>IF(B194=4,C241,0)</f>
        <v>0</v>
      </c>
      <c r="D245" s="74">
        <f>IF(D194=4,C241,0)</f>
        <v>0</v>
      </c>
      <c r="E245" s="70">
        <f>IF(E194=4,F241,0)</f>
        <v>0</v>
      </c>
      <c r="G245" s="74">
        <f>IF(G194=4,F241,0)</f>
        <v>2</v>
      </c>
      <c r="H245" s="70">
        <f>IF(H194=4,I241,0)</f>
        <v>0</v>
      </c>
      <c r="J245" s="74">
        <f>IF(J194=4,I241,0)</f>
        <v>3</v>
      </c>
      <c r="K245" s="70">
        <f>IF(K194=4,L241,0)</f>
        <v>0</v>
      </c>
      <c r="M245" s="74">
        <f>IF(M194=4,L241,0)</f>
        <v>0</v>
      </c>
      <c r="N245" s="70">
        <f>IF(N194=4,O241,0)</f>
        <v>0</v>
      </c>
      <c r="P245" s="74">
        <f>IF(P194=4,O241,0)</f>
        <v>2</v>
      </c>
      <c r="Q245" s="70">
        <f>IF(Q194=4,R241,0)</f>
        <v>0</v>
      </c>
      <c r="S245" s="74">
        <f>IF(S194=4,R241,0)</f>
        <v>0</v>
      </c>
      <c r="T245" s="70">
        <f>IF(T194=4,U241,0)</f>
        <v>0</v>
      </c>
      <c r="V245" s="74">
        <f>IF(V194=4,U241,0)</f>
        <v>0</v>
      </c>
      <c r="W245" s="70">
        <f>IF(W194=4,X241,0)</f>
        <v>0</v>
      </c>
      <c r="Y245" s="74">
        <f>IF(Y194=4,X241,0)</f>
        <v>0</v>
      </c>
      <c r="Z245" s="70">
        <f>IF(Z194=4,AA241,0)</f>
        <v>0</v>
      </c>
      <c r="AB245" s="74">
        <f>IF(AB194=4,AA241,0)</f>
        <v>0</v>
      </c>
      <c r="AC245" s="70">
        <f>IF(AC194=4,AD241,0)</f>
        <v>0</v>
      </c>
      <c r="AE245" s="74">
        <f>IF(AE194=4,AD241,0)</f>
        <v>0</v>
      </c>
      <c r="AF245" s="70">
        <f>SUM(B245:AE245)</f>
        <v>7</v>
      </c>
      <c r="AW245" s="154"/>
    </row>
    <row r="246" spans="1:54" s="70" customFormat="1" ht="12.75" hidden="1" customHeight="1" x14ac:dyDescent="0.2">
      <c r="A246" s="70" t="s">
        <v>101</v>
      </c>
      <c r="B246" s="70">
        <f>IF(B194=5,C241,0)</f>
        <v>0</v>
      </c>
      <c r="D246" s="74">
        <f>IF(D194=5,C241,0)</f>
        <v>0</v>
      </c>
      <c r="E246" s="70">
        <f>IF(E194=5,F241,0)</f>
        <v>0</v>
      </c>
      <c r="G246" s="74">
        <f>IF(G194=5,F241,0)</f>
        <v>0</v>
      </c>
      <c r="H246" s="70">
        <f>IF(H194=5,I241,0)</f>
        <v>0</v>
      </c>
      <c r="J246" s="74">
        <f>IF(J194=5,I241,0)</f>
        <v>0</v>
      </c>
      <c r="K246" s="70">
        <f>IF(K194=5,L241,0)</f>
        <v>0</v>
      </c>
      <c r="M246" s="74">
        <f>IF(M194=5,L241,0)</f>
        <v>0</v>
      </c>
      <c r="N246" s="70">
        <f>IF(N194=5,O241,0)</f>
        <v>0</v>
      </c>
      <c r="P246" s="74">
        <f>IF(P194=5,O241,0)</f>
        <v>0</v>
      </c>
      <c r="Q246" s="70">
        <f>IF(Q194=5,R241,0)</f>
        <v>0</v>
      </c>
      <c r="S246" s="74">
        <f>IF(S194=5,R241,0)</f>
        <v>0</v>
      </c>
      <c r="T246" s="70">
        <f>IF(T194=5,U241,0)</f>
        <v>0</v>
      </c>
      <c r="V246" s="74">
        <f>IF(V194=5,U241,0)</f>
        <v>0</v>
      </c>
      <c r="W246" s="70">
        <f>IF(W194=5,X241,0)</f>
        <v>0</v>
      </c>
      <c r="Y246" s="74">
        <f>IF(Y194=5,X241,0)</f>
        <v>0</v>
      </c>
      <c r="Z246" s="70">
        <f>IF(Z194=5,AA241,0)</f>
        <v>0</v>
      </c>
      <c r="AB246" s="74">
        <f>IF(AB194=5,AA241,0)</f>
        <v>0</v>
      </c>
      <c r="AC246" s="70">
        <f>IF(AC194=5,AD241,0)</f>
        <v>0</v>
      </c>
      <c r="AE246" s="74">
        <f>IF(AE194=5,AD241,0)</f>
        <v>0</v>
      </c>
      <c r="AF246" s="70">
        <f>SUM(B246:AE246)</f>
        <v>0</v>
      </c>
      <c r="AT246" s="77"/>
      <c r="AU246" s="77"/>
      <c r="AV246" s="77"/>
      <c r="AW246" s="154"/>
    </row>
    <row r="247" spans="1:54" hidden="1" x14ac:dyDescent="0.2">
      <c r="A247" s="95"/>
      <c r="B247" s="95"/>
      <c r="C247" s="95"/>
      <c r="D247" s="95"/>
      <c r="E247" s="95"/>
      <c r="F247" s="95"/>
      <c r="G247" s="95"/>
      <c r="H247" s="95"/>
      <c r="I247" s="95"/>
      <c r="J247" s="95"/>
      <c r="K247" s="95"/>
      <c r="L247" s="95"/>
      <c r="M247" s="95"/>
      <c r="N247" s="95"/>
      <c r="O247" s="95"/>
      <c r="P247" s="95"/>
      <c r="Q247" s="95"/>
      <c r="R247" s="95"/>
      <c r="S247" s="95"/>
      <c r="T247" s="95"/>
      <c r="U247" s="95"/>
      <c r="V247" s="95"/>
      <c r="W247" s="95"/>
      <c r="X247" s="95"/>
      <c r="Y247" s="95"/>
      <c r="Z247" s="95"/>
      <c r="AA247" s="95"/>
      <c r="AB247" s="95"/>
      <c r="AC247" s="95"/>
      <c r="AD247" s="95"/>
      <c r="AE247" s="95"/>
      <c r="AF247" s="95"/>
      <c r="AG247" s="95"/>
      <c r="AH247" s="95"/>
      <c r="AI247" s="95"/>
      <c r="AJ247" s="95"/>
      <c r="AK247" s="95"/>
      <c r="AL247" s="95"/>
      <c r="AM247" s="95"/>
      <c r="AN247" s="96"/>
      <c r="AO247" s="96"/>
      <c r="AP247" s="96"/>
      <c r="AQ247" s="96"/>
      <c r="AR247" s="77"/>
      <c r="AS247" s="77"/>
      <c r="AT247" s="77"/>
      <c r="AU247" s="77"/>
      <c r="AV247" s="77"/>
      <c r="BB247" s="156"/>
    </row>
    <row r="248" spans="1:54" s="77" customFormat="1" hidden="1" x14ac:dyDescent="0.2">
      <c r="A248" s="79"/>
      <c r="B248" s="79"/>
      <c r="C248" s="79" t="s">
        <v>108</v>
      </c>
      <c r="D248" s="79">
        <v>1</v>
      </c>
      <c r="E248" s="79"/>
      <c r="F248" s="79"/>
      <c r="G248" s="79">
        <v>2</v>
      </c>
      <c r="H248" s="79"/>
      <c r="I248" s="79"/>
      <c r="J248" s="79">
        <v>3</v>
      </c>
      <c r="K248" s="79"/>
      <c r="L248" s="79"/>
      <c r="M248" s="79">
        <v>4</v>
      </c>
      <c r="N248" s="79"/>
      <c r="O248" s="79"/>
      <c r="P248" s="79">
        <v>5</v>
      </c>
      <c r="Q248" s="79"/>
      <c r="R248" s="79"/>
      <c r="S248" s="79">
        <v>6</v>
      </c>
      <c r="T248" s="79"/>
      <c r="U248" s="79"/>
      <c r="V248" s="79">
        <v>7</v>
      </c>
      <c r="W248" s="79"/>
      <c r="X248" s="79"/>
      <c r="Y248" s="79">
        <v>8</v>
      </c>
      <c r="Z248" s="79"/>
      <c r="AA248" s="79"/>
      <c r="AB248" s="79">
        <v>9</v>
      </c>
      <c r="AC248" s="79"/>
      <c r="AD248" s="79"/>
      <c r="AE248" s="79">
        <v>10</v>
      </c>
      <c r="AF248" s="4"/>
      <c r="AG248" s="79"/>
      <c r="AI248" s="80"/>
      <c r="AJ248" s="4"/>
      <c r="AK248" s="4"/>
      <c r="AL248" s="4"/>
      <c r="AM248" s="4"/>
      <c r="AN248" s="4"/>
      <c r="AO248" s="4"/>
      <c r="AT248" s="80" t="s">
        <v>109</v>
      </c>
      <c r="AW248" s="81"/>
      <c r="BB248" s="81"/>
    </row>
    <row r="249" spans="1:54" s="77" customFormat="1" hidden="1" x14ac:dyDescent="0.2">
      <c r="A249" s="82">
        <v>1</v>
      </c>
      <c r="B249" s="82" t="str">
        <f>E178</f>
        <v>Lake Murray 15 Red</v>
      </c>
      <c r="C249" s="82">
        <f>VLOOKUP(B249,AU$3:BB$33,3,FALSE)</f>
        <v>2413.7157394938272</v>
      </c>
      <c r="D249" s="82">
        <f>IF(B242,B257,IF(D242,D257,C249))</f>
        <v>2413.7157394938272</v>
      </c>
      <c r="E249" s="82"/>
      <c r="F249" s="82"/>
      <c r="G249" s="82">
        <f>IF(E242,E257,IF(G242,G257,D249))</f>
        <v>2436.9690377873426</v>
      </c>
      <c r="H249" s="82"/>
      <c r="I249" s="82"/>
      <c r="J249" s="82">
        <f>IF(H242,H257,IF(J242,J257,G249))</f>
        <v>2436.9690377873426</v>
      </c>
      <c r="K249" s="82"/>
      <c r="L249" s="82"/>
      <c r="M249" s="82">
        <f>IF(K242,K257,IF(M242,M257,J249))</f>
        <v>2406.5947066242884</v>
      </c>
      <c r="N249" s="82"/>
      <c r="O249" s="82"/>
      <c r="P249" s="82">
        <f>IF(N242,N257,IF(P242,P257,M249))</f>
        <v>2406.5947066242884</v>
      </c>
      <c r="Q249" s="82"/>
      <c r="R249" s="82"/>
      <c r="S249" s="82">
        <f>IF(Q242,Q257,IF(S242,S257,P249))</f>
        <v>2434.1263930010114</v>
      </c>
      <c r="T249" s="82"/>
      <c r="U249" s="82"/>
      <c r="V249" s="82">
        <f>IF(T242,T257,IF(V242,V257,S249))</f>
        <v>2434.1263930010114</v>
      </c>
      <c r="W249" s="82"/>
      <c r="X249" s="82"/>
      <c r="Y249" s="82">
        <f>IF(W242,W257,IF(Y242,Y257,V249))</f>
        <v>2434.1263930010114</v>
      </c>
      <c r="Z249" s="82"/>
      <c r="AA249" s="82"/>
      <c r="AB249" s="82">
        <f>IF(Z242,Z257,IF(AB242,AB257,Y249))</f>
        <v>2434.1263930010114</v>
      </c>
      <c r="AC249" s="82"/>
      <c r="AD249" s="82"/>
      <c r="AE249" s="82">
        <f>IF(AC242,AC257,IF(AE242,AE257,AB249))</f>
        <v>2434.1263930010114</v>
      </c>
      <c r="AF249" s="4"/>
      <c r="AG249" s="4"/>
      <c r="AJ249" s="4"/>
      <c r="AK249" s="4"/>
      <c r="AL249" s="4"/>
      <c r="AM249" s="4"/>
      <c r="AN249" s="4"/>
      <c r="AO249" s="4"/>
      <c r="AT249" s="77" t="str">
        <f>B249</f>
        <v>Lake Murray 15 Red</v>
      </c>
      <c r="AU249" s="77">
        <f>AE249</f>
        <v>2434.1263930010114</v>
      </c>
      <c r="AW249" s="81"/>
      <c r="BB249" s="81"/>
    </row>
    <row r="250" spans="1:54" s="77" customFormat="1" hidden="1" x14ac:dyDescent="0.2">
      <c r="A250" s="82">
        <v>2</v>
      </c>
      <c r="B250" s="82" t="str">
        <f>E180</f>
        <v>Kershaw 15 Black</v>
      </c>
      <c r="C250" s="82">
        <f>VLOOKUP(B250,AU$3:BB$33,3,FALSE)</f>
        <v>2375.053097155987</v>
      </c>
      <c r="D250" s="82">
        <f>IF(B243,B257,IF(D243,D257,C250))</f>
        <v>2386.3548472483803</v>
      </c>
      <c r="E250" s="82"/>
      <c r="F250" s="82"/>
      <c r="G250" s="82">
        <f>IF(E243,E257,IF(G243,G257,D250))</f>
        <v>2386.3548472483803</v>
      </c>
      <c r="H250" s="82"/>
      <c r="I250" s="82"/>
      <c r="J250" s="82">
        <f>IF(H243,H257,IF(J243,J257,G250))</f>
        <v>2357.7615596964229</v>
      </c>
      <c r="K250" s="82"/>
      <c r="L250" s="82"/>
      <c r="M250" s="82">
        <f>IF(K243,K257,IF(M243,M257,J250))</f>
        <v>2357.7615596964229</v>
      </c>
      <c r="N250" s="82"/>
      <c r="O250" s="82"/>
      <c r="P250" s="82">
        <f>IF(N243,N257,IF(P243,P257,M250))</f>
        <v>2357.7615596964229</v>
      </c>
      <c r="Q250" s="82"/>
      <c r="R250" s="82"/>
      <c r="S250" s="82">
        <f>IF(Q243,Q257,IF(S243,S257,P250))</f>
        <v>2330.2298733196999</v>
      </c>
      <c r="T250" s="82"/>
      <c r="U250" s="82"/>
      <c r="V250" s="82">
        <f>IF(T243,T257,IF(V243,V257,S250))</f>
        <v>2330.2298733196999</v>
      </c>
      <c r="W250" s="82"/>
      <c r="X250" s="82"/>
      <c r="Y250" s="82">
        <f>IF(W243,W257,IF(Y243,Y257,V250))</f>
        <v>2330.2298733196999</v>
      </c>
      <c r="Z250" s="82"/>
      <c r="AA250" s="82"/>
      <c r="AB250" s="82">
        <f>IF(Z243,Z257,IF(AB243,AB257,Y250))</f>
        <v>2330.2298733196999</v>
      </c>
      <c r="AC250" s="82"/>
      <c r="AD250" s="82"/>
      <c r="AE250" s="82">
        <f>IF(AC243,AC257,IF(AE243,AE257,AB250))</f>
        <v>2330.2298733196999</v>
      </c>
      <c r="AF250" s="4"/>
      <c r="AG250" s="4"/>
      <c r="AJ250" s="4"/>
      <c r="AL250" s="4"/>
      <c r="AM250" s="4"/>
      <c r="AN250" s="4"/>
      <c r="AO250" s="4"/>
      <c r="AT250" s="77" t="str">
        <f>B250</f>
        <v>Kershaw 15 Black</v>
      </c>
      <c r="AU250" s="77">
        <f>AE250</f>
        <v>2330.2298733196999</v>
      </c>
      <c r="AW250" s="81"/>
      <c r="BB250" s="81"/>
    </row>
    <row r="251" spans="1:54" s="77" customFormat="1" hidden="1" x14ac:dyDescent="0.2">
      <c r="A251" s="82">
        <v>3</v>
      </c>
      <c r="B251" s="82" t="str">
        <f>E182</f>
        <v>C1VB 15 Power Grvl</v>
      </c>
      <c r="C251" s="82">
        <f>VLOOKUP(B251,AU$3:BB$33,3,FALSE)</f>
        <v>2340.9367997858221</v>
      </c>
      <c r="D251" s="82">
        <f>IF(B244,B257,IF(D244,D257,C251))</f>
        <v>2329.6350496934288</v>
      </c>
      <c r="E251" s="82"/>
      <c r="F251" s="82"/>
      <c r="G251" s="82">
        <f>IF(E244,E257,IF(G244,G257,D251))</f>
        <v>2329.6350496934288</v>
      </c>
      <c r="H251" s="82"/>
      <c r="I251" s="82"/>
      <c r="J251" s="82">
        <f>IF(H244,H257,IF(J244,J257,G251))</f>
        <v>2329.6350496934288</v>
      </c>
      <c r="K251" s="82"/>
      <c r="L251" s="82"/>
      <c r="M251" s="82">
        <f>IF(K244,K257,IF(M244,M257,J251))</f>
        <v>2360.0093808564829</v>
      </c>
      <c r="N251" s="82"/>
      <c r="O251" s="82"/>
      <c r="P251" s="82">
        <f>IF(N244,N257,IF(P244,P257,M251))</f>
        <v>2388.4872315198268</v>
      </c>
      <c r="Q251" s="82"/>
      <c r="R251" s="82"/>
      <c r="S251" s="82">
        <f>IF(Q244,Q257,IF(S244,S257,P251))</f>
        <v>2388.4872315198268</v>
      </c>
      <c r="T251" s="82"/>
      <c r="U251" s="82"/>
      <c r="V251" s="82">
        <f>IF(T244,T257,IF(V244,V257,S251))</f>
        <v>2388.4872315198268</v>
      </c>
      <c r="W251" s="82"/>
      <c r="X251" s="82"/>
      <c r="Y251" s="82">
        <f>IF(W244,W257,IF(Y244,Y257,V251))</f>
        <v>2388.4872315198268</v>
      </c>
      <c r="Z251" s="82"/>
      <c r="AA251" s="82"/>
      <c r="AB251" s="82">
        <f>IF(Z244,Z257,IF(AB244,AB257,Y251))</f>
        <v>2388.4872315198268</v>
      </c>
      <c r="AC251" s="82"/>
      <c r="AD251" s="82"/>
      <c r="AE251" s="82">
        <f>IF(AC244,AC257,IF(AE244,AE257,AB251))</f>
        <v>2388.4872315198268</v>
      </c>
      <c r="AF251" s="4"/>
      <c r="AG251" s="4"/>
      <c r="AJ251" s="4"/>
      <c r="AL251" s="4"/>
      <c r="AM251" s="4"/>
      <c r="AN251" s="4"/>
      <c r="AO251" s="4"/>
      <c r="AT251" s="77" t="str">
        <f>B251</f>
        <v>C1VB 15 Power Grvl</v>
      </c>
      <c r="AU251" s="77">
        <f>AE251</f>
        <v>2388.4872315198268</v>
      </c>
      <c r="AW251" s="81"/>
      <c r="BB251" s="81"/>
    </row>
    <row r="252" spans="1:54" s="77" customFormat="1" hidden="1" x14ac:dyDescent="0.2">
      <c r="A252" s="82">
        <v>4</v>
      </c>
      <c r="B252" s="82" t="str">
        <f>E184</f>
        <v>Intense 15 Elite Rock Hil</v>
      </c>
      <c r="C252" s="82">
        <f>VLOOKUP(B252,AU$3:BB$33,3,FALSE)</f>
        <v>2316.272580612786</v>
      </c>
      <c r="D252" s="82">
        <f>IF(B245,B257,IF(D245,D257,C252))</f>
        <v>2316.272580612786</v>
      </c>
      <c r="E252" s="82"/>
      <c r="F252" s="82"/>
      <c r="G252" s="82">
        <f>IF(E245,E257,IF(G245,G257,D252))</f>
        <v>2293.0192823192706</v>
      </c>
      <c r="H252" s="82"/>
      <c r="I252" s="82"/>
      <c r="J252" s="82">
        <f>IF(H245,H257,IF(J245,J257,G252))</f>
        <v>2321.6125698712281</v>
      </c>
      <c r="K252" s="82"/>
      <c r="L252" s="82"/>
      <c r="M252" s="82">
        <f>IF(K245,K257,IF(M245,M257,J252))</f>
        <v>2321.6125698712281</v>
      </c>
      <c r="N252" s="82"/>
      <c r="O252" s="82"/>
      <c r="P252" s="82">
        <f>IF(N245,N257,IF(P245,P257,M252))</f>
        <v>2293.1347192078842</v>
      </c>
      <c r="Q252" s="82"/>
      <c r="R252" s="82"/>
      <c r="S252" s="82">
        <f>IF(Q245,Q257,IF(S245,S257,P252))</f>
        <v>2293.1347192078842</v>
      </c>
      <c r="T252" s="82"/>
      <c r="U252" s="82"/>
      <c r="V252" s="82">
        <f>IF(T245,T257,IF(V245,V257,S252))</f>
        <v>2293.1347192078842</v>
      </c>
      <c r="W252" s="82"/>
      <c r="X252" s="82"/>
      <c r="Y252" s="82">
        <f>IF(W245,W257,IF(Y245,Y257,V252))</f>
        <v>2293.1347192078842</v>
      </c>
      <c r="Z252" s="82"/>
      <c r="AA252" s="82"/>
      <c r="AB252" s="82">
        <f>IF(Z245,Z257,IF(AB245,AB257,Y252))</f>
        <v>2293.1347192078842</v>
      </c>
      <c r="AC252" s="82"/>
      <c r="AD252" s="82"/>
      <c r="AE252" s="82">
        <f>IF(AC245,AC257,IF(AE245,AE257,AB252))</f>
        <v>2293.1347192078842</v>
      </c>
      <c r="AF252" s="4"/>
      <c r="AG252" s="4"/>
      <c r="AJ252" s="4"/>
      <c r="AL252" s="4"/>
      <c r="AM252" s="4"/>
      <c r="AN252" s="4"/>
      <c r="AO252" s="4"/>
      <c r="AT252" s="77" t="str">
        <f>B252</f>
        <v>Intense 15 Elite Rock Hil</v>
      </c>
      <c r="AU252" s="77">
        <f>AE252</f>
        <v>2293.1347192078842</v>
      </c>
      <c r="AW252" s="81"/>
      <c r="BB252" s="81"/>
    </row>
    <row r="253" spans="1:54" s="77" customFormat="1" hidden="1" x14ac:dyDescent="0.2">
      <c r="A253" s="82">
        <v>5</v>
      </c>
      <c r="B253" s="82">
        <f>E186</f>
        <v>0</v>
      </c>
      <c r="C253" s="82" t="e">
        <f>VLOOKUP(B253,AU$3:BB$33,3,FALSE)</f>
        <v>#N/A</v>
      </c>
      <c r="D253" s="82" t="e">
        <f>IF(B246,B257,IF(D246,D257,C253))</f>
        <v>#N/A</v>
      </c>
      <c r="E253" s="82"/>
      <c r="F253" s="82"/>
      <c r="G253" s="82" t="e">
        <f>IF(E246,E257,IF(G246,G257,D253))</f>
        <v>#N/A</v>
      </c>
      <c r="H253" s="82"/>
      <c r="I253" s="82"/>
      <c r="J253" s="82" t="e">
        <f>IF(H246,H257,IF(J246,J257,G253))</f>
        <v>#N/A</v>
      </c>
      <c r="K253" s="82"/>
      <c r="L253" s="82"/>
      <c r="M253" s="82" t="e">
        <f>IF(K246,K257,IF(M246,M257,J253))</f>
        <v>#N/A</v>
      </c>
      <c r="N253" s="82"/>
      <c r="O253" s="82"/>
      <c r="P253" s="82" t="e">
        <f>IF(N246,N257,IF(P246,P257,M253))</f>
        <v>#N/A</v>
      </c>
      <c r="Q253" s="82"/>
      <c r="R253" s="82"/>
      <c r="S253" s="82" t="e">
        <f>IF(Q246,Q257,IF(S246,S257,P253))</f>
        <v>#N/A</v>
      </c>
      <c r="T253" s="82"/>
      <c r="U253" s="82"/>
      <c r="V253" s="82" t="e">
        <f>IF(T246,T257,IF(V246,V257,S253))</f>
        <v>#N/A</v>
      </c>
      <c r="W253" s="82"/>
      <c r="X253" s="82"/>
      <c r="Y253" s="82" t="e">
        <f>IF(W246,W257,IF(Y246,Y257,V253))</f>
        <v>#N/A</v>
      </c>
      <c r="Z253" s="82"/>
      <c r="AA253" s="82"/>
      <c r="AB253" s="82" t="e">
        <f>IF(Z246,Z257,IF(AB246,AB257,Y253))</f>
        <v>#N/A</v>
      </c>
      <c r="AC253" s="82"/>
      <c r="AD253" s="82"/>
      <c r="AE253" s="82" t="e">
        <f>IF(AC246,AC257,IF(AE246,AE257,AB253))</f>
        <v>#N/A</v>
      </c>
      <c r="AF253" s="4"/>
      <c r="AG253" s="4"/>
      <c r="AJ253" s="4"/>
      <c r="AL253" s="4"/>
      <c r="AM253" s="4"/>
      <c r="AN253" s="4"/>
      <c r="AO253" s="4"/>
      <c r="AT253" s="77">
        <f>B253</f>
        <v>0</v>
      </c>
      <c r="AU253" s="77" t="e">
        <f>AE253</f>
        <v>#N/A</v>
      </c>
      <c r="AW253" s="81"/>
      <c r="BB253" s="81"/>
    </row>
    <row r="254" spans="1:54" s="77" customFormat="1" hidden="1" x14ac:dyDescent="0.2">
      <c r="A254" s="82"/>
      <c r="B254" s="82"/>
      <c r="C254" s="82"/>
      <c r="D254" s="82"/>
      <c r="E254" s="82"/>
      <c r="F254" s="82"/>
      <c r="G254" s="82"/>
      <c r="H254" s="82"/>
      <c r="I254" s="82"/>
      <c r="J254" s="82"/>
      <c r="K254" s="82"/>
      <c r="L254" s="82"/>
      <c r="M254" s="82"/>
      <c r="N254" s="82"/>
      <c r="O254" s="82"/>
      <c r="P254" s="82"/>
      <c r="Q254" s="82"/>
      <c r="R254" s="82"/>
      <c r="S254" s="82"/>
      <c r="T254" s="82"/>
      <c r="U254" s="82"/>
      <c r="V254" s="82"/>
      <c r="W254" s="82"/>
      <c r="X254" s="82"/>
      <c r="Y254" s="82"/>
      <c r="Z254" s="82"/>
      <c r="AA254" s="82"/>
      <c r="AB254" s="82"/>
      <c r="AC254" s="82"/>
      <c r="AD254" s="82"/>
      <c r="AE254" s="82"/>
      <c r="AF254" s="4"/>
      <c r="AG254" s="4"/>
      <c r="AJ254" s="4"/>
      <c r="AL254" s="4"/>
      <c r="AM254" s="4"/>
      <c r="AN254" s="4"/>
      <c r="AO254" s="4"/>
      <c r="AW254" s="81"/>
      <c r="BB254" s="81"/>
    </row>
    <row r="255" spans="1:54" s="77" customFormat="1" hidden="1" x14ac:dyDescent="0.2">
      <c r="A255" s="82" t="s">
        <v>110</v>
      </c>
      <c r="B255" s="82">
        <f>VLOOKUP(B194,$A249:$AE253,3,FALSE)</f>
        <v>2375.053097155987</v>
      </c>
      <c r="C255" s="82">
        <v>1</v>
      </c>
      <c r="D255" s="82">
        <f>VLOOKUP(D194,$A249:$AE253,3,FALSE)</f>
        <v>2340.9367997858221</v>
      </c>
      <c r="E255" s="82">
        <f>VLOOKUP(E194,$A249:$AE253,4,FALSE)</f>
        <v>2413.7157394938272</v>
      </c>
      <c r="F255" s="82">
        <v>2</v>
      </c>
      <c r="G255" s="82">
        <f>VLOOKUP(G194,$A249:$AE253,4,FALSE)</f>
        <v>2316.272580612786</v>
      </c>
      <c r="H255" s="82">
        <f>VLOOKUP(H194,$A249:$AE253,7,FALSE)</f>
        <v>2386.3548472483803</v>
      </c>
      <c r="I255" s="82">
        <v>3</v>
      </c>
      <c r="J255" s="82">
        <f>VLOOKUP(J194,$A249:$AE253,7,FALSE)</f>
        <v>2293.0192823192706</v>
      </c>
      <c r="K255" s="82">
        <f>VLOOKUP(K194,$A249:$AE253,10,FALSE)</f>
        <v>2436.9690377873426</v>
      </c>
      <c r="L255" s="82">
        <v>4</v>
      </c>
      <c r="M255" s="82">
        <f>VLOOKUP(M194,$A249:$AE253,10,FALSE)</f>
        <v>2329.6350496934288</v>
      </c>
      <c r="N255" s="82">
        <f>VLOOKUP(N194,$A249:$AE253,13,FALSE)</f>
        <v>2360.0093808564829</v>
      </c>
      <c r="O255" s="82">
        <v>5</v>
      </c>
      <c r="P255" s="82">
        <f>VLOOKUP(P194,$A249:$AE253,13,FALSE)</f>
        <v>2321.6125698712281</v>
      </c>
      <c r="Q255" s="82">
        <f>VLOOKUP(Q194,$A249:$AE253,16,FALSE)</f>
        <v>2406.5947066242884</v>
      </c>
      <c r="R255" s="82">
        <v>6</v>
      </c>
      <c r="S255" s="82">
        <f>VLOOKUP(S194,$A249:$AE253,16,FALSE)</f>
        <v>2357.7615596964229</v>
      </c>
      <c r="T255" s="82" t="e">
        <f>VLOOKUP(T194,$A249:$AE253,19,FALSE)</f>
        <v>#N/A</v>
      </c>
      <c r="U255" s="82">
        <v>7</v>
      </c>
      <c r="V255" s="82" t="e">
        <f>VLOOKUP(V194,$A249:$AE253,19,FALSE)</f>
        <v>#N/A</v>
      </c>
      <c r="W255" s="82" t="e">
        <f>VLOOKUP(W194,$A249:$AE253,22,FALSE)</f>
        <v>#N/A</v>
      </c>
      <c r="X255" s="82">
        <v>8</v>
      </c>
      <c r="Y255" s="82" t="e">
        <f>VLOOKUP(Y194,$A249:$AE253,22,FALSE)</f>
        <v>#N/A</v>
      </c>
      <c r="Z255" s="82" t="e">
        <f>VLOOKUP(Z194,$A249:$AE253,25,FALSE)</f>
        <v>#N/A</v>
      </c>
      <c r="AA255" s="82">
        <v>9</v>
      </c>
      <c r="AB255" s="82" t="e">
        <f>VLOOKUP(AB194,$A249:$AE253,25,FALSE)</f>
        <v>#N/A</v>
      </c>
      <c r="AC255" s="82" t="e">
        <f>VLOOKUP(AC194,$A249:$AE253,28,FALSE)</f>
        <v>#N/A</v>
      </c>
      <c r="AD255" s="82">
        <v>10</v>
      </c>
      <c r="AE255" s="82" t="e">
        <f>VLOOKUP(AE194,$A249:$AE253,28,FALSE)</f>
        <v>#N/A</v>
      </c>
      <c r="AF255" s="4"/>
      <c r="AG255" s="95"/>
      <c r="AH255" s="95"/>
      <c r="AI255" s="95"/>
      <c r="AJ255" s="95"/>
      <c r="AK255" s="95"/>
      <c r="AL255" s="95"/>
      <c r="AM255" s="95"/>
      <c r="AN255" s="96"/>
      <c r="AO255" s="96"/>
      <c r="AP255" s="96"/>
      <c r="AQ255" s="96"/>
      <c r="AW255" s="81"/>
      <c r="BB255" s="81"/>
    </row>
    <row r="256" spans="1:54" s="87" customFormat="1" hidden="1" x14ac:dyDescent="0.2">
      <c r="A256" s="83" t="s">
        <v>111</v>
      </c>
      <c r="B256" s="83">
        <f>1/(1+(10^-((B255-D255)/400)))*(B206+D206)</f>
        <v>1.6468203096127056</v>
      </c>
      <c r="C256" s="83"/>
      <c r="D256" s="83">
        <f>1/(1+(10^-((D255-B255)/400)))*(B206+D206)</f>
        <v>1.3531796903872944</v>
      </c>
      <c r="E256" s="83">
        <f>1/(1+(10^-((E255-G255)/400)))*(E206+G206)</f>
        <v>1.2733344283276473</v>
      </c>
      <c r="F256" s="83"/>
      <c r="G256" s="83">
        <f>1/(1+(10^-((G255-E255)/400)))*(E206+G206)</f>
        <v>0.72666557167235257</v>
      </c>
      <c r="H256" s="83">
        <f>1/(1+(10^-((H255-J255)/400)))*(H206+J206)</f>
        <v>1.8935402359986777</v>
      </c>
      <c r="I256" s="83"/>
      <c r="J256" s="83">
        <f>1/(1+(10^-((J255-H255)/400)))*(H206+J206)</f>
        <v>1.1064597640013221</v>
      </c>
      <c r="K256" s="83">
        <f>1/(1+(10^-((K255-M255)/400)))*(K206+M206)</f>
        <v>1.9491978488454393</v>
      </c>
      <c r="L256" s="83"/>
      <c r="M256" s="83">
        <f>1/(1+(10^-((M255-K255)/400)))*(K206+M206)</f>
        <v>1.0508021511545609</v>
      </c>
      <c r="N256" s="83">
        <f>1/(1+(10^-((N255-P255)/400)))*(N206+P206)</f>
        <v>1.1100671667705022</v>
      </c>
      <c r="O256" s="83"/>
      <c r="P256" s="83">
        <f>1/(1+(10^-((P255-N255)/400)))*(N206+P206)</f>
        <v>0.88993283322949779</v>
      </c>
      <c r="Q256" s="83">
        <f>1/(1+(10^-((Q255-S255)/400)))*(Q206+S206)</f>
        <v>1.1396348007274051</v>
      </c>
      <c r="R256" s="83"/>
      <c r="S256" s="83">
        <f>1/(1+(10^-((S255-Q255)/400)))*(Q206+S206)</f>
        <v>0.86036519927259492</v>
      </c>
      <c r="T256" s="83" t="e">
        <f>1/(1+(10^-((T255-V255)/400)))*(T206+V206)</f>
        <v>#N/A</v>
      </c>
      <c r="U256" s="83"/>
      <c r="V256" s="83" t="e">
        <f>1/(1+(10^-((V255-T255)/400)))*(T206+V206)</f>
        <v>#N/A</v>
      </c>
      <c r="W256" s="83" t="e">
        <f>1/(1+(10^-((W255-Y255)/400)))*(W206+Y206)</f>
        <v>#N/A</v>
      </c>
      <c r="X256" s="83"/>
      <c r="Y256" s="83" t="e">
        <f>1/(1+(10^-((Y255-W255)/400)))*(W206+Y206)</f>
        <v>#N/A</v>
      </c>
      <c r="Z256" s="83" t="e">
        <f>1/(1+(10^-((Z255-AB255)/400)))*(Z206+AB206)</f>
        <v>#N/A</v>
      </c>
      <c r="AA256" s="83"/>
      <c r="AB256" s="83" t="e">
        <f>1/(1+(10^-((AB255-Z255)/400)))*(Z206+AB206)</f>
        <v>#N/A</v>
      </c>
      <c r="AC256" s="83" t="e">
        <f>1/(1+(10^-((AC255-AE255)/400)))*(AC206+AE206)</f>
        <v>#N/A</v>
      </c>
      <c r="AD256" s="83"/>
      <c r="AE256" s="83" t="e">
        <f>1/(1+(10^-((AE255-AC255)/400)))*(AC206+AE206)</f>
        <v>#N/A</v>
      </c>
      <c r="AF256" s="84"/>
      <c r="AG256" s="85"/>
      <c r="AH256" s="85"/>
      <c r="AI256" s="85"/>
      <c r="AJ256" s="85"/>
      <c r="AK256" s="85"/>
      <c r="AL256" s="85"/>
      <c r="AM256" s="85"/>
      <c r="AN256" s="86"/>
      <c r="AO256" s="86"/>
      <c r="AP256" s="86"/>
      <c r="AQ256" s="86"/>
      <c r="AW256" s="88"/>
      <c r="BB256" s="88"/>
    </row>
    <row r="257" spans="1:54" s="93" customFormat="1" hidden="1" x14ac:dyDescent="0.2">
      <c r="A257" s="89" t="s">
        <v>112</v>
      </c>
      <c r="B257" s="89">
        <f>B255+(B206-B256)*$BA$1</f>
        <v>2386.3548472483803</v>
      </c>
      <c r="C257" s="89"/>
      <c r="D257" s="89">
        <f>D255+(D206-D256)*$BA$1</f>
        <v>2329.6350496934288</v>
      </c>
      <c r="E257" s="89">
        <f>E255+(E206-E256)*$BA$1</f>
        <v>2436.9690377873426</v>
      </c>
      <c r="F257" s="89"/>
      <c r="G257" s="89">
        <f>G255+(G206-G256)*$BA$1</f>
        <v>2293.0192823192706</v>
      </c>
      <c r="H257" s="89">
        <f>H255+(H206-H256)*$BA$1</f>
        <v>2357.7615596964229</v>
      </c>
      <c r="I257" s="89"/>
      <c r="J257" s="89">
        <f>J255+(J206-J256)*$BA$1</f>
        <v>2321.6125698712281</v>
      </c>
      <c r="K257" s="89">
        <f>K255+(K206-K256)*$BA$1</f>
        <v>2406.5947066242884</v>
      </c>
      <c r="L257" s="89"/>
      <c r="M257" s="89">
        <f>M255+(M206-M256)*$BA$1</f>
        <v>2360.0093808564829</v>
      </c>
      <c r="N257" s="89">
        <f>N255+(N206-N256)*$BA$1</f>
        <v>2388.4872315198268</v>
      </c>
      <c r="O257" s="89"/>
      <c r="P257" s="89">
        <f>P255+(P206-P256)*$BA$1</f>
        <v>2293.1347192078842</v>
      </c>
      <c r="Q257" s="89">
        <f>Q255+(Q206-Q256)*$BA$1</f>
        <v>2434.1263930010114</v>
      </c>
      <c r="R257" s="89"/>
      <c r="S257" s="89">
        <f>S255+(S206-S256)*$BA$1</f>
        <v>2330.2298733196999</v>
      </c>
      <c r="T257" s="89" t="e">
        <f>T255+(T206-T256)*$BA$1</f>
        <v>#N/A</v>
      </c>
      <c r="U257" s="89"/>
      <c r="V257" s="89" t="e">
        <f>V255+(V206-V256)*$BA$1</f>
        <v>#N/A</v>
      </c>
      <c r="W257" s="89" t="e">
        <f>W255+(W206-W256)*$BA$1</f>
        <v>#N/A</v>
      </c>
      <c r="X257" s="89"/>
      <c r="Y257" s="89" t="e">
        <f>Y255+(Y206-Y256)*$BA$1</f>
        <v>#N/A</v>
      </c>
      <c r="Z257" s="89" t="e">
        <f>Z255+(Z206-Z256)*$BA$1</f>
        <v>#N/A</v>
      </c>
      <c r="AA257" s="89"/>
      <c r="AB257" s="89" t="e">
        <f>AB255+(AB206-AB256)*$BA$1</f>
        <v>#N/A</v>
      </c>
      <c r="AC257" s="89" t="e">
        <f>AC255+(AC206-AC256)*$BA$1</f>
        <v>#N/A</v>
      </c>
      <c r="AD257" s="89"/>
      <c r="AE257" s="89" t="e">
        <f>AE255+(AE206-AE256)*$BA$1</f>
        <v>#N/A</v>
      </c>
      <c r="AF257" s="90"/>
      <c r="AG257" s="91"/>
      <c r="AH257" s="91"/>
      <c r="AI257" s="91"/>
      <c r="AJ257" s="91"/>
      <c r="AK257" s="91"/>
      <c r="AL257" s="91"/>
      <c r="AM257" s="91"/>
      <c r="AN257" s="92"/>
      <c r="AO257" s="92"/>
      <c r="AP257" s="92"/>
      <c r="AQ257" s="92"/>
      <c r="AW257" s="94"/>
      <c r="BB257" s="94"/>
    </row>
    <row r="258" spans="1:54" s="93" customFormat="1" hidden="1" x14ac:dyDescent="0.2">
      <c r="A258" s="89"/>
      <c r="B258" s="89"/>
      <c r="C258" s="89"/>
      <c r="D258" s="89"/>
      <c r="E258" s="89"/>
      <c r="F258" s="89"/>
      <c r="G258" s="89"/>
      <c r="H258" s="89"/>
      <c r="I258" s="89"/>
      <c r="J258" s="89"/>
      <c r="K258" s="89"/>
      <c r="L258" s="89"/>
      <c r="M258" s="89"/>
      <c r="N258" s="89"/>
      <c r="O258" s="89"/>
      <c r="P258" s="89"/>
      <c r="Q258" s="89"/>
      <c r="R258" s="89"/>
      <c r="S258" s="89"/>
      <c r="T258" s="89"/>
      <c r="U258" s="89"/>
      <c r="V258" s="89"/>
      <c r="W258" s="89"/>
      <c r="X258" s="89"/>
      <c r="Y258" s="89"/>
      <c r="Z258" s="89"/>
      <c r="AA258" s="89"/>
      <c r="AB258" s="89"/>
      <c r="AC258" s="89"/>
      <c r="AD258" s="89"/>
      <c r="AE258" s="89"/>
      <c r="AF258" s="90"/>
      <c r="AG258" s="91"/>
      <c r="AH258" s="91"/>
      <c r="AI258" s="91"/>
      <c r="AJ258" s="91"/>
      <c r="AK258" s="91"/>
      <c r="AL258" s="91"/>
      <c r="AM258" s="91"/>
      <c r="AN258" s="92"/>
      <c r="AO258" s="92"/>
      <c r="AP258" s="92"/>
      <c r="AQ258" s="92"/>
      <c r="AW258" s="94"/>
      <c r="BB258" s="94"/>
    </row>
    <row r="259" spans="1:54" s="77" customFormat="1" x14ac:dyDescent="0.2">
      <c r="A259" s="281" t="str">
        <f>IF($AK180=1,"Pool Tiereaker : 1) Matches Won vs Lost (if 3 way tie then #4)  2) Head to Head  3) Game Win %  4) Total Pool Net Points  5) Flip a Coin","Pool Tiebreaker : 1) Games Won vs Lost (if 3 way tie then #5)  2) Head to Head  3) Head to Head Net Points  4) Game Win %  5) Total Pool Net Points  6) Flip a Coin")</f>
        <v>Pool Tiereaker : 1) Matches Won vs Lost (if 3 way tie then #4)  2) Head to Head  3) Game Win %  4) Total Pool Net Points  5) Flip a Coin</v>
      </c>
      <c r="B259" s="281"/>
      <c r="C259" s="281"/>
      <c r="D259" s="281"/>
      <c r="E259" s="281"/>
      <c r="F259" s="281"/>
      <c r="G259" s="281"/>
      <c r="H259" s="281"/>
      <c r="I259" s="281"/>
      <c r="J259" s="281"/>
      <c r="K259" s="281"/>
      <c r="L259" s="281"/>
      <c r="M259" s="281"/>
      <c r="N259" s="281"/>
      <c r="O259" s="281"/>
      <c r="P259" s="281"/>
      <c r="Q259" s="281"/>
      <c r="R259" s="281"/>
      <c r="S259" s="281"/>
      <c r="T259" s="281"/>
      <c r="U259" s="281"/>
      <c r="V259" s="281"/>
      <c r="W259" s="281"/>
      <c r="X259" s="281"/>
      <c r="Y259" s="281"/>
      <c r="Z259" s="281"/>
      <c r="AA259" s="281"/>
      <c r="AB259" s="281"/>
      <c r="AC259" s="281"/>
      <c r="AD259" s="281"/>
      <c r="AE259" s="281"/>
      <c r="AF259" s="281"/>
      <c r="AG259" s="281"/>
      <c r="AH259" s="281"/>
      <c r="AI259" s="281"/>
      <c r="AJ259" s="281"/>
      <c r="AK259" s="281"/>
      <c r="AL259" s="281"/>
      <c r="AM259" s="281"/>
      <c r="AN259" s="259"/>
      <c r="AO259" s="259"/>
      <c r="AP259" s="259"/>
      <c r="AQ259" s="259"/>
      <c r="AW259" s="81"/>
    </row>
    <row r="260" spans="1:54" s="77" customFormat="1" ht="13.5" thickBot="1" x14ac:dyDescent="0.25">
      <c r="A260" s="282"/>
      <c r="B260" s="282"/>
      <c r="C260" s="282"/>
      <c r="D260" s="282"/>
      <c r="E260" s="282"/>
      <c r="F260" s="282"/>
      <c r="G260" s="282"/>
      <c r="H260" s="282"/>
      <c r="I260" s="282"/>
      <c r="J260" s="282"/>
      <c r="K260" s="282"/>
      <c r="L260" s="282"/>
      <c r="M260" s="282"/>
      <c r="N260" s="282"/>
      <c r="O260" s="282"/>
      <c r="P260" s="282"/>
      <c r="Q260" s="282"/>
      <c r="R260" s="282"/>
      <c r="S260" s="282"/>
      <c r="T260" s="282"/>
      <c r="U260" s="282"/>
      <c r="V260" s="282"/>
      <c r="W260" s="282"/>
      <c r="X260" s="282"/>
      <c r="Y260" s="282"/>
      <c r="Z260" s="282"/>
      <c r="AA260" s="282"/>
      <c r="AB260" s="282"/>
      <c r="AC260" s="282"/>
      <c r="AD260" s="282"/>
      <c r="AE260" s="282"/>
      <c r="AF260" s="282"/>
      <c r="AG260" s="282"/>
      <c r="AH260" s="282"/>
      <c r="AI260" s="282"/>
      <c r="AJ260" s="282"/>
      <c r="AK260" s="282"/>
      <c r="AL260" s="282"/>
      <c r="AM260" s="282"/>
      <c r="AN260" s="282"/>
      <c r="AO260" s="282"/>
      <c r="AP260" s="282"/>
      <c r="AQ260" s="282"/>
      <c r="AT260" s="4"/>
      <c r="AU260" s="4"/>
      <c r="AV260" s="4"/>
      <c r="AW260" s="81"/>
    </row>
    <row r="261" spans="1:54" ht="24" customHeight="1" thickBot="1" x14ac:dyDescent="0.25">
      <c r="A261" s="27" t="s">
        <v>34</v>
      </c>
      <c r="B261" s="28" t="s">
        <v>206</v>
      </c>
      <c r="C261" s="353" t="s">
        <v>36</v>
      </c>
      <c r="D261" s="354"/>
      <c r="E261" s="354"/>
      <c r="F261" s="354"/>
      <c r="G261" s="354"/>
      <c r="H261" s="355"/>
      <c r="I261" s="356">
        <v>4</v>
      </c>
      <c r="J261" s="357"/>
      <c r="K261" s="358" t="str">
        <f>"Pool "&amp;B261&amp;" - Round 1 - Court "&amp;I261</f>
        <v>Pool D - Round 1 - Court 4</v>
      </c>
      <c r="L261" s="359"/>
      <c r="M261" s="359"/>
      <c r="N261" s="359"/>
      <c r="O261" s="359"/>
      <c r="P261" s="359"/>
      <c r="Q261" s="359"/>
      <c r="R261" s="359"/>
      <c r="S261" s="359"/>
      <c r="T261" s="359"/>
      <c r="U261" s="359"/>
      <c r="V261" s="359"/>
      <c r="W261" s="359"/>
      <c r="X261" s="359"/>
      <c r="Y261" s="359"/>
      <c r="Z261" s="359"/>
      <c r="AA261" s="359"/>
      <c r="AB261" s="359"/>
      <c r="AC261" s="359"/>
      <c r="AD261" s="359"/>
      <c r="AE261" s="359"/>
      <c r="AF261" s="359"/>
      <c r="AG261" s="359"/>
      <c r="AH261" s="359"/>
      <c r="AI261" s="360"/>
      <c r="AJ261" s="8"/>
      <c r="AK261" s="8"/>
      <c r="AL261" s="8"/>
      <c r="AM261" s="8"/>
      <c r="AN261" s="8"/>
      <c r="AO261" s="8"/>
      <c r="AP261" s="8"/>
      <c r="AQ261" s="8"/>
    </row>
    <row r="262" spans="1:54" ht="27" customHeight="1" thickBot="1" x14ac:dyDescent="0.25">
      <c r="A262" s="29" t="s">
        <v>39</v>
      </c>
      <c r="B262" s="361" t="s">
        <v>10</v>
      </c>
      <c r="C262" s="362"/>
      <c r="D262" s="362"/>
      <c r="E262" s="362"/>
      <c r="F262" s="362"/>
      <c r="G262" s="362"/>
      <c r="H262" s="362"/>
      <c r="I262" s="362"/>
      <c r="J262" s="362"/>
      <c r="K262" s="362"/>
      <c r="L262" s="361" t="str">
        <f>IF($AK265=0,"Games Won","Matches Won")</f>
        <v>Matches Won</v>
      </c>
      <c r="M262" s="362"/>
      <c r="N262" s="362"/>
      <c r="O262" s="362"/>
      <c r="P262" s="362"/>
      <c r="Q262" s="363"/>
      <c r="R262" s="361" t="str">
        <f>IF($AK265=0,"Games Lost","Matches Lost")</f>
        <v>Matches Lost</v>
      </c>
      <c r="S262" s="364"/>
      <c r="T262" s="364"/>
      <c r="U262" s="364"/>
      <c r="V262" s="365"/>
      <c r="W262" s="366" t="s">
        <v>40</v>
      </c>
      <c r="X262" s="367"/>
      <c r="Y262" s="368"/>
      <c r="Z262" s="366" t="s">
        <v>41</v>
      </c>
      <c r="AA262" s="367"/>
      <c r="AB262" s="368"/>
      <c r="AC262" s="369" t="s">
        <v>42</v>
      </c>
      <c r="AD262" s="370"/>
      <c r="AE262" s="371"/>
      <c r="AF262" s="30" t="s">
        <v>43</v>
      </c>
      <c r="AG262" s="31" t="s">
        <v>9</v>
      </c>
      <c r="AH262" s="351" t="s">
        <v>44</v>
      </c>
      <c r="AI262" s="352"/>
      <c r="AJ262" s="32"/>
      <c r="AK262" s="33">
        <v>3</v>
      </c>
      <c r="AL262" s="34" t="s">
        <v>45</v>
      </c>
      <c r="AM262" s="34"/>
      <c r="AN262" s="34"/>
      <c r="AO262" s="34"/>
      <c r="AP262" s="34"/>
      <c r="AQ262" s="34"/>
      <c r="AR262" s="35"/>
    </row>
    <row r="263" spans="1:54" ht="18.75" customHeight="1" x14ac:dyDescent="0.2">
      <c r="A263" s="320" t="str">
        <f>IF($AK264&gt;0,"1","")</f>
        <v>1</v>
      </c>
      <c r="B263" s="348" t="s">
        <v>10</v>
      </c>
      <c r="C263" s="349"/>
      <c r="D263" s="350"/>
      <c r="E263" s="324" t="str">
        <f>AU6</f>
        <v>Intense 15 Elite Columbia</v>
      </c>
      <c r="F263" s="325"/>
      <c r="G263" s="325"/>
      <c r="H263" s="325"/>
      <c r="I263" s="325"/>
      <c r="J263" s="325"/>
      <c r="K263" s="326"/>
      <c r="L263" s="327">
        <f>IF($AK265=0,AF319,AF301)</f>
        <v>1</v>
      </c>
      <c r="M263" s="328"/>
      <c r="N263" s="328"/>
      <c r="O263" s="328"/>
      <c r="P263" s="328"/>
      <c r="Q263" s="363"/>
      <c r="R263" s="327">
        <f>IF($AK265=0,AG319,AG301)</f>
        <v>2</v>
      </c>
      <c r="S263" s="328"/>
      <c r="T263" s="328"/>
      <c r="U263" s="328"/>
      <c r="V263" s="328"/>
      <c r="W263" s="327">
        <f>AQ279</f>
        <v>-10</v>
      </c>
      <c r="X263" s="328"/>
      <c r="Y263" s="328"/>
      <c r="Z263" s="300">
        <f>IF(AF313&gt;0,(AQ279/AF313),0)</f>
        <v>-6.0606060606060608E-2</v>
      </c>
      <c r="AA263" s="301"/>
      <c r="AB263" s="301"/>
      <c r="AC263" s="304">
        <f>IF(AF327=0,0,(AF319/AF327))</f>
        <v>0.42857142857142855</v>
      </c>
      <c r="AD263" s="305"/>
      <c r="AE263" s="306"/>
      <c r="AF263" s="310">
        <v>3</v>
      </c>
      <c r="AG263" s="310">
        <v>1</v>
      </c>
      <c r="AH263" s="312"/>
      <c r="AI263" s="313"/>
      <c r="AJ263" s="32"/>
      <c r="AK263" s="33">
        <v>6</v>
      </c>
      <c r="AL263" s="34" t="s">
        <v>48</v>
      </c>
      <c r="AM263" s="34"/>
      <c r="AN263" s="34"/>
      <c r="AO263" s="34"/>
      <c r="AP263" s="34"/>
      <c r="AQ263" s="34"/>
      <c r="AR263" s="35"/>
    </row>
    <row r="264" spans="1:54" ht="18.75" customHeight="1" thickBot="1" x14ac:dyDescent="0.25">
      <c r="A264" s="321"/>
      <c r="B264" s="345" t="s">
        <v>11</v>
      </c>
      <c r="C264" s="346"/>
      <c r="D264" s="347"/>
      <c r="E264" s="341" t="str">
        <f>AV6</f>
        <v>fj5inten2pm</v>
      </c>
      <c r="F264" s="342"/>
      <c r="G264" s="342"/>
      <c r="H264" s="342"/>
      <c r="I264" s="342"/>
      <c r="J264" s="342"/>
      <c r="K264" s="342"/>
      <c r="L264" s="343"/>
      <c r="M264" s="344"/>
      <c r="N264" s="344"/>
      <c r="O264" s="344"/>
      <c r="P264" s="344"/>
      <c r="Q264" s="363"/>
      <c r="R264" s="343"/>
      <c r="S264" s="344"/>
      <c r="T264" s="344"/>
      <c r="U264" s="344"/>
      <c r="V264" s="344"/>
      <c r="W264" s="343"/>
      <c r="X264" s="344"/>
      <c r="Y264" s="344"/>
      <c r="Z264" s="331"/>
      <c r="AA264" s="332"/>
      <c r="AB264" s="332"/>
      <c r="AC264" s="333"/>
      <c r="AD264" s="334"/>
      <c r="AE264" s="335"/>
      <c r="AF264" s="336"/>
      <c r="AG264" s="336"/>
      <c r="AH264" s="337"/>
      <c r="AI264" s="338"/>
      <c r="AJ264" s="32"/>
      <c r="AK264" s="33">
        <v>4</v>
      </c>
      <c r="AL264" s="34" t="s">
        <v>51</v>
      </c>
      <c r="AM264" s="32"/>
      <c r="AN264" s="32"/>
      <c r="AO264" s="32"/>
      <c r="AP264" s="32"/>
      <c r="AQ264" s="32"/>
      <c r="AR264" s="3"/>
    </row>
    <row r="265" spans="1:54" ht="18.75" customHeight="1" x14ac:dyDescent="0.2">
      <c r="A265" s="320" t="str">
        <f>IF($AK264&gt;1,"2","")</f>
        <v>2</v>
      </c>
      <c r="B265" s="348" t="s">
        <v>10</v>
      </c>
      <c r="C265" s="349"/>
      <c r="D265" s="350"/>
      <c r="E265" s="324" t="str">
        <f>AU7</f>
        <v>Chas Jrs 15 Power</v>
      </c>
      <c r="F265" s="325"/>
      <c r="G265" s="325"/>
      <c r="H265" s="325"/>
      <c r="I265" s="325"/>
      <c r="J265" s="325"/>
      <c r="K265" s="326"/>
      <c r="L265" s="327">
        <f>IF($AK265=0,AF320,AF302)</f>
        <v>3</v>
      </c>
      <c r="M265" s="328"/>
      <c r="N265" s="328"/>
      <c r="O265" s="328"/>
      <c r="P265" s="328"/>
      <c r="Q265" s="363"/>
      <c r="R265" s="327">
        <f>IF($AK265=0,AG320,AG302)</f>
        <v>0</v>
      </c>
      <c r="S265" s="328"/>
      <c r="T265" s="328"/>
      <c r="U265" s="328"/>
      <c r="V265" s="328"/>
      <c r="W265" s="327">
        <f>AQ280</f>
        <v>32</v>
      </c>
      <c r="X265" s="328"/>
      <c r="Y265" s="328"/>
      <c r="Z265" s="300">
        <f>IF(AF314&gt;0,(AQ280/AF314),0)</f>
        <v>0.16243654822335024</v>
      </c>
      <c r="AA265" s="301"/>
      <c r="AB265" s="301"/>
      <c r="AC265" s="304">
        <f>IF(AF328=0,0,(AF320/AF328))</f>
        <v>0.66666666666666663</v>
      </c>
      <c r="AD265" s="305"/>
      <c r="AE265" s="306"/>
      <c r="AF265" s="310">
        <v>1</v>
      </c>
      <c r="AG265" s="310">
        <v>1</v>
      </c>
      <c r="AH265" s="312"/>
      <c r="AI265" s="313"/>
      <c r="AJ265" s="32"/>
      <c r="AK265" s="33">
        <v>1</v>
      </c>
      <c r="AL265" s="34" t="s">
        <v>54</v>
      </c>
      <c r="AM265" s="34"/>
      <c r="AN265" s="34"/>
      <c r="AO265" s="34"/>
      <c r="AP265" s="34"/>
      <c r="AQ265" s="34"/>
      <c r="AR265" s="35"/>
    </row>
    <row r="266" spans="1:54" ht="18.75" customHeight="1" thickBot="1" x14ac:dyDescent="0.25">
      <c r="A266" s="321"/>
      <c r="B266" s="339" t="s">
        <v>11</v>
      </c>
      <c r="C266" s="340"/>
      <c r="D266" s="340"/>
      <c r="E266" s="341" t="str">
        <f>AV7</f>
        <v>fj5charl2pm</v>
      </c>
      <c r="F266" s="342"/>
      <c r="G266" s="342"/>
      <c r="H266" s="342"/>
      <c r="I266" s="342"/>
      <c r="J266" s="342"/>
      <c r="K266" s="342"/>
      <c r="L266" s="343"/>
      <c r="M266" s="344"/>
      <c r="N266" s="344"/>
      <c r="O266" s="344"/>
      <c r="P266" s="344"/>
      <c r="Q266" s="363"/>
      <c r="R266" s="343"/>
      <c r="S266" s="344"/>
      <c r="T266" s="344"/>
      <c r="U266" s="344"/>
      <c r="V266" s="344"/>
      <c r="W266" s="343"/>
      <c r="X266" s="344"/>
      <c r="Y266" s="344"/>
      <c r="Z266" s="331"/>
      <c r="AA266" s="332"/>
      <c r="AB266" s="332"/>
      <c r="AC266" s="333"/>
      <c r="AD266" s="334"/>
      <c r="AE266" s="335"/>
      <c r="AF266" s="336"/>
      <c r="AG266" s="336"/>
      <c r="AH266" s="337"/>
      <c r="AI266" s="338"/>
      <c r="AJ266" s="32"/>
      <c r="AK266" s="33">
        <v>1</v>
      </c>
      <c r="AL266" s="34" t="s">
        <v>56</v>
      </c>
      <c r="AM266" s="32"/>
      <c r="AN266" s="32"/>
      <c r="AO266" s="32"/>
      <c r="AP266" s="32"/>
      <c r="AQ266" s="32"/>
      <c r="AR266" s="3"/>
    </row>
    <row r="267" spans="1:54" ht="18.75" customHeight="1" x14ac:dyDescent="0.2">
      <c r="A267" s="320" t="str">
        <f>IF($AK264&gt;2,"3","")</f>
        <v>3</v>
      </c>
      <c r="B267" s="322" t="s">
        <v>10</v>
      </c>
      <c r="C267" s="323"/>
      <c r="D267" s="323"/>
      <c r="E267" s="324" t="str">
        <f>AU14</f>
        <v>C1VB 15 Power Pickens</v>
      </c>
      <c r="F267" s="325"/>
      <c r="G267" s="325"/>
      <c r="H267" s="325"/>
      <c r="I267" s="325"/>
      <c r="J267" s="325"/>
      <c r="K267" s="326"/>
      <c r="L267" s="327">
        <f>IF($AK265=0,AF321,AF303)</f>
        <v>0</v>
      </c>
      <c r="M267" s="328"/>
      <c r="N267" s="328"/>
      <c r="O267" s="328"/>
      <c r="P267" s="328"/>
      <c r="Q267" s="363"/>
      <c r="R267" s="327">
        <f>IF($AK265=0,AG321,AG303)</f>
        <v>3</v>
      </c>
      <c r="S267" s="328"/>
      <c r="T267" s="328"/>
      <c r="U267" s="328"/>
      <c r="V267" s="328"/>
      <c r="W267" s="327">
        <f>AQ281</f>
        <v>-44</v>
      </c>
      <c r="X267" s="328"/>
      <c r="Y267" s="328"/>
      <c r="Z267" s="300">
        <f>IF(AF315&gt;0,(AQ281/AF315),0)</f>
        <v>-0.26666666666666666</v>
      </c>
      <c r="AA267" s="301"/>
      <c r="AB267" s="301"/>
      <c r="AC267" s="304">
        <f>IF(AF329=0,0,(AF321/AF329))</f>
        <v>0.14285714285714285</v>
      </c>
      <c r="AD267" s="305"/>
      <c r="AE267" s="306"/>
      <c r="AF267" s="310">
        <v>4</v>
      </c>
      <c r="AG267" s="310">
        <v>1</v>
      </c>
      <c r="AH267" s="312"/>
      <c r="AI267" s="313"/>
      <c r="AJ267" s="43"/>
      <c r="AK267" s="33">
        <v>3</v>
      </c>
      <c r="AL267" s="44" t="s">
        <v>57</v>
      </c>
      <c r="AM267" s="34"/>
      <c r="AN267" s="34"/>
      <c r="AO267" s="34"/>
      <c r="AP267" s="34"/>
      <c r="AQ267" s="34"/>
      <c r="AR267" s="35"/>
    </row>
    <row r="268" spans="1:54" ht="18.75" customHeight="1" thickBot="1" x14ac:dyDescent="0.25">
      <c r="A268" s="321"/>
      <c r="B268" s="339" t="s">
        <v>11</v>
      </c>
      <c r="C268" s="340"/>
      <c r="D268" s="340"/>
      <c r="E268" s="341" t="str">
        <f>AV14</f>
        <v>fj5crone4pm</v>
      </c>
      <c r="F268" s="342"/>
      <c r="G268" s="342"/>
      <c r="H268" s="342"/>
      <c r="I268" s="342"/>
      <c r="J268" s="342"/>
      <c r="K268" s="342"/>
      <c r="L268" s="343"/>
      <c r="M268" s="344"/>
      <c r="N268" s="344"/>
      <c r="O268" s="344"/>
      <c r="P268" s="344"/>
      <c r="Q268" s="363"/>
      <c r="R268" s="343"/>
      <c r="S268" s="344"/>
      <c r="T268" s="344"/>
      <c r="U268" s="344"/>
      <c r="V268" s="344"/>
      <c r="W268" s="343"/>
      <c r="X268" s="344"/>
      <c r="Y268" s="344"/>
      <c r="Z268" s="331"/>
      <c r="AA268" s="332"/>
      <c r="AB268" s="332"/>
      <c r="AC268" s="333"/>
      <c r="AD268" s="334"/>
      <c r="AE268" s="335"/>
      <c r="AF268" s="336"/>
      <c r="AG268" s="336"/>
      <c r="AH268" s="337"/>
      <c r="AI268" s="338"/>
      <c r="AJ268" s="43"/>
      <c r="AK268" s="51"/>
      <c r="AL268" s="52"/>
      <c r="AM268" s="52"/>
      <c r="AN268" s="52"/>
      <c r="AO268" s="52"/>
      <c r="AP268" s="52"/>
      <c r="AQ268" s="32"/>
      <c r="AR268" s="3"/>
    </row>
    <row r="269" spans="1:54" ht="18.75" customHeight="1" x14ac:dyDescent="0.2">
      <c r="A269" s="320" t="str">
        <f>IF($AK264&gt;3,"4","")</f>
        <v>4</v>
      </c>
      <c r="B269" s="322" t="s">
        <v>10</v>
      </c>
      <c r="C269" s="323"/>
      <c r="D269" s="323"/>
      <c r="E269" s="324" t="str">
        <f>AU15</f>
        <v>CSRA Heat 14 National</v>
      </c>
      <c r="F269" s="325"/>
      <c r="G269" s="325"/>
      <c r="H269" s="325"/>
      <c r="I269" s="325"/>
      <c r="J269" s="325"/>
      <c r="K269" s="326"/>
      <c r="L269" s="327">
        <f>IF($AK265=0,AF322,AF304)</f>
        <v>2</v>
      </c>
      <c r="M269" s="328"/>
      <c r="N269" s="328"/>
      <c r="O269" s="328"/>
      <c r="P269" s="328"/>
      <c r="Q269" s="363"/>
      <c r="R269" s="327">
        <f>IF($AK265=0,AG322,AG304)</f>
        <v>1</v>
      </c>
      <c r="S269" s="328"/>
      <c r="T269" s="328"/>
      <c r="U269" s="328"/>
      <c r="V269" s="328"/>
      <c r="W269" s="327">
        <f>AQ282</f>
        <v>22</v>
      </c>
      <c r="X269" s="328"/>
      <c r="Y269" s="328"/>
      <c r="Z269" s="300">
        <f>IF(AF316&gt;0,(AQ282/AF316),0)</f>
        <v>0.1317365269461078</v>
      </c>
      <c r="AA269" s="301"/>
      <c r="AB269" s="301"/>
      <c r="AC269" s="304">
        <f>IF(AF330=0,0,(AF322/AF330))</f>
        <v>0.7142857142857143</v>
      </c>
      <c r="AD269" s="305"/>
      <c r="AE269" s="306"/>
      <c r="AF269" s="310">
        <v>2</v>
      </c>
      <c r="AG269" s="310">
        <v>1</v>
      </c>
      <c r="AH269" s="312"/>
      <c r="AI269" s="313"/>
      <c r="AJ269" s="8"/>
      <c r="AK269" s="52"/>
      <c r="AL269" s="52"/>
      <c r="AM269" s="52"/>
      <c r="AN269" s="52"/>
      <c r="AO269" s="52"/>
      <c r="AP269" s="52"/>
      <c r="AQ269" s="34"/>
      <c r="AR269" s="35"/>
    </row>
    <row r="270" spans="1:54" ht="18.75" customHeight="1" thickBot="1" x14ac:dyDescent="0.25">
      <c r="A270" s="321"/>
      <c r="B270" s="339" t="s">
        <v>11</v>
      </c>
      <c r="C270" s="340"/>
      <c r="D270" s="340"/>
      <c r="E270" s="341" t="str">
        <f>AV15</f>
        <v>fj4csrah1pm</v>
      </c>
      <c r="F270" s="342"/>
      <c r="G270" s="342"/>
      <c r="H270" s="342"/>
      <c r="I270" s="342"/>
      <c r="J270" s="342"/>
      <c r="K270" s="342"/>
      <c r="L270" s="343"/>
      <c r="M270" s="344"/>
      <c r="N270" s="344"/>
      <c r="O270" s="344"/>
      <c r="P270" s="344"/>
      <c r="Q270" s="363"/>
      <c r="R270" s="343"/>
      <c r="S270" s="344"/>
      <c r="T270" s="344"/>
      <c r="U270" s="344"/>
      <c r="V270" s="344"/>
      <c r="W270" s="343"/>
      <c r="X270" s="344"/>
      <c r="Y270" s="344"/>
      <c r="Z270" s="331"/>
      <c r="AA270" s="332"/>
      <c r="AB270" s="332"/>
      <c r="AC270" s="333"/>
      <c r="AD270" s="334"/>
      <c r="AE270" s="335"/>
      <c r="AF270" s="336"/>
      <c r="AG270" s="336"/>
      <c r="AH270" s="337"/>
      <c r="AI270" s="338"/>
      <c r="AJ270" s="8"/>
      <c r="AK270" s="52"/>
      <c r="AL270" s="52"/>
      <c r="AM270" s="52"/>
      <c r="AN270" s="52"/>
      <c r="AO270" s="52"/>
      <c r="AP270" s="52"/>
      <c r="AQ270" s="8"/>
      <c r="AR270" s="3"/>
    </row>
    <row r="271" spans="1:54" ht="18.75" customHeight="1" x14ac:dyDescent="0.2">
      <c r="A271" s="320" t="str">
        <f>IF($AK264&gt;4,"5","")</f>
        <v/>
      </c>
      <c r="B271" s="322" t="s">
        <v>10</v>
      </c>
      <c r="C271" s="323"/>
      <c r="D271" s="323"/>
      <c r="E271" s="427">
        <f>AU22</f>
        <v>0</v>
      </c>
      <c r="F271" s="428"/>
      <c r="G271" s="428"/>
      <c r="H271" s="428"/>
      <c r="I271" s="428"/>
      <c r="J271" s="428"/>
      <c r="K271" s="429"/>
      <c r="L271" s="327">
        <f>IF($AK265=0,AF323,AF305)</f>
        <v>0</v>
      </c>
      <c r="M271" s="328"/>
      <c r="N271" s="328"/>
      <c r="O271" s="328"/>
      <c r="P271" s="328"/>
      <c r="Q271" s="363"/>
      <c r="R271" s="327">
        <f>IF($AK265=0,AG323,AG305)</f>
        <v>0</v>
      </c>
      <c r="S271" s="328"/>
      <c r="T271" s="328"/>
      <c r="U271" s="328"/>
      <c r="V271" s="328"/>
      <c r="W271" s="327">
        <f>AQ283</f>
        <v>0</v>
      </c>
      <c r="X271" s="328"/>
      <c r="Y271" s="328"/>
      <c r="Z271" s="300">
        <f>IF(AF317&gt;0,(AQ283/AF317),0)</f>
        <v>0</v>
      </c>
      <c r="AA271" s="301"/>
      <c r="AB271" s="301"/>
      <c r="AC271" s="304">
        <f>IF(AF331=0,0,(AF323/AF331))</f>
        <v>0</v>
      </c>
      <c r="AD271" s="305"/>
      <c r="AE271" s="306"/>
      <c r="AF271" s="310"/>
      <c r="AG271" s="310"/>
      <c r="AH271" s="312"/>
      <c r="AI271" s="313"/>
      <c r="AJ271" s="8"/>
      <c r="AK271" s="52"/>
      <c r="AL271" s="52"/>
      <c r="AM271" s="52"/>
      <c r="AN271" s="52"/>
      <c r="AO271" s="52"/>
      <c r="AP271" s="52"/>
      <c r="AQ271" s="8"/>
      <c r="AR271" s="3"/>
    </row>
    <row r="272" spans="1:54" ht="18.75" customHeight="1" thickBot="1" x14ac:dyDescent="0.25">
      <c r="A272" s="321"/>
      <c r="B272" s="316" t="s">
        <v>11</v>
      </c>
      <c r="C272" s="317"/>
      <c r="D272" s="317"/>
      <c r="E272" s="430">
        <f>AV22</f>
        <v>0</v>
      </c>
      <c r="F272" s="431"/>
      <c r="G272" s="431"/>
      <c r="H272" s="431"/>
      <c r="I272" s="431"/>
      <c r="J272" s="431"/>
      <c r="K272" s="431"/>
      <c r="L272" s="329"/>
      <c r="M272" s="330"/>
      <c r="N272" s="330"/>
      <c r="O272" s="330"/>
      <c r="P272" s="330"/>
      <c r="Q272" s="363"/>
      <c r="R272" s="329"/>
      <c r="S272" s="330"/>
      <c r="T272" s="330"/>
      <c r="U272" s="330"/>
      <c r="V272" s="330"/>
      <c r="W272" s="329"/>
      <c r="X272" s="330"/>
      <c r="Y272" s="330"/>
      <c r="Z272" s="302"/>
      <c r="AA272" s="303"/>
      <c r="AB272" s="303"/>
      <c r="AC272" s="307"/>
      <c r="AD272" s="308"/>
      <c r="AE272" s="309"/>
      <c r="AF272" s="311"/>
      <c r="AG272" s="311"/>
      <c r="AH272" s="314"/>
      <c r="AI272" s="315"/>
      <c r="AJ272" s="8"/>
      <c r="AK272" s="52"/>
      <c r="AL272" s="52"/>
      <c r="AM272" s="52"/>
      <c r="AN272" s="52"/>
      <c r="AO272" s="52"/>
      <c r="AP272" s="52"/>
      <c r="AQ272" s="8"/>
      <c r="AR272" s="3"/>
    </row>
    <row r="273" spans="1:49" ht="21" customHeight="1" thickTop="1" thickBot="1" x14ac:dyDescent="0.25">
      <c r="A273" s="55"/>
      <c r="B273" s="297" t="s">
        <v>207</v>
      </c>
      <c r="C273" s="298"/>
      <c r="D273" s="298"/>
      <c r="E273" s="298"/>
      <c r="F273" s="298"/>
      <c r="G273" s="298"/>
      <c r="H273" s="298"/>
      <c r="I273" s="298"/>
      <c r="J273" s="298"/>
      <c r="K273" s="298"/>
      <c r="L273" s="298"/>
      <c r="M273" s="298"/>
      <c r="N273" s="298"/>
      <c r="O273" s="298"/>
      <c r="P273" s="298"/>
      <c r="Q273" s="298"/>
      <c r="R273" s="298"/>
      <c r="S273" s="298"/>
      <c r="T273" s="298"/>
      <c r="U273" s="298"/>
      <c r="V273" s="298"/>
      <c r="W273" s="298"/>
      <c r="X273" s="298"/>
      <c r="Y273" s="298"/>
      <c r="Z273" s="298"/>
      <c r="AA273" s="298"/>
      <c r="AB273" s="298"/>
      <c r="AC273" s="298"/>
      <c r="AD273" s="298"/>
      <c r="AE273" s="298"/>
      <c r="AF273" s="298"/>
      <c r="AG273" s="298"/>
      <c r="AH273" s="298"/>
      <c r="AI273" s="299"/>
      <c r="AJ273" s="8"/>
      <c r="AK273" s="52"/>
      <c r="AL273" s="52"/>
      <c r="AM273" s="52"/>
      <c r="AN273" s="52"/>
      <c r="AO273" s="52"/>
      <c r="AP273" s="52"/>
      <c r="AQ273" s="8"/>
      <c r="AR273" s="3"/>
    </row>
    <row r="274" spans="1:49" ht="13.5" thickTop="1" x14ac:dyDescent="0.2">
      <c r="A274" s="4" t="s">
        <v>60</v>
      </c>
      <c r="B274" s="286">
        <v>0.35416666666666669</v>
      </c>
      <c r="C274" s="287"/>
      <c r="D274" s="288"/>
      <c r="E274" s="286">
        <v>0.39583333333333331</v>
      </c>
      <c r="F274" s="287"/>
      <c r="G274" s="288"/>
      <c r="H274" s="286">
        <v>0.4375</v>
      </c>
      <c r="I274" s="287"/>
      <c r="J274" s="288"/>
      <c r="K274" s="286">
        <v>0.47916666666666669</v>
      </c>
      <c r="L274" s="287"/>
      <c r="M274" s="288"/>
      <c r="N274" s="286">
        <v>0.52083333333333337</v>
      </c>
      <c r="O274" s="287"/>
      <c r="P274" s="288"/>
      <c r="Q274" s="286">
        <v>6.25E-2</v>
      </c>
      <c r="R274" s="287"/>
      <c r="S274" s="288"/>
      <c r="T274" s="286"/>
      <c r="U274" s="287"/>
      <c r="V274" s="288"/>
      <c r="W274" s="286"/>
      <c r="X274" s="287"/>
      <c r="Y274" s="288"/>
      <c r="Z274" s="286"/>
      <c r="AA274" s="287"/>
      <c r="AB274" s="288"/>
      <c r="AC274" s="286"/>
      <c r="AD274" s="287"/>
      <c r="AE274" s="288"/>
      <c r="AF274" s="289" t="s">
        <v>61</v>
      </c>
      <c r="AG274" s="290"/>
      <c r="AH274" s="290"/>
      <c r="AI274" s="290"/>
      <c r="AJ274" s="291"/>
      <c r="AK274" s="291"/>
      <c r="AL274" s="291"/>
      <c r="AM274" s="291"/>
      <c r="AN274" s="291"/>
      <c r="AO274" s="291"/>
      <c r="AP274" s="291"/>
      <c r="AQ274" s="292"/>
    </row>
    <row r="275" spans="1:49" x14ac:dyDescent="0.2">
      <c r="A275" s="56" t="s">
        <v>62</v>
      </c>
      <c r="B275" s="283"/>
      <c r="C275" s="284"/>
      <c r="D275" s="285"/>
      <c r="E275" s="283"/>
      <c r="F275" s="284"/>
      <c r="G275" s="285"/>
      <c r="H275" s="283"/>
      <c r="I275" s="284"/>
      <c r="J275" s="285"/>
      <c r="K275" s="283"/>
      <c r="L275" s="284"/>
      <c r="M275" s="285"/>
      <c r="N275" s="283"/>
      <c r="O275" s="284"/>
      <c r="P275" s="285"/>
      <c r="Q275" s="283"/>
      <c r="R275" s="284"/>
      <c r="S275" s="285"/>
      <c r="T275" s="283"/>
      <c r="U275" s="284"/>
      <c r="V275" s="285"/>
      <c r="W275" s="283"/>
      <c r="X275" s="284"/>
      <c r="Y275" s="285"/>
      <c r="Z275" s="283"/>
      <c r="AA275" s="284"/>
      <c r="AB275" s="285"/>
      <c r="AC275" s="283"/>
      <c r="AD275" s="284"/>
      <c r="AE275" s="285"/>
      <c r="AF275" s="289"/>
      <c r="AG275" s="290"/>
      <c r="AH275" s="290"/>
      <c r="AI275" s="290"/>
      <c r="AJ275" s="290"/>
      <c r="AK275" s="290"/>
      <c r="AL275" s="290"/>
      <c r="AM275" s="290"/>
      <c r="AN275" s="290"/>
      <c r="AO275" s="290"/>
      <c r="AP275" s="290"/>
      <c r="AQ275" s="293"/>
    </row>
    <row r="276" spans="1:49" x14ac:dyDescent="0.2">
      <c r="A276" s="56" t="s">
        <v>63</v>
      </c>
      <c r="B276" s="283"/>
      <c r="C276" s="284"/>
      <c r="D276" s="285"/>
      <c r="E276" s="283"/>
      <c r="F276" s="284"/>
      <c r="G276" s="285"/>
      <c r="H276" s="283"/>
      <c r="I276" s="284"/>
      <c r="J276" s="285"/>
      <c r="K276" s="283"/>
      <c r="L276" s="284"/>
      <c r="M276" s="285"/>
      <c r="N276" s="283"/>
      <c r="O276" s="284"/>
      <c r="P276" s="285"/>
      <c r="Q276" s="283"/>
      <c r="R276" s="284"/>
      <c r="S276" s="285"/>
      <c r="T276" s="283"/>
      <c r="U276" s="284"/>
      <c r="V276" s="285"/>
      <c r="W276" s="283"/>
      <c r="X276" s="284"/>
      <c r="Y276" s="285"/>
      <c r="Z276" s="283"/>
      <c r="AA276" s="284"/>
      <c r="AB276" s="285"/>
      <c r="AC276" s="283"/>
      <c r="AD276" s="284"/>
      <c r="AE276" s="285"/>
      <c r="AF276" s="289"/>
      <c r="AG276" s="290"/>
      <c r="AH276" s="290"/>
      <c r="AI276" s="290"/>
      <c r="AJ276" s="290"/>
      <c r="AK276" s="290"/>
      <c r="AL276" s="290"/>
      <c r="AM276" s="290"/>
      <c r="AN276" s="290"/>
      <c r="AO276" s="290"/>
      <c r="AP276" s="290"/>
      <c r="AQ276" s="293"/>
    </row>
    <row r="277" spans="1:49" ht="13.5" thickBot="1" x14ac:dyDescent="0.25">
      <c r="A277" s="8"/>
      <c r="B277" s="173" t="s">
        <v>64</v>
      </c>
      <c r="C277" s="174"/>
      <c r="D277" s="180"/>
      <c r="E277" s="173" t="str">
        <f>IF(AK263&gt;1,"Match 2","")</f>
        <v>Match 2</v>
      </c>
      <c r="F277" s="174"/>
      <c r="G277" s="180"/>
      <c r="H277" s="173" t="str">
        <f>IF(AK263&gt;2,"Match 3","")</f>
        <v>Match 3</v>
      </c>
      <c r="I277" s="174"/>
      <c r="J277" s="180"/>
      <c r="K277" s="173" t="str">
        <f>IF(AK263&gt;3,"Match 4","")</f>
        <v>Match 4</v>
      </c>
      <c r="L277" s="174"/>
      <c r="M277" s="180"/>
      <c r="N277" s="173" t="str">
        <f>IF(AK263&gt;4,"Match 5","")</f>
        <v>Match 5</v>
      </c>
      <c r="O277" s="174"/>
      <c r="P277" s="180"/>
      <c r="Q277" s="173" t="str">
        <f>IF(AK263&gt;5,"Match 6","")</f>
        <v>Match 6</v>
      </c>
      <c r="R277" s="174"/>
      <c r="S277" s="180"/>
      <c r="T277" s="173" t="str">
        <f>IF(AK263&gt;6,"Match 7","")</f>
        <v/>
      </c>
      <c r="U277" s="174"/>
      <c r="V277" s="180"/>
      <c r="W277" s="173" t="str">
        <f>IF(AK263&gt;7,"Match 8","")</f>
        <v/>
      </c>
      <c r="X277" s="174"/>
      <c r="Y277" s="180"/>
      <c r="Z277" s="173" t="str">
        <f>IF(AK263&gt;8,"Match 9","")</f>
        <v/>
      </c>
      <c r="AA277" s="174"/>
      <c r="AB277" s="180"/>
      <c r="AC277" s="173" t="str">
        <f>IF(AK263&gt;9,"Match 10","")</f>
        <v/>
      </c>
      <c r="AD277" s="174"/>
      <c r="AE277" s="180"/>
      <c r="AF277" s="294"/>
      <c r="AG277" s="295"/>
      <c r="AH277" s="295"/>
      <c r="AI277" s="295"/>
      <c r="AJ277" s="295"/>
      <c r="AK277" s="295"/>
      <c r="AL277" s="295"/>
      <c r="AM277" s="295"/>
      <c r="AN277" s="295"/>
      <c r="AO277" s="295"/>
      <c r="AP277" s="295"/>
      <c r="AQ277" s="296"/>
    </row>
    <row r="278" spans="1:49" ht="15.75" x14ac:dyDescent="0.25">
      <c r="A278" s="8"/>
      <c r="B278" s="277" t="s">
        <v>65</v>
      </c>
      <c r="C278" s="278"/>
      <c r="D278" s="279"/>
      <c r="E278" s="277" t="s">
        <v>66</v>
      </c>
      <c r="F278" s="278"/>
      <c r="G278" s="279"/>
      <c r="H278" s="277" t="s">
        <v>67</v>
      </c>
      <c r="I278" s="278"/>
      <c r="J278" s="279"/>
      <c r="K278" s="277" t="s">
        <v>68</v>
      </c>
      <c r="L278" s="278"/>
      <c r="M278" s="279"/>
      <c r="N278" s="277" t="s">
        <v>66</v>
      </c>
      <c r="O278" s="278"/>
      <c r="P278" s="279"/>
      <c r="Q278" s="277" t="s">
        <v>67</v>
      </c>
      <c r="R278" s="278"/>
      <c r="S278" s="279"/>
      <c r="T278" s="277"/>
      <c r="U278" s="278"/>
      <c r="V278" s="279"/>
      <c r="W278" s="277"/>
      <c r="X278" s="278"/>
      <c r="Y278" s="279"/>
      <c r="Z278" s="277"/>
      <c r="AA278" s="278"/>
      <c r="AB278" s="279"/>
      <c r="AC278" s="277"/>
      <c r="AD278" s="278"/>
      <c r="AE278" s="279"/>
      <c r="AF278" s="57" t="s">
        <v>70</v>
      </c>
      <c r="AG278" s="58">
        <v>1</v>
      </c>
      <c r="AH278" s="58">
        <v>2</v>
      </c>
      <c r="AI278" s="58">
        <v>3</v>
      </c>
      <c r="AJ278" s="58">
        <v>4</v>
      </c>
      <c r="AK278" s="58">
        <v>5</v>
      </c>
      <c r="AL278" s="58">
        <v>6</v>
      </c>
      <c r="AM278" s="58">
        <v>7</v>
      </c>
      <c r="AN278" s="58">
        <v>8</v>
      </c>
      <c r="AO278" s="58">
        <v>9</v>
      </c>
      <c r="AP278" s="58">
        <v>10</v>
      </c>
      <c r="AQ278" s="59" t="s">
        <v>71</v>
      </c>
    </row>
    <row r="279" spans="1:49" ht="15.75" x14ac:dyDescent="0.25">
      <c r="A279" s="8"/>
      <c r="B279" s="61">
        <v>2</v>
      </c>
      <c r="C279" s="62" t="s">
        <v>72</v>
      </c>
      <c r="D279" s="63">
        <v>3</v>
      </c>
      <c r="E279" s="61">
        <v>1</v>
      </c>
      <c r="F279" s="62" t="str">
        <f>IF(AK263&gt;1,"v","")</f>
        <v>v</v>
      </c>
      <c r="G279" s="63">
        <v>4</v>
      </c>
      <c r="H279" s="61">
        <v>2</v>
      </c>
      <c r="I279" s="62" t="str">
        <f>IF(AK263&gt;2,"v","")</f>
        <v>v</v>
      </c>
      <c r="J279" s="63">
        <v>4</v>
      </c>
      <c r="K279" s="61">
        <v>1</v>
      </c>
      <c r="L279" s="62" t="str">
        <f>IF(AK263&gt;3,"v","")</f>
        <v>v</v>
      </c>
      <c r="M279" s="63">
        <v>3</v>
      </c>
      <c r="N279" s="61">
        <v>3</v>
      </c>
      <c r="O279" s="62" t="str">
        <f>IF(AK263&gt;4,"v","")</f>
        <v>v</v>
      </c>
      <c r="P279" s="63">
        <v>4</v>
      </c>
      <c r="Q279" s="61">
        <v>1</v>
      </c>
      <c r="R279" s="62" t="str">
        <f>IF(AK263&gt;5,"v","")</f>
        <v>v</v>
      </c>
      <c r="S279" s="63">
        <v>2</v>
      </c>
      <c r="T279" s="61"/>
      <c r="U279" s="62" t="str">
        <f>IF(AK263&gt;6,"v","")</f>
        <v/>
      </c>
      <c r="V279" s="63"/>
      <c r="W279" s="61"/>
      <c r="X279" s="62" t="str">
        <f>IF(AK263&gt;7,"v","")</f>
        <v/>
      </c>
      <c r="Y279" s="63"/>
      <c r="Z279" s="61"/>
      <c r="AA279" s="62" t="str">
        <f>IF(AK263&gt;8,"v","")</f>
        <v/>
      </c>
      <c r="AB279" s="63"/>
      <c r="AC279" s="61"/>
      <c r="AD279" s="62" t="str">
        <f>IF(AK263&gt;9,"v","")</f>
        <v/>
      </c>
      <c r="AE279" s="63"/>
      <c r="AF279" s="57" t="str">
        <f>IF(AK264&gt;0,"Team 1","")</f>
        <v>Team 1</v>
      </c>
      <c r="AG279" s="64" t="str">
        <f>IF(AK264&lt;1,"",IF(AK263&lt;1,"",IF(B279=1,B285-D285,IF(D279=1,D285-B285,""))))</f>
        <v/>
      </c>
      <c r="AH279" s="64">
        <f>IF(AK264&lt;1,"",IF(AK263&lt;2,"",IF(E279=1,E285-G285,IF(G279=1,G285-E285,""))))</f>
        <v>-18</v>
      </c>
      <c r="AI279" s="64" t="str">
        <f>IF(AK264&lt;1,"",IF(AK263&lt;3,"",IF(H279=1,H285-J285,IF(J279=1,J285-H285,""))))</f>
        <v/>
      </c>
      <c r="AJ279" s="64">
        <f>IF(AK264&lt;1,"",IF(AK263&lt;4,"",IF(K279=1,K285-M285,IF(M279=1,M285-K285,""))))</f>
        <v>20</v>
      </c>
      <c r="AK279" s="64" t="str">
        <f>IF(AK264&lt;1,"",IF(AK263&lt;5,"",IF(N279=1,N285-P285,IF(P279=1,P285-N285,""))))</f>
        <v/>
      </c>
      <c r="AL279" s="64">
        <f>IF(AK264&lt;1,"",IF(AK263&lt;6,"",IF(Q279=1,Q285-S285,IF(S279=1,S285-Q285,""))))</f>
        <v>-12</v>
      </c>
      <c r="AM279" s="64" t="str">
        <f>IF(AK264&lt;1,"",IF(AK263&lt;7,"",IF(T279=1,T285-V285,IF(V279=1,V285-T285,""))))</f>
        <v/>
      </c>
      <c r="AN279" s="64" t="str">
        <f>IF(AK264&lt;1,"",IF(AK263&lt;8,"",IF(W279=1,W285-Y285,IF(Y279=1,Y285-W285,""))))</f>
        <v/>
      </c>
      <c r="AO279" s="64" t="str">
        <f>IF(AK264&lt;1,"",IF(AK263&lt;9,"",IF(Z279=1,Z285-AB285,IF(AB279=1,AB285-Z285,""))))</f>
        <v/>
      </c>
      <c r="AP279" s="64" t="str">
        <f>IF(AK264&lt;1,"",IF(AK263&lt;10,"",IF(AC279=1,AC285-AE285,IF(AE279=1,AE285-AC285,""))))</f>
        <v/>
      </c>
      <c r="AQ279" s="59">
        <f>SUM(AG279:AP279)</f>
        <v>-10</v>
      </c>
    </row>
    <row r="280" spans="1:49" ht="15" x14ac:dyDescent="0.2">
      <c r="A280" s="4" t="s">
        <v>73</v>
      </c>
      <c r="B280" s="65">
        <v>25</v>
      </c>
      <c r="C280" s="66" t="s">
        <v>74</v>
      </c>
      <c r="D280" s="67">
        <v>15</v>
      </c>
      <c r="E280" s="65">
        <v>19</v>
      </c>
      <c r="F280" s="66" t="str">
        <f>IF(AK263&gt;1,"/","")</f>
        <v>/</v>
      </c>
      <c r="G280" s="67">
        <v>25</v>
      </c>
      <c r="H280" s="65">
        <v>26</v>
      </c>
      <c r="I280" s="66" t="str">
        <f>IF(AK263&gt;2,"/","")</f>
        <v>/</v>
      </c>
      <c r="J280" s="67">
        <v>24</v>
      </c>
      <c r="K280" s="65">
        <v>25</v>
      </c>
      <c r="L280" s="66" t="str">
        <f>IF(AK263&gt;3,"/","")</f>
        <v>/</v>
      </c>
      <c r="M280" s="67">
        <v>21</v>
      </c>
      <c r="N280" s="65">
        <v>21</v>
      </c>
      <c r="O280" s="66" t="str">
        <f>IF(AK263&gt;4,"/","")</f>
        <v>/</v>
      </c>
      <c r="P280" s="67">
        <v>25</v>
      </c>
      <c r="Q280" s="65">
        <v>18</v>
      </c>
      <c r="R280" s="66" t="str">
        <f>IF(AK263&gt;5,"/","")</f>
        <v>/</v>
      </c>
      <c r="S280" s="67">
        <v>25</v>
      </c>
      <c r="T280" s="65"/>
      <c r="U280" s="66" t="str">
        <f>IF(AK263&gt;6,"/","")</f>
        <v/>
      </c>
      <c r="V280" s="67"/>
      <c r="W280" s="65"/>
      <c r="X280" s="66" t="str">
        <f>IF(AK263&gt;7,"/","")</f>
        <v/>
      </c>
      <c r="Y280" s="67"/>
      <c r="Z280" s="65"/>
      <c r="AA280" s="66" t="str">
        <f>IF(AK263&gt;8,"/","")</f>
        <v/>
      </c>
      <c r="AB280" s="67"/>
      <c r="AC280" s="65"/>
      <c r="AD280" s="66" t="str">
        <f>IF(AK263&gt;9,"/","")</f>
        <v/>
      </c>
      <c r="AE280" s="67"/>
      <c r="AF280" s="57" t="str">
        <f>IF(AK264&gt;1,"Team 2","")</f>
        <v>Team 2</v>
      </c>
      <c r="AG280" s="64">
        <f>IF(AK264&lt;2,"",IF(AK263&lt;1,"",IF(B279=2,B285-D285,IF(D279=2,D285-B285,""))))</f>
        <v>16</v>
      </c>
      <c r="AH280" s="64" t="str">
        <f>IF(AK264&lt;2,"",IF(AK263&lt;2,"",IF(E279=2,E285-G285,IF(G279=2,G285-E285,""))))</f>
        <v/>
      </c>
      <c r="AI280" s="64">
        <f>IF(AK264&lt;2,"",IF(AK263&lt;3,"",IF(H279=2,H285-J285,IF(J279=2,J285-H285,""))))</f>
        <v>4</v>
      </c>
      <c r="AJ280" s="64" t="str">
        <f>IF(AK264&lt;2,"",IF(AK263&lt;4,"",IF(K279=2,K285-M285,IF(M279=2,M285-K285,""))))</f>
        <v/>
      </c>
      <c r="AK280" s="64" t="str">
        <f>IF(AK264&lt;2,"",IF(AK263&lt;5,"",IF(N279=2,N285-P285,IF(P279=2,P285-N285,""))))</f>
        <v/>
      </c>
      <c r="AL280" s="64">
        <f>IF(AK264&lt;2,"",IF(AK263&lt;6,"",IF(Q279=2,Q285-S285,IF(S279=2,S285-Q285,""))))</f>
        <v>12</v>
      </c>
      <c r="AM280" s="64" t="str">
        <f>IF(AK264&lt;2,"",IF(AK263&lt;7,"",IF(T279=2,T285-V285,IF(V279=2,V285-T285,""))))</f>
        <v/>
      </c>
      <c r="AN280" s="64" t="str">
        <f>IF(AK264&lt;2,"",IF(AK263&lt;8,"",IF(W279=2,W285-Y285,IF(Y279=2,Y285-W285,""))))</f>
        <v/>
      </c>
      <c r="AO280" s="64" t="str">
        <f>IF(AK264&lt;2,"",IF(AK263&lt;9,"",IF(Z279=2,Z285-AB285,IF(AB279=2,AB285-Z285,""))))</f>
        <v/>
      </c>
      <c r="AP280" s="64" t="str">
        <f>IF(AK264&lt;2,"",IF(AK263&lt;10,"",IF(AC279=2,AC285-AE285,IF(AE279=2,AE285-AC285,""))))</f>
        <v/>
      </c>
      <c r="AQ280" s="59">
        <f>SUM(AG280:AP280)</f>
        <v>32</v>
      </c>
    </row>
    <row r="281" spans="1:49" ht="15" x14ac:dyDescent="0.2">
      <c r="A281" s="3" t="str">
        <f>IF(AK262&gt;1,"Game 2","")</f>
        <v>Game 2</v>
      </c>
      <c r="B281" s="65">
        <v>21</v>
      </c>
      <c r="C281" s="66" t="s">
        <v>74</v>
      </c>
      <c r="D281" s="67">
        <v>25</v>
      </c>
      <c r="E281" s="65">
        <v>13</v>
      </c>
      <c r="F281" s="66" t="str">
        <f>IF(AK263&gt;1,IF(AK262&gt;1,"/",""),"")</f>
        <v>/</v>
      </c>
      <c r="G281" s="67">
        <v>25</v>
      </c>
      <c r="H281" s="65">
        <v>24</v>
      </c>
      <c r="I281" s="66" t="str">
        <f>IF(AK263&gt;2,IF(AK262&gt;1,"/",""),"")</f>
        <v>/</v>
      </c>
      <c r="J281" s="67">
        <v>26</v>
      </c>
      <c r="K281" s="65">
        <v>25</v>
      </c>
      <c r="L281" s="66" t="str">
        <f>IF(AK263&gt;3,IF(AK262&gt;1,"/",""),"")</f>
        <v>/</v>
      </c>
      <c r="M281" s="67">
        <v>9</v>
      </c>
      <c r="N281" s="65">
        <v>21</v>
      </c>
      <c r="O281" s="66" t="str">
        <f>IF(AK263&gt;4,IF(AK262&gt;1,"/",""),"")</f>
        <v>/</v>
      </c>
      <c r="P281" s="67">
        <v>25</v>
      </c>
      <c r="Q281" s="65">
        <v>25</v>
      </c>
      <c r="R281" s="66" t="str">
        <f>IF(AK263&gt;5,IF(AK262&gt;1,"/",""),"")</f>
        <v>/</v>
      </c>
      <c r="S281" s="67">
        <v>22</v>
      </c>
      <c r="T281" s="65"/>
      <c r="U281" s="66" t="str">
        <f>IF(AK263&gt;6,IF(AK262&gt;1,"/",""),"")</f>
        <v/>
      </c>
      <c r="V281" s="67"/>
      <c r="W281" s="65"/>
      <c r="X281" s="66" t="str">
        <f>IF(AK263&gt;7,IF(AK262&gt;1,"/",""),"")</f>
        <v/>
      </c>
      <c r="Y281" s="67"/>
      <c r="Z281" s="65"/>
      <c r="AA281" s="66" t="str">
        <f>IF(AK263&gt;8,IF(AK262&gt;1,"/",""),"")</f>
        <v/>
      </c>
      <c r="AB281" s="67"/>
      <c r="AC281" s="65"/>
      <c r="AD281" s="66" t="str">
        <f>IF(AK263&gt;9,IF(AK262&gt;1,"/",""),"")</f>
        <v/>
      </c>
      <c r="AE281" s="67"/>
      <c r="AF281" s="57" t="str">
        <f>IF(AK264&gt;2,"Team 3","")</f>
        <v>Team 3</v>
      </c>
      <c r="AG281" s="64">
        <f>IF(AK264&lt;3,"",IF(AK263&lt;1,"",IF(B279=3,B285-D285,IF(D279=3,D285-B285,""))))</f>
        <v>-16</v>
      </c>
      <c r="AH281" s="64" t="str">
        <f>IF(AK264&lt;3,"",IF(AK263&lt;2,"",IF(E279=3,E285-G285,IF(G279=3,G285-E285,""))))</f>
        <v/>
      </c>
      <c r="AI281" s="64" t="str">
        <f>IF(AK264&lt;3,"",IF(AK263&lt;3,"",IF(H279=3,H285-J285,IF(J279=3,J285-H285,""))))</f>
        <v/>
      </c>
      <c r="AJ281" s="64">
        <f>IF(AK264&lt;3,"",IF(AK263&lt;4,"",IF(K279=3,K285-M285,IF(M279=3,M285-K285,""))))</f>
        <v>-20</v>
      </c>
      <c r="AK281" s="64">
        <f>IF(AK264&lt;3,"",IF(AK263&lt;5,"",IF(N279=3,N285-P285,IF(P279=3,P285-N285,""))))</f>
        <v>-8</v>
      </c>
      <c r="AL281" s="64" t="str">
        <f>IF(AK264&lt;3,"",IF(AK263&lt;6,"",IF(Q279=3,Q285-S285,IF(S279=3,S285-Q285,""))))</f>
        <v/>
      </c>
      <c r="AM281" s="64" t="str">
        <f>IF(AK264&lt;3,"",IF(AK263&lt;7,"",IF(T279=3,T285-V285,IF(V279=3,V285-T285,""))))</f>
        <v/>
      </c>
      <c r="AN281" s="64" t="str">
        <f>IF(AK264&lt;3,"",IF(AK263&lt;8,"",IF(W279=3,W285-Y285,IF(Y279=3,Y285-W285,""))))</f>
        <v/>
      </c>
      <c r="AO281" s="64" t="str">
        <f>IF(AK264&lt;3,"",IF(AK263&lt;9,"",IF(Z279=3,Z285-AB285,IF(AB279=3,AB285-Z285,""))))</f>
        <v/>
      </c>
      <c r="AP281" s="64" t="str">
        <f>IF(AK264&lt;3,"",IF(AK263&lt;9,"",IF(AC279=3,AC285-AE285,IF(AE279=3,AE285-AC285,""))))</f>
        <v/>
      </c>
      <c r="AQ281" s="59">
        <f>SUM(AG281:AP281)</f>
        <v>-44</v>
      </c>
    </row>
    <row r="282" spans="1:49" ht="15" x14ac:dyDescent="0.2">
      <c r="A282" s="3" t="str">
        <f>IF(AK262&gt;2,"Game 3","")</f>
        <v>Game 3</v>
      </c>
      <c r="B282" s="65">
        <v>15</v>
      </c>
      <c r="C282" s="66" t="s">
        <v>74</v>
      </c>
      <c r="D282" s="67">
        <v>5</v>
      </c>
      <c r="E282" s="65"/>
      <c r="F282" s="66" t="str">
        <f>IF(AK263&gt;1,IF(AK262&gt;2,"/",""),"")</f>
        <v>/</v>
      </c>
      <c r="G282" s="67"/>
      <c r="H282" s="65">
        <v>15</v>
      </c>
      <c r="I282" s="66" t="str">
        <f>IF(AK263&gt;2,IF(AK262&gt;2,"/",""),"")</f>
        <v>/</v>
      </c>
      <c r="J282" s="67">
        <v>11</v>
      </c>
      <c r="K282" s="65"/>
      <c r="L282" s="66" t="str">
        <f>IF(AK263&gt;3,IF(AK262&gt;2,"/",""),"")</f>
        <v>/</v>
      </c>
      <c r="M282" s="67"/>
      <c r="N282" s="65"/>
      <c r="O282" s="66" t="str">
        <f>IF(AK263&gt;4,IF(AK262&gt;2,"/",""),"")</f>
        <v>/</v>
      </c>
      <c r="P282" s="67"/>
      <c r="Q282" s="65">
        <v>7</v>
      </c>
      <c r="R282" s="66" t="str">
        <f>IF(AK263&gt;5,IF(AK262&gt;2,"/",""),"")</f>
        <v>/</v>
      </c>
      <c r="S282" s="67">
        <v>15</v>
      </c>
      <c r="T282" s="65"/>
      <c r="U282" s="66" t="str">
        <f>IF(AK263&gt;6,IF(AK262&gt;2,"/",""),"")</f>
        <v/>
      </c>
      <c r="V282" s="67"/>
      <c r="W282" s="65"/>
      <c r="X282" s="66" t="str">
        <f>IF(AK263&gt;7,IF(AK262&gt;2,"/",""),"")</f>
        <v/>
      </c>
      <c r="Y282" s="67"/>
      <c r="Z282" s="65"/>
      <c r="AA282" s="66" t="str">
        <f>IF(AK263&gt;8,IF(AK262&gt;2,"/",""),"")</f>
        <v/>
      </c>
      <c r="AB282" s="67"/>
      <c r="AC282" s="65"/>
      <c r="AD282" s="66" t="str">
        <f>IF(AK263&gt;9,IF(AK262&gt;2,"/",""),"")</f>
        <v/>
      </c>
      <c r="AE282" s="67"/>
      <c r="AF282" s="57" t="str">
        <f>IF(AK264&gt;3,"Team 4","")</f>
        <v>Team 4</v>
      </c>
      <c r="AG282" s="64" t="str">
        <f>IF(AK264&lt;4,"",IF(AK263&lt;1,"",IF(B279=4,B285-D285,IF(D279=4,D285-B285,""))))</f>
        <v/>
      </c>
      <c r="AH282" s="64">
        <f>IF(AK264&lt;4,"",IF(AK263&lt;2,"",IF(E279=4,E285-G285,IF(G279=4,G285-E285,""))))</f>
        <v>18</v>
      </c>
      <c r="AI282" s="64">
        <f>IF(AK264&lt;4,"",IF(AK263&lt;3,"",IF(H279=4,H285-J285,IF(J279=4,J285-H285,""))))</f>
        <v>-4</v>
      </c>
      <c r="AJ282" s="64" t="str">
        <f>IF(AK264&lt;4,"",IF(AK263&lt;4,"",IF(K279=4,K285-M285,IF(M279=4,M285-K285,""))))</f>
        <v/>
      </c>
      <c r="AK282" s="64">
        <f>IF(AK264&lt;4,"",IF(AK263&lt;5,"",IF(N279=4,N285-P285,IF(P279=4,P285-N285,""))))</f>
        <v>8</v>
      </c>
      <c r="AL282" s="64" t="str">
        <f>IF(AK264&lt;4,"",IF(AK263&lt;6,"",IF(Q279=4,Q285-S285,IF(S279=4,S285-Q285,""))))</f>
        <v/>
      </c>
      <c r="AM282" s="64" t="str">
        <f>IF(AK264&lt;4,"",IF(AK263&lt;7,"",IF(T279=4,T285-V285,IF(V279=4,V285-T285,""))))</f>
        <v/>
      </c>
      <c r="AN282" s="64" t="str">
        <f>IF(AK264&lt;4,"",IF(AK263&lt;8,"",IF(W279=4,W285-Y285,IF(Y279=4,Y285-W285,""))))</f>
        <v/>
      </c>
      <c r="AO282" s="64" t="str">
        <f>IF(AK264&lt;4,"",IF(AK263&lt;9,"",IF(Z279=4,Z285-AB285,IF(AB279=4,AB285-Z285,""))))</f>
        <v/>
      </c>
      <c r="AP282" s="64" t="str">
        <f>IF(AK264&lt;4,"",IF(AK263&lt;10,"",IF(AC279=4,AC285-AE285,IF(AE279=4,AE285-AC285,""))))</f>
        <v/>
      </c>
      <c r="AQ282" s="59">
        <f>SUM(AG282:AP282)</f>
        <v>22</v>
      </c>
    </row>
    <row r="283" spans="1:49" ht="15" x14ac:dyDescent="0.2">
      <c r="A283" s="3" t="str">
        <f>IF(AK262&gt;3,"Game 4","")</f>
        <v/>
      </c>
      <c r="B283" s="65"/>
      <c r="C283" s="66" t="s">
        <v>74</v>
      </c>
      <c r="D283" s="67"/>
      <c r="E283" s="65"/>
      <c r="F283" s="66" t="str">
        <f>IF(AK263&gt;1,IF(AK262&gt;3,"/",""),"")</f>
        <v/>
      </c>
      <c r="G283" s="67"/>
      <c r="H283" s="65"/>
      <c r="I283" s="66" t="str">
        <f>IF(AK263&gt;2,IF(AK262&gt;3,"/",""),"")</f>
        <v/>
      </c>
      <c r="J283" s="67"/>
      <c r="K283" s="65"/>
      <c r="L283" s="66" t="str">
        <f>IF(AK263&gt;3,IF(AK262&gt;3,"/",""),"")</f>
        <v/>
      </c>
      <c r="M283" s="67"/>
      <c r="N283" s="65"/>
      <c r="O283" s="66" t="str">
        <f>IF(AK263&gt;4,IF(AK262&gt;3,"/",""),"")</f>
        <v/>
      </c>
      <c r="P283" s="67"/>
      <c r="Q283" s="65"/>
      <c r="R283" s="66" t="str">
        <f>IF(AK263&gt;5,IF(AK262&gt;3,"/",""),"")</f>
        <v/>
      </c>
      <c r="S283" s="67"/>
      <c r="T283" s="65"/>
      <c r="U283" s="66" t="str">
        <f>IF(AK263&gt;6,IF(AK262&gt;3,"/",""),"")</f>
        <v/>
      </c>
      <c r="V283" s="67"/>
      <c r="W283" s="65"/>
      <c r="X283" s="66" t="str">
        <f>IF(AK263&gt;7,IF(AK262&gt;3,"/",""),"")</f>
        <v/>
      </c>
      <c r="Y283" s="67"/>
      <c r="Z283" s="65"/>
      <c r="AA283" s="66" t="str">
        <f>IF(AK263&gt;8,IF(AK262&gt;3,"/",""),"")</f>
        <v/>
      </c>
      <c r="AB283" s="67"/>
      <c r="AC283" s="65"/>
      <c r="AD283" s="66" t="str">
        <f>IF(AK263&gt;9,IF(AK262&gt;3,"/",""),"")</f>
        <v/>
      </c>
      <c r="AE283" s="67"/>
      <c r="AF283" s="57" t="str">
        <f>IF(AK264&gt;4,"Team 5","")</f>
        <v/>
      </c>
      <c r="AG283" s="68" t="str">
        <f>IF(AK264&lt;5,"",IF(AK263&lt;1,"",IF(B279=5,B285-D285,IF(D279=5,D285-B285,""))))</f>
        <v/>
      </c>
      <c r="AH283" s="64" t="str">
        <f>IF(AK264&lt;5,"",IF(AK263&lt;2,"",IF(E279=5,E285-G285,IF(G279=5,G285-E285,""))))</f>
        <v/>
      </c>
      <c r="AI283" s="64" t="str">
        <f>IF(AK264&lt;5,"",IF(AK263&lt;3,"",IF(H279=5,H285-J285,IF(J279=5,J285-H285,""))))</f>
        <v/>
      </c>
      <c r="AJ283" s="64" t="str">
        <f>IF(AK264&lt;5,"",IF(AK263&lt;4,"",IF(K279=5,K285-M285,IF(M279=5,M285-K285,""))))</f>
        <v/>
      </c>
      <c r="AK283" s="64" t="str">
        <f>IF(AK264&lt;5,"",IF(AK263&lt;5,"",IF(N279=5,N285-P285,IF(P279=5,P285-N285,""))))</f>
        <v/>
      </c>
      <c r="AL283" s="64" t="str">
        <f>IF(AK264&lt;5,"",IF(AK263&lt;6,"",IF(Q279=5,Q285-S285,IF(S279=5,S285-Q285,""))))</f>
        <v/>
      </c>
      <c r="AM283" s="64" t="str">
        <f>IF(AK264&lt;5,"",IF(AK263&lt;7,"",IF(T279=5,T285-V285,IF(V279=5,V285-T285,""))))</f>
        <v/>
      </c>
      <c r="AN283" s="64" t="str">
        <f>IF(AK264&lt;5,"",IF(AK263&lt;8,"",IF(W279=5,W285-Y285,IF(Y279=5,Y285-W285,""))))</f>
        <v/>
      </c>
      <c r="AO283" s="64" t="str">
        <f>IF(AK264&lt;5,"",IF(AK263&lt;9,"",IF(Z279=5,Z285-AB285,IF(AB279=5,AB285-Z285,""))))</f>
        <v/>
      </c>
      <c r="AP283" s="64" t="str">
        <f>IF(AK264&lt;5,"",IF(AK263&lt;10,"",IF(AC279=5,AC285-AE285,IF(AE279=5,AE285-AC285,""))))</f>
        <v/>
      </c>
      <c r="AQ283" s="59">
        <f>SUM(AG283:AP283)</f>
        <v>0</v>
      </c>
    </row>
    <row r="284" spans="1:49" ht="15" x14ac:dyDescent="0.2">
      <c r="A284" s="3" t="str">
        <f>IF(AK262&gt;4,"Game 5","")</f>
        <v/>
      </c>
      <c r="B284" s="65"/>
      <c r="C284" s="66" t="s">
        <v>74</v>
      </c>
      <c r="D284" s="67"/>
      <c r="E284" s="65"/>
      <c r="F284" s="66" t="str">
        <f>IF(AK263&gt;1,IF(AK262&gt;4,"/",""),"")</f>
        <v/>
      </c>
      <c r="G284" s="67"/>
      <c r="H284" s="65"/>
      <c r="I284" s="66" t="str">
        <f>IF(AK263&gt;2,IF(AK262&gt;4,"/",""),"")</f>
        <v/>
      </c>
      <c r="J284" s="67"/>
      <c r="K284" s="65"/>
      <c r="L284" s="66" t="str">
        <f>IF(AK263&gt;3,IF(AK262&gt;4,"/",""),"")</f>
        <v/>
      </c>
      <c r="M284" s="67"/>
      <c r="N284" s="65"/>
      <c r="O284" s="66" t="str">
        <f>IF(AK263&gt;4,IF(AK262&gt;4,"/",""),"")</f>
        <v/>
      </c>
      <c r="P284" s="67"/>
      <c r="Q284" s="65"/>
      <c r="R284" s="66" t="str">
        <f>IF(AK263&gt;5,IF(AK262&gt;4,"/",""),"")</f>
        <v/>
      </c>
      <c r="S284" s="67"/>
      <c r="T284" s="65"/>
      <c r="U284" s="66" t="str">
        <f>IF(AK263&gt;6,IF(AK262&gt;4,"/",""),"")</f>
        <v/>
      </c>
      <c r="V284" s="67"/>
      <c r="W284" s="65"/>
      <c r="X284" s="66" t="str">
        <f>IF(AK263&gt;7,IF(AK262&gt;4,"/",""),"")</f>
        <v/>
      </c>
      <c r="Y284" s="67"/>
      <c r="Z284" s="65"/>
      <c r="AA284" s="66" t="str">
        <f>IF(AK263&gt;8,IF(AK262&gt;4,"/",""),"")</f>
        <v/>
      </c>
      <c r="AB284" s="67"/>
      <c r="AC284" s="65"/>
      <c r="AD284" s="66" t="str">
        <f>IF(AK263&gt;9,IF(AK262&gt;4,"/",""),"")</f>
        <v/>
      </c>
      <c r="AE284" s="67"/>
      <c r="AF284" s="8"/>
      <c r="AG284" s="8"/>
      <c r="AH284" s="8"/>
      <c r="AI284" s="8"/>
      <c r="AJ284" s="8"/>
      <c r="AK284" s="8"/>
      <c r="AL284" s="8"/>
      <c r="AM284" s="8"/>
      <c r="AN284" s="8"/>
      <c r="AO284" s="8"/>
      <c r="AP284" s="8"/>
      <c r="AQ284" s="8"/>
    </row>
    <row r="285" spans="1:49" hidden="1" x14ac:dyDescent="0.2">
      <c r="A285" s="69"/>
      <c r="B285" s="69">
        <f>IF($AK262=5,SUM(B280:B284),IF($AK262=4,SUM(B280:B283),IF($AK262=3,SUM(B280:B282),IF($AK262=2,SUM(B280:B281),B280))))</f>
        <v>61</v>
      </c>
      <c r="C285" s="69"/>
      <c r="D285" s="69">
        <f>IF($AK262=5,SUM(D280:D284),IF($AK262=4,SUM(D280:D283),IF($AK262=3,SUM(D280:D282),IF($AK262=2,SUM(D280:D281),D280))))</f>
        <v>45</v>
      </c>
      <c r="E285" s="69">
        <f>IF($AK262=5,SUM(E280:E284),IF($AK262=4,SUM(E280:E283),IF($AK262=3,SUM(E280:E282),IF($AK262=2,SUM(E280:E281),E280))))</f>
        <v>32</v>
      </c>
      <c r="F285" s="69"/>
      <c r="G285" s="69">
        <f>IF($AK262=5,SUM(G280:G284),IF($AK262=4,SUM(G280:G283),IF($AK262=3,SUM(G280:G282),IF($AK262=2,SUM(G280:G281),G280))))</f>
        <v>50</v>
      </c>
      <c r="H285" s="69">
        <f>IF($AK262=5,SUM(H280:H284),IF($AK262=4,SUM(H280:H283),IF($AK262=3,SUM(H280:H282),IF($AK262=2,SUM(H280:H281),H280))))</f>
        <v>65</v>
      </c>
      <c r="I285" s="69"/>
      <c r="J285" s="69">
        <f>IF($AK262=5,SUM(J280:J284),IF($AK262=4,SUM(J280:J283),IF($AK262=3,SUM(J280:J282),IF($AK262=2,SUM(J280:J281),J280))))</f>
        <v>61</v>
      </c>
      <c r="K285" s="69">
        <f>IF($AK262=5,SUM(K280:K284),IF($AK262=4,SUM(K280:K283),IF($AK262=3,SUM(K280:K282),IF($AK262=2,SUM(K280:K281),K280))))</f>
        <v>50</v>
      </c>
      <c r="L285" s="69"/>
      <c r="M285" s="69">
        <f>IF($AK262=5,SUM(M280:M284),IF($AK262=4,SUM(M280:M283),IF($AK262=3,SUM(M280:M282),IF($AK262=2,SUM(M280:M281),M280))))</f>
        <v>30</v>
      </c>
      <c r="N285" s="69">
        <f>IF($AK262=5,SUM(N280:N284),IF($AK262=4,SUM(N280:N283),IF($AK262=3,SUM(N280:N282),IF($AK262=2,SUM(N280:N281),N280))))</f>
        <v>42</v>
      </c>
      <c r="O285" s="69"/>
      <c r="P285" s="69">
        <f>IF($AK262=5,SUM(P280:P284),IF($AK262=4,SUM(P280:P283),IF($AK262=3,SUM(P280:P282),IF($AK262=2,SUM(P280:P281),P280))))</f>
        <v>50</v>
      </c>
      <c r="Q285" s="69">
        <f>IF($AK262=5,SUM(Q280:Q284),IF($AK262=4,SUM(Q280:Q283),IF($AK262=3,SUM(Q280:Q282),IF($AK262=2,SUM(Q280:Q281),Q280))))</f>
        <v>50</v>
      </c>
      <c r="R285" s="69"/>
      <c r="S285" s="69">
        <f>IF($AK262=5,SUM(S280:S284),IF($AK262=4,SUM(S280:S283),IF($AK262=3,SUM(S280:S282),IF($AK262=2,SUM(S280:S281),S280))))</f>
        <v>62</v>
      </c>
      <c r="T285" s="69">
        <f>IF($AK262=5,SUM(T280:T284),IF($AK262=4,SUM(T280:T283),IF($AK262=3,SUM(T280:T282),IF($AK262=2,SUM(T280:T281),T280))))</f>
        <v>0</v>
      </c>
      <c r="U285" s="69"/>
      <c r="V285" s="69">
        <f>IF($AK262=5,SUM(V280:V284),IF($AK262=4,SUM(V280:V283),IF($AK262=3,SUM(V280:V282),IF($AK262=2,SUM(V280:V281),V280))))</f>
        <v>0</v>
      </c>
      <c r="W285" s="69">
        <f>IF($AK262=5,SUM(W280:W284),IF($AK262=4,SUM(W280:W283),IF($AK262=3,SUM(W280:W282),IF($AK262=2,SUM(W280:W281),W280))))</f>
        <v>0</v>
      </c>
      <c r="X285" s="69"/>
      <c r="Y285" s="69">
        <f>IF($AK262=5,SUM(Y280:Y284),IF($AK262=4,SUM(Y280:Y283),IF($AK262=3,SUM(Y280:Y282),IF($AK262=2,SUM(Y280:Y281),Y280))))</f>
        <v>0</v>
      </c>
      <c r="Z285" s="69">
        <f>IF($AK262=5,SUM(Z280:Z284),IF($AK262=4,SUM(Z280:Z283),IF($AK262=3,SUM(Z280:Z282),IF($AK262=2,SUM(Z280:Z281),Z280))))</f>
        <v>0</v>
      </c>
      <c r="AA285" s="69"/>
      <c r="AB285" s="69">
        <f>IF($AK262=5,SUM(AB280:AB284),IF($AK262=4,SUM(AB280:AB283),IF($AK262=3,SUM(AB280:AB282),IF($AK262=2,SUM(AB280:AB281),AB280))))</f>
        <v>0</v>
      </c>
      <c r="AC285" s="69">
        <f>IF($AK262=5,SUM(AC280:AC284),IF($AK262=4,SUM(AC280:AC283),IF($AK262=3,SUM(AC280:AC282),IF($AK262=2,SUM(AC280:AC281),AC280))))</f>
        <v>0</v>
      </c>
      <c r="AD285" s="69"/>
      <c r="AE285" s="69">
        <f>IF($AK262=5,SUM(AE280:AE284),IF($AK262=4,SUM(AE280:AE283),IF($AK262=3,SUM(AE280:AE282),IF($AK262=2,SUM(AE280:AE281),AE280))))</f>
        <v>0</v>
      </c>
      <c r="AF285" s="8"/>
      <c r="AG285" s="8"/>
      <c r="AH285" s="8"/>
      <c r="AI285" s="8"/>
      <c r="AJ285" s="8"/>
      <c r="AK285" s="8"/>
      <c r="AL285" s="8"/>
      <c r="AM285" s="8"/>
      <c r="AN285" s="8"/>
      <c r="AO285" s="8"/>
      <c r="AP285" s="8"/>
      <c r="AQ285" s="8"/>
      <c r="AT285" s="70"/>
      <c r="AU285" s="70"/>
      <c r="AV285" s="70"/>
    </row>
    <row r="286" spans="1:49" s="70" customFormat="1" ht="12.75" hidden="1" customHeight="1" x14ac:dyDescent="0.2">
      <c r="A286" s="70" t="s">
        <v>75</v>
      </c>
      <c r="B286" s="71">
        <f>IF(AND(B280&gt;D280,$AK263&gt;0,ISNUMBER(B280),ISNUMBER(D280)),1,0)</f>
        <v>1</v>
      </c>
      <c r="C286" s="71"/>
      <c r="D286" s="72">
        <f>IF(AND(D280&gt;B280,$AK263&gt;0,ISNUMBER(B280),ISNUMBER(D280)),1,0)</f>
        <v>0</v>
      </c>
      <c r="E286" s="71">
        <f>IF(AND(E280&gt;G280,$AK263&gt;1,ISNUMBER(E280),ISNUMBER(G280)),1,0)</f>
        <v>0</v>
      </c>
      <c r="F286" s="71"/>
      <c r="G286" s="72">
        <f>IF(AND(G280&gt;E280,$AK263&gt;1,ISNUMBER(E280),ISNUMBER(G280)),1,0)</f>
        <v>1</v>
      </c>
      <c r="H286" s="71">
        <f>IF(AND(H280&gt;J280,$AK263&gt;2,ISNUMBER(H280),ISNUMBER(J280)),1,0)</f>
        <v>1</v>
      </c>
      <c r="I286" s="71"/>
      <c r="J286" s="72">
        <f>IF(AND(J280&gt;H280,$AK263&gt;2,ISNUMBER(H280),ISNUMBER(J280)),1,0)</f>
        <v>0</v>
      </c>
      <c r="K286" s="71">
        <f>IF(AND(K280&gt;M280,$AK263&gt;3,ISNUMBER(K280),ISNUMBER(M280)),1,0)</f>
        <v>1</v>
      </c>
      <c r="L286" s="71"/>
      <c r="M286" s="72">
        <f>IF(AND(M280&gt;K280,$AK263&gt;3,ISNUMBER(K280),ISNUMBER(M280)),1,0)</f>
        <v>0</v>
      </c>
      <c r="N286" s="71">
        <f>IF(AND(N280&gt;P280,$AK263&gt;4,ISNUMBER(N280),ISNUMBER(P280)),1,0)</f>
        <v>0</v>
      </c>
      <c r="O286" s="71"/>
      <c r="P286" s="72">
        <f>IF(AND(P280&gt;N280,$AK263&gt;4,ISNUMBER(N280),ISNUMBER(P280)),1,0)</f>
        <v>1</v>
      </c>
      <c r="Q286" s="71">
        <f>IF(AND(Q280&gt;S280,$AK263&gt;5,ISNUMBER(Q280),ISNUMBER(S280)),1,0)</f>
        <v>0</v>
      </c>
      <c r="R286" s="71"/>
      <c r="S286" s="72">
        <f>IF(AND(S280&gt;Q280,$AK263&gt;5,ISNUMBER(Q280),ISNUMBER(S280)),1,0)</f>
        <v>1</v>
      </c>
      <c r="T286" s="71">
        <f>IF(AND(T280&gt;V280,$AK263&gt;6,ISNUMBER(T280),ISNUMBER(V280)),1,0)</f>
        <v>0</v>
      </c>
      <c r="U286" s="71"/>
      <c r="V286" s="72">
        <f>IF(AND(V280&gt;T280,$AK263&gt;6,ISNUMBER(T280),ISNUMBER(V280)),1,0)</f>
        <v>0</v>
      </c>
      <c r="W286" s="71">
        <f>IF(AND(W280&gt;Y280,$AK263&gt;7,ISNUMBER(W280),ISNUMBER(Y280)),1,0)</f>
        <v>0</v>
      </c>
      <c r="X286" s="71"/>
      <c r="Y286" s="72">
        <f>IF(AND(Y280&gt;W280,$AK263&gt;7,ISNUMBER(W280),ISNUMBER(Y280)),1,0)</f>
        <v>0</v>
      </c>
      <c r="Z286" s="71">
        <f>IF(AND(Z280&gt;AB280,$AK263&gt;8,ISNUMBER(Z280),ISNUMBER(AB280)),1,0)</f>
        <v>0</v>
      </c>
      <c r="AA286" s="71"/>
      <c r="AB286" s="72">
        <f>IF(AND(AB280&gt;Z280,$AK263&gt;8,ISNUMBER(Z280),ISNUMBER(AB280)),1,0)</f>
        <v>0</v>
      </c>
      <c r="AC286" s="71">
        <f>IF(AND(AC280&gt;AE280,$AK263&gt;9,ISNUMBER(AC280),ISNUMBER(AE280)),1,0)</f>
        <v>0</v>
      </c>
      <c r="AD286" s="71"/>
      <c r="AE286" s="72">
        <f>IF(AND(AE280&gt;AC280,$AK263&gt;9,ISNUMBER(AC280),ISNUMBER(AE280)),1,0)</f>
        <v>0</v>
      </c>
      <c r="AW286" s="154"/>
    </row>
    <row r="287" spans="1:49" s="70" customFormat="1" ht="12.75" hidden="1" customHeight="1" x14ac:dyDescent="0.2">
      <c r="A287" s="70" t="s">
        <v>76</v>
      </c>
      <c r="B287" s="71">
        <f>IF(AND(B281&gt;D281,$AK263&gt;0,$AK262&gt;1,ISNUMBER(B281),ISNUMBER(D281)),1,0)</f>
        <v>0</v>
      </c>
      <c r="C287" s="71"/>
      <c r="D287" s="72">
        <f>IF(AND(D281&gt;B281,$AK263&gt;0,$AK262&gt;1,ISNUMBER(B281),ISNUMBER(D281)),1,0)</f>
        <v>1</v>
      </c>
      <c r="E287" s="71">
        <f>IF(AND(E281&gt;G281,$AK263&gt;1,$AK262&gt;1,ISNUMBER(E281),ISNUMBER(G281)),1,0)</f>
        <v>0</v>
      </c>
      <c r="F287" s="71"/>
      <c r="G287" s="72">
        <f>IF(AND(G281&gt;E281,$AK263&gt;1,$AK262&gt;1,ISNUMBER(E281),ISNUMBER(G281)),1,0)</f>
        <v>1</v>
      </c>
      <c r="H287" s="71">
        <f>IF(AND(H281&gt;J281,$AK263&gt;2,$AK262&gt;1,ISNUMBER(H281),ISNUMBER(J281)),1,0)</f>
        <v>0</v>
      </c>
      <c r="I287" s="71"/>
      <c r="J287" s="72">
        <f>IF(AND(J281&gt;H281,$AK263&gt;2,$AK262&gt;1,ISNUMBER(H281),ISNUMBER(J281)),1,0)</f>
        <v>1</v>
      </c>
      <c r="K287" s="71">
        <f>IF(AND(K281&gt;M281,$AK263&gt;3,$AK262&gt;1,ISNUMBER(K281),ISNUMBER(M281)),1,0)</f>
        <v>1</v>
      </c>
      <c r="L287" s="71"/>
      <c r="M287" s="72">
        <f>IF(AND(M281&gt;K281,$AK263&gt;3,$AK262&gt;1,ISNUMBER(K281),ISNUMBER(M281)),1,0)</f>
        <v>0</v>
      </c>
      <c r="N287" s="71">
        <f>IF(AND(N281&gt;P281,$AK263&gt;4,$AK262&gt;1,ISNUMBER(N281),ISNUMBER(P281)),1,0)</f>
        <v>0</v>
      </c>
      <c r="O287" s="71"/>
      <c r="P287" s="72">
        <f>IF(AND(P281&gt;N281,$AK263&gt;4,$AK262&gt;1,ISNUMBER(N281),ISNUMBER(P281)),1,0)</f>
        <v>1</v>
      </c>
      <c r="Q287" s="71">
        <f>IF(AND(Q281&gt;S281,$AK263&gt;5,$AK262&gt;1,ISNUMBER(Q281),ISNUMBER(S281)),1,0)</f>
        <v>1</v>
      </c>
      <c r="R287" s="71"/>
      <c r="S287" s="72">
        <f>IF(AND(S281&gt;Q281,$AK263&gt;5,$AK262&gt;1,ISNUMBER(Q281),ISNUMBER(S281)),1,0)</f>
        <v>0</v>
      </c>
      <c r="T287" s="71">
        <f>IF(AND(T281&gt;V281,$AK263&gt;6,$AK262&gt;1,ISNUMBER(T281),ISNUMBER(V281)),1,0)</f>
        <v>0</v>
      </c>
      <c r="U287" s="71"/>
      <c r="V287" s="72">
        <f>IF(AND(V281&gt;T281,$AK263&gt;6,$AK262&gt;1,ISNUMBER(T281),ISNUMBER(V281)),1,0)</f>
        <v>0</v>
      </c>
      <c r="W287" s="71">
        <f>IF(AND(W281&gt;Y281,$AK263&gt;7,$AK262&gt;1,ISNUMBER(W281),ISNUMBER(Y281)),1,0)</f>
        <v>0</v>
      </c>
      <c r="X287" s="71"/>
      <c r="Y287" s="72">
        <f>IF(AND(Y281&gt;W281,$AK263&gt;7,$AK262&gt;1,ISNUMBER(W281),ISNUMBER(Y281)),1,0)</f>
        <v>0</v>
      </c>
      <c r="Z287" s="71">
        <f>IF(AND(Z281&gt;AB281,$AK263&gt;8,$AK262&gt;1,ISNUMBER(Z281),ISNUMBER(AB281)),1,0)</f>
        <v>0</v>
      </c>
      <c r="AA287" s="71"/>
      <c r="AB287" s="72">
        <f>IF(AND(AB281&gt;Z281,$AK263&gt;8,$AK262&gt;1,ISNUMBER(Z281),ISNUMBER(AB281)),1,0)</f>
        <v>0</v>
      </c>
      <c r="AC287" s="71">
        <f>IF(AND(AC281&gt;AE281,$AK263&gt;9,$AK262&gt;1,ISNUMBER(AC281),ISNUMBER(AE281)),1,0)</f>
        <v>0</v>
      </c>
      <c r="AD287" s="71"/>
      <c r="AE287" s="72">
        <f>IF(AND(AE281&gt;AC281,$AK263&gt;9,$AK262&gt;1,ISNUMBER(AC281),ISNUMBER(AE281)),1,0)</f>
        <v>0</v>
      </c>
      <c r="AW287" s="154"/>
    </row>
    <row r="288" spans="1:49" s="70" customFormat="1" ht="12.75" hidden="1" customHeight="1" x14ac:dyDescent="0.2">
      <c r="A288" s="70" t="s">
        <v>77</v>
      </c>
      <c r="B288" s="71">
        <f>IF(AND(B282&gt;D282,$AK263&gt;0,$AK262&gt;2,ISNUMBER(B282),ISNUMBER(D282)),1,0)</f>
        <v>1</v>
      </c>
      <c r="C288" s="71"/>
      <c r="D288" s="72">
        <f>IF(AND(D282&gt;B282,$AK263&gt;0,$AK262&gt;2,ISNUMBER(B282),ISNUMBER(D282)),1,0)</f>
        <v>0</v>
      </c>
      <c r="E288" s="71">
        <f>IF(AND(E282&gt;G282,$AK263&gt;1,$AK262&gt;2,ISNUMBER(E282),ISNUMBER(G282)),1,0)</f>
        <v>0</v>
      </c>
      <c r="F288" s="71"/>
      <c r="G288" s="72">
        <f>IF(AND(G282&gt;E282,$AK263&gt;1,$AK262&gt;2,ISNUMBER(E282),ISNUMBER(G282)),1,0)</f>
        <v>0</v>
      </c>
      <c r="H288" s="71">
        <f>IF(AND(H282&gt;J282,$AK263&gt;2,$AK262&gt;2,ISNUMBER(H282),ISNUMBER(J282)),1,0)</f>
        <v>1</v>
      </c>
      <c r="I288" s="71"/>
      <c r="J288" s="72">
        <f>IF(AND(J282&gt;H282,$AK263&gt;2,$AK262&gt;2,ISNUMBER(H282),ISNUMBER(J282)),1,0)</f>
        <v>0</v>
      </c>
      <c r="K288" s="71">
        <f>IF(AND(K282&gt;M282,$AK263&gt;3,$AK262&gt;2,ISNUMBER(K282),ISNUMBER(M282)),1,0)</f>
        <v>0</v>
      </c>
      <c r="L288" s="71"/>
      <c r="M288" s="72">
        <f>IF(AND(M282&gt;K282,$AK263&gt;3,$AK262&gt;2,ISNUMBER(K282),ISNUMBER(M282)),1,0)</f>
        <v>0</v>
      </c>
      <c r="N288" s="71">
        <f>IF(AND(N282&gt;P282,$AK263&gt;4,$AK262&gt;2,ISNUMBER(N282),ISNUMBER(P282)),1,0)</f>
        <v>0</v>
      </c>
      <c r="O288" s="71"/>
      <c r="P288" s="72">
        <f>IF(AND(P282&gt;N282,$AK263&gt;4,$AK262&gt;2,ISNUMBER(N282),ISNUMBER(P282)),1,0)</f>
        <v>0</v>
      </c>
      <c r="Q288" s="71">
        <f>IF(AND(Q282&gt;S282,$AK263&gt;5,$AK262&gt;2,ISNUMBER(Q282),ISNUMBER(S282)),1,0)</f>
        <v>0</v>
      </c>
      <c r="R288" s="71"/>
      <c r="S288" s="72">
        <f>IF(AND(S282&gt;Q282,$AK263&gt;5,$AK262&gt;2,ISNUMBER(Q282),ISNUMBER(S282)),1,0)</f>
        <v>1</v>
      </c>
      <c r="T288" s="71">
        <f>IF(AND(T282&gt;V282,$AK263&gt;6,$AK262&gt;2,ISNUMBER(T282),ISNUMBER(V282)),1,0)</f>
        <v>0</v>
      </c>
      <c r="U288" s="71"/>
      <c r="V288" s="72">
        <f>IF(AND(V282&gt;T282,$AK263&gt;6,$AK262&gt;2,ISNUMBER(T282),ISNUMBER(V282)),1,0)</f>
        <v>0</v>
      </c>
      <c r="W288" s="71">
        <f>IF(AND(W282&gt;Y282,$AK263&gt;7,$AK262&gt;2,ISNUMBER(W282),ISNUMBER(Y282)),1,0)</f>
        <v>0</v>
      </c>
      <c r="X288" s="71"/>
      <c r="Y288" s="72">
        <f>IF(AND(Y282&gt;W282,$AK263&gt;7,$AK262&gt;2,ISNUMBER(W282),ISNUMBER(Y282)),1,0)</f>
        <v>0</v>
      </c>
      <c r="Z288" s="71">
        <f>IF(AND(Z282&gt;AB282,$AK263&gt;8,$AK262&gt;2,ISNUMBER(Z282),ISNUMBER(AB282)),1,0)</f>
        <v>0</v>
      </c>
      <c r="AA288" s="71"/>
      <c r="AB288" s="72">
        <f>IF(AND(AB282&gt;Z282,$AK263&gt;8,$AK262&gt;2,ISNUMBER(Z282),ISNUMBER(AB282)),1,0)</f>
        <v>0</v>
      </c>
      <c r="AC288" s="71">
        <f>IF(AND(AC282&gt;AE282,$AK263&gt;9,$AK262&gt;2,ISNUMBER(AC282),ISNUMBER(AE282)),1,0)</f>
        <v>0</v>
      </c>
      <c r="AD288" s="71"/>
      <c r="AE288" s="72">
        <f>IF(AND(AE282&gt;AC282,$AK263&gt;9,$AK262&gt;2,ISNUMBER(AC282),ISNUMBER(AE282)),1,0)</f>
        <v>0</v>
      </c>
      <c r="AW288" s="154"/>
    </row>
    <row r="289" spans="1:49" s="70" customFormat="1" ht="12.75" hidden="1" customHeight="1" x14ac:dyDescent="0.2">
      <c r="A289" s="70" t="s">
        <v>78</v>
      </c>
      <c r="B289" s="71">
        <f>IF(AND(B283&gt;D283,$AK263&gt;0,$AK262&gt;3,ISNUMBER(B283),ISNUMBER(D283)),1,0)</f>
        <v>0</v>
      </c>
      <c r="C289" s="71"/>
      <c r="D289" s="72">
        <f>IF(AND(D283&gt;B283,$AK263&gt;0,$AK262&gt;3,ISNUMBER(B283),ISNUMBER(D283)),1,0)</f>
        <v>0</v>
      </c>
      <c r="E289" s="71">
        <f>IF(AND(E283&gt;G283,$AK263&gt;1,$AK262&gt;3,ISNUMBER(E283),ISNUMBER(G283)),1,0)</f>
        <v>0</v>
      </c>
      <c r="F289" s="71"/>
      <c r="G289" s="72">
        <f>IF(AND(G283&gt;E283,$AK263&gt;1,$AK262&gt;3,ISNUMBER(E283),ISNUMBER(G283)),1,0)</f>
        <v>0</v>
      </c>
      <c r="H289" s="71">
        <f>IF(AND(H283&gt;J283,$AK263&gt;2,$AK262&gt;3,ISNUMBER(H283),ISNUMBER(J283)),1,0)</f>
        <v>0</v>
      </c>
      <c r="I289" s="71"/>
      <c r="J289" s="72">
        <f>IF(AND(J283&gt;H283,$AK263&gt;2,$AK262&gt;3,ISNUMBER(H283),ISNUMBER(J283)),1,0)</f>
        <v>0</v>
      </c>
      <c r="K289" s="71">
        <f>IF(AND(K283&gt;M283,$AK263&gt;3,$AK262&gt;3,ISNUMBER(K283),ISNUMBER(M283)),1,0)</f>
        <v>0</v>
      </c>
      <c r="L289" s="71"/>
      <c r="M289" s="72">
        <f>IF(AND(M283&gt;K283,$AK263&gt;3,$AK262&gt;3,ISNUMBER(K283),ISNUMBER(M283)),1,0)</f>
        <v>0</v>
      </c>
      <c r="N289" s="71">
        <f>IF(AND(N283&gt;P283,$AK263&gt;4,$AK262&gt;3,ISNUMBER(N283),ISNUMBER(P283)),1,0)</f>
        <v>0</v>
      </c>
      <c r="O289" s="71"/>
      <c r="P289" s="72">
        <f>IF(AND(P283&gt;N283,$AK263&gt;4,$AK262&gt;3,ISNUMBER(N283),ISNUMBER(P283)),1,0)</f>
        <v>0</v>
      </c>
      <c r="Q289" s="71">
        <f>IF(AND(Q283&gt;S283,$AK263&gt;5,$AK262&gt;3,ISNUMBER(Q283),ISNUMBER(S283)),1,0)</f>
        <v>0</v>
      </c>
      <c r="R289" s="71"/>
      <c r="S289" s="72">
        <f>IF(AND(S283&gt;Q283,$AK263&gt;5,$AK262&gt;3,ISNUMBER(Q283),ISNUMBER(S283)),1,0)</f>
        <v>0</v>
      </c>
      <c r="T289" s="71">
        <f>IF(AND(T283&gt;V283,$AK263&gt;6,$AK262&gt;3,ISNUMBER(T283),ISNUMBER(V283)),1,0)</f>
        <v>0</v>
      </c>
      <c r="U289" s="71"/>
      <c r="V289" s="72">
        <f>IF(AND(V283&gt;T283,$AK263&gt;6,$AK262&gt;3,ISNUMBER(T283),ISNUMBER(V283)),1,0)</f>
        <v>0</v>
      </c>
      <c r="W289" s="71">
        <f>IF(AND(W283&gt;Y283,$AK263&gt;7,$AK262&gt;3,ISNUMBER(W283),ISNUMBER(Y283)),1,0)</f>
        <v>0</v>
      </c>
      <c r="X289" s="71"/>
      <c r="Y289" s="72">
        <f>IF(AND(Y283&gt;W283,$AK263&gt;7,$AK262&gt;3,ISNUMBER(W283),ISNUMBER(Y283)),1,0)</f>
        <v>0</v>
      </c>
      <c r="Z289" s="71">
        <f>IF(AND(Z283&gt;AB283,$AK263&gt;8,$AK262&gt;3,ISNUMBER(Z283),ISNUMBER(AB283)),1,0)</f>
        <v>0</v>
      </c>
      <c r="AA289" s="71"/>
      <c r="AB289" s="72">
        <f>IF(AND(AB283&gt;Z283,$AK263&gt;8,$AK262&gt;3,ISNUMBER(Z283),ISNUMBER(AB283)),1,0)</f>
        <v>0</v>
      </c>
      <c r="AC289" s="71">
        <f>IF(AND(AC283&gt;AE283,$AK263&gt;9,$AK262&gt;3,ISNUMBER(AC283),ISNUMBER(AE283)),1,0)</f>
        <v>0</v>
      </c>
      <c r="AD289" s="71"/>
      <c r="AE289" s="72">
        <f>IF(AND(AE283&gt;AC283,$AK263&gt;9,$AK262&gt;3,ISNUMBER(AC283),ISNUMBER(AE283)),1,0)</f>
        <v>0</v>
      </c>
      <c r="AW289" s="154"/>
    </row>
    <row r="290" spans="1:49" s="70" customFormat="1" ht="12.75" hidden="1" customHeight="1" x14ac:dyDescent="0.2">
      <c r="A290" s="70" t="s">
        <v>79</v>
      </c>
      <c r="B290" s="71">
        <f>IF(AND(B284&gt;D284,$AK263&gt;0,$AK262&gt;4,ISNUMBER(B284),ISNUMBER(D284)),1,0)</f>
        <v>0</v>
      </c>
      <c r="C290" s="71"/>
      <c r="D290" s="72">
        <f>IF(AND(D284&gt;B284,$AK263&gt;0,$AK262&gt;4,ISNUMBER(B284),ISNUMBER(D284)),1,0)</f>
        <v>0</v>
      </c>
      <c r="E290" s="71">
        <f>IF(AND(E284&gt;G284,$AK263&gt;1,$AK262&gt;4,ISNUMBER(E284),ISNUMBER(G284)),1,0)</f>
        <v>0</v>
      </c>
      <c r="F290" s="71"/>
      <c r="G290" s="72">
        <f>IF(AND(G284&gt;E284,$AK263&gt;1,$AK262&gt;4,ISNUMBER(E284),ISNUMBER(G284)),1,0)</f>
        <v>0</v>
      </c>
      <c r="H290" s="71">
        <f>IF(AND(H284&gt;J284,$AK263&gt;2,$AK262&gt;4,ISNUMBER(H284),ISNUMBER(J284)),1,0)</f>
        <v>0</v>
      </c>
      <c r="I290" s="71"/>
      <c r="J290" s="72">
        <f>IF(AND(J284&gt;H284,$AK263&gt;2,$AK262&gt;4,ISNUMBER(H284),ISNUMBER(J284)),1,0)</f>
        <v>0</v>
      </c>
      <c r="K290" s="71">
        <f>IF(AND(K284&gt;M284,$AK263&gt;3,$AK262&gt;4,ISNUMBER(K284),ISNUMBER(M284)),1,0)</f>
        <v>0</v>
      </c>
      <c r="L290" s="71"/>
      <c r="M290" s="72">
        <f>IF(AND(M284&gt;K284,$AK263&gt;3,$AK262&gt;4,ISNUMBER(K284),ISNUMBER(M284)),1,0)</f>
        <v>0</v>
      </c>
      <c r="N290" s="71">
        <f>IF(AND(N284&gt;P284,$AK263&gt;4,$AK262&gt;4,ISNUMBER(N284),ISNUMBER(P284)),1,0)</f>
        <v>0</v>
      </c>
      <c r="O290" s="71"/>
      <c r="P290" s="72">
        <f>IF(AND(P284&gt;N284,$AK263&gt;4,$AK262&gt;4,ISNUMBER(N284),ISNUMBER(P284)),1,0)</f>
        <v>0</v>
      </c>
      <c r="Q290" s="71">
        <f>IF(AND(Q284&gt;S284,$AK263&gt;5,$AK262&gt;4,ISNUMBER(Q284),ISNUMBER(S284)),1,0)</f>
        <v>0</v>
      </c>
      <c r="R290" s="71"/>
      <c r="S290" s="72">
        <f>IF(AND(S284&gt;Q284,$AK263&gt;5,$AK262&gt;4,ISNUMBER(Q284),ISNUMBER(S284)),1,0)</f>
        <v>0</v>
      </c>
      <c r="T290" s="71">
        <f>IF(AND(T284&gt;V284,$AK263&gt;6,$AK262&gt;4,ISNUMBER(T284),ISNUMBER(V284)),1,0)</f>
        <v>0</v>
      </c>
      <c r="U290" s="71"/>
      <c r="V290" s="72">
        <f>IF(AND(V284&gt;T284,$AK263&gt;6,$AK262&gt;4,ISNUMBER(T284),ISNUMBER(V284)),1,0)</f>
        <v>0</v>
      </c>
      <c r="W290" s="71">
        <f>IF(AND(W284&gt;Y284,$AK263&gt;7,$AK262&gt;4,ISNUMBER(W284),ISNUMBER(Y284)),1,0)</f>
        <v>0</v>
      </c>
      <c r="X290" s="71"/>
      <c r="Y290" s="72">
        <f>IF(AND(Y284&gt;W284,$AK263&gt;7,$AK262&gt;4,ISNUMBER(W284),ISNUMBER(Y284)),1,0)</f>
        <v>0</v>
      </c>
      <c r="Z290" s="71">
        <f>IF(AND(Z284&gt;AB284,$AK263&gt;8,$AK262&gt;4,ISNUMBER(Z284),ISNUMBER(AB284)),1,0)</f>
        <v>0</v>
      </c>
      <c r="AA290" s="71"/>
      <c r="AB290" s="72">
        <f>IF(AND(AB284&gt;Z284,$AK263&gt;8,$AK262&gt;4,ISNUMBER(Z284),ISNUMBER(AB284)),1,0)</f>
        <v>0</v>
      </c>
      <c r="AC290" s="71">
        <f>IF(AND(AC284&gt;AE284,$AK263&gt;9,$AK262&gt;4,ISNUMBER(AC284),ISNUMBER(AE284)),1,0)</f>
        <v>0</v>
      </c>
      <c r="AD290" s="71"/>
      <c r="AE290" s="72">
        <f>IF(AND(AE284&gt;AC284,$AK263&gt;9,$AK262&gt;4,ISNUMBER(AC284),ISNUMBER(AE284)),1,0)</f>
        <v>0</v>
      </c>
      <c r="AW290" s="154"/>
    </row>
    <row r="291" spans="1:49" s="70" customFormat="1" ht="38.25" hidden="1" customHeight="1" x14ac:dyDescent="0.2">
      <c r="A291" s="73" t="s">
        <v>80</v>
      </c>
      <c r="B291" s="70">
        <f>SUM(B286:B290)</f>
        <v>2</v>
      </c>
      <c r="D291" s="74">
        <f>SUM(D286:D290)</f>
        <v>1</v>
      </c>
      <c r="E291" s="70">
        <f>SUM(E286:E290)</f>
        <v>0</v>
      </c>
      <c r="G291" s="74">
        <f>SUM(G286:G290)</f>
        <v>2</v>
      </c>
      <c r="H291" s="70">
        <f>SUM(H286:H290)</f>
        <v>2</v>
      </c>
      <c r="J291" s="74">
        <f>SUM(J286:J290)</f>
        <v>1</v>
      </c>
      <c r="K291" s="70">
        <f>SUM(K286:K290)</f>
        <v>2</v>
      </c>
      <c r="M291" s="74">
        <f>SUM(M286:M290)</f>
        <v>0</v>
      </c>
      <c r="N291" s="70">
        <f>SUM(N286:N290)</f>
        <v>0</v>
      </c>
      <c r="P291" s="74">
        <f>SUM(P286:P290)</f>
        <v>2</v>
      </c>
      <c r="Q291" s="70">
        <f>SUM(Q286:Q290)</f>
        <v>1</v>
      </c>
      <c r="S291" s="74">
        <f>SUM(S286:S290)</f>
        <v>2</v>
      </c>
      <c r="T291" s="70">
        <f>SUM(T286:T290)</f>
        <v>0</v>
      </c>
      <c r="V291" s="74">
        <f>SUM(V286:V290)</f>
        <v>0</v>
      </c>
      <c r="W291" s="70">
        <f>SUM(W286:W290)</f>
        <v>0</v>
      </c>
      <c r="Y291" s="74">
        <f>SUM(Y286:Y290)</f>
        <v>0</v>
      </c>
      <c r="Z291" s="70">
        <f>SUM(Z286:Z290)</f>
        <v>0</v>
      </c>
      <c r="AB291" s="74">
        <f>SUM(AB286:AB290)</f>
        <v>0</v>
      </c>
      <c r="AC291" s="70">
        <f>SUM(AC286:AC290)</f>
        <v>0</v>
      </c>
      <c r="AE291" s="74">
        <f>SUM(AE286:AE290)</f>
        <v>0</v>
      </c>
      <c r="AW291" s="154"/>
    </row>
    <row r="292" spans="1:49" s="70" customFormat="1" ht="25.5" hidden="1" customHeight="1" x14ac:dyDescent="0.2">
      <c r="A292" s="73" t="s">
        <v>81</v>
      </c>
      <c r="B292" s="70">
        <f>IF(B291&gt;D291,IF(C326=AK262,1,IF(C326=AK262-1,1,0)),0)</f>
        <v>1</v>
      </c>
      <c r="C292" s="70">
        <f>B292+D292</f>
        <v>1</v>
      </c>
      <c r="D292" s="74">
        <f>IF(D291&gt;B291,IF(C326=AK262,1,IF(C326=AK262-1,1,0)),0)</f>
        <v>0</v>
      </c>
      <c r="E292" s="70">
        <f>IF(E291&gt;G291,IF(F326=AK262,1,IF(F326=AK262-1,1,0)),0)</f>
        <v>0</v>
      </c>
      <c r="F292" s="70">
        <f>E292+G292</f>
        <v>1</v>
      </c>
      <c r="G292" s="74">
        <f>IF(G291&gt;E291,IF(F326=AK262,1,IF(F326=AK262-1,1,0)),0)</f>
        <v>1</v>
      </c>
      <c r="H292" s="70">
        <f>IF(H291&gt;J291,IF(I326=AK262,1,IF(I326=AK262-1,1,0)),0)</f>
        <v>1</v>
      </c>
      <c r="I292" s="70">
        <f>H292+J292</f>
        <v>1</v>
      </c>
      <c r="J292" s="74">
        <f>IF(J291&gt;H291,IF(I326=AK262,1,IF(I326=AK262-1,1,0)),0)</f>
        <v>0</v>
      </c>
      <c r="K292" s="70">
        <f>IF(K291&gt;M291,IF(L326=AK262,1,IF(L326=AK262-1,1,0)),0)</f>
        <v>1</v>
      </c>
      <c r="L292" s="70">
        <f>K292+M292</f>
        <v>1</v>
      </c>
      <c r="M292" s="74">
        <f>IF(M291&gt;K291,IF(L326=AK262,1,IF(L326=AK262-1,1,0)),0)</f>
        <v>0</v>
      </c>
      <c r="N292" s="70">
        <f>IF(N291&gt;P291,IF(O326=AK262,1,IF(O326=AK262-1,1,0)),0)</f>
        <v>0</v>
      </c>
      <c r="O292" s="70">
        <f>N292+P292</f>
        <v>1</v>
      </c>
      <c r="P292" s="74">
        <f>IF(P291&gt;N291,IF(O326=AK262,1,IF(O326=AK262-1,1,0)),0)</f>
        <v>1</v>
      </c>
      <c r="Q292" s="70">
        <f>IF(Q291&gt;S291,IF(R326=AK262,1,IF(R326=AK262-1,1,0)),0)</f>
        <v>0</v>
      </c>
      <c r="R292" s="70">
        <f>Q292+S292</f>
        <v>1</v>
      </c>
      <c r="S292" s="74">
        <f>IF(S291&gt;Q291,IF(R326=AK262,1,IF(R326=AK262-1,1,0)),0)</f>
        <v>1</v>
      </c>
      <c r="T292" s="70">
        <f>IF(T291&gt;V291,IF(U326=AK262,1,IF(U326=AK262-1,1,0)),0)</f>
        <v>0</v>
      </c>
      <c r="U292" s="70">
        <f>T292+V292</f>
        <v>0</v>
      </c>
      <c r="V292" s="74">
        <f>IF(V291&gt;T291,IF(U326=AK262,1,IF(U326=AK262-1,1,0)),0)</f>
        <v>0</v>
      </c>
      <c r="W292" s="70">
        <f>IF(W291&gt;Y291,IF(X326=AK262,1,IF(X326=AK262-1,1,0)),0)</f>
        <v>0</v>
      </c>
      <c r="X292" s="70">
        <f>W292+Y292</f>
        <v>0</v>
      </c>
      <c r="Y292" s="74">
        <f>IF(Y291&gt;W291,IF(X326=AK262,1,IF(X326=AK262-1,1,0)),0)</f>
        <v>0</v>
      </c>
      <c r="Z292" s="70">
        <f>IF(Z291&gt;AB291,IF(AA326=AK262,1,IF(AA326=AK262-1,1,0)),0)</f>
        <v>0</v>
      </c>
      <c r="AA292" s="70">
        <f>Z292+AB292</f>
        <v>0</v>
      </c>
      <c r="AB292" s="74">
        <f>IF(AB291&gt;Z291,IF(AA326=AK262,1,IF(AA326=AK262-1,1,0)),0)</f>
        <v>0</v>
      </c>
      <c r="AC292" s="70">
        <f>IF(AC291&gt;AE291,IF(AD326=AK262,1,IF(AD326=AK262-1,1,0)),0)</f>
        <v>0</v>
      </c>
      <c r="AD292" s="70">
        <f>AC292+AE292</f>
        <v>0</v>
      </c>
      <c r="AE292" s="74">
        <f>IF(AE291&gt;AC291,IF(AD326=AK262,1,IF(AD326=AK262-1,1,0)),0)</f>
        <v>0</v>
      </c>
      <c r="AW292" s="154"/>
    </row>
    <row r="293" spans="1:49" s="70" customFormat="1" ht="25.5" hidden="1" customHeight="1" x14ac:dyDescent="0.2">
      <c r="A293" s="73"/>
      <c r="D293" s="74"/>
      <c r="G293" s="74"/>
      <c r="J293" s="74"/>
      <c r="M293" s="74"/>
      <c r="P293" s="74"/>
      <c r="S293" s="74"/>
      <c r="V293" s="74"/>
      <c r="Y293" s="74"/>
      <c r="AB293" s="74"/>
      <c r="AE293" s="74"/>
      <c r="AW293" s="154"/>
    </row>
    <row r="294" spans="1:49" s="70" customFormat="1" ht="12.75" hidden="1" customHeight="1" x14ac:dyDescent="0.2">
      <c r="A294" s="70" t="s">
        <v>82</v>
      </c>
      <c r="B294" s="70">
        <f>IF(B286=1,B280,0)</f>
        <v>25</v>
      </c>
      <c r="D294" s="74">
        <f t="shared" ref="D294:E298" si="29">IF(D286=1,D280,0)</f>
        <v>0</v>
      </c>
      <c r="E294" s="70">
        <f t="shared" si="29"/>
        <v>0</v>
      </c>
      <c r="G294" s="74">
        <f t="shared" ref="G294:H298" si="30">IF(G286=1,G280,0)</f>
        <v>25</v>
      </c>
      <c r="H294" s="70">
        <f t="shared" si="30"/>
        <v>26</v>
      </c>
      <c r="J294" s="74">
        <f t="shared" ref="J294:K298" si="31">IF(J286=1,J280,0)</f>
        <v>0</v>
      </c>
      <c r="K294" s="70">
        <f t="shared" si="31"/>
        <v>25</v>
      </c>
      <c r="M294" s="74">
        <f t="shared" ref="M294:N298" si="32">IF(M286=1,M280,0)</f>
        <v>0</v>
      </c>
      <c r="N294" s="70">
        <f t="shared" si="32"/>
        <v>0</v>
      </c>
      <c r="P294" s="74">
        <f t="shared" ref="P294:Q298" si="33">IF(P286=1,P280,0)</f>
        <v>25</v>
      </c>
      <c r="Q294" s="70">
        <f t="shared" si="33"/>
        <v>0</v>
      </c>
      <c r="S294" s="74">
        <f t="shared" ref="S294:T298" si="34">IF(S286=1,S280,0)</f>
        <v>25</v>
      </c>
      <c r="T294" s="70">
        <f t="shared" si="34"/>
        <v>0</v>
      </c>
      <c r="V294" s="74">
        <f t="shared" ref="V294:W298" si="35">IF(V286=1,V280,0)</f>
        <v>0</v>
      </c>
      <c r="W294" s="70">
        <f t="shared" si="35"/>
        <v>0</v>
      </c>
      <c r="Y294" s="74">
        <f t="shared" ref="Y294:Z298" si="36">IF(Y286=1,Y280,0)</f>
        <v>0</v>
      </c>
      <c r="Z294" s="70">
        <f t="shared" si="36"/>
        <v>0</v>
      </c>
      <c r="AB294" s="74">
        <f t="shared" ref="AB294:AC298" si="37">IF(AB286=1,AB280,0)</f>
        <v>0</v>
      </c>
      <c r="AC294" s="70">
        <f t="shared" si="37"/>
        <v>0</v>
      </c>
      <c r="AE294" s="74">
        <f>IF(AE286=1,AE280,0)</f>
        <v>0</v>
      </c>
      <c r="AW294" s="154"/>
    </row>
    <row r="295" spans="1:49" s="70" customFormat="1" ht="12.75" hidden="1" customHeight="1" x14ac:dyDescent="0.2">
      <c r="A295" s="70" t="s">
        <v>83</v>
      </c>
      <c r="B295" s="70">
        <f>IF(B287=1,B281,0)</f>
        <v>0</v>
      </c>
      <c r="D295" s="74">
        <f t="shared" si="29"/>
        <v>25</v>
      </c>
      <c r="E295" s="70">
        <f t="shared" si="29"/>
        <v>0</v>
      </c>
      <c r="G295" s="74">
        <f t="shared" si="30"/>
        <v>25</v>
      </c>
      <c r="H295" s="70">
        <f t="shared" si="30"/>
        <v>0</v>
      </c>
      <c r="J295" s="74">
        <f t="shared" si="31"/>
        <v>26</v>
      </c>
      <c r="K295" s="70">
        <f t="shared" si="31"/>
        <v>25</v>
      </c>
      <c r="M295" s="74">
        <f t="shared" si="32"/>
        <v>0</v>
      </c>
      <c r="N295" s="70">
        <f t="shared" si="32"/>
        <v>0</v>
      </c>
      <c r="P295" s="74">
        <f t="shared" si="33"/>
        <v>25</v>
      </c>
      <c r="Q295" s="70">
        <f t="shared" si="33"/>
        <v>25</v>
      </c>
      <c r="S295" s="74">
        <f t="shared" si="34"/>
        <v>0</v>
      </c>
      <c r="T295" s="70">
        <f t="shared" si="34"/>
        <v>0</v>
      </c>
      <c r="V295" s="74">
        <f t="shared" si="35"/>
        <v>0</v>
      </c>
      <c r="W295" s="70">
        <f t="shared" si="35"/>
        <v>0</v>
      </c>
      <c r="Y295" s="74">
        <f t="shared" si="36"/>
        <v>0</v>
      </c>
      <c r="Z295" s="70">
        <f t="shared" si="36"/>
        <v>0</v>
      </c>
      <c r="AB295" s="74">
        <f t="shared" si="37"/>
        <v>0</v>
      </c>
      <c r="AC295" s="70">
        <f t="shared" si="37"/>
        <v>0</v>
      </c>
      <c r="AE295" s="74">
        <f>IF(AE287=1,AE281,0)</f>
        <v>0</v>
      </c>
      <c r="AW295" s="154"/>
    </row>
    <row r="296" spans="1:49" s="70" customFormat="1" ht="12.75" hidden="1" customHeight="1" x14ac:dyDescent="0.2">
      <c r="A296" s="70" t="s">
        <v>84</v>
      </c>
      <c r="B296" s="70">
        <f>IF(B288=1,B282,0)</f>
        <v>15</v>
      </c>
      <c r="D296" s="74">
        <f t="shared" si="29"/>
        <v>0</v>
      </c>
      <c r="E296" s="70">
        <f t="shared" si="29"/>
        <v>0</v>
      </c>
      <c r="G296" s="74">
        <f t="shared" si="30"/>
        <v>0</v>
      </c>
      <c r="H296" s="70">
        <f t="shared" si="30"/>
        <v>15</v>
      </c>
      <c r="J296" s="74">
        <f t="shared" si="31"/>
        <v>0</v>
      </c>
      <c r="K296" s="70">
        <f t="shared" si="31"/>
        <v>0</v>
      </c>
      <c r="M296" s="74">
        <f t="shared" si="32"/>
        <v>0</v>
      </c>
      <c r="N296" s="70">
        <f t="shared" si="32"/>
        <v>0</v>
      </c>
      <c r="P296" s="74">
        <f t="shared" si="33"/>
        <v>0</v>
      </c>
      <c r="Q296" s="70">
        <f t="shared" si="33"/>
        <v>0</v>
      </c>
      <c r="S296" s="74">
        <f t="shared" si="34"/>
        <v>15</v>
      </c>
      <c r="T296" s="70">
        <f t="shared" si="34"/>
        <v>0</v>
      </c>
      <c r="V296" s="74">
        <f t="shared" si="35"/>
        <v>0</v>
      </c>
      <c r="W296" s="70">
        <f t="shared" si="35"/>
        <v>0</v>
      </c>
      <c r="Y296" s="74">
        <f t="shared" si="36"/>
        <v>0</v>
      </c>
      <c r="Z296" s="70">
        <f t="shared" si="36"/>
        <v>0</v>
      </c>
      <c r="AB296" s="74">
        <f t="shared" si="37"/>
        <v>0</v>
      </c>
      <c r="AC296" s="70">
        <f t="shared" si="37"/>
        <v>0</v>
      </c>
      <c r="AE296" s="74">
        <f>IF(AE288=1,AE282,0)</f>
        <v>0</v>
      </c>
      <c r="AW296" s="154"/>
    </row>
    <row r="297" spans="1:49" s="70" customFormat="1" ht="12.75" hidden="1" customHeight="1" x14ac:dyDescent="0.2">
      <c r="A297" s="70" t="s">
        <v>85</v>
      </c>
      <c r="B297" s="70">
        <f>IF(B289=1,B283,0)</f>
        <v>0</v>
      </c>
      <c r="D297" s="74">
        <f t="shared" si="29"/>
        <v>0</v>
      </c>
      <c r="E297" s="70">
        <f t="shared" si="29"/>
        <v>0</v>
      </c>
      <c r="G297" s="74">
        <f t="shared" si="30"/>
        <v>0</v>
      </c>
      <c r="H297" s="70">
        <f t="shared" si="30"/>
        <v>0</v>
      </c>
      <c r="J297" s="74">
        <f t="shared" si="31"/>
        <v>0</v>
      </c>
      <c r="K297" s="70">
        <f t="shared" si="31"/>
        <v>0</v>
      </c>
      <c r="M297" s="74">
        <f t="shared" si="32"/>
        <v>0</v>
      </c>
      <c r="N297" s="70">
        <f t="shared" si="32"/>
        <v>0</v>
      </c>
      <c r="P297" s="74">
        <f t="shared" si="33"/>
        <v>0</v>
      </c>
      <c r="Q297" s="70">
        <f t="shared" si="33"/>
        <v>0</v>
      </c>
      <c r="S297" s="74">
        <f t="shared" si="34"/>
        <v>0</v>
      </c>
      <c r="T297" s="70">
        <f t="shared" si="34"/>
        <v>0</v>
      </c>
      <c r="V297" s="74">
        <f t="shared" si="35"/>
        <v>0</v>
      </c>
      <c r="W297" s="70">
        <f t="shared" si="35"/>
        <v>0</v>
      </c>
      <c r="Y297" s="74">
        <f t="shared" si="36"/>
        <v>0</v>
      </c>
      <c r="Z297" s="70">
        <f t="shared" si="36"/>
        <v>0</v>
      </c>
      <c r="AB297" s="74">
        <f t="shared" si="37"/>
        <v>0</v>
      </c>
      <c r="AC297" s="70">
        <f t="shared" si="37"/>
        <v>0</v>
      </c>
      <c r="AE297" s="74">
        <f>IF(AE289=1,AE283,0)</f>
        <v>0</v>
      </c>
      <c r="AW297" s="154"/>
    </row>
    <row r="298" spans="1:49" s="70" customFormat="1" ht="12.75" hidden="1" customHeight="1" x14ac:dyDescent="0.2">
      <c r="A298" s="70" t="s">
        <v>86</v>
      </c>
      <c r="B298" s="70">
        <f>IF(B290=1,B284,0)</f>
        <v>0</v>
      </c>
      <c r="D298" s="74">
        <f t="shared" si="29"/>
        <v>0</v>
      </c>
      <c r="E298" s="70">
        <f t="shared" si="29"/>
        <v>0</v>
      </c>
      <c r="G298" s="74">
        <f t="shared" si="30"/>
        <v>0</v>
      </c>
      <c r="H298" s="70">
        <f t="shared" si="30"/>
        <v>0</v>
      </c>
      <c r="J298" s="74">
        <f t="shared" si="31"/>
        <v>0</v>
      </c>
      <c r="K298" s="70">
        <f t="shared" si="31"/>
        <v>0</v>
      </c>
      <c r="M298" s="74">
        <f t="shared" si="32"/>
        <v>0</v>
      </c>
      <c r="N298" s="70">
        <f t="shared" si="32"/>
        <v>0</v>
      </c>
      <c r="P298" s="74">
        <f t="shared" si="33"/>
        <v>0</v>
      </c>
      <c r="Q298" s="70">
        <f t="shared" si="33"/>
        <v>0</v>
      </c>
      <c r="S298" s="74">
        <f t="shared" si="34"/>
        <v>0</v>
      </c>
      <c r="T298" s="70">
        <f t="shared" si="34"/>
        <v>0</v>
      </c>
      <c r="V298" s="74">
        <f t="shared" si="35"/>
        <v>0</v>
      </c>
      <c r="W298" s="70">
        <f t="shared" si="35"/>
        <v>0</v>
      </c>
      <c r="Y298" s="74">
        <f t="shared" si="36"/>
        <v>0</v>
      </c>
      <c r="Z298" s="70">
        <f t="shared" si="36"/>
        <v>0</v>
      </c>
      <c r="AB298" s="74">
        <f t="shared" si="37"/>
        <v>0</v>
      </c>
      <c r="AC298" s="70">
        <f t="shared" si="37"/>
        <v>0</v>
      </c>
      <c r="AE298" s="74">
        <f>IF(AE290=1,AE284,0)</f>
        <v>0</v>
      </c>
      <c r="AW298" s="154"/>
    </row>
    <row r="299" spans="1:49" s="70" customFormat="1" ht="38.25" hidden="1" customHeight="1" x14ac:dyDescent="0.2">
      <c r="A299" s="73" t="s">
        <v>87</v>
      </c>
      <c r="B299" s="70">
        <f>SUM(B294:D298)</f>
        <v>65</v>
      </c>
      <c r="D299" s="74"/>
      <c r="E299" s="70">
        <f>SUM(E294:G298)</f>
        <v>50</v>
      </c>
      <c r="G299" s="74"/>
      <c r="H299" s="70">
        <f>SUM(H294:J298)</f>
        <v>67</v>
      </c>
      <c r="J299" s="74"/>
      <c r="K299" s="70">
        <f>SUM(K294:M298)</f>
        <v>50</v>
      </c>
      <c r="M299" s="74"/>
      <c r="N299" s="70">
        <f>SUM(N294:P298)</f>
        <v>50</v>
      </c>
      <c r="P299" s="74"/>
      <c r="Q299" s="70">
        <f>SUM(Q294:S298)</f>
        <v>65</v>
      </c>
      <c r="S299" s="74"/>
      <c r="T299" s="70">
        <f>SUM(T294:V298)</f>
        <v>0</v>
      </c>
      <c r="V299" s="74"/>
      <c r="W299" s="70">
        <f>SUM(W294:Y298)</f>
        <v>0</v>
      </c>
      <c r="Y299" s="74"/>
      <c r="Z299" s="70">
        <f>SUM(Z294:AB298)</f>
        <v>0</v>
      </c>
      <c r="AB299" s="74"/>
      <c r="AC299" s="70">
        <f>SUM(AC294:AE298)</f>
        <v>0</v>
      </c>
      <c r="AE299" s="74"/>
      <c r="AW299" s="154"/>
    </row>
    <row r="300" spans="1:49" s="70" customFormat="1" ht="38.25" hidden="1" customHeight="1" x14ac:dyDescent="0.2">
      <c r="A300" s="70" t="s">
        <v>88</v>
      </c>
      <c r="D300" s="74"/>
      <c r="G300" s="74"/>
      <c r="J300" s="74"/>
      <c r="M300" s="74"/>
      <c r="P300" s="74"/>
      <c r="S300" s="74"/>
      <c r="V300" s="74"/>
      <c r="Y300" s="74"/>
      <c r="AB300" s="74"/>
      <c r="AE300" s="74"/>
      <c r="AF300" s="73" t="s">
        <v>89</v>
      </c>
      <c r="AG300" s="70" t="s">
        <v>90</v>
      </c>
      <c r="AW300" s="154"/>
    </row>
    <row r="301" spans="1:49" s="70" customFormat="1" ht="12.75" hidden="1" customHeight="1" x14ac:dyDescent="0.2">
      <c r="A301" s="70" t="s">
        <v>91</v>
      </c>
      <c r="B301" s="70">
        <f>IF(B279=1,IF(B292=1,1,0),0)</f>
        <v>0</v>
      </c>
      <c r="D301" s="74">
        <f>IF(D279=1,IF(D292=1,1,0),0)</f>
        <v>0</v>
      </c>
      <c r="E301" s="70">
        <f>IF(E279=1,IF(E292=1,1,0),0)</f>
        <v>0</v>
      </c>
      <c r="G301" s="74">
        <f>IF(G279=1,IF(G292=1,1,0),0)</f>
        <v>0</v>
      </c>
      <c r="H301" s="70">
        <f>IF(H279=1,IF(H292=1,1,0),0)</f>
        <v>0</v>
      </c>
      <c r="J301" s="74">
        <f>IF(J279=1,IF(J292=1,1,0),0)</f>
        <v>0</v>
      </c>
      <c r="K301" s="70">
        <f>IF(K279=1,IF(K292=1,1,0),0)</f>
        <v>1</v>
      </c>
      <c r="M301" s="74">
        <f>IF(M279=1,IF(M292=1,1,0),0)</f>
        <v>0</v>
      </c>
      <c r="N301" s="70">
        <f>IF(N279=1,IF(N292=1,1,0),0)</f>
        <v>0</v>
      </c>
      <c r="P301" s="74">
        <f>IF(P279=1,IF(P292=1,1,0),0)</f>
        <v>0</v>
      </c>
      <c r="Q301" s="70">
        <f>IF(Q279=1,IF(Q292=1,1,0),0)</f>
        <v>0</v>
      </c>
      <c r="S301" s="74">
        <f>IF(S279=1,IF(S292=1,1,0),0)</f>
        <v>0</v>
      </c>
      <c r="T301" s="70">
        <f>IF(T279=1,IF(T292=1,1,0),0)</f>
        <v>0</v>
      </c>
      <c r="V301" s="74">
        <f>IF(V279=1,IF(V292=1,1,0),0)</f>
        <v>0</v>
      </c>
      <c r="W301" s="70">
        <f>IF(W279=1,IF(W292=1,1,0),0)</f>
        <v>0</v>
      </c>
      <c r="Y301" s="74">
        <f>IF(Y279=1,IF(Y292=1,1,0),0)</f>
        <v>0</v>
      </c>
      <c r="Z301" s="70">
        <f>IF(Z279=1,IF(Z292=1,1,0),0)</f>
        <v>0</v>
      </c>
      <c r="AB301" s="74">
        <f>IF(AB279=1,IF(AB292=1,1,0),0)</f>
        <v>0</v>
      </c>
      <c r="AC301" s="70">
        <f>IF(AC279=1,IF(AC292=1,1,0),0)</f>
        <v>0</v>
      </c>
      <c r="AE301" s="74">
        <f>IF(AE279=1,IF(AE292=1,1,0),0)</f>
        <v>0</v>
      </c>
      <c r="AF301" s="70">
        <f>SUM(B301:AE301)</f>
        <v>1</v>
      </c>
      <c r="AG301" s="70">
        <f>AF307-AF301</f>
        <v>2</v>
      </c>
      <c r="AW301" s="154"/>
    </row>
    <row r="302" spans="1:49" s="70" customFormat="1" ht="12.75" hidden="1" customHeight="1" x14ac:dyDescent="0.2">
      <c r="A302" s="70" t="s">
        <v>92</v>
      </c>
      <c r="B302" s="70">
        <f>IF(B279=2,IF(B292=1,1,0),0)</f>
        <v>1</v>
      </c>
      <c r="D302" s="74">
        <f>IF(D279=2,IF(D292=1,1,0),0)</f>
        <v>0</v>
      </c>
      <c r="E302" s="70">
        <f>IF(E279=2,IF(E292=1,1,0),0)</f>
        <v>0</v>
      </c>
      <c r="G302" s="74">
        <f>IF(G279=2,IF(G292=1,1,0),0)</f>
        <v>0</v>
      </c>
      <c r="H302" s="70">
        <f>IF(H279=2,IF(H292=1,1,0),0)</f>
        <v>1</v>
      </c>
      <c r="J302" s="74">
        <f>IF(J279=2,IF(J292=1,1,0),0)</f>
        <v>0</v>
      </c>
      <c r="K302" s="70">
        <f>IF(K279=2,IF(K292=1,1,0),0)</f>
        <v>0</v>
      </c>
      <c r="M302" s="74">
        <f>IF(M279=2,IF(M292=1,1,0),0)</f>
        <v>0</v>
      </c>
      <c r="N302" s="70">
        <f>IF(N279=2,IF(N292=1,1,0),0)</f>
        <v>0</v>
      </c>
      <c r="P302" s="74">
        <f>IF(P279=2,IF(P292=1,1,0),0)</f>
        <v>0</v>
      </c>
      <c r="Q302" s="70">
        <f>IF(Q279=2,IF(Q292=1,1,0),0)</f>
        <v>0</v>
      </c>
      <c r="S302" s="74">
        <f>IF(S279=2,IF(S292=1,1,0),0)</f>
        <v>1</v>
      </c>
      <c r="T302" s="70">
        <f>IF(T279=2,IF(T292=1,1,0),0)</f>
        <v>0</v>
      </c>
      <c r="V302" s="74">
        <f>IF(V279=2,IF(V292=1,1,0),0)</f>
        <v>0</v>
      </c>
      <c r="W302" s="70">
        <f>IF(W279=2,IF(W292=1,1,0),0)</f>
        <v>0</v>
      </c>
      <c r="Y302" s="74">
        <f>IF(Y279=2,IF(Y292=1,1,0),0)</f>
        <v>0</v>
      </c>
      <c r="Z302" s="70">
        <f>IF(Z279=2,IF(Z292=1,1,0),0)</f>
        <v>0</v>
      </c>
      <c r="AB302" s="74">
        <f>IF(AB279=2,IF(AB292=1,1,0),0)</f>
        <v>0</v>
      </c>
      <c r="AC302" s="70">
        <f>IF(AC279=2,IF(AC292=1,1,0),0)</f>
        <v>0</v>
      </c>
      <c r="AE302" s="74">
        <f>IF(AE279=2,IF(AE292=1,1,0),0)</f>
        <v>0</v>
      </c>
      <c r="AF302" s="70">
        <f>SUM(B302:AE302)</f>
        <v>3</v>
      </c>
      <c r="AG302" s="70">
        <f>AF308-AF302</f>
        <v>0</v>
      </c>
      <c r="AW302" s="154"/>
    </row>
    <row r="303" spans="1:49" s="70" customFormat="1" ht="12.75" hidden="1" customHeight="1" x14ac:dyDescent="0.2">
      <c r="A303" s="70" t="s">
        <v>93</v>
      </c>
      <c r="B303" s="70">
        <f>IF(B279=3,IF(B292=1,1,0),0)</f>
        <v>0</v>
      </c>
      <c r="D303" s="74">
        <f>IF(D279=3,IF(D292=1,1,0),0)</f>
        <v>0</v>
      </c>
      <c r="E303" s="70">
        <f>IF(E279=3,IF(E292=1,1,0),0)</f>
        <v>0</v>
      </c>
      <c r="G303" s="74">
        <f>IF(G279=3,IF(G292=1,1,0),0)</f>
        <v>0</v>
      </c>
      <c r="H303" s="70">
        <f>IF(H279=3,IF(H292=1,1,0),0)</f>
        <v>0</v>
      </c>
      <c r="J303" s="74">
        <f>IF(J279=3,IF(J292=1,1,0),0)</f>
        <v>0</v>
      </c>
      <c r="K303" s="70">
        <f>IF(K279=3,IF(K292=1,1,0),0)</f>
        <v>0</v>
      </c>
      <c r="M303" s="74">
        <f>IF(M279=3,IF(M292=1,1,0),0)</f>
        <v>0</v>
      </c>
      <c r="N303" s="70">
        <f>IF(N279=3,IF(N292=1,1,0),0)</f>
        <v>0</v>
      </c>
      <c r="P303" s="74">
        <f>IF(P279=3,IF(P292=1,1,0),0)</f>
        <v>0</v>
      </c>
      <c r="Q303" s="70">
        <f>IF(Q279=3,IF(Q292=1,1,0),0)</f>
        <v>0</v>
      </c>
      <c r="S303" s="74">
        <f>IF(S279=3,IF(S292=1,1,0),0)</f>
        <v>0</v>
      </c>
      <c r="T303" s="70">
        <f>IF(T279=3,IF(T292=1,1,0),0)</f>
        <v>0</v>
      </c>
      <c r="V303" s="74">
        <f>IF(V279=3,IF(V292=1,1,0),0)</f>
        <v>0</v>
      </c>
      <c r="W303" s="70">
        <f>IF(W279=3,IF(W292=1,1,0),0)</f>
        <v>0</v>
      </c>
      <c r="Y303" s="74">
        <f>IF(Y279=3,IF(Y292=1,1,0),0)</f>
        <v>0</v>
      </c>
      <c r="Z303" s="70">
        <f>IF(Z279=3,IF(Z292=1,1,0),0)</f>
        <v>0</v>
      </c>
      <c r="AB303" s="74">
        <f>IF(AB279=3,IF(AB292=1,1,0),0)</f>
        <v>0</v>
      </c>
      <c r="AC303" s="70">
        <f>IF(AC279=3,IF(AC292=1,1,0),0)</f>
        <v>0</v>
      </c>
      <c r="AE303" s="74">
        <f>IF(AE279=3,IF(AE292=1,1,0),0)</f>
        <v>0</v>
      </c>
      <c r="AF303" s="70">
        <f>SUM(B303:AE303)</f>
        <v>0</v>
      </c>
      <c r="AG303" s="70">
        <f>AF309-AF303</f>
        <v>3</v>
      </c>
      <c r="AW303" s="154"/>
    </row>
    <row r="304" spans="1:49" s="70" customFormat="1" ht="12.75" hidden="1" customHeight="1" x14ac:dyDescent="0.2">
      <c r="A304" s="70" t="s">
        <v>94</v>
      </c>
      <c r="B304" s="70">
        <f>IF(B279=4,IF(B292=1,1,0),0)</f>
        <v>0</v>
      </c>
      <c r="D304" s="74">
        <f>IF(D279=4,IF(D292=1,1,0),0)</f>
        <v>0</v>
      </c>
      <c r="E304" s="70">
        <f>IF(E279=4,IF(E292=1,1,0),0)</f>
        <v>0</v>
      </c>
      <c r="G304" s="74">
        <f>IF(G279=4,IF(G292=1,1,0),0)</f>
        <v>1</v>
      </c>
      <c r="H304" s="70">
        <f>IF(H279=4,IF(H292=1,1,0),0)</f>
        <v>0</v>
      </c>
      <c r="J304" s="74">
        <f>IF(J279=4,IF(J292=1,1,0),0)</f>
        <v>0</v>
      </c>
      <c r="K304" s="70">
        <f>IF(K279=4,IF(K292=1,1,0),0)</f>
        <v>0</v>
      </c>
      <c r="M304" s="74">
        <f>IF(M279=4,IF(M292=1,1,0),0)</f>
        <v>0</v>
      </c>
      <c r="N304" s="70">
        <f>IF(N279=4,IF(N292=1,1,0),0)</f>
        <v>0</v>
      </c>
      <c r="P304" s="74">
        <f>IF(P279=4,IF(P292=1,1,0),0)</f>
        <v>1</v>
      </c>
      <c r="Q304" s="70">
        <f>IF(Q279=4,IF(Q292=1,1,0),0)</f>
        <v>0</v>
      </c>
      <c r="S304" s="74">
        <f>IF(S279=4,IF(S292=1,1,0),0)</f>
        <v>0</v>
      </c>
      <c r="T304" s="70">
        <f>IF(T279=4,IF(T292=1,1,0),0)</f>
        <v>0</v>
      </c>
      <c r="V304" s="74">
        <f>IF(V279=4,IF(V292=1,1,0),0)</f>
        <v>0</v>
      </c>
      <c r="W304" s="70">
        <f>IF(W279=4,IF(W292=1,1,0),0)</f>
        <v>0</v>
      </c>
      <c r="Y304" s="74">
        <f>IF(Y279=4,IF(Y292=1,1,0),0)</f>
        <v>0</v>
      </c>
      <c r="Z304" s="70">
        <f>IF(Z279=4,IF(Z292=1,1,0),0)</f>
        <v>0</v>
      </c>
      <c r="AB304" s="74">
        <f>IF(AB279=4,IF(AB292=1,1,0),0)</f>
        <v>0</v>
      </c>
      <c r="AC304" s="70">
        <f>IF(AC279=4,IF(AC292=1,1,0),0)</f>
        <v>0</v>
      </c>
      <c r="AE304" s="74">
        <f>IF(AE279=4,IF(AE292=1,1,0),0)</f>
        <v>0</v>
      </c>
      <c r="AF304" s="70">
        <f>SUM(B304:AE304)</f>
        <v>2</v>
      </c>
      <c r="AG304" s="70">
        <f>AF310-AF304</f>
        <v>1</v>
      </c>
      <c r="AW304" s="154"/>
    </row>
    <row r="305" spans="1:49" s="70" customFormat="1" ht="12.75" hidden="1" customHeight="1" x14ac:dyDescent="0.2">
      <c r="A305" s="70" t="s">
        <v>95</v>
      </c>
      <c r="B305" s="70">
        <f>IF(B279=5,IF(B292=1,1,0),0)</f>
        <v>0</v>
      </c>
      <c r="D305" s="74">
        <f>IF(D279=5,IF(D292=1,1,0),0)</f>
        <v>0</v>
      </c>
      <c r="E305" s="70">
        <f>IF(E279=5,IF(E292=1,1,0),0)</f>
        <v>0</v>
      </c>
      <c r="G305" s="74">
        <f>IF(G279=5,IF(G292=1,1,0),0)</f>
        <v>0</v>
      </c>
      <c r="H305" s="70">
        <f>IF(H279=5,IF(H292=1,1,0),0)</f>
        <v>0</v>
      </c>
      <c r="J305" s="74">
        <f>IF(J279=5,IF(J292=1,1,0),0)</f>
        <v>0</v>
      </c>
      <c r="K305" s="70">
        <f>IF(K279=5,IF(K292=1,1,0),0)</f>
        <v>0</v>
      </c>
      <c r="M305" s="74">
        <f>IF(M279=5,IF(M292=1,1,0),0)</f>
        <v>0</v>
      </c>
      <c r="N305" s="70">
        <f>IF(N279=5,IF(N292=1,1,0),0)</f>
        <v>0</v>
      </c>
      <c r="P305" s="74">
        <f>IF(P279=5,IF(P292=1,1,0),0)</f>
        <v>0</v>
      </c>
      <c r="Q305" s="70">
        <f>IF(Q279=5,IF(Q292=1,1,0),0)</f>
        <v>0</v>
      </c>
      <c r="S305" s="74">
        <f>IF(S279=5,IF(S292=1,1,0),0)</f>
        <v>0</v>
      </c>
      <c r="T305" s="70">
        <f>IF(T279=5,IF(T292=1,1,0),0)</f>
        <v>0</v>
      </c>
      <c r="V305" s="74">
        <f>IF(V279=5,IF(V292=1,1,0),0)</f>
        <v>0</v>
      </c>
      <c r="W305" s="70">
        <f>IF(W279=5,IF(W292=1,1,0),0)</f>
        <v>0</v>
      </c>
      <c r="Y305" s="74">
        <f>IF(Y279=5,IF(Y292=1,1,0),0)</f>
        <v>0</v>
      </c>
      <c r="Z305" s="70">
        <f>IF(Z279=5,IF(Z292=1,1,0),0)</f>
        <v>0</v>
      </c>
      <c r="AB305" s="74">
        <f>IF(AB279=5,IF(AB292=1,1,0),0)</f>
        <v>0</v>
      </c>
      <c r="AC305" s="70">
        <f>IF(AC279=5,IF(AC292=1,1,0),0)</f>
        <v>0</v>
      </c>
      <c r="AE305" s="74">
        <f>IF(AE279=5,IF(AE292=1,1,0),0)</f>
        <v>0</v>
      </c>
      <c r="AF305" s="70">
        <f>SUM(B305:AE305)</f>
        <v>0</v>
      </c>
      <c r="AG305" s="70">
        <f>AF311-AF305</f>
        <v>0</v>
      </c>
      <c r="AW305" s="154"/>
    </row>
    <row r="306" spans="1:49" s="70" customFormat="1" ht="38.25" hidden="1" customHeight="1" x14ac:dyDescent="0.2">
      <c r="A306" s="73"/>
      <c r="D306" s="74"/>
      <c r="G306" s="74"/>
      <c r="J306" s="74"/>
      <c r="M306" s="74"/>
      <c r="P306" s="74"/>
      <c r="S306" s="74"/>
      <c r="V306" s="74"/>
      <c r="Y306" s="74"/>
      <c r="AB306" s="74"/>
      <c r="AE306" s="74"/>
      <c r="AF306" s="73" t="s">
        <v>96</v>
      </c>
      <c r="AW306" s="154"/>
    </row>
    <row r="307" spans="1:49" s="70" customFormat="1" ht="12.75" hidden="1" customHeight="1" x14ac:dyDescent="0.2">
      <c r="A307" s="70" t="s">
        <v>97</v>
      </c>
      <c r="B307" s="70">
        <f>IF(B279=1,IF(C292=1,1,0),0)</f>
        <v>0</v>
      </c>
      <c r="D307" s="74">
        <f>IF(D279=1,IF(C292=1,1,0),0)</f>
        <v>0</v>
      </c>
      <c r="E307" s="70">
        <f>IF(E279=1,IF(F292=1,1,0),0)</f>
        <v>1</v>
      </c>
      <c r="G307" s="74">
        <f>IF(G279=1,IF(F292=1,1,0),0)</f>
        <v>0</v>
      </c>
      <c r="H307" s="70">
        <f>IF(H279=1,IF(I292=1,1,0),0)</f>
        <v>0</v>
      </c>
      <c r="J307" s="74">
        <f>IF(J279=1,IF(I292=1,1,0),0)</f>
        <v>0</v>
      </c>
      <c r="K307" s="70">
        <f>IF(K279=1,IF(L292=1,1,0),0)</f>
        <v>1</v>
      </c>
      <c r="M307" s="74">
        <f>IF(M279=1,IF(L292=1,1,0),0)</f>
        <v>0</v>
      </c>
      <c r="N307" s="70">
        <f>IF(N279=1,IF(O292=1,1,0),0)</f>
        <v>0</v>
      </c>
      <c r="P307" s="74">
        <f>IF(P279=1,IF(O292=1,1,0),0)</f>
        <v>0</v>
      </c>
      <c r="Q307" s="70">
        <f>IF(Q279=1,IF(R292=1,1,0),0)</f>
        <v>1</v>
      </c>
      <c r="S307" s="74">
        <f>IF(S279=1,IF(R292=1,1,0),0)</f>
        <v>0</v>
      </c>
      <c r="T307" s="70">
        <f>IF(T279=1,IF(U292=1,1,0),0)</f>
        <v>0</v>
      </c>
      <c r="V307" s="74">
        <f>IF(V279=1,IF(U292=1,1,0),0)</f>
        <v>0</v>
      </c>
      <c r="W307" s="70">
        <f>IF(W279=1,IF(X292=1,1,0),0)</f>
        <v>0</v>
      </c>
      <c r="Y307" s="74">
        <f>IF(Y279=1,IF(X292=1,1,0),0)</f>
        <v>0</v>
      </c>
      <c r="Z307" s="70">
        <f>IF(Z279=1,IF(AA292=1,1,0),0)</f>
        <v>0</v>
      </c>
      <c r="AB307" s="74">
        <f>IF(AB279=1,IF(AA292=1,1,0),0)</f>
        <v>0</v>
      </c>
      <c r="AC307" s="70">
        <f>IF(AC279=1,IF(AD292=1,1,0),0)</f>
        <v>0</v>
      </c>
      <c r="AE307" s="74">
        <f>IF(AE279=1,IF(AD292=1,1,0),0)</f>
        <v>0</v>
      </c>
      <c r="AF307" s="70">
        <f>SUM(B307:AE307)</f>
        <v>3</v>
      </c>
      <c r="AW307" s="154"/>
    </row>
    <row r="308" spans="1:49" s="70" customFormat="1" ht="12.75" hidden="1" customHeight="1" x14ac:dyDescent="0.2">
      <c r="A308" s="70" t="s">
        <v>98</v>
      </c>
      <c r="B308" s="70">
        <f>IF(B279=2,IF(C292=1,1,0),0)</f>
        <v>1</v>
      </c>
      <c r="D308" s="74">
        <f>IF(D279=2,IF(C292=1,1,0),0)</f>
        <v>0</v>
      </c>
      <c r="E308" s="70">
        <f>IF(E279=2,IF(F292=1,1,0),0)</f>
        <v>0</v>
      </c>
      <c r="G308" s="74">
        <f>IF(G279=2,IF(F292=1,1,0),0)</f>
        <v>0</v>
      </c>
      <c r="H308" s="70">
        <f>IF(H279=2,IF(I292=1,1,0),0)</f>
        <v>1</v>
      </c>
      <c r="J308" s="74">
        <f>IF(J279=2,IF(I292=1,1,0),0)</f>
        <v>0</v>
      </c>
      <c r="K308" s="70">
        <f>IF(K279=2,IF(L292=1,1,0),0)</f>
        <v>0</v>
      </c>
      <c r="M308" s="74">
        <f>IF(M279=2,IF(L292=1,1,0),0)</f>
        <v>0</v>
      </c>
      <c r="N308" s="70">
        <f>IF(N279=2,IF(O292=1,1,0),0)</f>
        <v>0</v>
      </c>
      <c r="P308" s="74">
        <f>IF(P279=2,IF(O292=1,1,0),0)</f>
        <v>0</v>
      </c>
      <c r="Q308" s="70">
        <f>IF(Q279=2,IF(R292=1,1,0),0)</f>
        <v>0</v>
      </c>
      <c r="S308" s="74">
        <f>IF(S279=2,IF(R292=1,1,0),0)</f>
        <v>1</v>
      </c>
      <c r="T308" s="70">
        <f>IF(T279=2,IF(U292=1,1,0),0)</f>
        <v>0</v>
      </c>
      <c r="V308" s="74">
        <f>IF(V279=2,IF(U292=1,1,0),0)</f>
        <v>0</v>
      </c>
      <c r="W308" s="70">
        <f>IF(W279=2,IF(X292=1,1,0),0)</f>
        <v>0</v>
      </c>
      <c r="Y308" s="74">
        <f>IF(Y279=2,IF(X292=1,1,0),0)</f>
        <v>0</v>
      </c>
      <c r="Z308" s="70">
        <f>IF(Z279=2,IF(AA292=1,1,0),0)</f>
        <v>0</v>
      </c>
      <c r="AB308" s="74">
        <f>IF(AB279=2,IF(AA292=1,1,0),0)</f>
        <v>0</v>
      </c>
      <c r="AC308" s="70">
        <f>IF(AC279=2,IF(AD292=1,1,0),0)</f>
        <v>0</v>
      </c>
      <c r="AE308" s="74">
        <f>IF(AE279=2,IF(AD292=1,1,0),0)</f>
        <v>0</v>
      </c>
      <c r="AF308" s="70">
        <f>SUM(B308:AE308)</f>
        <v>3</v>
      </c>
      <c r="AW308" s="154"/>
    </row>
    <row r="309" spans="1:49" s="70" customFormat="1" ht="12.75" hidden="1" customHeight="1" x14ac:dyDescent="0.2">
      <c r="A309" s="70" t="s">
        <v>99</v>
      </c>
      <c r="B309" s="70">
        <f>IF(B279=3,IF(C292=1,1,0),0)</f>
        <v>0</v>
      </c>
      <c r="D309" s="74">
        <f>IF(D279=3,IF(C292=1,1,0),0)</f>
        <v>1</v>
      </c>
      <c r="E309" s="70">
        <f>IF(E279=3,IF(F292=1,1,0),0)</f>
        <v>0</v>
      </c>
      <c r="G309" s="74">
        <f>IF(G279=3,IF(F292=1,1,0),0)</f>
        <v>0</v>
      </c>
      <c r="H309" s="70">
        <f>IF(H279=3,IF(I292=1,1,0),0)</f>
        <v>0</v>
      </c>
      <c r="J309" s="74">
        <f>IF(J279=3,IF(I292=1,1,0),0)</f>
        <v>0</v>
      </c>
      <c r="K309" s="70">
        <f>IF(K279=3,IF(L292=1,1,0),0)</f>
        <v>0</v>
      </c>
      <c r="M309" s="74">
        <f>IF(M279=3,IF(L292=1,1,0),0)</f>
        <v>1</v>
      </c>
      <c r="N309" s="70">
        <f>IF(N279=3,IF(O292=1,1,0),0)</f>
        <v>1</v>
      </c>
      <c r="P309" s="74">
        <f>IF(P279=3,IF(O292=1,1,0),0)</f>
        <v>0</v>
      </c>
      <c r="Q309" s="70">
        <f>IF(Q279=3,IF(R292=1,1,0),0)</f>
        <v>0</v>
      </c>
      <c r="S309" s="74">
        <f>IF(S279=3,IF(R292=1,1,0),0)</f>
        <v>0</v>
      </c>
      <c r="T309" s="70">
        <f>IF(T279=3,IF(U292=1,1,0),0)</f>
        <v>0</v>
      </c>
      <c r="V309" s="74">
        <f>IF(V279=3,IF(U292=1,1,0),0)</f>
        <v>0</v>
      </c>
      <c r="W309" s="70">
        <f>IF(W279=3,IF(X292=1,1,0),0)</f>
        <v>0</v>
      </c>
      <c r="Y309" s="74">
        <f>IF(Y279=3,IF(X292=1,1,0),0)</f>
        <v>0</v>
      </c>
      <c r="Z309" s="70">
        <f>IF(Z279=3,IF(AA292=1,1,0),0)</f>
        <v>0</v>
      </c>
      <c r="AB309" s="74">
        <f>IF(AB279=3,IF(AA292=1,1,0),0)</f>
        <v>0</v>
      </c>
      <c r="AC309" s="70">
        <f>IF(AC279=3,IF(AD292=1,1,0),0)</f>
        <v>0</v>
      </c>
      <c r="AE309" s="74">
        <f>IF(AE279=3,IF(AD292=1,1,0),0)</f>
        <v>0</v>
      </c>
      <c r="AF309" s="70">
        <f>SUM(B309:AE309)</f>
        <v>3</v>
      </c>
      <c r="AW309" s="154"/>
    </row>
    <row r="310" spans="1:49" s="70" customFormat="1" ht="12.75" hidden="1" customHeight="1" x14ac:dyDescent="0.2">
      <c r="A310" s="70" t="s">
        <v>100</v>
      </c>
      <c r="B310" s="70">
        <f>IF(B279=4,IF(C292=1,1,0),0)</f>
        <v>0</v>
      </c>
      <c r="D310" s="74">
        <f>IF(D279=4,IF(C292=1,1,0),0)</f>
        <v>0</v>
      </c>
      <c r="E310" s="70">
        <f>IF(E279=4,IF(F292=1,1,0),0)</f>
        <v>0</v>
      </c>
      <c r="G310" s="74">
        <f>IF(G279=4,IF(F292=1,1,0),0)</f>
        <v>1</v>
      </c>
      <c r="H310" s="70">
        <f>IF(H279=4,IF(I292=1,1,0),0)</f>
        <v>0</v>
      </c>
      <c r="J310" s="74">
        <f>IF(J279=4,IF(I292=1,1,0),0)</f>
        <v>1</v>
      </c>
      <c r="K310" s="70">
        <f>IF(K279=4,IF(L292=1,1,0),0)</f>
        <v>0</v>
      </c>
      <c r="M310" s="74">
        <f>IF(M279=4,IF(L292=1,1,0),0)</f>
        <v>0</v>
      </c>
      <c r="N310" s="70">
        <f>IF(N279=4,IF(O292=1,1,0),0)</f>
        <v>0</v>
      </c>
      <c r="P310" s="74">
        <f>IF(P279=4,IF(O292=1,1,0),0)</f>
        <v>1</v>
      </c>
      <c r="Q310" s="70">
        <f>IF(Q279=4,IF(R292=1,1,0),0)</f>
        <v>0</v>
      </c>
      <c r="S310" s="74">
        <f>IF(S279=4,IF(R292=1,1,0),0)</f>
        <v>0</v>
      </c>
      <c r="T310" s="70">
        <f>IF(T279=4,IF(U292=1,1,0),0)</f>
        <v>0</v>
      </c>
      <c r="V310" s="74">
        <f>IF(V279=4,IF(U292=1,1,0),0)</f>
        <v>0</v>
      </c>
      <c r="W310" s="70">
        <f>IF(W279=4,IF(X292=1,1,0),0)</f>
        <v>0</v>
      </c>
      <c r="Y310" s="74">
        <f>IF(Y279=4,IF(X292=1,1,0),0)</f>
        <v>0</v>
      </c>
      <c r="Z310" s="70">
        <f>IF(Z279=4,IF(AA292=1,1,0),0)</f>
        <v>0</v>
      </c>
      <c r="AB310" s="74">
        <f>IF(AB279=4,IF(AA292=1,1,0),0)</f>
        <v>0</v>
      </c>
      <c r="AC310" s="70">
        <f>IF(AC279=4,IF(AD292=1,1,0),0)</f>
        <v>0</v>
      </c>
      <c r="AE310" s="74">
        <f>IF(AE279=4,IF(AD292=1,1,0),0)</f>
        <v>0</v>
      </c>
      <c r="AF310" s="70">
        <f>SUM(B310:AE310)</f>
        <v>3</v>
      </c>
      <c r="AW310" s="154"/>
    </row>
    <row r="311" spans="1:49" s="70" customFormat="1" ht="12.75" hidden="1" customHeight="1" x14ac:dyDescent="0.2">
      <c r="A311" s="70" t="s">
        <v>101</v>
      </c>
      <c r="B311" s="70">
        <f>IF(B279=5,IF(C292=1,1,0),0)</f>
        <v>0</v>
      </c>
      <c r="D311" s="74">
        <f>IF(D279=5,IF(C292=1,1,0),0)</f>
        <v>0</v>
      </c>
      <c r="E311" s="70">
        <f>IF(E279=5,IF(F292=1,1,0),0)</f>
        <v>0</v>
      </c>
      <c r="G311" s="74">
        <f>IF(G279=5,IF(F292=1,1,0),0)</f>
        <v>0</v>
      </c>
      <c r="H311" s="70">
        <f>IF(H279=5,IF(I292=1,1,0),0)</f>
        <v>0</v>
      </c>
      <c r="J311" s="74">
        <f>IF(J279=5,IF(I292=1,1,0),0)</f>
        <v>0</v>
      </c>
      <c r="K311" s="70">
        <f>IF(K279=5,IF(L292=1,1,0),0)</f>
        <v>0</v>
      </c>
      <c r="M311" s="74">
        <f>IF(M279=5,IF(L292=1,1,0),0)</f>
        <v>0</v>
      </c>
      <c r="N311" s="70">
        <f>IF(N279=5,IF(O292=1,1,0),0)</f>
        <v>0</v>
      </c>
      <c r="P311" s="74">
        <f>IF(P279=5,IF(O292=1,1,0),0)</f>
        <v>0</v>
      </c>
      <c r="Q311" s="70">
        <f>IF(Q279=5,IF(R292=1,1,0),0)</f>
        <v>0</v>
      </c>
      <c r="S311" s="74">
        <f>IF(S279=5,IF(R292=1,1,0),0)</f>
        <v>0</v>
      </c>
      <c r="T311" s="70">
        <f>IF(T279=5,IF(U292=1,1,0),0)</f>
        <v>0</v>
      </c>
      <c r="V311" s="74">
        <f>IF(V279=5,IF(U292=1,1,0),0)</f>
        <v>0</v>
      </c>
      <c r="W311" s="70">
        <f>IF(W279=5,IF(X292=1,1,0),0)</f>
        <v>0</v>
      </c>
      <c r="Y311" s="74">
        <f>IF(Y279=5,IF(X292=1,1,0),0)</f>
        <v>0</v>
      </c>
      <c r="Z311" s="70">
        <f>IF(Z279=5,IF(AA292=1,1,0),0)</f>
        <v>0</v>
      </c>
      <c r="AB311" s="74">
        <f>IF(AB279=5,IF(AA292=1,1,0),0)</f>
        <v>0</v>
      </c>
      <c r="AC311" s="70">
        <f>IF(AC279=5,IF(AD292=1,1,0),0)</f>
        <v>0</v>
      </c>
      <c r="AE311" s="74">
        <f>IF(AE279=5,IF(AD292=1,1,0),0)</f>
        <v>0</v>
      </c>
      <c r="AF311" s="70">
        <f>SUM(B311:AE311)</f>
        <v>0</v>
      </c>
      <c r="AW311" s="154"/>
    </row>
    <row r="312" spans="1:49" s="70" customFormat="1" ht="38.25" hidden="1" customHeight="1" x14ac:dyDescent="0.2">
      <c r="A312" s="73"/>
      <c r="D312" s="74"/>
      <c r="G312" s="74"/>
      <c r="J312" s="74"/>
      <c r="M312" s="74"/>
      <c r="P312" s="74"/>
      <c r="S312" s="74"/>
      <c r="V312" s="74"/>
      <c r="Y312" s="74"/>
      <c r="AB312" s="74"/>
      <c r="AE312" s="74"/>
      <c r="AF312" s="73" t="s">
        <v>102</v>
      </c>
      <c r="AG312" s="280"/>
      <c r="AH312" s="280"/>
      <c r="AI312" s="280"/>
      <c r="AJ312" s="280"/>
      <c r="AK312" s="280"/>
      <c r="AW312" s="154"/>
    </row>
    <row r="313" spans="1:49" s="70" customFormat="1" ht="12.75" hidden="1" customHeight="1" x14ac:dyDescent="0.2">
      <c r="A313" s="70" t="s">
        <v>97</v>
      </c>
      <c r="B313" s="70">
        <f>IF(B279=1,B299,0)</f>
        <v>0</v>
      </c>
      <c r="D313" s="74">
        <f>IF(D279=1,B299,0)</f>
        <v>0</v>
      </c>
      <c r="E313" s="70">
        <f>IF(E279=1,E299,0)</f>
        <v>50</v>
      </c>
      <c r="G313" s="74">
        <f>IF(G279=1,E299,0)</f>
        <v>0</v>
      </c>
      <c r="H313" s="70">
        <f>IF(H279=1,H299,0)</f>
        <v>0</v>
      </c>
      <c r="J313" s="74">
        <f>IF(J279=1,H299,0)</f>
        <v>0</v>
      </c>
      <c r="K313" s="70">
        <f>IF(K279=1,K299,0)</f>
        <v>50</v>
      </c>
      <c r="M313" s="74">
        <f>IF(M279=1,K299,0)</f>
        <v>0</v>
      </c>
      <c r="N313" s="70">
        <f>IF(N279=1,N299,0)</f>
        <v>0</v>
      </c>
      <c r="P313" s="74">
        <f>IF(P279=1,N299,0)</f>
        <v>0</v>
      </c>
      <c r="Q313" s="70">
        <f>IF(Q279=1,Q299,0)</f>
        <v>65</v>
      </c>
      <c r="S313" s="74">
        <f>IF(S279=1,Q299,0)</f>
        <v>0</v>
      </c>
      <c r="T313" s="70">
        <f>IF(T279=1,T299,0)</f>
        <v>0</v>
      </c>
      <c r="V313" s="74">
        <f>IF(V279=1,T299,0)</f>
        <v>0</v>
      </c>
      <c r="W313" s="70">
        <f>IF(W279=1,W299,0)</f>
        <v>0</v>
      </c>
      <c r="Y313" s="74">
        <f>IF(Y279=1,W299,0)</f>
        <v>0</v>
      </c>
      <c r="Z313" s="70">
        <f>IF(Z279=1,Z299,0)</f>
        <v>0</v>
      </c>
      <c r="AB313" s="74">
        <f>IF(AB279=1,Z299,0)</f>
        <v>0</v>
      </c>
      <c r="AC313" s="70">
        <f>IF(AC279=1,AC299,0)</f>
        <v>0</v>
      </c>
      <c r="AE313" s="74">
        <f>IF(AE279=1,AC299,0)</f>
        <v>0</v>
      </c>
      <c r="AF313" s="70">
        <f>SUM(B313:AE313)</f>
        <v>165</v>
      </c>
      <c r="AW313" s="154"/>
    </row>
    <row r="314" spans="1:49" s="70" customFormat="1" ht="12.75" hidden="1" customHeight="1" x14ac:dyDescent="0.2">
      <c r="A314" s="70" t="s">
        <v>98</v>
      </c>
      <c r="B314" s="70">
        <f>IF(B279=2,B299,0)</f>
        <v>65</v>
      </c>
      <c r="D314" s="74">
        <f>IF(D279=2,B299,0)</f>
        <v>0</v>
      </c>
      <c r="E314" s="70">
        <f>IF(E279=2,E299,0)</f>
        <v>0</v>
      </c>
      <c r="G314" s="74">
        <f>IF(G279=2,E299,0)</f>
        <v>0</v>
      </c>
      <c r="H314" s="70">
        <f>IF(H279=2,H299,0)</f>
        <v>67</v>
      </c>
      <c r="J314" s="74">
        <f>IF(J279=2,H299,0)</f>
        <v>0</v>
      </c>
      <c r="K314" s="70">
        <f>IF(K279=2,K299,0)</f>
        <v>0</v>
      </c>
      <c r="M314" s="74">
        <f>IF(M279=2,K299,0)</f>
        <v>0</v>
      </c>
      <c r="N314" s="70">
        <f>IF(N279=2,N299,0)</f>
        <v>0</v>
      </c>
      <c r="P314" s="74">
        <f>IF(P279=2,N299,0)</f>
        <v>0</v>
      </c>
      <c r="Q314" s="70">
        <f>IF(Q279=2,Q299,0)</f>
        <v>0</v>
      </c>
      <c r="S314" s="74">
        <f>IF(S279=2,Q299,0)</f>
        <v>65</v>
      </c>
      <c r="T314" s="70">
        <f>IF(T279=2,T299,0)</f>
        <v>0</v>
      </c>
      <c r="V314" s="74">
        <f>IF(V279=2,T299,0)</f>
        <v>0</v>
      </c>
      <c r="W314" s="70">
        <f>IF(W279=2,W299,0)</f>
        <v>0</v>
      </c>
      <c r="Y314" s="74">
        <f>IF(Y279=2,W299,0)</f>
        <v>0</v>
      </c>
      <c r="Z314" s="70">
        <f>IF(Z279=2,Z299,0)</f>
        <v>0</v>
      </c>
      <c r="AB314" s="74">
        <f>IF(AB279=2,Z299,0)</f>
        <v>0</v>
      </c>
      <c r="AC314" s="70">
        <f>IF(AC279=2,AC299,0)</f>
        <v>0</v>
      </c>
      <c r="AE314" s="74">
        <f>IF(AE279=2,AC299,0)</f>
        <v>0</v>
      </c>
      <c r="AF314" s="70">
        <f>SUM(B314:AE314)</f>
        <v>197</v>
      </c>
      <c r="AW314" s="154"/>
    </row>
    <row r="315" spans="1:49" s="70" customFormat="1" ht="12.75" hidden="1" customHeight="1" x14ac:dyDescent="0.2">
      <c r="A315" s="70" t="s">
        <v>99</v>
      </c>
      <c r="B315" s="70">
        <f>IF(B279=3,B299,0)</f>
        <v>0</v>
      </c>
      <c r="D315" s="74">
        <f>IF(D279=3,B299,0)</f>
        <v>65</v>
      </c>
      <c r="E315" s="70">
        <f>IF(E279=3,E299,0)</f>
        <v>0</v>
      </c>
      <c r="G315" s="74">
        <f>IF(G279=3,E299,0)</f>
        <v>0</v>
      </c>
      <c r="H315" s="70">
        <f>IF(H279=3,H299,0)</f>
        <v>0</v>
      </c>
      <c r="J315" s="74">
        <f>IF(J279=3,H299,0)</f>
        <v>0</v>
      </c>
      <c r="K315" s="70">
        <f>IF(K279=3,K299,0)</f>
        <v>0</v>
      </c>
      <c r="M315" s="74">
        <f>IF(M279=3,K299,0)</f>
        <v>50</v>
      </c>
      <c r="N315" s="70">
        <f>IF(N279=3,N299,0)</f>
        <v>50</v>
      </c>
      <c r="P315" s="74">
        <f>IF(P279=3,N299,0)</f>
        <v>0</v>
      </c>
      <c r="Q315" s="70">
        <f>IF(Q279=3,Q299,0)</f>
        <v>0</v>
      </c>
      <c r="S315" s="74">
        <f>IF(S279=3,Q299,0)</f>
        <v>0</v>
      </c>
      <c r="T315" s="70">
        <f>IF(T279=3,T299,0)</f>
        <v>0</v>
      </c>
      <c r="V315" s="74">
        <f>IF(V279=3,T299,0)</f>
        <v>0</v>
      </c>
      <c r="W315" s="70">
        <f>IF(W279=3,W299,0)</f>
        <v>0</v>
      </c>
      <c r="Y315" s="74">
        <f>IF(Y279=3,W299,0)</f>
        <v>0</v>
      </c>
      <c r="Z315" s="70">
        <f>IF(Z279=3,Z299,0)</f>
        <v>0</v>
      </c>
      <c r="AB315" s="74">
        <f>IF(AB279=3,Z299,0)</f>
        <v>0</v>
      </c>
      <c r="AC315" s="70">
        <f>IF(AC279=3,AC299,0)</f>
        <v>0</v>
      </c>
      <c r="AE315" s="74">
        <f>IF(AE279=3,AC299,0)</f>
        <v>0</v>
      </c>
      <c r="AF315" s="70">
        <f>SUM(B315:AE315)</f>
        <v>165</v>
      </c>
      <c r="AW315" s="154"/>
    </row>
    <row r="316" spans="1:49" s="70" customFormat="1" ht="12.75" hidden="1" customHeight="1" x14ac:dyDescent="0.2">
      <c r="A316" s="70" t="s">
        <v>100</v>
      </c>
      <c r="B316" s="70">
        <f>IF(B279=4,B299,0)</f>
        <v>0</v>
      </c>
      <c r="D316" s="74">
        <f>IF(D279=4,B299,0)</f>
        <v>0</v>
      </c>
      <c r="E316" s="70">
        <f>IF(E279=4,E299,0)</f>
        <v>0</v>
      </c>
      <c r="G316" s="74">
        <f>IF(G279=4,E299,0)</f>
        <v>50</v>
      </c>
      <c r="H316" s="70">
        <f>IF(H279=4,H299,0)</f>
        <v>0</v>
      </c>
      <c r="J316" s="74">
        <f>IF(J279=4,H299,0)</f>
        <v>67</v>
      </c>
      <c r="K316" s="70">
        <f>IF(K279=4,K299,0)</f>
        <v>0</v>
      </c>
      <c r="M316" s="74">
        <f>IF(M279=4,K299,0)</f>
        <v>0</v>
      </c>
      <c r="N316" s="70">
        <f>IF(N279=4,N299,0)</f>
        <v>0</v>
      </c>
      <c r="P316" s="74">
        <f>IF(P279=4,N299,0)</f>
        <v>50</v>
      </c>
      <c r="Q316" s="70">
        <f>IF(Q279=4,Q299,0)</f>
        <v>0</v>
      </c>
      <c r="S316" s="74">
        <f>IF(S279=4,Q299,0)</f>
        <v>0</v>
      </c>
      <c r="T316" s="70">
        <f>IF(T279=4,T299,0)</f>
        <v>0</v>
      </c>
      <c r="V316" s="74">
        <f>IF(V279=4,T299,0)</f>
        <v>0</v>
      </c>
      <c r="W316" s="70">
        <f>IF(W279=4,W299,0)</f>
        <v>0</v>
      </c>
      <c r="Y316" s="74">
        <f>IF(Y279=4,W299,0)</f>
        <v>0</v>
      </c>
      <c r="Z316" s="70">
        <f>IF(Z279=4,Z299,0)</f>
        <v>0</v>
      </c>
      <c r="AB316" s="74">
        <f>IF(AB279=4,Z299,0)</f>
        <v>0</v>
      </c>
      <c r="AC316" s="70">
        <f>IF(AC279=4,AC299,0)</f>
        <v>0</v>
      </c>
      <c r="AE316" s="74">
        <f>IF(AE279=4,AC299,0)</f>
        <v>0</v>
      </c>
      <c r="AF316" s="70">
        <f>SUM(B316:AE316)</f>
        <v>167</v>
      </c>
      <c r="AW316" s="154"/>
    </row>
    <row r="317" spans="1:49" s="70" customFormat="1" ht="12.75" hidden="1" customHeight="1" x14ac:dyDescent="0.2">
      <c r="A317" s="70" t="s">
        <v>101</v>
      </c>
      <c r="B317" s="70">
        <f>IF(B279=5,B299,0)</f>
        <v>0</v>
      </c>
      <c r="D317" s="74">
        <f>IF(D279=5,B299,0)</f>
        <v>0</v>
      </c>
      <c r="E317" s="70">
        <f>IF(E279=5,E299,0)</f>
        <v>0</v>
      </c>
      <c r="G317" s="74">
        <f>IF(G279=5,E299,0)</f>
        <v>0</v>
      </c>
      <c r="H317" s="70">
        <f>IF(H279=5,H299,0)</f>
        <v>0</v>
      </c>
      <c r="J317" s="74">
        <f>IF(J279=5,H299,0)</f>
        <v>0</v>
      </c>
      <c r="K317" s="70">
        <f>IF(K279=5,K299,0)</f>
        <v>0</v>
      </c>
      <c r="M317" s="74">
        <f>IF(M279=5,K299,0)</f>
        <v>0</v>
      </c>
      <c r="N317" s="70">
        <f>IF(N279=5,N299,0)</f>
        <v>0</v>
      </c>
      <c r="P317" s="74">
        <f>IF(P279=5,N299,0)</f>
        <v>0</v>
      </c>
      <c r="Q317" s="70">
        <f>IF(Q279=5,Q299,0)</f>
        <v>0</v>
      </c>
      <c r="S317" s="74">
        <f>IF(S279=5,Q299,0)</f>
        <v>0</v>
      </c>
      <c r="T317" s="70">
        <f>IF(T279=5,T299,0)</f>
        <v>0</v>
      </c>
      <c r="V317" s="74">
        <f>IF(V279=5,T299,0)</f>
        <v>0</v>
      </c>
      <c r="W317" s="70">
        <f>IF(W279=5,W299,0)</f>
        <v>0</v>
      </c>
      <c r="Y317" s="74">
        <f>IF(Y279=5,W299,0)</f>
        <v>0</v>
      </c>
      <c r="Z317" s="70">
        <f>IF(Z279=5,Z299,0)</f>
        <v>0</v>
      </c>
      <c r="AB317" s="74">
        <f>IF(AB279=5,Z299,0)</f>
        <v>0</v>
      </c>
      <c r="AC317" s="70">
        <f>IF(AC279=5,AC299,0)</f>
        <v>0</v>
      </c>
      <c r="AE317" s="74">
        <f>IF(AE279=5,AC299,0)</f>
        <v>0</v>
      </c>
      <c r="AF317" s="70">
        <f>SUM(B317:AE317)</f>
        <v>0</v>
      </c>
      <c r="AW317" s="154"/>
    </row>
    <row r="318" spans="1:49" s="70" customFormat="1" ht="38.25" hidden="1" customHeight="1" x14ac:dyDescent="0.2">
      <c r="A318" s="70" t="s">
        <v>103</v>
      </c>
      <c r="D318" s="74"/>
      <c r="G318" s="74"/>
      <c r="J318" s="74"/>
      <c r="M318" s="74"/>
      <c r="P318" s="74"/>
      <c r="S318" s="74"/>
      <c r="V318" s="74"/>
      <c r="Y318" s="74"/>
      <c r="AB318" s="74"/>
      <c r="AE318" s="74"/>
      <c r="AF318" s="73" t="s">
        <v>104</v>
      </c>
      <c r="AG318" s="70" t="s">
        <v>105</v>
      </c>
      <c r="AW318" s="154"/>
    </row>
    <row r="319" spans="1:49" s="70" customFormat="1" ht="12.75" hidden="1" customHeight="1" x14ac:dyDescent="0.2">
      <c r="A319" s="70" t="s">
        <v>91</v>
      </c>
      <c r="B319" s="70">
        <f>IF(B279=1,SUMIF(B286:B290,"&gt;0"),0)</f>
        <v>0</v>
      </c>
      <c r="D319" s="74">
        <f>IF(D279=1,SUMIF(D286:D290,"&gt;0"),0)</f>
        <v>0</v>
      </c>
      <c r="E319" s="70">
        <f>IF(E279=1,SUMIF(E286:E290,"&gt;0"),0)</f>
        <v>0</v>
      </c>
      <c r="G319" s="74">
        <f>IF(G279=1,SUMIF(G286:G290,"&gt;0"),0)</f>
        <v>0</v>
      </c>
      <c r="H319" s="70">
        <f>IF(H279=1,SUMIF(H286:H290,"&gt;0"),0)</f>
        <v>0</v>
      </c>
      <c r="J319" s="74">
        <f>IF(J279=1,SUMIF(J286:J290,"&gt;0"),0)</f>
        <v>0</v>
      </c>
      <c r="K319" s="70">
        <f>IF(K279=1,SUMIF(K286:K290,"&gt;0"),0)</f>
        <v>2</v>
      </c>
      <c r="M319" s="74">
        <f>IF(M279=1,SUMIF(M286:M290,"&gt;0"),0)</f>
        <v>0</v>
      </c>
      <c r="N319" s="70">
        <f>IF(N279=1,SUMIF(N286:N290,"&gt;0"),0)</f>
        <v>0</v>
      </c>
      <c r="P319" s="74">
        <f>IF(P279=1,SUMIF(P286:P290,"&gt;0"),0)</f>
        <v>0</v>
      </c>
      <c r="Q319" s="70">
        <f>IF(Q279=1,SUMIF(Q286:Q290,"&gt;0"),0)</f>
        <v>1</v>
      </c>
      <c r="S319" s="74">
        <f>IF(S279=1,SUMIF(S286:S290,"&gt;0"),0)</f>
        <v>0</v>
      </c>
      <c r="T319" s="70">
        <f>IF(T279=1,SUMIF(T286:T290,"&gt;0"),0)</f>
        <v>0</v>
      </c>
      <c r="V319" s="74">
        <f>IF(V279=1,SUMIF(V286:V290,"&gt;0"),0)</f>
        <v>0</v>
      </c>
      <c r="W319" s="70">
        <f>IF(W279=1,SUMIF(W286:W290,"&gt;0"),0)</f>
        <v>0</v>
      </c>
      <c r="Y319" s="74">
        <f>IF(Y279=1,SUMIF(Y286:Y290,"&gt;0"),0)</f>
        <v>0</v>
      </c>
      <c r="Z319" s="70">
        <f>IF(Z279=1,SUMIF(Z286:Z290,"&gt;0"),0)</f>
        <v>0</v>
      </c>
      <c r="AB319" s="74">
        <f>IF(AB279=1,SUMIF(AB286:AB290,"&gt;0"),0)</f>
        <v>0</v>
      </c>
      <c r="AC319" s="70">
        <f>IF(AC279=1,SUMIF(AC286:AC290,"&gt;0"),0)</f>
        <v>0</v>
      </c>
      <c r="AE319" s="74">
        <f>IF(AE279=1,SUMIF(AE286:AE290,"&gt;0"),0)</f>
        <v>0</v>
      </c>
      <c r="AF319" s="70">
        <f>SUM(B319:AE319)</f>
        <v>3</v>
      </c>
      <c r="AG319" s="70">
        <f>AF327-AF319</f>
        <v>4</v>
      </c>
      <c r="AW319" s="154"/>
    </row>
    <row r="320" spans="1:49" s="70" customFormat="1" ht="12.75" hidden="1" customHeight="1" x14ac:dyDescent="0.2">
      <c r="A320" s="70" t="s">
        <v>92</v>
      </c>
      <c r="B320" s="70">
        <f>IF(B279=2,SUMIF(B286:B290,"&gt;0"),0)</f>
        <v>2</v>
      </c>
      <c r="D320" s="74">
        <f>IF(D279=2,SUMIF(D286:D290,"&gt;0"),0)</f>
        <v>0</v>
      </c>
      <c r="E320" s="70">
        <f>IF(E279=2,SUMIF(E286:E290,"&gt;0"),0)</f>
        <v>0</v>
      </c>
      <c r="G320" s="74">
        <f>IF(G279=2,SUMIF(G286:G290,"&gt;0"),0)</f>
        <v>0</v>
      </c>
      <c r="H320" s="70">
        <f>IF(H279=2,SUMIF(H286:H290,"&gt;0"),0)</f>
        <v>2</v>
      </c>
      <c r="J320" s="74">
        <f>IF(J279=2,SUMIF(J286:J290,"&gt;0"),0)</f>
        <v>0</v>
      </c>
      <c r="K320" s="70">
        <f>IF(K279=2,SUMIF(K286:K290,"&gt;0"),0)</f>
        <v>0</v>
      </c>
      <c r="M320" s="74">
        <f>IF(M279=2,SUMIF(M286:M290,"&gt;0"),0)</f>
        <v>0</v>
      </c>
      <c r="N320" s="70">
        <f>IF(N279=2,SUMIF(N286:N290,"&gt;0"),0)</f>
        <v>0</v>
      </c>
      <c r="P320" s="74">
        <f>IF(P279=2,SUMIF(P286:P290,"&gt;0"),0)</f>
        <v>0</v>
      </c>
      <c r="Q320" s="70">
        <f>IF(Q279=2,SUMIF(Q286:Q290,"&gt;0"),0)</f>
        <v>0</v>
      </c>
      <c r="S320" s="74">
        <f>IF(S279=2,SUMIF(S286:S290,"&gt;0"),0)</f>
        <v>2</v>
      </c>
      <c r="T320" s="70">
        <f>IF(T279=2,SUMIF(T286:T290,"&gt;0"),0)</f>
        <v>0</v>
      </c>
      <c r="V320" s="74">
        <f>IF(V279=2,SUMIF(V286:V290,"&gt;0"),0)</f>
        <v>0</v>
      </c>
      <c r="W320" s="70">
        <f>IF(W279=2,SUMIF(W286:W290,"&gt;0"),0)</f>
        <v>0</v>
      </c>
      <c r="Y320" s="74">
        <f>IF(Y279=2,SUMIF(Y286:Y290,"&gt;0"),0)</f>
        <v>0</v>
      </c>
      <c r="Z320" s="70">
        <f>IF(Z279=2,SUMIF(Z286:Z290,"&gt;0"),0)</f>
        <v>0</v>
      </c>
      <c r="AB320" s="74">
        <f>IF(AB279=2,SUMIF(AB286:AB290,"&gt;0"),0)</f>
        <v>0</v>
      </c>
      <c r="AC320" s="70">
        <f>IF(AC279=2,SUMIF(AC286:AC290,"&gt;0"),0)</f>
        <v>0</v>
      </c>
      <c r="AE320" s="74">
        <f>IF(AE279=2,SUMIF(AE286:AE290,"&gt;0"),0)</f>
        <v>0</v>
      </c>
      <c r="AF320" s="70">
        <f>SUM(B320:AE320)</f>
        <v>6</v>
      </c>
      <c r="AG320" s="70">
        <f>AF328-AF320</f>
        <v>3</v>
      </c>
      <c r="AW320" s="154"/>
    </row>
    <row r="321" spans="1:54" s="70" customFormat="1" ht="12.75" hidden="1" customHeight="1" x14ac:dyDescent="0.2">
      <c r="A321" s="70" t="s">
        <v>93</v>
      </c>
      <c r="B321" s="70">
        <f>IF(B279=3,SUMIF(B286:B290,"&gt;0"),0)</f>
        <v>0</v>
      </c>
      <c r="D321" s="74">
        <f>IF(D279=3,SUMIF(D286:D290,"&gt;0"),0)</f>
        <v>1</v>
      </c>
      <c r="E321" s="70">
        <f>IF(E279=3,SUMIF(E286:E290,"&gt;0"),0)</f>
        <v>0</v>
      </c>
      <c r="G321" s="74">
        <f>IF(G279=3,SUMIF(G286:G290,"&gt;0"),0)</f>
        <v>0</v>
      </c>
      <c r="H321" s="70">
        <f>IF(H279=3,SUMIF(H286:H290,"&gt;0"),0)</f>
        <v>0</v>
      </c>
      <c r="J321" s="74">
        <f>IF(J279=3,SUMIF(J286:J290,"&gt;0"),0)</f>
        <v>0</v>
      </c>
      <c r="K321" s="70">
        <f>IF(K279=3,SUMIF(K286:K290,"&gt;0"),0)</f>
        <v>0</v>
      </c>
      <c r="M321" s="74">
        <f>IF(M279=3,SUMIF(M286:M290,"&gt;0"),0)</f>
        <v>0</v>
      </c>
      <c r="N321" s="70">
        <f>IF(N279=3,SUMIF(N286:N290,"&gt;0"),0)</f>
        <v>0</v>
      </c>
      <c r="P321" s="74">
        <f>IF(P279=3,SUMIF(P286:P290,"&gt;0"),0)</f>
        <v>0</v>
      </c>
      <c r="Q321" s="70">
        <f>IF(Q279=3,SUMIF(Q286:Q290,"&gt;0"),0)</f>
        <v>0</v>
      </c>
      <c r="S321" s="74">
        <f>IF(S279=3,SUMIF(S286:S290,"&gt;0"),0)</f>
        <v>0</v>
      </c>
      <c r="T321" s="70">
        <f>IF(T279=3,SUMIF(T286:T290,"&gt;0"),0)</f>
        <v>0</v>
      </c>
      <c r="V321" s="74">
        <f>IF(V279=3,SUMIF(V286:V290,"&gt;0"),0)</f>
        <v>0</v>
      </c>
      <c r="W321" s="70">
        <f>IF(W279=3,SUMIF(W286:W290,"&gt;0"),0)</f>
        <v>0</v>
      </c>
      <c r="Y321" s="74">
        <f>IF(Y279=3,SUMIF(Y286:Y290,"&gt;0"),0)</f>
        <v>0</v>
      </c>
      <c r="Z321" s="70">
        <f>IF(Z279=3,SUMIF(Z286:Z290,"&gt;0"),0)</f>
        <v>0</v>
      </c>
      <c r="AB321" s="74">
        <f>IF(AB279=3,SUMIF(AB286:AB290,"&gt;0"),0)</f>
        <v>0</v>
      </c>
      <c r="AC321" s="70">
        <f>IF(AC279=3,SUMIF(AC286:AC290,"&gt;0"),0)</f>
        <v>0</v>
      </c>
      <c r="AE321" s="74">
        <f>IF(AE279=3,SUMIF(AE286:AE290,"&gt;0"),0)</f>
        <v>0</v>
      </c>
      <c r="AF321" s="70">
        <f>SUM(B321:AE321)</f>
        <v>1</v>
      </c>
      <c r="AG321" s="70">
        <f>AF329-AF321</f>
        <v>6</v>
      </c>
      <c r="AW321" s="154"/>
    </row>
    <row r="322" spans="1:54" s="70" customFormat="1" ht="12.75" hidden="1" customHeight="1" x14ac:dyDescent="0.2">
      <c r="A322" s="70" t="s">
        <v>94</v>
      </c>
      <c r="B322" s="70">
        <f>IF(B279=4,SUMIF(B286:B290,"&gt;0"),0)</f>
        <v>0</v>
      </c>
      <c r="D322" s="74">
        <f>IF(D279=4,SUMIF(D286:D290,"&gt;0"),0)</f>
        <v>0</v>
      </c>
      <c r="E322" s="70">
        <f>IF(E279=4,SUMIF(E286:E290,"&gt;0"),0)</f>
        <v>0</v>
      </c>
      <c r="G322" s="74">
        <f>IF(G279=4,SUMIF(G286:G290,"&gt;0"),0)</f>
        <v>2</v>
      </c>
      <c r="H322" s="70">
        <f>IF(H279=4,SUMIF(H286:H290,"&gt;0"),0)</f>
        <v>0</v>
      </c>
      <c r="J322" s="74">
        <f>IF(J279=4,SUMIF(J286:J290,"&gt;0"),0)</f>
        <v>1</v>
      </c>
      <c r="K322" s="70">
        <f>IF(K279=4,SUMIF(K286:K290,"&gt;0"),0)</f>
        <v>0</v>
      </c>
      <c r="M322" s="74">
        <f>IF(M279=4,SUMIF(M286:M290,"&gt;0"),0)</f>
        <v>0</v>
      </c>
      <c r="N322" s="70">
        <f>IF(N279=4,SUMIF(N286:N290,"&gt;0"),0)</f>
        <v>0</v>
      </c>
      <c r="P322" s="74">
        <f>IF(P279=4,SUMIF(P286:P290,"&gt;0"),0)</f>
        <v>2</v>
      </c>
      <c r="Q322" s="70">
        <f>IF(Q279=4,SUMIF(Q286:Q290,"&gt;0"),0)</f>
        <v>0</v>
      </c>
      <c r="S322" s="74">
        <f>IF(S279=4,SUMIF(S286:S290,"&gt;0"),0)</f>
        <v>0</v>
      </c>
      <c r="T322" s="70">
        <f>IF(T279=4,SUMIF(T286:T290,"&gt;0"),0)</f>
        <v>0</v>
      </c>
      <c r="V322" s="74">
        <f>IF(V279=4,SUMIF(V286:V290,"&gt;0"),0)</f>
        <v>0</v>
      </c>
      <c r="W322" s="70">
        <f>IF(W279=4,SUMIF(W286:W290,"&gt;0"),0)</f>
        <v>0</v>
      </c>
      <c r="Y322" s="74">
        <f>IF(Y279=4,SUMIF(Y286:Y290,"&gt;0"),0)</f>
        <v>0</v>
      </c>
      <c r="Z322" s="70">
        <f>IF(Z279=4,SUMIF(Z286:Z290,"&gt;0"),0)</f>
        <v>0</v>
      </c>
      <c r="AB322" s="74">
        <f>IF(AB279=4,SUMIF(AB286:AB290,"&gt;0"),0)</f>
        <v>0</v>
      </c>
      <c r="AC322" s="70">
        <f>IF(AC279=4,SUMIF(AC286:AC290,"&gt;0"),0)</f>
        <v>0</v>
      </c>
      <c r="AE322" s="74">
        <f>IF(AE279=4,SUMIF(AE286:AE290,"&gt;0"),0)</f>
        <v>0</v>
      </c>
      <c r="AF322" s="70">
        <f>SUM(B322:AE322)</f>
        <v>5</v>
      </c>
      <c r="AG322" s="70">
        <f>AF330-AF322</f>
        <v>2</v>
      </c>
      <c r="AW322" s="154"/>
    </row>
    <row r="323" spans="1:54" s="70" customFormat="1" ht="12.75" hidden="1" customHeight="1" x14ac:dyDescent="0.2">
      <c r="A323" s="70" t="s">
        <v>95</v>
      </c>
      <c r="B323" s="70">
        <f>IF(B279=5,SUMIF(B286:B290,"&gt;0"),0)</f>
        <v>0</v>
      </c>
      <c r="D323" s="74">
        <f>IF(D279=5,SUMIF(D286:D290,"&gt;0"),0)</f>
        <v>0</v>
      </c>
      <c r="E323" s="70">
        <f>IF(E279=5,SUMIF(E286:E290,"&gt;0"),0)</f>
        <v>0</v>
      </c>
      <c r="G323" s="74">
        <f>IF(G279=5,SUMIF(G286:G290,"&gt;0"),0)</f>
        <v>0</v>
      </c>
      <c r="H323" s="70">
        <f>IF(H279=5,SUMIF(H286:H290,"&gt;0"),0)</f>
        <v>0</v>
      </c>
      <c r="J323" s="74">
        <f>IF(J279=5,SUMIF(J286:J290,"&gt;0"),0)</f>
        <v>0</v>
      </c>
      <c r="K323" s="70">
        <f>IF(K279=5,SUMIF(K286:K290,"&gt;0"),0)</f>
        <v>0</v>
      </c>
      <c r="M323" s="74">
        <f>IF(M279=5,SUMIF(M286:M290,"&gt;0"),0)</f>
        <v>0</v>
      </c>
      <c r="N323" s="70">
        <f>IF(N279=5,SUMIF(N286:N290,"&gt;0"),0)</f>
        <v>0</v>
      </c>
      <c r="P323" s="74">
        <f>IF(P279=5,SUMIF(P286:P290,"&gt;0"),0)</f>
        <v>0</v>
      </c>
      <c r="Q323" s="70">
        <f>IF(Q279=5,SUMIF(Q286:Q290,"&gt;0"),0)</f>
        <v>0</v>
      </c>
      <c r="S323" s="74">
        <f>IF(S279=5,SUMIF(S286:S290,"&gt;0"),0)</f>
        <v>0</v>
      </c>
      <c r="T323" s="70">
        <f>IF(T279=5,SUMIF(T286:T290,"&gt;0"),0)</f>
        <v>0</v>
      </c>
      <c r="V323" s="74">
        <f>IF(V279=5,SUMIF(V286:V290,"&gt;0"),0)</f>
        <v>0</v>
      </c>
      <c r="W323" s="70">
        <f>IF(W279=5,SUMIF(W286:W290,"&gt;0"),0)</f>
        <v>0</v>
      </c>
      <c r="Y323" s="74">
        <f>IF(Y279=5,SUMIF(Y286:Y290,"&gt;0"),0)</f>
        <v>0</v>
      </c>
      <c r="Z323" s="70">
        <f>IF(Z279=5,SUMIF(Z286:Z290,"&gt;0"),0)</f>
        <v>0</v>
      </c>
      <c r="AB323" s="74">
        <f>IF(AB279=5,SUMIF(AB286:AB290,"&gt;0"),0)</f>
        <v>0</v>
      </c>
      <c r="AC323" s="70">
        <f>IF(AC279=5,SUMIF(AC286:AC290,"&gt;0"),0)</f>
        <v>0</v>
      </c>
      <c r="AE323" s="74">
        <f>IF(AE279=5,SUMIF(AE286:AE290,"&gt;0"),0)</f>
        <v>0</v>
      </c>
      <c r="AF323" s="70">
        <f>SUM(B323:AE323)</f>
        <v>0</v>
      </c>
      <c r="AG323" s="70">
        <f>AF331-AF323</f>
        <v>0</v>
      </c>
      <c r="AW323" s="154"/>
    </row>
    <row r="324" spans="1:54" s="70" customFormat="1" ht="12.75" hidden="1" customHeight="1" x14ac:dyDescent="0.2">
      <c r="D324" s="74"/>
      <c r="G324" s="74"/>
      <c r="J324" s="74"/>
      <c r="M324" s="74"/>
      <c r="P324" s="74"/>
      <c r="S324" s="74"/>
      <c r="V324" s="74"/>
      <c r="Y324" s="74"/>
      <c r="AB324" s="74"/>
      <c r="AE324" s="74"/>
      <c r="AW324" s="154"/>
    </row>
    <row r="325" spans="1:54" s="70" customFormat="1" ht="12.75" hidden="1" customHeight="1" x14ac:dyDescent="0.2">
      <c r="D325" s="74"/>
      <c r="G325" s="74"/>
      <c r="J325" s="74"/>
      <c r="M325" s="74"/>
      <c r="P325" s="74"/>
      <c r="S325" s="74"/>
      <c r="V325" s="74"/>
      <c r="Y325" s="74"/>
      <c r="AB325" s="74"/>
      <c r="AE325" s="74"/>
      <c r="AW325" s="154"/>
    </row>
    <row r="326" spans="1:54" s="70" customFormat="1" ht="51" hidden="1" customHeight="1" x14ac:dyDescent="0.2">
      <c r="A326" s="73" t="s">
        <v>106</v>
      </c>
      <c r="C326" s="70">
        <f>SUMIF(B319:D323,"&gt;0")</f>
        <v>3</v>
      </c>
      <c r="D326" s="74"/>
      <c r="F326" s="70">
        <f>SUMIF(E319:G323,"&gt;0")</f>
        <v>2</v>
      </c>
      <c r="G326" s="74"/>
      <c r="I326" s="70">
        <f>SUMIF(H319:J323,"&gt;0")</f>
        <v>3</v>
      </c>
      <c r="J326" s="74"/>
      <c r="L326" s="70">
        <f>SUMIF(K319:M323,"&gt;0")</f>
        <v>2</v>
      </c>
      <c r="M326" s="74"/>
      <c r="O326" s="70">
        <f>SUMIF(N319:P323,"&gt;0")</f>
        <v>2</v>
      </c>
      <c r="P326" s="74"/>
      <c r="R326" s="70">
        <f>SUMIF(Q319:S323,"&gt;0")</f>
        <v>3</v>
      </c>
      <c r="S326" s="74"/>
      <c r="U326" s="70">
        <f>SUMIF(T319:V323,"&gt;0")</f>
        <v>0</v>
      </c>
      <c r="V326" s="74"/>
      <c r="X326" s="70">
        <f>SUMIF(W319:Y323,"&gt;0")</f>
        <v>0</v>
      </c>
      <c r="Y326" s="74"/>
      <c r="AA326" s="70">
        <f>SUMIF(Z319:AB323,"&gt;0")</f>
        <v>0</v>
      </c>
      <c r="AB326" s="74"/>
      <c r="AD326" s="70">
        <f>SUMIF(AC319:AE323,"&gt;0")</f>
        <v>0</v>
      </c>
      <c r="AE326" s="74"/>
      <c r="AF326" s="73" t="s">
        <v>107</v>
      </c>
      <c r="AW326" s="154"/>
    </row>
    <row r="327" spans="1:54" s="70" customFormat="1" ht="12.75" hidden="1" customHeight="1" x14ac:dyDescent="0.2">
      <c r="A327" s="70" t="s">
        <v>97</v>
      </c>
      <c r="B327" s="70">
        <f>IF(B279=1,C326,0)</f>
        <v>0</v>
      </c>
      <c r="D327" s="74">
        <f>IF(D279=1,C326,0)</f>
        <v>0</v>
      </c>
      <c r="E327" s="70">
        <f>IF(E279=1,F326,0)</f>
        <v>2</v>
      </c>
      <c r="G327" s="74">
        <f>IF(G279=1,F326,0)</f>
        <v>0</v>
      </c>
      <c r="H327" s="70">
        <f>IF(H279=1,I326,0)</f>
        <v>0</v>
      </c>
      <c r="J327" s="74">
        <f>IF(J279=1,I326,0)</f>
        <v>0</v>
      </c>
      <c r="K327" s="70">
        <f>IF(K279=1,L326,0)</f>
        <v>2</v>
      </c>
      <c r="M327" s="74">
        <f>IF(M279=1,L326,0)</f>
        <v>0</v>
      </c>
      <c r="N327" s="70">
        <f>IF(N279=1,O326,0)</f>
        <v>0</v>
      </c>
      <c r="P327" s="74">
        <f>IF(P279=1,O326,0)</f>
        <v>0</v>
      </c>
      <c r="Q327" s="70">
        <f>IF(Q279=1,R326,0)</f>
        <v>3</v>
      </c>
      <c r="S327" s="74">
        <f>IF(S279=1,R326,0)</f>
        <v>0</v>
      </c>
      <c r="T327" s="70">
        <f>IF(T279=1,U326,0)</f>
        <v>0</v>
      </c>
      <c r="V327" s="74">
        <f>IF(V279=1,U326,0)</f>
        <v>0</v>
      </c>
      <c r="W327" s="70">
        <f>IF(W279=1,X326,0)</f>
        <v>0</v>
      </c>
      <c r="Y327" s="74">
        <f>IF(Y279=1,X326,0)</f>
        <v>0</v>
      </c>
      <c r="Z327" s="70">
        <f>IF(Z279=1,AA326,0)</f>
        <v>0</v>
      </c>
      <c r="AB327" s="74">
        <f>IF(AB279=1,AA326,0)</f>
        <v>0</v>
      </c>
      <c r="AC327" s="70">
        <f>IF(AC279=1,AD326,0)</f>
        <v>0</v>
      </c>
      <c r="AE327" s="74">
        <f>IF(AE279=1,AD326,0)</f>
        <v>0</v>
      </c>
      <c r="AF327" s="70">
        <f>SUM(B327:AE327)</f>
        <v>7</v>
      </c>
      <c r="AW327" s="154"/>
    </row>
    <row r="328" spans="1:54" s="70" customFormat="1" ht="12.75" hidden="1" customHeight="1" x14ac:dyDescent="0.2">
      <c r="A328" s="70" t="s">
        <v>98</v>
      </c>
      <c r="B328" s="70">
        <f>IF(B279=2,C326,0)</f>
        <v>3</v>
      </c>
      <c r="D328" s="74">
        <f>IF(D279=2,C326,0)</f>
        <v>0</v>
      </c>
      <c r="E328" s="70">
        <f>IF(E279=2,F326,0)</f>
        <v>0</v>
      </c>
      <c r="G328" s="74">
        <f>IF(G279=2,F326,0)</f>
        <v>0</v>
      </c>
      <c r="H328" s="70">
        <f>IF(H279=2,I326,0)</f>
        <v>3</v>
      </c>
      <c r="J328" s="74">
        <f>IF(J279=2,I326,0)</f>
        <v>0</v>
      </c>
      <c r="K328" s="70">
        <f>IF(K279=2,L326,0)</f>
        <v>0</v>
      </c>
      <c r="M328" s="74">
        <f>IF(M279=2,L326,0)</f>
        <v>0</v>
      </c>
      <c r="N328" s="70">
        <f>IF(N279=2,O326,0)</f>
        <v>0</v>
      </c>
      <c r="P328" s="74">
        <f>IF(P279=2,O326,0)</f>
        <v>0</v>
      </c>
      <c r="Q328" s="70">
        <f>IF(Q279=2,R326,0)</f>
        <v>0</v>
      </c>
      <c r="S328" s="74">
        <f>IF(S279=2,R326,0)</f>
        <v>3</v>
      </c>
      <c r="T328" s="70">
        <f>IF(T279=2,U326,0)</f>
        <v>0</v>
      </c>
      <c r="V328" s="74">
        <f>IF(V279=2,U326,0)</f>
        <v>0</v>
      </c>
      <c r="W328" s="70">
        <f>IF(W279=2,X326,0)</f>
        <v>0</v>
      </c>
      <c r="Y328" s="74">
        <f>IF(Y279=2,X326,0)</f>
        <v>0</v>
      </c>
      <c r="Z328" s="70">
        <f>IF(Z279=2,AA326,0)</f>
        <v>0</v>
      </c>
      <c r="AB328" s="74">
        <f>IF(AB279=2,AA326,0)</f>
        <v>0</v>
      </c>
      <c r="AC328" s="70">
        <f>IF(AC279=2,AD326,0)</f>
        <v>0</v>
      </c>
      <c r="AE328" s="74">
        <f>IF(AE279=2,AD326,0)</f>
        <v>0</v>
      </c>
      <c r="AF328" s="70">
        <f>SUM(B328:AE328)</f>
        <v>9</v>
      </c>
      <c r="AW328" s="154"/>
    </row>
    <row r="329" spans="1:54" s="70" customFormat="1" ht="12.75" hidden="1" customHeight="1" x14ac:dyDescent="0.2">
      <c r="A329" s="70" t="s">
        <v>99</v>
      </c>
      <c r="B329" s="70">
        <f>IF(B279=3,C326,0)</f>
        <v>0</v>
      </c>
      <c r="D329" s="74">
        <f>IF(D279=3,C326,0)</f>
        <v>3</v>
      </c>
      <c r="E329" s="70">
        <f>IF(E279=3,F326,0)</f>
        <v>0</v>
      </c>
      <c r="G329" s="74">
        <f>IF(G279=3,F326,0)</f>
        <v>0</v>
      </c>
      <c r="H329" s="70">
        <f>IF(H279=3,I326,0)</f>
        <v>0</v>
      </c>
      <c r="J329" s="74">
        <f>IF(J279=3,I326,0)</f>
        <v>0</v>
      </c>
      <c r="K329" s="70">
        <f>IF(K279=3,L326,0)</f>
        <v>0</v>
      </c>
      <c r="M329" s="74">
        <f>IF(M279=3,L326,0)</f>
        <v>2</v>
      </c>
      <c r="N329" s="70">
        <f>IF(N279=3,O326,0)</f>
        <v>2</v>
      </c>
      <c r="P329" s="74">
        <f>IF(P279=3,O326,0)</f>
        <v>0</v>
      </c>
      <c r="Q329" s="70">
        <f>IF(Q279=3,R326,0)</f>
        <v>0</v>
      </c>
      <c r="S329" s="74">
        <f>IF(S279=3,R326,0)</f>
        <v>0</v>
      </c>
      <c r="T329" s="70">
        <f>IF(T279=3,U326,0)</f>
        <v>0</v>
      </c>
      <c r="V329" s="74">
        <f>IF(V279=3,U326,0)</f>
        <v>0</v>
      </c>
      <c r="W329" s="70">
        <f>IF(W279=3,X326,0)</f>
        <v>0</v>
      </c>
      <c r="Y329" s="74">
        <f>IF(Y279=3,X326,0)</f>
        <v>0</v>
      </c>
      <c r="Z329" s="70">
        <f>IF(Z279=3,AA326,0)</f>
        <v>0</v>
      </c>
      <c r="AB329" s="74">
        <f>IF(AB279=3,AA326,0)</f>
        <v>0</v>
      </c>
      <c r="AC329" s="70">
        <f>IF(AC279=3,AD326,0)</f>
        <v>0</v>
      </c>
      <c r="AE329" s="74">
        <f>IF(AE279=3,AD326,0)</f>
        <v>0</v>
      </c>
      <c r="AF329" s="70">
        <f>SUM(B329:AE329)</f>
        <v>7</v>
      </c>
      <c r="AW329" s="154"/>
    </row>
    <row r="330" spans="1:54" s="70" customFormat="1" ht="12.75" hidden="1" customHeight="1" x14ac:dyDescent="0.2">
      <c r="A330" s="70" t="s">
        <v>100</v>
      </c>
      <c r="B330" s="70">
        <f>IF(B279=4,C326,0)</f>
        <v>0</v>
      </c>
      <c r="D330" s="74">
        <f>IF(D279=4,C326,0)</f>
        <v>0</v>
      </c>
      <c r="E330" s="70">
        <f>IF(E279=4,F326,0)</f>
        <v>0</v>
      </c>
      <c r="G330" s="74">
        <f>IF(G279=4,F326,0)</f>
        <v>2</v>
      </c>
      <c r="H330" s="70">
        <f>IF(H279=4,I326,0)</f>
        <v>0</v>
      </c>
      <c r="J330" s="74">
        <f>IF(J279=4,I326,0)</f>
        <v>3</v>
      </c>
      <c r="K330" s="70">
        <f>IF(K279=4,L326,0)</f>
        <v>0</v>
      </c>
      <c r="M330" s="74">
        <f>IF(M279=4,L326,0)</f>
        <v>0</v>
      </c>
      <c r="N330" s="70">
        <f>IF(N279=4,O326,0)</f>
        <v>0</v>
      </c>
      <c r="P330" s="74">
        <f>IF(P279=4,O326,0)</f>
        <v>2</v>
      </c>
      <c r="Q330" s="70">
        <f>IF(Q279=4,R326,0)</f>
        <v>0</v>
      </c>
      <c r="S330" s="74">
        <f>IF(S279=4,R326,0)</f>
        <v>0</v>
      </c>
      <c r="T330" s="70">
        <f>IF(T279=4,U326,0)</f>
        <v>0</v>
      </c>
      <c r="V330" s="74">
        <f>IF(V279=4,U326,0)</f>
        <v>0</v>
      </c>
      <c r="W330" s="70">
        <f>IF(W279=4,X326,0)</f>
        <v>0</v>
      </c>
      <c r="Y330" s="74">
        <f>IF(Y279=4,X326,0)</f>
        <v>0</v>
      </c>
      <c r="Z330" s="70">
        <f>IF(Z279=4,AA326,0)</f>
        <v>0</v>
      </c>
      <c r="AB330" s="74">
        <f>IF(AB279=4,AA326,0)</f>
        <v>0</v>
      </c>
      <c r="AC330" s="70">
        <f>IF(AC279=4,AD326,0)</f>
        <v>0</v>
      </c>
      <c r="AE330" s="74">
        <f>IF(AE279=4,AD326,0)</f>
        <v>0</v>
      </c>
      <c r="AF330" s="70">
        <f>SUM(B330:AE330)</f>
        <v>7</v>
      </c>
      <c r="AW330" s="154"/>
    </row>
    <row r="331" spans="1:54" s="70" customFormat="1" ht="12.75" hidden="1" customHeight="1" x14ac:dyDescent="0.2">
      <c r="A331" s="70" t="s">
        <v>101</v>
      </c>
      <c r="B331" s="70">
        <f>IF(B279=5,C326,0)</f>
        <v>0</v>
      </c>
      <c r="D331" s="74">
        <f>IF(D279=5,C326,0)</f>
        <v>0</v>
      </c>
      <c r="E331" s="70">
        <f>IF(E279=5,F326,0)</f>
        <v>0</v>
      </c>
      <c r="G331" s="74">
        <f>IF(G279=5,F326,0)</f>
        <v>0</v>
      </c>
      <c r="H331" s="70">
        <f>IF(H279=5,I326,0)</f>
        <v>0</v>
      </c>
      <c r="J331" s="74">
        <f>IF(J279=5,I326,0)</f>
        <v>0</v>
      </c>
      <c r="K331" s="70">
        <f>IF(K279=5,L326,0)</f>
        <v>0</v>
      </c>
      <c r="M331" s="74">
        <f>IF(M279=5,L326,0)</f>
        <v>0</v>
      </c>
      <c r="N331" s="70">
        <f>IF(N279=5,O326,0)</f>
        <v>0</v>
      </c>
      <c r="P331" s="74">
        <f>IF(P279=5,O326,0)</f>
        <v>0</v>
      </c>
      <c r="Q331" s="70">
        <f>IF(Q279=5,R326,0)</f>
        <v>0</v>
      </c>
      <c r="S331" s="74">
        <f>IF(S279=5,R326,0)</f>
        <v>0</v>
      </c>
      <c r="T331" s="70">
        <f>IF(T279=5,U326,0)</f>
        <v>0</v>
      </c>
      <c r="V331" s="74">
        <f>IF(V279=5,U326,0)</f>
        <v>0</v>
      </c>
      <c r="W331" s="70">
        <f>IF(W279=5,X326,0)</f>
        <v>0</v>
      </c>
      <c r="Y331" s="74">
        <f>IF(Y279=5,X326,0)</f>
        <v>0</v>
      </c>
      <c r="Z331" s="70">
        <f>IF(Z279=5,AA326,0)</f>
        <v>0</v>
      </c>
      <c r="AB331" s="74">
        <f>IF(AB279=5,AA326,0)</f>
        <v>0</v>
      </c>
      <c r="AC331" s="70">
        <f>IF(AC279=5,AD326,0)</f>
        <v>0</v>
      </c>
      <c r="AE331" s="74">
        <f>IF(AE279=5,AD326,0)</f>
        <v>0</v>
      </c>
      <c r="AF331" s="70">
        <f>SUM(B331:AE331)</f>
        <v>0</v>
      </c>
      <c r="AT331" s="77"/>
      <c r="AU331" s="77"/>
      <c r="AV331" s="77"/>
      <c r="AW331" s="154"/>
    </row>
    <row r="332" spans="1:54" hidden="1" x14ac:dyDescent="0.2">
      <c r="A332" s="95"/>
      <c r="B332" s="95"/>
      <c r="C332" s="95"/>
      <c r="D332" s="95"/>
      <c r="E332" s="95"/>
      <c r="F332" s="95"/>
      <c r="G332" s="95"/>
      <c r="H332" s="95"/>
      <c r="I332" s="95"/>
      <c r="J332" s="95"/>
      <c r="K332" s="95"/>
      <c r="L332" s="95"/>
      <c r="M332" s="95"/>
      <c r="N332" s="95"/>
      <c r="O332" s="95"/>
      <c r="P332" s="95"/>
      <c r="Q332" s="95"/>
      <c r="R332" s="95"/>
      <c r="S332" s="95"/>
      <c r="T332" s="95"/>
      <c r="U332" s="95"/>
      <c r="V332" s="95"/>
      <c r="W332" s="95"/>
      <c r="X332" s="95"/>
      <c r="Y332" s="95"/>
      <c r="Z332" s="95"/>
      <c r="AA332" s="95"/>
      <c r="AB332" s="95"/>
      <c r="AC332" s="95"/>
      <c r="AD332" s="95"/>
      <c r="AE332" s="95"/>
      <c r="AF332" s="95"/>
      <c r="AG332" s="95"/>
      <c r="AH332" s="95"/>
      <c r="AI332" s="95"/>
      <c r="AJ332" s="95"/>
      <c r="AK332" s="95"/>
      <c r="AL332" s="95"/>
      <c r="AM332" s="95"/>
      <c r="AN332" s="96"/>
      <c r="AO332" s="96"/>
      <c r="AP332" s="96"/>
      <c r="AQ332" s="96"/>
      <c r="AR332" s="77"/>
      <c r="AS332" s="77"/>
      <c r="AT332" s="77"/>
      <c r="AU332" s="77"/>
      <c r="AV332" s="77"/>
      <c r="BB332" s="156"/>
    </row>
    <row r="333" spans="1:54" s="77" customFormat="1" hidden="1" x14ac:dyDescent="0.2">
      <c r="A333" s="79"/>
      <c r="B333" s="79"/>
      <c r="C333" s="79" t="s">
        <v>108</v>
      </c>
      <c r="D333" s="79">
        <v>1</v>
      </c>
      <c r="E333" s="79"/>
      <c r="F333" s="79"/>
      <c r="G333" s="79">
        <v>2</v>
      </c>
      <c r="H333" s="79"/>
      <c r="I333" s="79"/>
      <c r="J333" s="79">
        <v>3</v>
      </c>
      <c r="K333" s="79"/>
      <c r="L333" s="79"/>
      <c r="M333" s="79">
        <v>4</v>
      </c>
      <c r="N333" s="79"/>
      <c r="O333" s="79"/>
      <c r="P333" s="79">
        <v>5</v>
      </c>
      <c r="Q333" s="79"/>
      <c r="R333" s="79"/>
      <c r="S333" s="79">
        <v>6</v>
      </c>
      <c r="T333" s="79"/>
      <c r="U333" s="79"/>
      <c r="V333" s="79">
        <v>7</v>
      </c>
      <c r="W333" s="79"/>
      <c r="X333" s="79"/>
      <c r="Y333" s="79">
        <v>8</v>
      </c>
      <c r="Z333" s="79"/>
      <c r="AA333" s="79"/>
      <c r="AB333" s="79">
        <v>9</v>
      </c>
      <c r="AC333" s="79"/>
      <c r="AD333" s="79"/>
      <c r="AE333" s="79">
        <v>10</v>
      </c>
      <c r="AF333" s="4"/>
      <c r="AG333" s="79"/>
      <c r="AI333" s="80"/>
      <c r="AJ333" s="4"/>
      <c r="AK333" s="4"/>
      <c r="AL333" s="4"/>
      <c r="AM333" s="4"/>
      <c r="AN333" s="4"/>
      <c r="AO333" s="4"/>
      <c r="AT333" s="80" t="s">
        <v>109</v>
      </c>
      <c r="AW333" s="81"/>
      <c r="BB333" s="81"/>
    </row>
    <row r="334" spans="1:54" s="77" customFormat="1" hidden="1" x14ac:dyDescent="0.2">
      <c r="A334" s="82">
        <v>1</v>
      </c>
      <c r="B334" s="82" t="str">
        <f>E263</f>
        <v>Intense 15 Elite Columbia</v>
      </c>
      <c r="C334" s="82">
        <f>VLOOKUP(B334,AU$3:BB$33,3,FALSE)</f>
        <v>2413.5003812693762</v>
      </c>
      <c r="D334" s="82">
        <f>IF(B327,B342,IF(D327,D342,C334))</f>
        <v>2413.5003812693762</v>
      </c>
      <c r="E334" s="82"/>
      <c r="F334" s="82"/>
      <c r="G334" s="82">
        <f>IF(E327,E342,IF(G327,G342,D334))</f>
        <v>2372.7741155237977</v>
      </c>
      <c r="H334" s="82"/>
      <c r="I334" s="82"/>
      <c r="J334" s="82">
        <f>IF(H327,H342,IF(J327,J342,G334))</f>
        <v>2372.7741155237977</v>
      </c>
      <c r="K334" s="82"/>
      <c r="L334" s="82"/>
      <c r="M334" s="82">
        <f>IF(K327,K342,IF(M327,M342,J334))</f>
        <v>2399.5549636377282</v>
      </c>
      <c r="N334" s="82"/>
      <c r="O334" s="82"/>
      <c r="P334" s="82">
        <f>IF(N327,N342,IF(P327,P342,M334))</f>
        <v>2399.5549636377282</v>
      </c>
      <c r="Q334" s="82"/>
      <c r="R334" s="82"/>
      <c r="S334" s="82">
        <f>IF(Q327,Q342,IF(S327,S342,P334))</f>
        <v>2386.7911983309832</v>
      </c>
      <c r="T334" s="82"/>
      <c r="U334" s="82"/>
      <c r="V334" s="82">
        <f>IF(T327,T342,IF(V327,V342,S334))</f>
        <v>2386.7911983309832</v>
      </c>
      <c r="W334" s="82"/>
      <c r="X334" s="82"/>
      <c r="Y334" s="82">
        <f>IF(W327,W342,IF(Y327,Y342,V334))</f>
        <v>2386.7911983309832</v>
      </c>
      <c r="Z334" s="82"/>
      <c r="AA334" s="82"/>
      <c r="AB334" s="82">
        <f>IF(Z327,Z342,IF(AB327,AB342,Y334))</f>
        <v>2386.7911983309832</v>
      </c>
      <c r="AC334" s="82"/>
      <c r="AD334" s="82"/>
      <c r="AE334" s="82">
        <f>IF(AC327,AC342,IF(AE327,AE342,AB334))</f>
        <v>2386.7911983309832</v>
      </c>
      <c r="AF334" s="4"/>
      <c r="AG334" s="4"/>
      <c r="AJ334" s="4"/>
      <c r="AK334" s="4"/>
      <c r="AL334" s="4"/>
      <c r="AM334" s="4"/>
      <c r="AN334" s="4"/>
      <c r="AO334" s="4"/>
      <c r="AT334" s="77" t="str">
        <f>B334</f>
        <v>Intense 15 Elite Columbia</v>
      </c>
      <c r="AU334" s="77">
        <f>AE334</f>
        <v>2386.7911983309832</v>
      </c>
      <c r="AW334" s="81"/>
      <c r="BB334" s="81"/>
    </row>
    <row r="335" spans="1:54" s="77" customFormat="1" hidden="1" x14ac:dyDescent="0.2">
      <c r="A335" s="82">
        <v>2</v>
      </c>
      <c r="B335" s="82" t="str">
        <f>E265</f>
        <v>Chas Jrs 15 Power</v>
      </c>
      <c r="C335" s="82">
        <f>VLOOKUP(B335,AU$3:BB$33,3,FALSE)</f>
        <v>2411.3980889405284</v>
      </c>
      <c r="D335" s="82">
        <f>IF(B328,B342,IF(D328,D342,C335))</f>
        <v>2414.9439247787923</v>
      </c>
      <c r="E335" s="82"/>
      <c r="F335" s="82"/>
      <c r="G335" s="82">
        <f>IF(E328,E342,IF(G328,G342,D335))</f>
        <v>2414.9439247787923</v>
      </c>
      <c r="H335" s="82"/>
      <c r="I335" s="82"/>
      <c r="J335" s="82">
        <f>IF(H328,H342,IF(J328,J342,G335))</f>
        <v>2423.0152021254917</v>
      </c>
      <c r="K335" s="82"/>
      <c r="L335" s="82"/>
      <c r="M335" s="82">
        <f>IF(K328,K342,IF(M328,M342,J335))</f>
        <v>2423.0152021254917</v>
      </c>
      <c r="N335" s="82"/>
      <c r="O335" s="82"/>
      <c r="P335" s="82">
        <f>IF(N328,N342,IF(P328,P342,M335))</f>
        <v>2423.0152021254917</v>
      </c>
      <c r="Q335" s="82"/>
      <c r="R335" s="82"/>
      <c r="S335" s="82">
        <f>IF(Q328,Q342,IF(S328,S342,P335))</f>
        <v>2435.7789674322366</v>
      </c>
      <c r="T335" s="82"/>
      <c r="U335" s="82"/>
      <c r="V335" s="82">
        <f>IF(T328,T342,IF(V328,V342,S335))</f>
        <v>2435.7789674322366</v>
      </c>
      <c r="W335" s="82"/>
      <c r="X335" s="82"/>
      <c r="Y335" s="82">
        <f>IF(W328,W342,IF(Y328,Y342,V335))</f>
        <v>2435.7789674322366</v>
      </c>
      <c r="Z335" s="82"/>
      <c r="AA335" s="82"/>
      <c r="AB335" s="82">
        <f>IF(Z328,Z342,IF(AB328,AB342,Y335))</f>
        <v>2435.7789674322366</v>
      </c>
      <c r="AC335" s="82"/>
      <c r="AD335" s="82"/>
      <c r="AE335" s="82">
        <f>IF(AC328,AC342,IF(AE328,AE342,AB335))</f>
        <v>2435.7789674322366</v>
      </c>
      <c r="AF335" s="4"/>
      <c r="AG335" s="4"/>
      <c r="AJ335" s="4"/>
      <c r="AL335" s="4"/>
      <c r="AM335" s="4"/>
      <c r="AN335" s="4"/>
      <c r="AO335" s="4"/>
      <c r="AT335" s="77" t="str">
        <f>B335</f>
        <v>Chas Jrs 15 Power</v>
      </c>
      <c r="AU335" s="77">
        <f>AE335</f>
        <v>2435.7789674322366</v>
      </c>
      <c r="AW335" s="81"/>
      <c r="BB335" s="81"/>
    </row>
    <row r="336" spans="1:54" s="77" customFormat="1" hidden="1" x14ac:dyDescent="0.2">
      <c r="A336" s="82">
        <v>3</v>
      </c>
      <c r="B336" s="82" t="str">
        <f>E267</f>
        <v>C1VB 15 Power Pickens</v>
      </c>
      <c r="C336" s="82">
        <f>VLOOKUP(B336,AU$3:BB$33,3,FALSE)</f>
        <v>2319.1430928811537</v>
      </c>
      <c r="D336" s="82">
        <f>IF(B329,B342,IF(D329,D342,C336))</f>
        <v>2315.5972570428899</v>
      </c>
      <c r="E336" s="82"/>
      <c r="F336" s="82"/>
      <c r="G336" s="82">
        <f>IF(E329,E342,IF(G329,G342,D336))</f>
        <v>2315.5972570428899</v>
      </c>
      <c r="H336" s="82"/>
      <c r="I336" s="82"/>
      <c r="J336" s="82">
        <f>IF(H329,H342,IF(J329,J342,G336))</f>
        <v>2315.5972570428899</v>
      </c>
      <c r="K336" s="82"/>
      <c r="L336" s="82"/>
      <c r="M336" s="82">
        <f>IF(K329,K342,IF(M329,M342,J336))</f>
        <v>2288.8164089289594</v>
      </c>
      <c r="N336" s="82"/>
      <c r="O336" s="82"/>
      <c r="P336" s="82">
        <f>IF(N329,N342,IF(P329,P342,M336))</f>
        <v>2262.3004433771312</v>
      </c>
      <c r="Q336" s="82"/>
      <c r="R336" s="82"/>
      <c r="S336" s="82">
        <f>IF(Q329,Q342,IF(S329,S342,P336))</f>
        <v>2262.3004433771312</v>
      </c>
      <c r="T336" s="82"/>
      <c r="U336" s="82"/>
      <c r="V336" s="82">
        <f>IF(T329,T342,IF(V329,V342,S336))</f>
        <v>2262.3004433771312</v>
      </c>
      <c r="W336" s="82"/>
      <c r="X336" s="82"/>
      <c r="Y336" s="82">
        <f>IF(W329,W342,IF(Y329,Y342,V336))</f>
        <v>2262.3004433771312</v>
      </c>
      <c r="Z336" s="82"/>
      <c r="AA336" s="82"/>
      <c r="AB336" s="82">
        <f>IF(Z329,Z342,IF(AB329,AB342,Y336))</f>
        <v>2262.3004433771312</v>
      </c>
      <c r="AC336" s="82"/>
      <c r="AD336" s="82"/>
      <c r="AE336" s="82">
        <f>IF(AC329,AC342,IF(AE329,AE342,AB336))</f>
        <v>2262.3004433771312</v>
      </c>
      <c r="AF336" s="4"/>
      <c r="AG336" s="4"/>
      <c r="AJ336" s="4"/>
      <c r="AL336" s="4"/>
      <c r="AM336" s="4"/>
      <c r="AN336" s="4"/>
      <c r="AO336" s="4"/>
      <c r="AT336" s="77" t="str">
        <f>B336</f>
        <v>C1VB 15 Power Pickens</v>
      </c>
      <c r="AU336" s="77">
        <f>AE336</f>
        <v>2262.3004433771312</v>
      </c>
      <c r="AW336" s="81"/>
      <c r="BB336" s="81"/>
    </row>
    <row r="337" spans="1:54" s="77" customFormat="1" hidden="1" x14ac:dyDescent="0.2">
      <c r="A337" s="82">
        <v>4</v>
      </c>
      <c r="B337" s="82" t="str">
        <f>E269</f>
        <v>CSRA Heat 14 National</v>
      </c>
      <c r="C337" s="82">
        <f>VLOOKUP(B337,AU$3:BB$33,3,FALSE)</f>
        <v>2316.2969734080621</v>
      </c>
      <c r="D337" s="82">
        <f>IF(B330,B342,IF(D330,D342,C337))</f>
        <v>2316.2969734080621</v>
      </c>
      <c r="E337" s="82"/>
      <c r="F337" s="82"/>
      <c r="G337" s="82">
        <f>IF(E330,E342,IF(G330,G342,D337))</f>
        <v>2357.0232391536406</v>
      </c>
      <c r="H337" s="82"/>
      <c r="I337" s="82"/>
      <c r="J337" s="82">
        <f>IF(H330,H342,IF(J330,J342,G337))</f>
        <v>2348.9519618069412</v>
      </c>
      <c r="K337" s="82"/>
      <c r="L337" s="82"/>
      <c r="M337" s="82">
        <f>IF(K330,K342,IF(M330,M342,J337))</f>
        <v>2348.9519618069412</v>
      </c>
      <c r="N337" s="82"/>
      <c r="O337" s="82"/>
      <c r="P337" s="82">
        <f>IF(N330,N342,IF(P330,P342,M337))</f>
        <v>2375.4679273587694</v>
      </c>
      <c r="Q337" s="82"/>
      <c r="R337" s="82"/>
      <c r="S337" s="82">
        <f>IF(Q330,Q342,IF(S330,S342,P337))</f>
        <v>2375.4679273587694</v>
      </c>
      <c r="T337" s="82"/>
      <c r="U337" s="82"/>
      <c r="V337" s="82">
        <f>IF(T330,T342,IF(V330,V342,S337))</f>
        <v>2375.4679273587694</v>
      </c>
      <c r="W337" s="82"/>
      <c r="X337" s="82"/>
      <c r="Y337" s="82">
        <f>IF(W330,W342,IF(Y330,Y342,V337))</f>
        <v>2375.4679273587694</v>
      </c>
      <c r="Z337" s="82"/>
      <c r="AA337" s="82"/>
      <c r="AB337" s="82">
        <f>IF(Z330,Z342,IF(AB330,AB342,Y337))</f>
        <v>2375.4679273587694</v>
      </c>
      <c r="AC337" s="82"/>
      <c r="AD337" s="82"/>
      <c r="AE337" s="82">
        <f>IF(AC330,AC342,IF(AE330,AE342,AB337))</f>
        <v>2375.4679273587694</v>
      </c>
      <c r="AF337" s="4"/>
      <c r="AG337" s="4"/>
      <c r="AJ337" s="4"/>
      <c r="AL337" s="4"/>
      <c r="AM337" s="4"/>
      <c r="AN337" s="4"/>
      <c r="AO337" s="4"/>
      <c r="AT337" s="77" t="str">
        <f>B337</f>
        <v>CSRA Heat 14 National</v>
      </c>
      <c r="AU337" s="77">
        <f>AE337</f>
        <v>2375.4679273587694</v>
      </c>
      <c r="AW337" s="81"/>
      <c r="BB337" s="81"/>
    </row>
    <row r="338" spans="1:54" s="77" customFormat="1" hidden="1" x14ac:dyDescent="0.2">
      <c r="A338" s="82">
        <v>5</v>
      </c>
      <c r="B338" s="82">
        <f>E271</f>
        <v>0</v>
      </c>
      <c r="C338" s="82" t="e">
        <f>VLOOKUP(B338,AU$3:BB$33,3,FALSE)</f>
        <v>#N/A</v>
      </c>
      <c r="D338" s="82" t="e">
        <f>IF(B331,B342,IF(D331,D342,C338))</f>
        <v>#N/A</v>
      </c>
      <c r="E338" s="82"/>
      <c r="F338" s="82"/>
      <c r="G338" s="82" t="e">
        <f>IF(E331,E342,IF(G331,G342,D338))</f>
        <v>#N/A</v>
      </c>
      <c r="H338" s="82"/>
      <c r="I338" s="82"/>
      <c r="J338" s="82" t="e">
        <f>IF(H331,H342,IF(J331,J342,G338))</f>
        <v>#N/A</v>
      </c>
      <c r="K338" s="82"/>
      <c r="L338" s="82"/>
      <c r="M338" s="82" t="e">
        <f>IF(K331,K342,IF(M331,M342,J338))</f>
        <v>#N/A</v>
      </c>
      <c r="N338" s="82"/>
      <c r="O338" s="82"/>
      <c r="P338" s="82" t="e">
        <f>IF(N331,N342,IF(P331,P342,M338))</f>
        <v>#N/A</v>
      </c>
      <c r="Q338" s="82"/>
      <c r="R338" s="82"/>
      <c r="S338" s="82" t="e">
        <f>IF(Q331,Q342,IF(S331,S342,P338))</f>
        <v>#N/A</v>
      </c>
      <c r="T338" s="82"/>
      <c r="U338" s="82"/>
      <c r="V338" s="82" t="e">
        <f>IF(T331,T342,IF(V331,V342,S338))</f>
        <v>#N/A</v>
      </c>
      <c r="W338" s="82"/>
      <c r="X338" s="82"/>
      <c r="Y338" s="82" t="e">
        <f>IF(W331,W342,IF(Y331,Y342,V338))</f>
        <v>#N/A</v>
      </c>
      <c r="Z338" s="82"/>
      <c r="AA338" s="82"/>
      <c r="AB338" s="82" t="e">
        <f>IF(Z331,Z342,IF(AB331,AB342,Y338))</f>
        <v>#N/A</v>
      </c>
      <c r="AC338" s="82"/>
      <c r="AD338" s="82"/>
      <c r="AE338" s="82" t="e">
        <f>IF(AC331,AC342,IF(AE331,AE342,AB338))</f>
        <v>#N/A</v>
      </c>
      <c r="AF338" s="4"/>
      <c r="AG338" s="4"/>
      <c r="AJ338" s="4"/>
      <c r="AL338" s="4"/>
      <c r="AM338" s="4"/>
      <c r="AN338" s="4"/>
      <c r="AO338" s="4"/>
      <c r="AT338" s="77">
        <f>B338</f>
        <v>0</v>
      </c>
      <c r="AU338" s="77" t="e">
        <f>AE338</f>
        <v>#N/A</v>
      </c>
      <c r="AW338" s="81"/>
      <c r="BB338" s="81"/>
    </row>
    <row r="339" spans="1:54" s="77" customFormat="1" hidden="1" x14ac:dyDescent="0.2">
      <c r="A339" s="82"/>
      <c r="B339" s="82"/>
      <c r="C339" s="82"/>
      <c r="D339" s="82"/>
      <c r="E339" s="82"/>
      <c r="F339" s="82"/>
      <c r="G339" s="82"/>
      <c r="H339" s="82"/>
      <c r="I339" s="82"/>
      <c r="J339" s="82"/>
      <c r="K339" s="82"/>
      <c r="L339" s="82"/>
      <c r="M339" s="82"/>
      <c r="N339" s="82"/>
      <c r="O339" s="82"/>
      <c r="P339" s="82"/>
      <c r="Q339" s="82"/>
      <c r="R339" s="82"/>
      <c r="S339" s="82"/>
      <c r="T339" s="82"/>
      <c r="U339" s="82"/>
      <c r="V339" s="82"/>
      <c r="W339" s="82"/>
      <c r="X339" s="82"/>
      <c r="Y339" s="82"/>
      <c r="Z339" s="82"/>
      <c r="AA339" s="82"/>
      <c r="AB339" s="82"/>
      <c r="AC339" s="82"/>
      <c r="AD339" s="82"/>
      <c r="AE339" s="82"/>
      <c r="AF339" s="4"/>
      <c r="AG339" s="4"/>
      <c r="AJ339" s="4"/>
      <c r="AL339" s="4"/>
      <c r="AM339" s="4"/>
      <c r="AN339" s="4"/>
      <c r="AO339" s="4"/>
      <c r="AW339" s="81"/>
      <c r="BB339" s="81"/>
    </row>
    <row r="340" spans="1:54" s="77" customFormat="1" hidden="1" x14ac:dyDescent="0.2">
      <c r="A340" s="82" t="s">
        <v>110</v>
      </c>
      <c r="B340" s="82">
        <f>VLOOKUP(B279,$A334:$AE338,3,FALSE)</f>
        <v>2411.3980889405284</v>
      </c>
      <c r="C340" s="82">
        <v>1</v>
      </c>
      <c r="D340" s="82">
        <f>VLOOKUP(D279,$A334:$AE338,3,FALSE)</f>
        <v>2319.1430928811537</v>
      </c>
      <c r="E340" s="82">
        <f>VLOOKUP(E279,$A334:$AE338,4,FALSE)</f>
        <v>2413.5003812693762</v>
      </c>
      <c r="F340" s="82">
        <v>2</v>
      </c>
      <c r="G340" s="82">
        <f>VLOOKUP(G279,$A334:$AE338,4,FALSE)</f>
        <v>2316.2969734080621</v>
      </c>
      <c r="H340" s="82">
        <f>VLOOKUP(H279,$A334:$AE338,7,FALSE)</f>
        <v>2414.9439247787923</v>
      </c>
      <c r="I340" s="82">
        <v>3</v>
      </c>
      <c r="J340" s="82">
        <f>VLOOKUP(J279,$A334:$AE338,7,FALSE)</f>
        <v>2357.0232391536406</v>
      </c>
      <c r="K340" s="82">
        <f>VLOOKUP(K279,$A334:$AE338,10,FALSE)</f>
        <v>2372.7741155237977</v>
      </c>
      <c r="L340" s="82">
        <v>4</v>
      </c>
      <c r="M340" s="82">
        <f>VLOOKUP(M279,$A334:$AE338,10,FALSE)</f>
        <v>2315.5972570428899</v>
      </c>
      <c r="N340" s="82">
        <f>VLOOKUP(N279,$A334:$AE338,13,FALSE)</f>
        <v>2288.8164089289594</v>
      </c>
      <c r="O340" s="82">
        <v>5</v>
      </c>
      <c r="P340" s="82">
        <f>VLOOKUP(P279,$A334:$AE338,13,FALSE)</f>
        <v>2348.9519618069412</v>
      </c>
      <c r="Q340" s="82">
        <f>VLOOKUP(Q279,$A334:$AE338,16,FALSE)</f>
        <v>2399.5549636377282</v>
      </c>
      <c r="R340" s="82">
        <v>6</v>
      </c>
      <c r="S340" s="82">
        <f>VLOOKUP(S279,$A334:$AE338,16,FALSE)</f>
        <v>2423.0152021254917</v>
      </c>
      <c r="T340" s="82" t="e">
        <f>VLOOKUP(T279,$A334:$AE338,19,FALSE)</f>
        <v>#N/A</v>
      </c>
      <c r="U340" s="82">
        <v>7</v>
      </c>
      <c r="V340" s="82" t="e">
        <f>VLOOKUP(V279,$A334:$AE338,19,FALSE)</f>
        <v>#N/A</v>
      </c>
      <c r="W340" s="82" t="e">
        <f>VLOOKUP(W279,$A334:$AE338,22,FALSE)</f>
        <v>#N/A</v>
      </c>
      <c r="X340" s="82">
        <v>8</v>
      </c>
      <c r="Y340" s="82" t="e">
        <f>VLOOKUP(Y279,$A334:$AE338,22,FALSE)</f>
        <v>#N/A</v>
      </c>
      <c r="Z340" s="82" t="e">
        <f>VLOOKUP(Z279,$A334:$AE338,25,FALSE)</f>
        <v>#N/A</v>
      </c>
      <c r="AA340" s="82">
        <v>9</v>
      </c>
      <c r="AB340" s="82" t="e">
        <f>VLOOKUP(AB279,$A334:$AE338,25,FALSE)</f>
        <v>#N/A</v>
      </c>
      <c r="AC340" s="82" t="e">
        <f>VLOOKUP(AC279,$A334:$AE338,28,FALSE)</f>
        <v>#N/A</v>
      </c>
      <c r="AD340" s="82">
        <v>10</v>
      </c>
      <c r="AE340" s="82" t="e">
        <f>VLOOKUP(AE279,$A334:$AE338,28,FALSE)</f>
        <v>#N/A</v>
      </c>
      <c r="AF340" s="4"/>
      <c r="AG340" s="95"/>
      <c r="AH340" s="95"/>
      <c r="AI340" s="95"/>
      <c r="AJ340" s="95"/>
      <c r="AK340" s="95"/>
      <c r="AL340" s="95"/>
      <c r="AM340" s="95"/>
      <c r="AN340" s="96"/>
      <c r="AO340" s="96"/>
      <c r="AP340" s="96"/>
      <c r="AQ340" s="96"/>
      <c r="AW340" s="81"/>
      <c r="BB340" s="81"/>
    </row>
    <row r="341" spans="1:54" s="87" customFormat="1" hidden="1" x14ac:dyDescent="0.2">
      <c r="A341" s="83" t="s">
        <v>111</v>
      </c>
      <c r="B341" s="83">
        <f>1/(1+(10^-((B340-D340)/400)))*(B291+D291)</f>
        <v>1.8891926300542548</v>
      </c>
      <c r="C341" s="83"/>
      <c r="D341" s="83">
        <f>1/(1+(10^-((D340-B340)/400)))*(B291+D291)</f>
        <v>1.1108073699457455</v>
      </c>
      <c r="E341" s="83">
        <f>1/(1+(10^-((E340-G340)/400)))*(E291+G291)</f>
        <v>1.2726958045493355</v>
      </c>
      <c r="F341" s="83"/>
      <c r="G341" s="83">
        <f>1/(1+(10^-((G340-E340)/400)))*(E291+G291)</f>
        <v>0.72730419545066449</v>
      </c>
      <c r="H341" s="83">
        <f>1/(1+(10^-((H340-J340)/400)))*(H291+J291)</f>
        <v>1.7477725829156494</v>
      </c>
      <c r="I341" s="83"/>
      <c r="J341" s="83">
        <f>1/(1+(10^-((J340-H340)/400)))*(H291+J291)</f>
        <v>1.2522274170843504</v>
      </c>
      <c r="K341" s="83">
        <f>1/(1+(10^-((K340-M340)/400)))*(K291+M291)</f>
        <v>1.1630984964396798</v>
      </c>
      <c r="L341" s="83"/>
      <c r="M341" s="83">
        <f>1/(1+(10^-((M340-K340)/400)))*(K291+M291)</f>
        <v>0.83690150356032023</v>
      </c>
      <c r="N341" s="83">
        <f>1/(1+(10^-((N340-P340)/400)))*(N291+P291)</f>
        <v>0.82862392349463621</v>
      </c>
      <c r="O341" s="83"/>
      <c r="P341" s="83">
        <f>1/(1+(10^-((P340-N340)/400)))*(N291+P291)</f>
        <v>1.1713760765053638</v>
      </c>
      <c r="Q341" s="83">
        <f>1/(1+(10^-((Q340-S340)/400)))*(Q291+S291)</f>
        <v>1.3988676658357755</v>
      </c>
      <c r="R341" s="83"/>
      <c r="S341" s="83">
        <f>1/(1+(10^-((S340-Q340)/400)))*(Q291+S291)</f>
        <v>1.6011323341642245</v>
      </c>
      <c r="T341" s="83" t="e">
        <f>1/(1+(10^-((T340-V340)/400)))*(T291+V291)</f>
        <v>#N/A</v>
      </c>
      <c r="U341" s="83"/>
      <c r="V341" s="83" t="e">
        <f>1/(1+(10^-((V340-T340)/400)))*(T291+V291)</f>
        <v>#N/A</v>
      </c>
      <c r="W341" s="83" t="e">
        <f>1/(1+(10^-((W340-Y340)/400)))*(W291+Y291)</f>
        <v>#N/A</v>
      </c>
      <c r="X341" s="83"/>
      <c r="Y341" s="83" t="e">
        <f>1/(1+(10^-((Y340-W340)/400)))*(W291+Y291)</f>
        <v>#N/A</v>
      </c>
      <c r="Z341" s="83" t="e">
        <f>1/(1+(10^-((Z340-AB340)/400)))*(Z291+AB291)</f>
        <v>#N/A</v>
      </c>
      <c r="AA341" s="83"/>
      <c r="AB341" s="83" t="e">
        <f>1/(1+(10^-((AB340-Z340)/400)))*(Z291+AB291)</f>
        <v>#N/A</v>
      </c>
      <c r="AC341" s="83" t="e">
        <f>1/(1+(10^-((AC340-AE340)/400)))*(AC291+AE291)</f>
        <v>#N/A</v>
      </c>
      <c r="AD341" s="83"/>
      <c r="AE341" s="83" t="e">
        <f>1/(1+(10^-((AE340-AC340)/400)))*(AC291+AE291)</f>
        <v>#N/A</v>
      </c>
      <c r="AF341" s="84"/>
      <c r="AG341" s="85"/>
      <c r="AH341" s="85"/>
      <c r="AI341" s="85"/>
      <c r="AJ341" s="85"/>
      <c r="AK341" s="85"/>
      <c r="AL341" s="85"/>
      <c r="AM341" s="85"/>
      <c r="AN341" s="86"/>
      <c r="AO341" s="86"/>
      <c r="AP341" s="86"/>
      <c r="AQ341" s="86"/>
      <c r="AW341" s="88"/>
      <c r="BB341" s="88"/>
    </row>
    <row r="342" spans="1:54" s="93" customFormat="1" hidden="1" x14ac:dyDescent="0.2">
      <c r="A342" s="89" t="s">
        <v>112</v>
      </c>
      <c r="B342" s="89">
        <f>B340+(B291-B341)*$BA$1</f>
        <v>2414.9439247787923</v>
      </c>
      <c r="C342" s="89"/>
      <c r="D342" s="89">
        <f>D340+(D291-D341)*$BA$1</f>
        <v>2315.5972570428899</v>
      </c>
      <c r="E342" s="89">
        <f>E340+(E291-E341)*$BA$1</f>
        <v>2372.7741155237977</v>
      </c>
      <c r="F342" s="89"/>
      <c r="G342" s="89">
        <f>G340+(G291-G341)*$BA$1</f>
        <v>2357.0232391536406</v>
      </c>
      <c r="H342" s="89">
        <f>H340+(H291-H341)*$BA$1</f>
        <v>2423.0152021254917</v>
      </c>
      <c r="I342" s="89"/>
      <c r="J342" s="89">
        <f>J340+(J291-J341)*$BA$1</f>
        <v>2348.9519618069412</v>
      </c>
      <c r="K342" s="89">
        <f>K340+(K291-K341)*$BA$1</f>
        <v>2399.5549636377282</v>
      </c>
      <c r="L342" s="89"/>
      <c r="M342" s="89">
        <f>M340+(M291-M341)*$BA$1</f>
        <v>2288.8164089289594</v>
      </c>
      <c r="N342" s="89">
        <f>N340+(N291-N341)*$BA$1</f>
        <v>2262.3004433771312</v>
      </c>
      <c r="O342" s="89"/>
      <c r="P342" s="89">
        <f>P340+(P291-P341)*$BA$1</f>
        <v>2375.4679273587694</v>
      </c>
      <c r="Q342" s="89">
        <f>Q340+(Q291-Q341)*$BA$1</f>
        <v>2386.7911983309832</v>
      </c>
      <c r="R342" s="89"/>
      <c r="S342" s="89">
        <f>S340+(S291-S341)*$BA$1</f>
        <v>2435.7789674322366</v>
      </c>
      <c r="T342" s="89" t="e">
        <f>T340+(T291-T341)*$BA$1</f>
        <v>#N/A</v>
      </c>
      <c r="U342" s="89"/>
      <c r="V342" s="89" t="e">
        <f>V340+(V291-V341)*$BA$1</f>
        <v>#N/A</v>
      </c>
      <c r="W342" s="89" t="e">
        <f>W340+(W291-W341)*$BA$1</f>
        <v>#N/A</v>
      </c>
      <c r="X342" s="89"/>
      <c r="Y342" s="89" t="e">
        <f>Y340+(Y291-Y341)*$BA$1</f>
        <v>#N/A</v>
      </c>
      <c r="Z342" s="89" t="e">
        <f>Z340+(Z291-Z341)*$BA$1</f>
        <v>#N/A</v>
      </c>
      <c r="AA342" s="89"/>
      <c r="AB342" s="89" t="e">
        <f>AB340+(AB291-AB341)*$BA$1</f>
        <v>#N/A</v>
      </c>
      <c r="AC342" s="89" t="e">
        <f>AC340+(AC291-AC341)*$BA$1</f>
        <v>#N/A</v>
      </c>
      <c r="AD342" s="89"/>
      <c r="AE342" s="89" t="e">
        <f>AE340+(AE291-AE341)*$BA$1</f>
        <v>#N/A</v>
      </c>
      <c r="AF342" s="90"/>
      <c r="AG342" s="91"/>
      <c r="AH342" s="91"/>
      <c r="AI342" s="91"/>
      <c r="AJ342" s="91"/>
      <c r="AK342" s="91"/>
      <c r="AL342" s="91"/>
      <c r="AM342" s="91"/>
      <c r="AN342" s="92"/>
      <c r="AO342" s="92"/>
      <c r="AP342" s="92"/>
      <c r="AQ342" s="92"/>
      <c r="AW342" s="94"/>
      <c r="BB342" s="94"/>
    </row>
    <row r="343" spans="1:54" s="93" customFormat="1" hidden="1" x14ac:dyDescent="0.2">
      <c r="A343" s="89"/>
      <c r="B343" s="89"/>
      <c r="C343" s="89"/>
      <c r="D343" s="89"/>
      <c r="E343" s="89"/>
      <c r="F343" s="89"/>
      <c r="G343" s="89"/>
      <c r="H343" s="89"/>
      <c r="I343" s="89"/>
      <c r="J343" s="89"/>
      <c r="K343" s="89"/>
      <c r="L343" s="89"/>
      <c r="M343" s="89"/>
      <c r="N343" s="89"/>
      <c r="O343" s="89"/>
      <c r="P343" s="89"/>
      <c r="Q343" s="89"/>
      <c r="R343" s="89"/>
      <c r="S343" s="89"/>
      <c r="T343" s="89"/>
      <c r="U343" s="89"/>
      <c r="V343" s="89"/>
      <c r="W343" s="89"/>
      <c r="X343" s="89"/>
      <c r="Y343" s="89"/>
      <c r="Z343" s="89"/>
      <c r="AA343" s="89"/>
      <c r="AB343" s="89"/>
      <c r="AC343" s="89"/>
      <c r="AD343" s="89"/>
      <c r="AE343" s="89"/>
      <c r="AF343" s="90"/>
      <c r="AG343" s="91"/>
      <c r="AH343" s="91"/>
      <c r="AI343" s="91"/>
      <c r="AJ343" s="91"/>
      <c r="AK343" s="91"/>
      <c r="AL343" s="91"/>
      <c r="AM343" s="91"/>
      <c r="AN343" s="92"/>
      <c r="AO343" s="92"/>
      <c r="AP343" s="92"/>
      <c r="AQ343" s="92"/>
      <c r="AW343" s="94"/>
      <c r="BB343" s="94"/>
    </row>
    <row r="344" spans="1:54" s="77" customFormat="1" x14ac:dyDescent="0.2">
      <c r="A344" s="281" t="str">
        <f>IF($AK265=1,"Pool Tiereaker : 1) Matches Won vs Lost (if 3 way tie then #4)  2) Head to Head  3) Game Win %  4) Total Pool Net Points  5) Flip a Coin","Pool Tiebreaker : 1) Games Won vs Lost (if 3 way tie then #5)  2) Head to Head  3) Head to Head Net Points  4) Game Win %  5) Total Pool Net Points  6) Flip a Coin")</f>
        <v>Pool Tiereaker : 1) Matches Won vs Lost (if 3 way tie then #4)  2) Head to Head  3) Game Win %  4) Total Pool Net Points  5) Flip a Coin</v>
      </c>
      <c r="B344" s="281"/>
      <c r="C344" s="281"/>
      <c r="D344" s="281"/>
      <c r="E344" s="281"/>
      <c r="F344" s="281"/>
      <c r="G344" s="281"/>
      <c r="H344" s="281"/>
      <c r="I344" s="281"/>
      <c r="J344" s="281"/>
      <c r="K344" s="281"/>
      <c r="L344" s="281"/>
      <c r="M344" s="281"/>
      <c r="N344" s="281"/>
      <c r="O344" s="281"/>
      <c r="P344" s="281"/>
      <c r="Q344" s="281"/>
      <c r="R344" s="281"/>
      <c r="S344" s="281"/>
      <c r="T344" s="281"/>
      <c r="U344" s="281"/>
      <c r="V344" s="281"/>
      <c r="W344" s="281"/>
      <c r="X344" s="281"/>
      <c r="Y344" s="281"/>
      <c r="Z344" s="281"/>
      <c r="AA344" s="281"/>
      <c r="AB344" s="281"/>
      <c r="AC344" s="281"/>
      <c r="AD344" s="281"/>
      <c r="AE344" s="281"/>
      <c r="AF344" s="281"/>
      <c r="AG344" s="281"/>
      <c r="AH344" s="281"/>
      <c r="AI344" s="281"/>
      <c r="AJ344" s="281"/>
      <c r="AK344" s="281"/>
      <c r="AL344" s="281"/>
      <c r="AM344" s="281"/>
      <c r="AN344" s="259"/>
      <c r="AO344" s="259"/>
      <c r="AP344" s="259"/>
      <c r="AQ344" s="259"/>
      <c r="AW344" s="81"/>
    </row>
    <row r="345" spans="1:54" s="77" customFormat="1" x14ac:dyDescent="0.2">
      <c r="A345" s="282"/>
      <c r="B345" s="282"/>
      <c r="C345" s="282"/>
      <c r="D345" s="282"/>
      <c r="E345" s="282"/>
      <c r="F345" s="282"/>
      <c r="G345" s="282"/>
      <c r="H345" s="282"/>
      <c r="I345" s="282"/>
      <c r="J345" s="282"/>
      <c r="K345" s="282"/>
      <c r="L345" s="282"/>
      <c r="M345" s="282"/>
      <c r="N345" s="282"/>
      <c r="O345" s="282"/>
      <c r="P345" s="282"/>
      <c r="Q345" s="282"/>
      <c r="R345" s="282"/>
      <c r="S345" s="282"/>
      <c r="T345" s="282"/>
      <c r="U345" s="282"/>
      <c r="V345" s="282"/>
      <c r="W345" s="282"/>
      <c r="X345" s="282"/>
      <c r="Y345" s="282"/>
      <c r="Z345" s="282"/>
      <c r="AA345" s="282"/>
      <c r="AB345" s="282"/>
      <c r="AC345" s="282"/>
      <c r="AD345" s="282"/>
      <c r="AE345" s="282"/>
      <c r="AF345" s="282"/>
      <c r="AG345" s="282"/>
      <c r="AH345" s="282"/>
      <c r="AI345" s="282"/>
      <c r="AJ345" s="282"/>
      <c r="AK345" s="282"/>
      <c r="AL345" s="282"/>
      <c r="AM345" s="282"/>
      <c r="AN345" s="282"/>
      <c r="AO345" s="282"/>
      <c r="AP345" s="282"/>
      <c r="AQ345" s="282"/>
      <c r="AT345" s="4"/>
      <c r="AU345" s="4"/>
      <c r="AV345" s="4"/>
      <c r="AW345" s="81"/>
    </row>
    <row r="346" spans="1:54" ht="21" thickBot="1" x14ac:dyDescent="0.35">
      <c r="A346" s="271" t="s">
        <v>114</v>
      </c>
      <c r="B346" s="271"/>
      <c r="C346" s="271"/>
      <c r="D346" s="271"/>
      <c r="E346" s="271"/>
      <c r="F346" s="271"/>
      <c r="G346" s="271"/>
      <c r="H346" s="271"/>
      <c r="I346" s="271"/>
      <c r="J346" s="271"/>
      <c r="K346" s="271"/>
      <c r="L346" s="271"/>
      <c r="M346" s="271"/>
      <c r="N346" s="271"/>
      <c r="O346" s="271"/>
      <c r="P346" s="271"/>
      <c r="Q346" s="271"/>
      <c r="R346" s="271"/>
      <c r="S346" s="271"/>
      <c r="T346" s="271"/>
      <c r="U346" s="271"/>
      <c r="V346" s="271"/>
      <c r="W346" s="271"/>
      <c r="X346" s="271"/>
      <c r="Y346" s="271"/>
      <c r="Z346" s="271"/>
      <c r="AA346" s="271"/>
      <c r="AB346" s="271"/>
      <c r="AC346" s="271"/>
      <c r="AD346" s="271"/>
      <c r="AE346" s="271"/>
      <c r="AF346" s="271"/>
      <c r="AG346" s="271"/>
      <c r="AH346" s="271"/>
      <c r="AI346" s="271"/>
      <c r="AJ346" s="271"/>
      <c r="AK346" s="271"/>
      <c r="AL346" s="271"/>
      <c r="AM346" s="271"/>
      <c r="AN346" s="271"/>
      <c r="AO346" s="271"/>
      <c r="AP346" s="271"/>
      <c r="AQ346" s="271"/>
    </row>
    <row r="347" spans="1:54" ht="13.5" thickBot="1" x14ac:dyDescent="0.25">
      <c r="A347" s="272" t="s">
        <v>115</v>
      </c>
      <c r="B347" s="274" t="s">
        <v>116</v>
      </c>
      <c r="C347" s="275"/>
      <c r="D347" s="275"/>
      <c r="E347" s="275"/>
      <c r="F347" s="275"/>
      <c r="G347" s="275"/>
      <c r="H347" s="275"/>
      <c r="I347" s="275"/>
      <c r="J347" s="275"/>
      <c r="K347" s="276"/>
      <c r="L347" s="274" t="s">
        <v>117</v>
      </c>
      <c r="M347" s="275"/>
      <c r="N347" s="275"/>
      <c r="O347" s="275"/>
      <c r="P347" s="275"/>
      <c r="Q347" s="275"/>
      <c r="R347" s="275"/>
      <c r="S347" s="275"/>
      <c r="T347" s="275"/>
      <c r="U347" s="276"/>
      <c r="V347" s="274" t="s">
        <v>118</v>
      </c>
      <c r="W347" s="275"/>
      <c r="X347" s="275"/>
      <c r="Y347" s="275"/>
      <c r="Z347" s="275"/>
      <c r="AA347" s="275"/>
      <c r="AB347" s="275"/>
      <c r="AC347" s="275"/>
      <c r="AD347" s="275"/>
      <c r="AE347" s="276"/>
      <c r="AF347" s="274" t="s">
        <v>119</v>
      </c>
      <c r="AG347" s="275"/>
      <c r="AH347" s="275"/>
      <c r="AI347" s="275"/>
      <c r="AJ347" s="275"/>
      <c r="AK347" s="275"/>
      <c r="AL347" s="275"/>
      <c r="AM347" s="275"/>
      <c r="AN347" s="275"/>
      <c r="AO347" s="276"/>
    </row>
    <row r="348" spans="1:54" ht="13.5" thickBot="1" x14ac:dyDescent="0.25">
      <c r="A348" s="273"/>
      <c r="B348" s="268" t="s">
        <v>10</v>
      </c>
      <c r="C348" s="269"/>
      <c r="D348" s="269"/>
      <c r="E348" s="269"/>
      <c r="F348" s="269"/>
      <c r="G348" s="270"/>
      <c r="H348" s="268" t="s">
        <v>120</v>
      </c>
      <c r="I348" s="269"/>
      <c r="J348" s="269"/>
      <c r="K348" s="270"/>
      <c r="L348" s="268" t="s">
        <v>10</v>
      </c>
      <c r="M348" s="269"/>
      <c r="N348" s="269"/>
      <c r="O348" s="269"/>
      <c r="P348" s="269"/>
      <c r="Q348" s="270"/>
      <c r="R348" s="268" t="s">
        <v>120</v>
      </c>
      <c r="S348" s="269"/>
      <c r="T348" s="269"/>
      <c r="U348" s="270"/>
      <c r="V348" s="268" t="s">
        <v>10</v>
      </c>
      <c r="W348" s="269"/>
      <c r="X348" s="269"/>
      <c r="Y348" s="269"/>
      <c r="Z348" s="269"/>
      <c r="AA348" s="270"/>
      <c r="AB348" s="268" t="s">
        <v>120</v>
      </c>
      <c r="AC348" s="269"/>
      <c r="AD348" s="269"/>
      <c r="AE348" s="270"/>
      <c r="AF348" s="268" t="s">
        <v>10</v>
      </c>
      <c r="AG348" s="269"/>
      <c r="AH348" s="269"/>
      <c r="AI348" s="269"/>
      <c r="AJ348" s="269"/>
      <c r="AK348" s="270"/>
      <c r="AL348" s="268" t="s">
        <v>120</v>
      </c>
      <c r="AM348" s="269"/>
      <c r="AN348" s="269"/>
      <c r="AO348" s="270"/>
    </row>
    <row r="349" spans="1:54" x14ac:dyDescent="0.2">
      <c r="A349" s="97" t="s">
        <v>121</v>
      </c>
      <c r="B349" s="260" t="str">
        <f>IF($AF$8=1,$E$8,IF($AF$10=1,$E$10,IF($AF$12=1,$E$12,IF($AF$14=1,$E$14,IF($AF$16=1,$E$16,"1st Place "&amp;$A349)))))</f>
        <v>C1VB 15 Elite Grvl</v>
      </c>
      <c r="C349" s="261"/>
      <c r="D349" s="261"/>
      <c r="E349" s="261"/>
      <c r="F349" s="261"/>
      <c r="G349" s="261"/>
      <c r="H349" s="262" t="str">
        <f>IF($AF$8=1,$E$9,IF($AF$10=1,$E$11,IF($AF$12=1,$E$13,IF($AF$14=1,$E$15,IF($AF$16=1,$E$17,"1st Place "&amp;$A349)))))</f>
        <v>fj5crone2pm</v>
      </c>
      <c r="I349" s="262"/>
      <c r="J349" s="262"/>
      <c r="K349" s="263"/>
      <c r="L349" s="260" t="str">
        <f>IF($AF$8=2,$E$8,IF($AF$10=2,$E$10,IF($AF$12=2,$E$12,IF($AF$14=2,$E$14,IF($AF$16=2,$E$16,"2nd Place "&amp;$A349)))))</f>
        <v>Beaufort 15 Grey</v>
      </c>
      <c r="M349" s="261"/>
      <c r="N349" s="261"/>
      <c r="O349" s="261"/>
      <c r="P349" s="261"/>
      <c r="Q349" s="261"/>
      <c r="R349" s="262" t="str">
        <f>IF($AF$8=2,$E$9,IF($AF$10=2,$E$11,IF($AF$12=2,$E$13,IF($AF$14=2,$E$15,IF($AF$16=2,$E$17,"2nd Place "&amp;$A349)))))</f>
        <v>fj5beauf1pm</v>
      </c>
      <c r="S349" s="262"/>
      <c r="T349" s="262"/>
      <c r="U349" s="263"/>
      <c r="V349" s="260" t="str">
        <f>IF($AF$8=3,$E$8,IF($AF$10=3,$E$10,IF($AF$12=3,$E$12,IF($AF$14=3,$E$14,IF($AF$16=3,$E$16,"3rd Place "&amp;$A349)))))</f>
        <v>Emerald City 15-Power</v>
      </c>
      <c r="W349" s="261"/>
      <c r="X349" s="261"/>
      <c r="Y349" s="261"/>
      <c r="Z349" s="261"/>
      <c r="AA349" s="261"/>
      <c r="AB349" s="262" t="str">
        <f>IF($AF$8=3,$E$9,IF($AF$10=3,$E$11,IF($AF$12=3,$E$13,IF($AF$14=3,$E$15,IF($AF$16=3,$E$17,"3rd Place "&amp;$A349)))))</f>
        <v>fj5ecity1pm</v>
      </c>
      <c r="AC349" s="262"/>
      <c r="AD349" s="262"/>
      <c r="AE349" s="263"/>
      <c r="AF349" s="260" t="str">
        <f>IF($AF$8=4,$E$8,IF($AF$10=4,$E$10,IF($AF$12=4,$E$12,IF($AF$14=4,$E$14,IF($AF$16=4,$E$16,"4th Place "&amp;$A349)))))</f>
        <v>CSRA Heat 15 Gold</v>
      </c>
      <c r="AG349" s="261"/>
      <c r="AH349" s="261"/>
      <c r="AI349" s="261"/>
      <c r="AJ349" s="261"/>
      <c r="AK349" s="261"/>
      <c r="AL349" s="262" t="str">
        <f>IF($AF$8=4,$E$9,IF($AF$10=4,$E$11,IF($AF$12=4,$E$13,IF($AF$14=4,$E$15,IF($AF$16=4,$E$17,"4th Place "&amp;$A349)))))</f>
        <v>fj5csrah2pm</v>
      </c>
      <c r="AM349" s="262"/>
      <c r="AN349" s="262"/>
      <c r="AO349" s="263"/>
    </row>
    <row r="350" spans="1:54" x14ac:dyDescent="0.2">
      <c r="A350" s="97" t="s">
        <v>122</v>
      </c>
      <c r="B350" s="432" t="str">
        <f>IF($AF$93=1,$E$93,IF($AF$95=1,$E$95,IF($AF$97=1,$E$97,IF($AF$99=1,$E$99,IF($AF$101=1,$E$101,"1st Place "&amp;$A350)))))</f>
        <v>CSRA Heat 15 National</v>
      </c>
      <c r="C350" s="433"/>
      <c r="D350" s="433"/>
      <c r="E350" s="433"/>
      <c r="F350" s="433"/>
      <c r="G350" s="433"/>
      <c r="H350" s="434" t="str">
        <f>IF($AF$93=1,$E$94,IF($AF$95=1,$E$96,IF($AF$97=1,$E$98,IF($AF$99=1,$E$100,IF($AF$101=1,$E$102,"1st Place "&amp;$A350)))))</f>
        <v>fj5csrah1pm</v>
      </c>
      <c r="I350" s="434"/>
      <c r="J350" s="434"/>
      <c r="K350" s="435"/>
      <c r="L350" s="432" t="str">
        <f>IF($AF$93=2,$E$93,IF($AF$95=2,$E$95,IF($AF$97=2,$E$97,IF($AF$99=2,$E$99,IF($AF$101=2,$E$101,"2nd Place "&amp;$A350)))))</f>
        <v>Magnum 15 Elite</v>
      </c>
      <c r="M350" s="433"/>
      <c r="N350" s="433"/>
      <c r="O350" s="433"/>
      <c r="P350" s="433"/>
      <c r="Q350" s="433"/>
      <c r="R350" s="434" t="str">
        <f>IF($AF$93=2,$E$94,IF($AF$95=2,$E$96,IF($AF$97=2,$E$98,IF($AF$99=2,$E$100,IF($AF$101=2,$E$102,"2nd Place "&amp;$A350)))))</f>
        <v>fj5magnm2pm</v>
      </c>
      <c r="S350" s="434"/>
      <c r="T350" s="434"/>
      <c r="U350" s="435"/>
      <c r="V350" s="432" t="str">
        <f>IF($AF$93=3,$E$93,IF($AF$95=3,$E$95,IF($AF$97=3,$E$97,IF($AF$99=3,$E$99,IF($AF$101=3,$E$101,"3rd Place "&amp;$A350)))))</f>
        <v>Beaufort 15 Pink</v>
      </c>
      <c r="W350" s="433"/>
      <c r="X350" s="433"/>
      <c r="Y350" s="433"/>
      <c r="Z350" s="433"/>
      <c r="AA350" s="433"/>
      <c r="AB350" s="434" t="str">
        <f>IF($AF$93=3,$E$94,IF($AF$95=3,$E$96,IF($AF$97=3,$E$98,IF($AF$99=3,$E$100,IF($AF$101=3,$E$102,"3rd Place "&amp;$A350)))))</f>
        <v>fj5beauf2pm</v>
      </c>
      <c r="AC350" s="434"/>
      <c r="AD350" s="434"/>
      <c r="AE350" s="435"/>
      <c r="AF350" s="432" t="str">
        <f>IF($AF$93=4,$E$93,IF($AF$95=4,$E$95,IF($AF$97=4,$E$97,IF($AF$99=4,$E$99,IF($AF$101=4,$E$101,"4th Place "&amp;$A350)))))</f>
        <v>SC Midlands 15 Perf</v>
      </c>
      <c r="AG350" s="433"/>
      <c r="AH350" s="433"/>
      <c r="AI350" s="433"/>
      <c r="AJ350" s="433"/>
      <c r="AK350" s="433"/>
      <c r="AL350" s="434" t="str">
        <f>IF($AF$93=4,$E$94,IF($AF$95=4,$E$96,IF($AF$97=4,$E$98,IF($AF$99=4,$E$100,IF($AF$101=4,$E$102,"4th Place "&amp;$A350)))))</f>
        <v>fj5scmid2pm</v>
      </c>
      <c r="AM350" s="434"/>
      <c r="AN350" s="434"/>
      <c r="AO350" s="435"/>
    </row>
    <row r="351" spans="1:54" x14ac:dyDescent="0.2">
      <c r="A351" s="97" t="s">
        <v>208</v>
      </c>
      <c r="B351" s="432" t="str">
        <f>IF($AF$178=1,$E$178,IF($AF$180=1,$E$180,IF($AF$182=1,$E$182,IF($AF$184=1,$E$184,IF($AF$186=1,$E$186,"1st Place "&amp;$A351)))))</f>
        <v>C1VB 15 Power Grvl</v>
      </c>
      <c r="C351" s="433"/>
      <c r="D351" s="433"/>
      <c r="E351" s="433"/>
      <c r="F351" s="433"/>
      <c r="G351" s="433"/>
      <c r="H351" s="434" t="str">
        <f>IF($AF$178=1,$E$179,IF($AF$180=1,$E$181,IF($AF$182=1,$E$183,IF($AF$184=1,$E$185,IF($AF$186=1,$E$187,"1st Place "&amp;$A351)))))</f>
        <v>fj5crone3pm</v>
      </c>
      <c r="I351" s="434"/>
      <c r="J351" s="434"/>
      <c r="K351" s="435"/>
      <c r="L351" s="432" t="str">
        <f>IF($AF$178=2,$E$178,IF($AF$180=2,$E$180,IF($AF$182=2,$E$182,IF($AF$184=2,$E$184,IF($AF$186=2,$E$186,"2nd Place "&amp;$A351)))))</f>
        <v>Lake Murray 15 Red</v>
      </c>
      <c r="M351" s="433"/>
      <c r="N351" s="433"/>
      <c r="O351" s="433"/>
      <c r="P351" s="433"/>
      <c r="Q351" s="433"/>
      <c r="R351" s="434" t="str">
        <f>IF($AF$178=2,$E$179,IF($AF$180=2,$E$181,IF($AF$182=2,$E$183,IF($AF$184=2,$E$185,IF($AF$186=2,$E$187,"2nd Place "&amp;$A351)))))</f>
        <v>fj5lakem1pm</v>
      </c>
      <c r="S351" s="434"/>
      <c r="T351" s="434"/>
      <c r="U351" s="435"/>
      <c r="V351" s="432" t="str">
        <f>IF($AF$178=3,$E$178,IF($AF$180=3,$E$180,IF($AF$182=3,$E$182,IF($AF$184=3,$E$184,IF($AF$186=3,$E$186,"3rd Place "&amp;$A351)))))</f>
        <v>Intense 15 Elite Rock Hil</v>
      </c>
      <c r="W351" s="433"/>
      <c r="X351" s="433"/>
      <c r="Y351" s="433"/>
      <c r="Z351" s="433"/>
      <c r="AA351" s="433"/>
      <c r="AB351" s="434" t="str">
        <f>IF($AF$178=3,$E$179,IF($AF$180=3,$E$181,IF($AF$182=3,$E$183,IF($AF$184=3,$E$185,IF($AF$186=3,$E$187,"3rd Place "&amp;$A351)))))</f>
        <v>fj5inten3pm</v>
      </c>
      <c r="AC351" s="434"/>
      <c r="AD351" s="434"/>
      <c r="AE351" s="435"/>
      <c r="AF351" s="432" t="str">
        <f>IF($AF$178=4,$E$178,IF($AF$180=4,$E$180,IF($AF$182=4,$E$182,IF($AF$184=4,$E$184,IF($AF$186=4,$E$186,"4th Place "&amp;$A351)))))</f>
        <v>Kershaw 15 Black</v>
      </c>
      <c r="AG351" s="433"/>
      <c r="AH351" s="433"/>
      <c r="AI351" s="433"/>
      <c r="AJ351" s="433"/>
      <c r="AK351" s="433"/>
      <c r="AL351" s="434" t="str">
        <f>IF($AF$178=4,$E$179,IF($AF$180=4,$E$181,IF($AF$182=4,$E$183,IF($AF$184=4,$E$185,IF($AF$186=4,$E$187,"4th Place "&amp;$A351)))))</f>
        <v>fj5kersh1pm</v>
      </c>
      <c r="AM351" s="434"/>
      <c r="AN351" s="434"/>
      <c r="AO351" s="435"/>
    </row>
    <row r="352" spans="1:54" ht="13.5" thickBot="1" x14ac:dyDescent="0.25">
      <c r="A352" s="98" t="s">
        <v>209</v>
      </c>
      <c r="B352" s="264" t="str">
        <f>IF($AF$263=1,$E$263,IF($AF$265=1,$E$265,IF($AF$267=1,$E$267,IF($AF$269=1,$E$269,IF($AF$271=1,$E$271,"1st Place "&amp;$A352)))))</f>
        <v>Chas Jrs 15 Power</v>
      </c>
      <c r="C352" s="265"/>
      <c r="D352" s="265"/>
      <c r="E352" s="265"/>
      <c r="F352" s="265"/>
      <c r="G352" s="265"/>
      <c r="H352" s="266" t="str">
        <f>IF($AF$263=1,$E$264,IF($AF$265=1,$E$266,IF($AF$267=1,$E$268,IF($AF$269=1,$E$270,IF($AF$271=1,$E$272,"1st Place "&amp;$A352)))))</f>
        <v>fj5charl2pm</v>
      </c>
      <c r="I352" s="266"/>
      <c r="J352" s="266"/>
      <c r="K352" s="267"/>
      <c r="L352" s="264" t="str">
        <f>IF($AF$263=2,$E$263,IF($AF$265=2,$E$265,IF($AF$267=2,$E$267,IF($AF$269=2,$E$269,IF($AF$271=2,$E$271,"2nd Place "&amp;$A352)))))</f>
        <v>CSRA Heat 14 National</v>
      </c>
      <c r="M352" s="265"/>
      <c r="N352" s="265"/>
      <c r="O352" s="265"/>
      <c r="P352" s="265"/>
      <c r="Q352" s="265"/>
      <c r="R352" s="266" t="str">
        <f>IF($AF$263=2,$E$264,IF($AF$265=2,$E$266,IF($AF$267=2,$E$268,IF($AF$269=2,$E$270,IF($AF$271=2,$E$272,"2nd Place "&amp;$A352)))))</f>
        <v>fj4csrah1pm</v>
      </c>
      <c r="S352" s="266"/>
      <c r="T352" s="266"/>
      <c r="U352" s="267"/>
      <c r="V352" s="264" t="str">
        <f>IF($AF$263=3,$E$263,IF($AF$265=3,$E$265,IF($AF$267=3,$E$267,IF($AF$269=3,$E$269,IF($AF$271=3,$E$271,"3rd Place "&amp;$A352)))))</f>
        <v>Intense 15 Elite Columbia</v>
      </c>
      <c r="W352" s="265"/>
      <c r="X352" s="265"/>
      <c r="Y352" s="265"/>
      <c r="Z352" s="265"/>
      <c r="AA352" s="265"/>
      <c r="AB352" s="266" t="str">
        <f>IF($AF$263=3,$E$264,IF($AF$265=3,$E$266,IF($AF$267=3,$E$268,IF($AF$269=3,$E$270,IF($AF$271=3,$E$272,"3rd Place "&amp;$A352)))))</f>
        <v>fj5inten2pm</v>
      </c>
      <c r="AC352" s="266"/>
      <c r="AD352" s="266"/>
      <c r="AE352" s="267"/>
      <c r="AF352" s="264" t="str">
        <f>IF($AF$263=4,$E$263,IF($AF$265=4,$E$265,IF($AF$267=4,$E$267,IF($AF$269=4,$E$269,IF($AF$271=4,$E$271,"4th Place "&amp;$A352)))))</f>
        <v>C1VB 15 Power Pickens</v>
      </c>
      <c r="AG352" s="265"/>
      <c r="AH352" s="265"/>
      <c r="AI352" s="265"/>
      <c r="AJ352" s="265"/>
      <c r="AK352" s="265"/>
      <c r="AL352" s="266" t="str">
        <f>IF($AF$263=4,$E$264,IF($AF$265=4,$E$266,IF($AF$267=4,$E$268,IF($AF$269=4,$E$270,IF($AF$271=4,$E$272,"4th Place "&amp;$A352)))))</f>
        <v>fj5crone4pm</v>
      </c>
      <c r="AM352" s="266"/>
      <c r="AN352" s="266"/>
      <c r="AO352" s="267"/>
    </row>
    <row r="353" spans="1:55" s="3" customFormat="1" x14ac:dyDescent="0.2">
      <c r="A353" s="99"/>
      <c r="B353" s="100"/>
      <c r="C353" s="100"/>
      <c r="D353" s="100"/>
      <c r="E353" s="100"/>
      <c r="F353" s="100"/>
      <c r="G353" s="100"/>
      <c r="H353" s="100"/>
      <c r="I353" s="100"/>
      <c r="J353" s="100"/>
      <c r="K353" s="100"/>
      <c r="L353" s="100"/>
      <c r="M353" s="100"/>
      <c r="N353" s="100"/>
      <c r="O353" s="100"/>
      <c r="P353" s="100"/>
      <c r="Q353" s="100"/>
      <c r="R353" s="100"/>
      <c r="S353" s="100"/>
      <c r="T353" s="100"/>
      <c r="U353" s="100"/>
      <c r="V353" s="100"/>
      <c r="W353" s="100"/>
      <c r="X353" s="100"/>
      <c r="Y353" s="100"/>
      <c r="Z353" s="100"/>
      <c r="AA353" s="100"/>
      <c r="AB353" s="100"/>
      <c r="AC353" s="100"/>
      <c r="AD353" s="100"/>
      <c r="AE353" s="100"/>
      <c r="AF353" s="100"/>
      <c r="AG353" s="100"/>
      <c r="AH353" s="100"/>
      <c r="AI353" s="100"/>
      <c r="AJ353" s="100"/>
      <c r="AK353" s="100"/>
      <c r="AL353" s="100"/>
      <c r="AM353" s="100"/>
      <c r="AN353" s="100"/>
      <c r="AO353" s="100"/>
      <c r="AW353" s="156"/>
      <c r="AX353" s="4"/>
      <c r="AY353" s="4"/>
      <c r="AZ353" s="4"/>
      <c r="BA353" s="4"/>
    </row>
    <row r="354" spans="1:55" ht="15.75" x14ac:dyDescent="0.25">
      <c r="A354" s="255" t="s">
        <v>123</v>
      </c>
      <c r="B354" s="255"/>
      <c r="C354" s="255"/>
      <c r="D354" s="255"/>
      <c r="E354" s="255"/>
      <c r="F354" s="255"/>
      <c r="G354" s="255"/>
      <c r="H354" s="255"/>
      <c r="I354" s="255"/>
      <c r="J354" s="255"/>
      <c r="K354" s="255"/>
      <c r="L354" s="255"/>
      <c r="M354" s="255"/>
      <c r="N354" s="255"/>
      <c r="O354" s="255"/>
      <c r="P354" s="255"/>
      <c r="Q354" s="255"/>
      <c r="R354" s="255"/>
      <c r="S354" s="255"/>
      <c r="T354" s="255"/>
      <c r="U354" s="255"/>
      <c r="V354" s="255"/>
      <c r="W354" s="255"/>
      <c r="X354" s="255"/>
      <c r="Y354" s="255"/>
      <c r="Z354" s="255"/>
      <c r="AA354" s="255"/>
      <c r="AB354" s="255"/>
      <c r="AC354" s="255"/>
      <c r="AD354" s="255"/>
      <c r="AE354" s="255"/>
      <c r="AF354" s="255"/>
      <c r="AG354" s="255"/>
      <c r="AH354" s="255"/>
      <c r="AI354" s="255"/>
      <c r="AJ354" s="255"/>
      <c r="AK354" s="255"/>
      <c r="AL354" s="255"/>
      <c r="AM354" s="255"/>
      <c r="AN354" s="255"/>
      <c r="AO354" s="255"/>
      <c r="AP354" s="255"/>
      <c r="AQ354" s="255"/>
      <c r="AT354" s="101"/>
      <c r="AU354" s="101"/>
      <c r="AV354" s="101"/>
    </row>
    <row r="355" spans="1:55" ht="18" x14ac:dyDescent="0.25">
      <c r="A355" s="256" t="s">
        <v>124</v>
      </c>
      <c r="B355" s="256"/>
      <c r="C355" s="256"/>
      <c r="D355" s="256"/>
      <c r="E355" s="256"/>
      <c r="F355" s="256"/>
      <c r="G355" s="256"/>
      <c r="H355" s="256"/>
      <c r="I355" s="256"/>
      <c r="J355" s="256"/>
      <c r="K355" s="256"/>
      <c r="L355" s="256"/>
      <c r="M355" s="256"/>
      <c r="N355" s="256"/>
      <c r="O355" s="256"/>
      <c r="P355" s="256"/>
      <c r="Q355" s="256"/>
      <c r="R355" s="256"/>
      <c r="S355" s="256"/>
      <c r="T355" s="256"/>
      <c r="U355" s="256"/>
      <c r="V355" s="256"/>
      <c r="W355" s="256"/>
      <c r="X355" s="256"/>
      <c r="Y355" s="256"/>
      <c r="Z355" s="256"/>
      <c r="AA355" s="256"/>
      <c r="AB355" s="256"/>
      <c r="AC355" s="256"/>
      <c r="AD355" s="256"/>
      <c r="AE355" s="256"/>
      <c r="AF355" s="256"/>
      <c r="AG355" s="256"/>
      <c r="AH355" s="256"/>
      <c r="AI355" s="256"/>
      <c r="AJ355" s="256"/>
      <c r="AK355" s="256"/>
      <c r="AL355" s="256"/>
      <c r="AM355" s="256"/>
      <c r="AN355" s="256"/>
      <c r="AO355" s="256"/>
      <c r="AP355" s="256"/>
      <c r="AQ355" s="256"/>
    </row>
    <row r="356" spans="1:55" x14ac:dyDescent="0.2">
      <c r="A356" s="257"/>
      <c r="B356" s="257"/>
      <c r="C356" s="257"/>
      <c r="D356" s="257"/>
      <c r="E356" s="257"/>
      <c r="F356" s="257"/>
      <c r="G356" s="257"/>
      <c r="H356" s="257"/>
      <c r="I356" s="257"/>
      <c r="J356" s="257"/>
      <c r="K356" s="257"/>
      <c r="L356" s="257"/>
      <c r="M356" s="257"/>
      <c r="N356" s="257"/>
      <c r="O356" s="257"/>
      <c r="P356" s="257"/>
      <c r="Q356" s="257"/>
      <c r="R356" s="257"/>
      <c r="S356" s="257"/>
      <c r="T356" s="257"/>
      <c r="U356" s="257"/>
      <c r="V356" s="257"/>
      <c r="W356" s="257"/>
      <c r="X356" s="257"/>
      <c r="Y356" s="257"/>
      <c r="Z356" s="257"/>
      <c r="AA356" s="257"/>
      <c r="AB356" s="257"/>
      <c r="AC356" s="257"/>
      <c r="AD356" s="257"/>
      <c r="AE356" s="257"/>
      <c r="AF356" s="257"/>
      <c r="AG356" s="257"/>
      <c r="AH356" s="257"/>
      <c r="AI356" s="257"/>
      <c r="AJ356" s="257"/>
      <c r="AK356" s="257"/>
      <c r="AL356" s="257"/>
      <c r="AM356" s="257"/>
      <c r="AN356" s="257"/>
      <c r="AO356" s="257"/>
      <c r="AP356" s="257"/>
      <c r="AQ356" s="257"/>
    </row>
    <row r="357" spans="1:55" x14ac:dyDescent="0.2">
      <c r="A357" s="257"/>
      <c r="B357" s="257"/>
      <c r="C357" s="257"/>
      <c r="D357" s="257"/>
      <c r="E357" s="257"/>
      <c r="F357" s="257"/>
      <c r="G357" s="257"/>
      <c r="H357" s="257"/>
      <c r="I357" s="257"/>
      <c r="J357" s="257"/>
      <c r="K357" s="257"/>
      <c r="L357" s="257"/>
      <c r="M357" s="257"/>
      <c r="N357" s="257"/>
      <c r="O357" s="257"/>
      <c r="P357" s="257"/>
      <c r="Q357" s="257"/>
      <c r="R357" s="257"/>
      <c r="S357" s="257"/>
      <c r="T357" s="257"/>
      <c r="U357" s="257"/>
      <c r="V357" s="257"/>
      <c r="W357" s="257"/>
      <c r="X357" s="257"/>
      <c r="Y357" s="257"/>
      <c r="Z357" s="257"/>
      <c r="AA357" s="257"/>
      <c r="AB357" s="257"/>
      <c r="AC357" s="257"/>
      <c r="AD357" s="257"/>
      <c r="AE357" s="257"/>
      <c r="AF357" s="257"/>
      <c r="AG357" s="257"/>
      <c r="AH357" s="257"/>
      <c r="AI357" s="257"/>
      <c r="AJ357" s="257"/>
      <c r="AK357" s="257"/>
      <c r="AL357" s="257"/>
      <c r="AM357" s="257"/>
      <c r="AN357" s="257"/>
      <c r="AO357" s="257"/>
      <c r="AP357" s="257"/>
      <c r="AQ357" s="257"/>
    </row>
    <row r="358" spans="1:55" x14ac:dyDescent="0.2">
      <c r="A358" s="258" t="s">
        <v>126</v>
      </c>
      <c r="B358" s="258"/>
      <c r="C358" s="258"/>
      <c r="D358" s="258"/>
      <c r="E358" s="258"/>
      <c r="F358" s="258"/>
      <c r="G358" s="258"/>
      <c r="H358" s="258"/>
      <c r="I358" s="258"/>
      <c r="J358" s="258"/>
      <c r="K358" s="258"/>
      <c r="L358" s="102"/>
    </row>
    <row r="359" spans="1:55" x14ac:dyDescent="0.2">
      <c r="C359" s="3"/>
      <c r="D359" s="3"/>
      <c r="E359" s="3"/>
      <c r="L359" s="102"/>
    </row>
    <row r="360" spans="1:55" x14ac:dyDescent="0.2">
      <c r="A360" s="259" t="s">
        <v>127</v>
      </c>
      <c r="B360" s="259"/>
      <c r="C360" s="259"/>
      <c r="D360" s="259"/>
      <c r="E360" s="259"/>
      <c r="F360" s="259"/>
      <c r="G360" s="259"/>
      <c r="H360" s="259"/>
      <c r="I360" s="259"/>
      <c r="J360" s="259"/>
      <c r="K360" s="259"/>
      <c r="L360" s="259"/>
      <c r="M360" s="259"/>
      <c r="N360" s="259"/>
      <c r="O360" s="259"/>
      <c r="P360" s="156"/>
      <c r="R360" s="259" t="s">
        <v>128</v>
      </c>
      <c r="S360" s="259"/>
      <c r="T360" s="259"/>
      <c r="U360" s="259"/>
      <c r="V360" s="259"/>
      <c r="W360" s="259"/>
      <c r="X360" s="259"/>
      <c r="Y360" s="259"/>
      <c r="Z360" s="259"/>
      <c r="AA360" s="259"/>
      <c r="AB360" s="259"/>
      <c r="AC360" s="259"/>
      <c r="AD360" s="259"/>
      <c r="AE360" s="259"/>
      <c r="AF360" s="259"/>
    </row>
    <row r="362" spans="1:55" ht="13.5" thickBot="1" x14ac:dyDescent="0.25">
      <c r="A362" s="225" t="str">
        <f>IF(B390=1,B382,IF(B390=2,B383,IF(B390=3,B384,IF(B390=4,B385,IF(OR(B390="B",B390="b"),"BYE","invalid")))))</f>
        <v>C1VB 15 Elite Grvl</v>
      </c>
      <c r="B362" s="225"/>
      <c r="C362" s="225"/>
      <c r="D362" s="225"/>
      <c r="E362" s="225"/>
      <c r="F362" s="103"/>
      <c r="G362" s="103"/>
      <c r="H362" s="103"/>
      <c r="I362" s="103"/>
      <c r="J362" s="103"/>
      <c r="K362" s="103"/>
      <c r="L362" s="103"/>
      <c r="M362" s="103"/>
      <c r="N362" s="103"/>
      <c r="S362" s="157"/>
      <c r="T362" s="157"/>
      <c r="U362" s="225" t="str">
        <f>IF(W390=1,X382,IF(W390=2,X383,IF(W390=3,X384,IF(W390=4,X385,IF(OR(W390="B",W390="b"),"BYE","invalid")))))</f>
        <v>Beaufort 15 Grey</v>
      </c>
      <c r="V362" s="225"/>
      <c r="W362" s="225"/>
      <c r="X362" s="225"/>
      <c r="Y362" s="225"/>
      <c r="Z362" s="225"/>
      <c r="AA362" s="225"/>
      <c r="AB362" s="103"/>
      <c r="AC362" s="103"/>
      <c r="AD362" s="103"/>
      <c r="AE362" s="103"/>
    </row>
    <row r="363" spans="1:55" x14ac:dyDescent="0.2">
      <c r="A363" s="227" t="s">
        <v>129</v>
      </c>
      <c r="B363" s="227"/>
      <c r="C363" s="227"/>
      <c r="D363" s="227"/>
      <c r="E363" s="227"/>
      <c r="F363" s="105"/>
      <c r="G363" s="103"/>
      <c r="H363" s="103"/>
      <c r="I363" s="103"/>
      <c r="J363" s="103"/>
      <c r="K363" s="103"/>
      <c r="L363" s="103"/>
      <c r="M363" s="103"/>
      <c r="N363" s="103"/>
      <c r="S363" s="106"/>
      <c r="T363" s="106"/>
      <c r="U363" s="228" t="s">
        <v>211</v>
      </c>
      <c r="V363" s="228"/>
      <c r="W363" s="228"/>
      <c r="X363" s="228"/>
      <c r="Y363" s="228"/>
      <c r="Z363" s="228"/>
      <c r="AA363" s="242"/>
      <c r="AB363" s="103"/>
      <c r="AC363" s="103"/>
      <c r="AD363" s="103"/>
      <c r="AE363" s="103"/>
    </row>
    <row r="364" spans="1:55" x14ac:dyDescent="0.2">
      <c r="A364" s="103"/>
      <c r="B364" s="103"/>
      <c r="C364" s="103"/>
      <c r="D364" s="103"/>
      <c r="E364" s="103"/>
      <c r="F364" s="105"/>
      <c r="G364" s="103"/>
      <c r="H364" s="103"/>
      <c r="I364" s="103"/>
      <c r="J364" s="103"/>
      <c r="K364" s="103"/>
      <c r="L364" s="103"/>
      <c r="M364" s="103"/>
      <c r="N364" s="103"/>
      <c r="R364" s="103"/>
      <c r="S364" s="103"/>
      <c r="T364" s="103"/>
      <c r="U364" s="103"/>
      <c r="V364" s="103"/>
      <c r="W364" s="103"/>
      <c r="X364" s="103"/>
      <c r="Y364" s="103"/>
      <c r="Z364" s="103"/>
      <c r="AA364" s="107"/>
      <c r="AB364" s="103"/>
      <c r="AC364" s="103"/>
      <c r="AD364" s="103"/>
      <c r="AE364" s="103"/>
    </row>
    <row r="365" spans="1:55" ht="13.5" thickBot="1" x14ac:dyDescent="0.25">
      <c r="A365" s="228" t="str">
        <f>B384&amp;" ref"</f>
        <v>C1VB 15 Power Grvl ref</v>
      </c>
      <c r="B365" s="228"/>
      <c r="C365" s="228"/>
      <c r="D365" s="228"/>
      <c r="E365" s="242"/>
      <c r="F365" s="237" t="str">
        <f>IF(H390=1,B382,IF(H390=2,B383,IF(H390=3,B384,IF(H390=4,B385,"Winner Match 1"))))</f>
        <v>C1VB 15 Elite Grvl</v>
      </c>
      <c r="G365" s="238"/>
      <c r="H365" s="238"/>
      <c r="I365" s="238"/>
      <c r="J365" s="238"/>
      <c r="K365" s="238"/>
      <c r="L365" s="238"/>
      <c r="M365" s="238"/>
      <c r="N365" s="103"/>
      <c r="P365" s="108"/>
      <c r="Q365" s="108"/>
      <c r="R365" s="108"/>
      <c r="S365" s="108"/>
      <c r="T365" s="228" t="str">
        <f>X384&amp;" ref"</f>
        <v>Lake Murray 15 Red ref</v>
      </c>
      <c r="U365" s="228"/>
      <c r="V365" s="228"/>
      <c r="W365" s="228"/>
      <c r="X365" s="228"/>
      <c r="Y365" s="228"/>
      <c r="Z365" s="228"/>
      <c r="AA365" s="107"/>
      <c r="AB365" s="237" t="str">
        <f>IF(AC390=1,X382,IF(AC390=2,X383,IF(AC390=3,X384,IF(AC390=4,X385,"Winner Match 1"))))</f>
        <v>CSRA Heat 14 National</v>
      </c>
      <c r="AC365" s="238"/>
      <c r="AD365" s="238"/>
      <c r="AE365" s="238"/>
      <c r="AF365" s="238"/>
      <c r="AG365" s="238"/>
      <c r="AH365" s="238"/>
    </row>
    <row r="366" spans="1:55" x14ac:dyDescent="0.2">
      <c r="A366" s="239" t="s">
        <v>131</v>
      </c>
      <c r="B366" s="239"/>
      <c r="C366" s="239"/>
      <c r="D366" s="239"/>
      <c r="E366" s="239"/>
      <c r="F366" s="251"/>
      <c r="G366" s="252"/>
      <c r="H366" s="252"/>
      <c r="I366" s="253"/>
      <c r="J366" s="233"/>
      <c r="K366" s="234"/>
      <c r="L366" s="234"/>
      <c r="M366" s="234"/>
      <c r="N366" s="103"/>
      <c r="O366" s="103"/>
      <c r="P366" s="114"/>
      <c r="Q366" s="7"/>
      <c r="R366" s="115"/>
      <c r="S366" s="115"/>
      <c r="T366" s="254" t="s">
        <v>132</v>
      </c>
      <c r="U366" s="254"/>
      <c r="V366" s="254"/>
      <c r="W366" s="254"/>
      <c r="X366" s="254"/>
      <c r="Y366" s="254"/>
      <c r="Z366" s="254"/>
      <c r="AA366" s="107"/>
      <c r="AB366" s="251"/>
      <c r="AC366" s="252"/>
      <c r="AD366" s="252"/>
      <c r="AE366" s="253"/>
      <c r="AF366" s="233"/>
      <c r="AG366" s="234"/>
      <c r="AH366" s="234"/>
    </row>
    <row r="367" spans="1:55" ht="13.5" thickBot="1" x14ac:dyDescent="0.25">
      <c r="A367" s="225" t="str">
        <f>IF(D390=1,B382,IF(D390=2,B383,IF(D390=3,B384,IF(D390=4,B385,IF(OR(D390="B",D390="b"),"BYE","invalid")))))</f>
        <v>Chas Jrs 15 Power</v>
      </c>
      <c r="B367" s="225"/>
      <c r="C367" s="225"/>
      <c r="D367" s="225"/>
      <c r="E367" s="226"/>
      <c r="F367" s="105"/>
      <c r="G367" s="103"/>
      <c r="H367" s="103"/>
      <c r="I367" s="103"/>
      <c r="J367" s="105"/>
      <c r="K367" s="103"/>
      <c r="L367" s="103"/>
      <c r="M367" s="103"/>
      <c r="N367" s="103"/>
      <c r="O367" s="103"/>
      <c r="P367" s="103"/>
      <c r="T367" s="103"/>
      <c r="U367" s="225" t="str">
        <f>IF(Y390=1,X382,IF(Y390=2,X383,IF(Y390=3,X384,IF(Y390=4,X385,IF(OR(Y390="B",Y390="b"),"BYE","invalid")))))</f>
        <v>CSRA Heat 14 National</v>
      </c>
      <c r="V367" s="225"/>
      <c r="W367" s="225"/>
      <c r="X367" s="225"/>
      <c r="Y367" s="225"/>
      <c r="Z367" s="225"/>
      <c r="AA367" s="226"/>
      <c r="AB367" s="103"/>
      <c r="AC367" s="103"/>
      <c r="AD367" s="103"/>
      <c r="AE367" s="107"/>
      <c r="AF367" s="103"/>
      <c r="AG367" s="103"/>
      <c r="AT367" s="116"/>
      <c r="AU367" s="116"/>
    </row>
    <row r="368" spans="1:55" x14ac:dyDescent="0.2">
      <c r="A368" s="227" t="s">
        <v>212</v>
      </c>
      <c r="B368" s="227"/>
      <c r="C368" s="227"/>
      <c r="D368" s="227"/>
      <c r="E368" s="227"/>
      <c r="F368" s="103"/>
      <c r="G368" s="103"/>
      <c r="H368" s="103"/>
      <c r="I368" s="103"/>
      <c r="J368" s="105"/>
      <c r="K368" s="103"/>
      <c r="L368" s="103"/>
      <c r="M368" s="103"/>
      <c r="N368" s="103"/>
      <c r="O368" s="103"/>
      <c r="P368" s="103"/>
      <c r="U368" s="249" t="s">
        <v>213</v>
      </c>
      <c r="V368" s="249"/>
      <c r="W368" s="249"/>
      <c r="X368" s="249"/>
      <c r="Y368" s="249"/>
      <c r="Z368" s="249"/>
      <c r="AA368" s="249"/>
      <c r="AB368" s="103"/>
      <c r="AC368" s="103"/>
      <c r="AD368" s="103"/>
      <c r="AE368" s="107"/>
      <c r="AF368" s="103"/>
      <c r="AG368" s="103"/>
      <c r="AQ368" s="116"/>
      <c r="AR368" s="116"/>
      <c r="AS368" s="116"/>
      <c r="BB368" s="116"/>
      <c r="BC368" s="116"/>
    </row>
    <row r="369" spans="1:53" x14ac:dyDescent="0.2">
      <c r="A369" s="103"/>
      <c r="B369" s="103"/>
      <c r="C369" s="103"/>
      <c r="D369" s="103"/>
      <c r="E369" s="103"/>
      <c r="F369" s="241" t="s">
        <v>135</v>
      </c>
      <c r="G369" s="241"/>
      <c r="H369" s="241"/>
      <c r="I369" s="250"/>
      <c r="J369" s="105"/>
      <c r="K369" s="103"/>
      <c r="L369" s="103"/>
      <c r="M369" s="103"/>
      <c r="N369" s="103"/>
      <c r="O369" s="103"/>
      <c r="P369" s="103"/>
      <c r="R369" s="103"/>
      <c r="S369" s="103"/>
      <c r="T369" s="103"/>
      <c r="U369" s="103"/>
      <c r="V369" s="103"/>
      <c r="W369" s="108"/>
      <c r="X369" s="108"/>
      <c r="Y369" s="108"/>
      <c r="AA369" s="108"/>
      <c r="AB369" s="241" t="s">
        <v>135</v>
      </c>
      <c r="AC369" s="241"/>
      <c r="AD369" s="241"/>
      <c r="AE369" s="250"/>
      <c r="AF369" s="103"/>
      <c r="AG369" s="103"/>
    </row>
    <row r="370" spans="1:53" ht="13.5" thickBot="1" x14ac:dyDescent="0.25">
      <c r="A370" s="103"/>
      <c r="B370" s="103"/>
      <c r="C370" s="103"/>
      <c r="D370" s="103"/>
      <c r="E370" s="103"/>
      <c r="F370" s="103"/>
      <c r="G370" s="103"/>
      <c r="H370" s="103"/>
      <c r="I370" s="103"/>
      <c r="J370" s="244" t="str">
        <f>IF(K395=1,B382,IF(K395=2,B383,IF(K395=3,B384,IF(K395=4,B385,"Division Winner"))))</f>
        <v>CSRA Heat 15 National</v>
      </c>
      <c r="K370" s="245"/>
      <c r="L370" s="245"/>
      <c r="M370" s="245"/>
      <c r="N370" s="245"/>
      <c r="O370" s="245"/>
      <c r="P370" s="245"/>
      <c r="Q370" s="157"/>
      <c r="R370" s="103"/>
      <c r="S370" s="103"/>
      <c r="T370" s="103"/>
      <c r="U370" s="103"/>
      <c r="V370" s="103"/>
      <c r="W370" s="103"/>
      <c r="X370" s="103"/>
      <c r="Y370" s="103"/>
      <c r="Z370" s="103"/>
      <c r="AA370" s="118"/>
      <c r="AB370" s="118"/>
      <c r="AC370" s="118"/>
      <c r="AD370" s="118"/>
      <c r="AE370" s="119"/>
      <c r="AF370" s="245" t="str">
        <f>IF(AF395=1,X382,IF(AF395=2,X383,IF(AF395=3,X384,IF(AF395=4,X385,"Division Winner"))))</f>
        <v>Magnum 15 Elite</v>
      </c>
      <c r="AG370" s="245"/>
      <c r="AH370" s="245"/>
      <c r="AI370" s="245"/>
      <c r="AJ370" s="245"/>
      <c r="AK370" s="118"/>
    </row>
    <row r="371" spans="1:53" ht="13.5" thickBot="1" x14ac:dyDescent="0.25">
      <c r="A371" s="225" t="str">
        <f>IF(E390=1,B382,IF(E390=2,B383,IF(E390=3,B384,IF(E390=4,B385,IF(OR(E390="B",E390="b"),"BYE","invalid")))))</f>
        <v>CSRA Heat 15 National</v>
      </c>
      <c r="B371" s="225"/>
      <c r="C371" s="225"/>
      <c r="D371" s="225"/>
      <c r="E371" s="225"/>
      <c r="F371" s="239" t="s">
        <v>136</v>
      </c>
      <c r="G371" s="239"/>
      <c r="H371" s="239"/>
      <c r="I371" s="239"/>
      <c r="J371" s="240" t="s">
        <v>137</v>
      </c>
      <c r="K371" s="241"/>
      <c r="L371" s="241"/>
      <c r="M371" s="241"/>
      <c r="N371" s="241"/>
      <c r="O371" s="241"/>
      <c r="P371" s="241"/>
      <c r="R371" s="118"/>
      <c r="S371" s="118"/>
      <c r="T371" s="118"/>
      <c r="U371" s="225" t="str">
        <f>IF(Z390=1,X382,IF(Z390=2,X383,IF(Z390=3,X384,IF(Z390=4,X385,IF(OR(Z390="B",Z390="b"),"BYE","invalid")))))</f>
        <v>Magnum 15 Elite</v>
      </c>
      <c r="V371" s="225"/>
      <c r="W371" s="225"/>
      <c r="X371" s="225"/>
      <c r="Y371" s="225"/>
      <c r="Z371" s="225"/>
      <c r="AA371" s="225"/>
      <c r="AB371" s="239" t="s">
        <v>138</v>
      </c>
      <c r="AC371" s="239"/>
      <c r="AD371" s="239"/>
      <c r="AE371" s="246"/>
      <c r="AF371" s="247" t="s">
        <v>139</v>
      </c>
      <c r="AG371" s="248"/>
      <c r="AH371" s="248"/>
      <c r="AI371" s="248"/>
      <c r="AJ371" s="248"/>
      <c r="AW371" s="154"/>
      <c r="AX371" s="70"/>
      <c r="AY371" s="70"/>
      <c r="AZ371" s="70"/>
      <c r="BA371" s="70"/>
    </row>
    <row r="372" spans="1:53" x14ac:dyDescent="0.2">
      <c r="A372" s="227" t="s">
        <v>1029</v>
      </c>
      <c r="B372" s="227"/>
      <c r="C372" s="227"/>
      <c r="D372" s="227"/>
      <c r="E372" s="227"/>
      <c r="F372" s="105"/>
      <c r="G372" s="103"/>
      <c r="H372" s="103"/>
      <c r="I372" s="103"/>
      <c r="J372" s="240"/>
      <c r="K372" s="241"/>
      <c r="L372" s="241"/>
      <c r="M372" s="241"/>
      <c r="N372" s="241"/>
      <c r="O372" s="241"/>
      <c r="P372" s="241"/>
      <c r="Q372" s="103"/>
      <c r="R372" s="116"/>
      <c r="S372" s="116"/>
      <c r="T372" s="116"/>
      <c r="U372" s="228" t="s">
        <v>215</v>
      </c>
      <c r="V372" s="228"/>
      <c r="W372" s="228"/>
      <c r="X372" s="228"/>
      <c r="Y372" s="228"/>
      <c r="Z372" s="228"/>
      <c r="AA372" s="242"/>
      <c r="AB372" s="103"/>
      <c r="AC372" s="103"/>
      <c r="AD372" s="103"/>
      <c r="AE372" s="107"/>
      <c r="AF372" s="103"/>
      <c r="AG372" s="103"/>
      <c r="AW372" s="154"/>
      <c r="AX372" s="70"/>
      <c r="AY372" s="70"/>
      <c r="AZ372" s="70"/>
      <c r="BA372" s="70"/>
    </row>
    <row r="373" spans="1:53" x14ac:dyDescent="0.2">
      <c r="A373" s="103"/>
      <c r="B373" s="103"/>
      <c r="C373" s="103"/>
      <c r="D373" s="103"/>
      <c r="E373" s="103"/>
      <c r="F373" s="105"/>
      <c r="G373" s="103"/>
      <c r="H373" s="103"/>
      <c r="I373" s="103"/>
      <c r="J373" s="105"/>
      <c r="K373" s="103"/>
      <c r="L373" s="103"/>
      <c r="M373" s="103"/>
      <c r="N373" s="103"/>
      <c r="P373" s="103"/>
      <c r="Q373" s="103"/>
      <c r="R373" s="103"/>
      <c r="S373" s="103"/>
      <c r="T373" s="103"/>
      <c r="U373" s="103"/>
      <c r="V373" s="103"/>
      <c r="W373" s="103"/>
      <c r="X373" s="103"/>
      <c r="Y373" s="103"/>
      <c r="Z373" s="103"/>
      <c r="AA373" s="107"/>
      <c r="AB373" s="105"/>
      <c r="AC373" s="103"/>
      <c r="AD373" s="103"/>
      <c r="AE373" s="107"/>
      <c r="AF373" s="103"/>
      <c r="AG373" s="103"/>
      <c r="AW373" s="154"/>
      <c r="AX373" s="70"/>
      <c r="AY373" s="70"/>
      <c r="AZ373" s="70"/>
      <c r="BA373" s="70"/>
    </row>
    <row r="374" spans="1:53" ht="13.5" thickBot="1" x14ac:dyDescent="0.25">
      <c r="A374" s="241" t="s">
        <v>142</v>
      </c>
      <c r="B374" s="241"/>
      <c r="C374" s="241"/>
      <c r="D374" s="241"/>
      <c r="E374" s="114"/>
      <c r="F374" s="230"/>
      <c r="G374" s="231"/>
      <c r="H374" s="231"/>
      <c r="I374" s="232"/>
      <c r="J374" s="233"/>
      <c r="K374" s="234"/>
      <c r="L374" s="234"/>
      <c r="M374" s="234"/>
      <c r="N374" s="103"/>
      <c r="Q374" s="108"/>
      <c r="R374" s="108"/>
      <c r="S374" s="108"/>
      <c r="T374" s="241" t="s">
        <v>142</v>
      </c>
      <c r="U374" s="241"/>
      <c r="V374" s="241"/>
      <c r="W374" s="241"/>
      <c r="X374" s="241"/>
      <c r="Y374" s="241"/>
      <c r="Z374" s="241"/>
      <c r="AA374" s="103"/>
      <c r="AB374" s="230"/>
      <c r="AC374" s="231"/>
      <c r="AD374" s="231"/>
      <c r="AE374" s="232"/>
      <c r="AF374" s="233" t="s">
        <v>31</v>
      </c>
      <c r="AG374" s="234"/>
      <c r="AH374" s="234"/>
      <c r="AW374" s="154"/>
      <c r="AX374" s="70"/>
      <c r="AY374" s="70"/>
      <c r="AZ374" s="70"/>
      <c r="BA374" s="70"/>
    </row>
    <row r="375" spans="1:53" x14ac:dyDescent="0.2">
      <c r="A375" s="239" t="s">
        <v>131</v>
      </c>
      <c r="B375" s="239"/>
      <c r="C375" s="239"/>
      <c r="D375" s="239"/>
      <c r="E375" s="246"/>
      <c r="F375" s="237" t="str">
        <f>IF(J390=1,B382,IF(J390=2,B383,IF(J390=3,B384,IF(J390=4,B385,"Winner Match 2"))))</f>
        <v>CSRA Heat 15 National</v>
      </c>
      <c r="G375" s="238"/>
      <c r="H375" s="238"/>
      <c r="I375" s="238"/>
      <c r="J375" s="238"/>
      <c r="K375" s="238"/>
      <c r="L375" s="238"/>
      <c r="M375" s="238"/>
      <c r="N375" s="103"/>
      <c r="P375" s="114"/>
      <c r="Q375" s="114"/>
      <c r="S375" s="115"/>
      <c r="T375" s="239" t="s">
        <v>132</v>
      </c>
      <c r="U375" s="239"/>
      <c r="V375" s="239"/>
      <c r="W375" s="239"/>
      <c r="X375" s="239"/>
      <c r="Y375" s="239"/>
      <c r="Z375" s="239"/>
      <c r="AA375" s="107"/>
      <c r="AB375" s="237" t="str">
        <f>IF(AE390=1,X382,IF(AE390=2,X383,IF(AE390=3,X384,IF(AE390=4,X385,"Winner Match 2"))))</f>
        <v>Magnum 15 Elite</v>
      </c>
      <c r="AC375" s="238"/>
      <c r="AD375" s="238"/>
      <c r="AE375" s="238"/>
      <c r="AF375" s="238"/>
      <c r="AG375" s="238"/>
      <c r="AH375" s="238"/>
      <c r="AW375" s="154"/>
      <c r="AX375" s="70"/>
      <c r="AY375" s="70"/>
      <c r="AZ375" s="70"/>
      <c r="BA375" s="70"/>
    </row>
    <row r="376" spans="1:53" ht="13.5" thickBot="1" x14ac:dyDescent="0.25">
      <c r="A376" s="225" t="str">
        <f>IF(G390=1,B382,IF(G390=2,B383,IF(G390=3,B384,IF(G390=4,B385,IF(OR(G390="B",G390="b"),"BYE","invalid")))))</f>
        <v>C1VB 15 Power Grvl</v>
      </c>
      <c r="B376" s="225"/>
      <c r="C376" s="225"/>
      <c r="D376" s="225"/>
      <c r="E376" s="226"/>
      <c r="F376" s="105"/>
      <c r="G376" s="103"/>
      <c r="H376" s="103"/>
      <c r="I376" s="103"/>
      <c r="J376" s="103"/>
      <c r="K376" s="103"/>
      <c r="L376" s="103"/>
      <c r="M376" s="103"/>
      <c r="N376" s="103"/>
      <c r="P376" s="103"/>
      <c r="Q376" s="103"/>
      <c r="R376" s="103"/>
      <c r="S376" s="118"/>
      <c r="T376" s="118"/>
      <c r="U376" s="225" t="str">
        <f>IF(AB390=1,X382,IF(AB390=2,X383,IF(AB390=3,X384,IF(AB390=4,X385,IF(OR(AB390="B",AB390="b"),"BYE","invalid")))))</f>
        <v>Lake Murray 15 Red</v>
      </c>
      <c r="V376" s="225"/>
      <c r="W376" s="225"/>
      <c r="X376" s="225"/>
      <c r="Y376" s="225"/>
      <c r="Z376" s="225"/>
      <c r="AA376" s="226"/>
      <c r="AB376" s="103"/>
      <c r="AC376" s="103"/>
      <c r="AD376" s="103"/>
      <c r="AE376" s="103"/>
      <c r="AW376" s="154"/>
      <c r="AX376" s="70"/>
      <c r="AY376" s="70"/>
      <c r="AZ376" s="70"/>
      <c r="BA376" s="70"/>
    </row>
    <row r="377" spans="1:53" x14ac:dyDescent="0.2">
      <c r="A377" s="227" t="s">
        <v>216</v>
      </c>
      <c r="B377" s="227"/>
      <c r="C377" s="227"/>
      <c r="D377" s="227"/>
      <c r="E377" s="227"/>
      <c r="S377" s="116"/>
      <c r="T377" s="116"/>
      <c r="U377" s="228" t="s">
        <v>217</v>
      </c>
      <c r="V377" s="228"/>
      <c r="W377" s="228"/>
      <c r="X377" s="228"/>
      <c r="Y377" s="228"/>
      <c r="Z377" s="228"/>
      <c r="AA377" s="228"/>
      <c r="AW377" s="154"/>
      <c r="AX377" s="70"/>
      <c r="AY377" s="70"/>
      <c r="AZ377" s="70"/>
      <c r="BA377" s="70"/>
    </row>
    <row r="378" spans="1:53" x14ac:dyDescent="0.2">
      <c r="AW378" s="154"/>
      <c r="AX378" s="70"/>
      <c r="AY378" s="70"/>
      <c r="AZ378" s="70"/>
      <c r="BA378" s="70"/>
    </row>
    <row r="379" spans="1:53" x14ac:dyDescent="0.2">
      <c r="AW379" s="154"/>
      <c r="AX379" s="70"/>
      <c r="AY379" s="70"/>
      <c r="AZ379" s="70"/>
      <c r="BA379" s="70"/>
    </row>
    <row r="380" spans="1:53" ht="16.5" thickBot="1" x14ac:dyDescent="0.3">
      <c r="A380" s="229" t="s">
        <v>145</v>
      </c>
      <c r="B380" s="229"/>
      <c r="C380" s="229"/>
      <c r="D380" s="229"/>
      <c r="E380" s="229"/>
      <c r="F380" s="229"/>
      <c r="G380" s="229"/>
      <c r="H380" s="229"/>
      <c r="I380" s="229"/>
      <c r="J380" s="229"/>
      <c r="Q380" s="125"/>
      <c r="R380" s="125"/>
      <c r="S380" s="125"/>
      <c r="U380" s="229" t="s">
        <v>146</v>
      </c>
      <c r="V380" s="229"/>
      <c r="W380" s="229"/>
      <c r="X380" s="229"/>
      <c r="Y380" s="229"/>
      <c r="Z380" s="229"/>
      <c r="AA380" s="229"/>
      <c r="AB380" s="229"/>
      <c r="AC380" s="229"/>
      <c r="AD380" s="229"/>
      <c r="AE380" s="229"/>
      <c r="AF380" s="229"/>
      <c r="AW380" s="154"/>
      <c r="AX380" s="70"/>
      <c r="AY380" s="70"/>
      <c r="AZ380" s="70"/>
      <c r="BA380" s="70"/>
    </row>
    <row r="381" spans="1:53" ht="13.5" thickBot="1" x14ac:dyDescent="0.25">
      <c r="A381" s="126" t="s">
        <v>147</v>
      </c>
      <c r="B381" s="219" t="s">
        <v>148</v>
      </c>
      <c r="C381" s="220"/>
      <c r="D381" s="220"/>
      <c r="E381" s="220"/>
      <c r="F381" s="220"/>
      <c r="G381" s="220"/>
      <c r="H381" s="220"/>
      <c r="I381" s="220"/>
      <c r="J381" s="221"/>
      <c r="K381" s="222" t="s">
        <v>149</v>
      </c>
      <c r="L381" s="223"/>
      <c r="M381" s="223"/>
      <c r="N381" s="223"/>
      <c r="O381" s="223"/>
      <c r="P381" s="223"/>
      <c r="Q381" s="224"/>
      <c r="U381" s="207" t="s">
        <v>147</v>
      </c>
      <c r="V381" s="208"/>
      <c r="W381" s="209"/>
      <c r="X381" s="219" t="s">
        <v>148</v>
      </c>
      <c r="Y381" s="220"/>
      <c r="Z381" s="220"/>
      <c r="AA381" s="220"/>
      <c r="AB381" s="220"/>
      <c r="AC381" s="220"/>
      <c r="AD381" s="220"/>
      <c r="AE381" s="220"/>
      <c r="AF381" s="221"/>
      <c r="AG381" s="222" t="s">
        <v>149</v>
      </c>
      <c r="AH381" s="223"/>
      <c r="AI381" s="223"/>
      <c r="AJ381" s="223"/>
      <c r="AK381" s="223"/>
      <c r="AL381" s="223"/>
      <c r="AM381" s="224"/>
      <c r="AW381" s="154"/>
      <c r="AX381" s="70"/>
      <c r="AY381" s="70"/>
      <c r="AZ381" s="70"/>
      <c r="BA381" s="70"/>
    </row>
    <row r="382" spans="1:53" ht="13.5" thickBot="1" x14ac:dyDescent="0.25">
      <c r="A382" s="126">
        <v>1</v>
      </c>
      <c r="B382" s="201" t="str">
        <f>B349</f>
        <v>C1VB 15 Elite Grvl</v>
      </c>
      <c r="C382" s="202"/>
      <c r="D382" s="202"/>
      <c r="E382" s="202"/>
      <c r="F382" s="202"/>
      <c r="G382" s="202"/>
      <c r="H382" s="202"/>
      <c r="I382" s="202"/>
      <c r="J382" s="203"/>
      <c r="K382" s="204" t="str">
        <f>H349</f>
        <v>fj5crone2pm</v>
      </c>
      <c r="L382" s="205"/>
      <c r="M382" s="205"/>
      <c r="N382" s="205"/>
      <c r="O382" s="205"/>
      <c r="P382" s="205"/>
      <c r="Q382" s="206"/>
      <c r="U382" s="207">
        <v>1</v>
      </c>
      <c r="V382" s="208"/>
      <c r="W382" s="209"/>
      <c r="X382" s="201" t="str">
        <f>L349</f>
        <v>Beaufort 15 Grey</v>
      </c>
      <c r="Y382" s="202"/>
      <c r="Z382" s="202"/>
      <c r="AA382" s="202"/>
      <c r="AB382" s="202"/>
      <c r="AC382" s="202"/>
      <c r="AD382" s="202"/>
      <c r="AE382" s="202"/>
      <c r="AF382" s="203"/>
      <c r="AG382" s="204" t="str">
        <f>R349</f>
        <v>fj5beauf1pm</v>
      </c>
      <c r="AH382" s="205"/>
      <c r="AI382" s="205"/>
      <c r="AJ382" s="205"/>
      <c r="AK382" s="205"/>
      <c r="AL382" s="205"/>
      <c r="AM382" s="206"/>
      <c r="AW382" s="154"/>
      <c r="AX382" s="70"/>
      <c r="AY382" s="70"/>
      <c r="AZ382" s="70"/>
      <c r="BA382" s="70"/>
    </row>
    <row r="383" spans="1:53" ht="13.5" thickBot="1" x14ac:dyDescent="0.25">
      <c r="A383" s="126">
        <v>2</v>
      </c>
      <c r="B383" s="201" t="str">
        <f>B350</f>
        <v>CSRA Heat 15 National</v>
      </c>
      <c r="C383" s="202"/>
      <c r="D383" s="202"/>
      <c r="E383" s="202"/>
      <c r="F383" s="202"/>
      <c r="G383" s="202"/>
      <c r="H383" s="202"/>
      <c r="I383" s="202"/>
      <c r="J383" s="203"/>
      <c r="K383" s="204" t="str">
        <f>H350</f>
        <v>fj5csrah1pm</v>
      </c>
      <c r="L383" s="205"/>
      <c r="M383" s="205"/>
      <c r="N383" s="205"/>
      <c r="O383" s="205"/>
      <c r="P383" s="205"/>
      <c r="Q383" s="206"/>
      <c r="U383" s="207">
        <v>2</v>
      </c>
      <c r="V383" s="208"/>
      <c r="W383" s="209"/>
      <c r="X383" s="201" t="str">
        <f>L350</f>
        <v>Magnum 15 Elite</v>
      </c>
      <c r="Y383" s="202"/>
      <c r="Z383" s="202"/>
      <c r="AA383" s="202"/>
      <c r="AB383" s="202"/>
      <c r="AC383" s="202"/>
      <c r="AD383" s="202"/>
      <c r="AE383" s="202"/>
      <c r="AF383" s="203"/>
      <c r="AG383" s="204" t="str">
        <f>R350</f>
        <v>fj5magnm2pm</v>
      </c>
      <c r="AH383" s="205"/>
      <c r="AI383" s="205"/>
      <c r="AJ383" s="205"/>
      <c r="AK383" s="205"/>
      <c r="AL383" s="205"/>
      <c r="AM383" s="206"/>
      <c r="AW383" s="154"/>
      <c r="AX383" s="70"/>
      <c r="AY383" s="70"/>
      <c r="AZ383" s="70"/>
      <c r="BA383" s="70"/>
    </row>
    <row r="384" spans="1:53" ht="13.5" thickBot="1" x14ac:dyDescent="0.25">
      <c r="A384" s="126">
        <v>3</v>
      </c>
      <c r="B384" s="201" t="str">
        <f>B351</f>
        <v>C1VB 15 Power Grvl</v>
      </c>
      <c r="C384" s="202"/>
      <c r="D384" s="202"/>
      <c r="E384" s="202"/>
      <c r="F384" s="202"/>
      <c r="G384" s="202"/>
      <c r="H384" s="202"/>
      <c r="I384" s="202"/>
      <c r="J384" s="203"/>
      <c r="K384" s="204" t="str">
        <f>H351</f>
        <v>fj5crone3pm</v>
      </c>
      <c r="L384" s="205"/>
      <c r="M384" s="205"/>
      <c r="N384" s="205"/>
      <c r="O384" s="205"/>
      <c r="P384" s="205"/>
      <c r="Q384" s="206"/>
      <c r="U384" s="207">
        <v>3</v>
      </c>
      <c r="V384" s="208"/>
      <c r="W384" s="209"/>
      <c r="X384" s="201" t="str">
        <f>L351</f>
        <v>Lake Murray 15 Red</v>
      </c>
      <c r="Y384" s="202"/>
      <c r="Z384" s="202"/>
      <c r="AA384" s="202"/>
      <c r="AB384" s="202"/>
      <c r="AC384" s="202"/>
      <c r="AD384" s="202"/>
      <c r="AE384" s="202"/>
      <c r="AF384" s="203"/>
      <c r="AG384" s="204" t="str">
        <f>R351</f>
        <v>fj5lakem1pm</v>
      </c>
      <c r="AH384" s="205"/>
      <c r="AI384" s="205"/>
      <c r="AJ384" s="205"/>
      <c r="AK384" s="205"/>
      <c r="AL384" s="205"/>
      <c r="AM384" s="206"/>
      <c r="AW384" s="154"/>
      <c r="AX384" s="70"/>
      <c r="AY384" s="70"/>
      <c r="AZ384" s="70"/>
      <c r="BA384" s="70"/>
    </row>
    <row r="385" spans="1:65" ht="13.5" thickBot="1" x14ac:dyDescent="0.25">
      <c r="A385" s="126">
        <v>4</v>
      </c>
      <c r="B385" s="201" t="str">
        <f>B352</f>
        <v>Chas Jrs 15 Power</v>
      </c>
      <c r="C385" s="202"/>
      <c r="D385" s="202"/>
      <c r="E385" s="202"/>
      <c r="F385" s="202"/>
      <c r="G385" s="202"/>
      <c r="H385" s="202"/>
      <c r="I385" s="202"/>
      <c r="J385" s="203"/>
      <c r="K385" s="204" t="str">
        <f>H352</f>
        <v>fj5charl2pm</v>
      </c>
      <c r="L385" s="205"/>
      <c r="M385" s="205"/>
      <c r="N385" s="205"/>
      <c r="O385" s="205"/>
      <c r="P385" s="205"/>
      <c r="Q385" s="206"/>
      <c r="U385" s="207">
        <v>4</v>
      </c>
      <c r="V385" s="208"/>
      <c r="W385" s="209"/>
      <c r="X385" s="201" t="str">
        <f>L352</f>
        <v>CSRA Heat 14 National</v>
      </c>
      <c r="Y385" s="202"/>
      <c r="Z385" s="202"/>
      <c r="AA385" s="202"/>
      <c r="AB385" s="202"/>
      <c r="AC385" s="202"/>
      <c r="AD385" s="202"/>
      <c r="AE385" s="202"/>
      <c r="AF385" s="203"/>
      <c r="AG385" s="204" t="str">
        <f>R352</f>
        <v>fj4csrah1pm</v>
      </c>
      <c r="AH385" s="205"/>
      <c r="AI385" s="205"/>
      <c r="AJ385" s="205"/>
      <c r="AK385" s="205"/>
      <c r="AL385" s="205"/>
      <c r="AM385" s="206"/>
      <c r="AW385" s="154"/>
      <c r="AX385" s="70"/>
      <c r="AY385" s="70"/>
      <c r="AZ385" s="70"/>
      <c r="BA385" s="70"/>
    </row>
    <row r="386" spans="1:65" ht="13.5" thickBot="1" x14ac:dyDescent="0.25">
      <c r="AW386" s="154"/>
      <c r="AX386" s="70"/>
      <c r="AY386" s="70"/>
      <c r="AZ386" s="70"/>
      <c r="BA386" s="70"/>
    </row>
    <row r="387" spans="1:65" x14ac:dyDescent="0.2">
      <c r="B387" s="210" t="s">
        <v>150</v>
      </c>
      <c r="C387" s="182"/>
      <c r="D387" s="183"/>
      <c r="E387" s="181" t="s">
        <v>150</v>
      </c>
      <c r="F387" s="182"/>
      <c r="G387" s="183"/>
      <c r="H387" s="181" t="s">
        <v>14</v>
      </c>
      <c r="I387" s="182"/>
      <c r="J387" s="184"/>
      <c r="K387" s="185" t="s">
        <v>151</v>
      </c>
      <c r="L387" s="211"/>
      <c r="M387" s="211"/>
      <c r="N387" s="211"/>
      <c r="O387" s="211"/>
      <c r="P387" s="211"/>
      <c r="Q387" s="212"/>
      <c r="R387" s="127"/>
      <c r="S387" s="127"/>
      <c r="T387" s="127"/>
      <c r="U387" s="127"/>
      <c r="W387" s="210" t="s">
        <v>150</v>
      </c>
      <c r="X387" s="182"/>
      <c r="Y387" s="183"/>
      <c r="Z387" s="181" t="s">
        <v>150</v>
      </c>
      <c r="AA387" s="182"/>
      <c r="AB387" s="183"/>
      <c r="AC387" s="181" t="s">
        <v>14</v>
      </c>
      <c r="AD387" s="182"/>
      <c r="AE387" s="184"/>
      <c r="AF387" s="185" t="s">
        <v>151</v>
      </c>
      <c r="AG387" s="186"/>
      <c r="AH387" s="186"/>
      <c r="AI387" s="186"/>
      <c r="AJ387" s="187"/>
      <c r="AW387" s="154"/>
      <c r="AX387" s="70"/>
      <c r="AY387" s="70"/>
      <c r="AZ387" s="70"/>
      <c r="BA387" s="70"/>
    </row>
    <row r="388" spans="1:65" x14ac:dyDescent="0.2">
      <c r="A388" s="56" t="s">
        <v>152</v>
      </c>
      <c r="B388" s="194">
        <v>3</v>
      </c>
      <c r="C388" s="195"/>
      <c r="D388" s="196"/>
      <c r="E388" s="197" t="s">
        <v>153</v>
      </c>
      <c r="F388" s="195"/>
      <c r="G388" s="196"/>
      <c r="H388" s="197" t="s">
        <v>154</v>
      </c>
      <c r="I388" s="195"/>
      <c r="J388" s="198"/>
      <c r="K388" s="213"/>
      <c r="L388" s="214"/>
      <c r="M388" s="214"/>
      <c r="N388" s="214"/>
      <c r="O388" s="214"/>
      <c r="P388" s="214"/>
      <c r="Q388" s="215"/>
      <c r="R388" s="127"/>
      <c r="S388" s="127"/>
      <c r="T388" s="199" t="s">
        <v>152</v>
      </c>
      <c r="U388" s="199"/>
      <c r="V388" s="200"/>
      <c r="W388" s="194">
        <v>3</v>
      </c>
      <c r="X388" s="195"/>
      <c r="Y388" s="196"/>
      <c r="Z388" s="197" t="s">
        <v>153</v>
      </c>
      <c r="AA388" s="195"/>
      <c r="AB388" s="196"/>
      <c r="AC388" s="197" t="s">
        <v>154</v>
      </c>
      <c r="AD388" s="195"/>
      <c r="AE388" s="198"/>
      <c r="AF388" s="188"/>
      <c r="AG388" s="189"/>
      <c r="AH388" s="189"/>
      <c r="AI388" s="189"/>
      <c r="AJ388" s="190"/>
      <c r="AW388" s="154"/>
      <c r="AX388" s="70"/>
      <c r="AY388" s="70"/>
      <c r="AZ388" s="70"/>
      <c r="BA388" s="70"/>
    </row>
    <row r="389" spans="1:65" ht="13.5" thickBot="1" x14ac:dyDescent="0.25">
      <c r="A389" s="8"/>
      <c r="B389" s="179" t="s">
        <v>64</v>
      </c>
      <c r="C389" s="174"/>
      <c r="D389" s="180"/>
      <c r="E389" s="173" t="s">
        <v>155</v>
      </c>
      <c r="F389" s="174"/>
      <c r="G389" s="180"/>
      <c r="H389" s="173" t="s">
        <v>156</v>
      </c>
      <c r="I389" s="174"/>
      <c r="J389" s="175"/>
      <c r="K389" s="216"/>
      <c r="L389" s="217"/>
      <c r="M389" s="217"/>
      <c r="N389" s="217"/>
      <c r="O389" s="217"/>
      <c r="P389" s="217"/>
      <c r="Q389" s="218"/>
      <c r="R389" s="127"/>
      <c r="S389" s="127"/>
      <c r="T389" s="160"/>
      <c r="U389" s="160"/>
      <c r="V389" s="161"/>
      <c r="W389" s="179" t="s">
        <v>64</v>
      </c>
      <c r="X389" s="174"/>
      <c r="Y389" s="180"/>
      <c r="Z389" s="173" t="s">
        <v>155</v>
      </c>
      <c r="AA389" s="174"/>
      <c r="AB389" s="180"/>
      <c r="AC389" s="173" t="s">
        <v>156</v>
      </c>
      <c r="AD389" s="174"/>
      <c r="AE389" s="175"/>
      <c r="AF389" s="191"/>
      <c r="AG389" s="192"/>
      <c r="AH389" s="192"/>
      <c r="AI389" s="192"/>
      <c r="AJ389" s="193"/>
      <c r="AW389" s="154"/>
      <c r="AX389" s="70"/>
      <c r="AY389" s="70"/>
      <c r="AZ389" s="70"/>
      <c r="BA389" s="70"/>
    </row>
    <row r="390" spans="1:65" ht="13.5" thickBot="1" x14ac:dyDescent="0.25">
      <c r="A390" s="8"/>
      <c r="B390" s="128">
        <v>1</v>
      </c>
      <c r="C390" s="129" t="s">
        <v>72</v>
      </c>
      <c r="D390" s="130">
        <v>4</v>
      </c>
      <c r="E390" s="131">
        <v>2</v>
      </c>
      <c r="F390" s="129" t="s">
        <v>72</v>
      </c>
      <c r="G390" s="130">
        <v>3</v>
      </c>
      <c r="H390" s="132">
        <f>IF(OR(AND(OR(B394&gt;0,D394&gt;0),B394&gt;D394),OR(D390="b",D390="B")),B390,IF(OR(AND(OR(B394&gt;0,D394&gt;0),D394&gt;B394),OR(B390="b",B390="B")),D390,"W1"))</f>
        <v>1</v>
      </c>
      <c r="I390" s="133" t="s">
        <v>72</v>
      </c>
      <c r="J390" s="134">
        <f>IF(OR(AND(OR(E394&gt;0,G394&gt;0),E394&gt;G394),OR(G390="b",G390="B")),E390,IF(OR(AND(OR(E394&gt;0,G394&gt;0),G394&gt;E394),OR(E390="b",E390="B")),G390,"W2"))</f>
        <v>2</v>
      </c>
      <c r="K390" s="176" t="s">
        <v>157</v>
      </c>
      <c r="L390" s="177"/>
      <c r="M390" s="177"/>
      <c r="N390" s="178"/>
      <c r="R390" s="127"/>
      <c r="S390" s="127"/>
      <c r="T390" s="160"/>
      <c r="U390" s="160"/>
      <c r="V390" s="161"/>
      <c r="W390" s="128">
        <v>1</v>
      </c>
      <c r="X390" s="129" t="s">
        <v>72</v>
      </c>
      <c r="Y390" s="130">
        <v>4</v>
      </c>
      <c r="Z390" s="131">
        <v>2</v>
      </c>
      <c r="AA390" s="129" t="s">
        <v>72</v>
      </c>
      <c r="AB390" s="130">
        <v>3</v>
      </c>
      <c r="AC390" s="132">
        <f>IF(OR(AND(OR(W394&gt;0,Y394&gt;0),W394&gt;Y394),OR(Y390="b",Y390="B")),W390,IF(OR(AND(OR(W394&gt;0,Y394&gt;0),Y394&gt;W394),OR(W390="b",W390="B")),Y390,"W1"))</f>
        <v>4</v>
      </c>
      <c r="AD390" s="133" t="s">
        <v>72</v>
      </c>
      <c r="AE390" s="134">
        <f>IF(OR(AND(OR(Z394&gt;0,AB394&gt;0),Z394&gt;AB394),OR(AB394="b",AB394="B")),Z390,IF(OR(AND(OR(Z394&gt;0,AB394&gt;0),AB394&gt;Z394),OR(Z394="b",Z394="B")),AB390,"W2"))</f>
        <v>2</v>
      </c>
      <c r="AF390" s="176" t="s">
        <v>157</v>
      </c>
      <c r="AG390" s="178"/>
      <c r="AH390" s="127"/>
      <c r="AI390" s="127"/>
      <c r="AJ390" s="127"/>
      <c r="AW390" s="154"/>
      <c r="AX390" s="70"/>
      <c r="AY390" s="70"/>
      <c r="AZ390" s="70"/>
      <c r="BA390" s="70"/>
    </row>
    <row r="391" spans="1:65" ht="13.5" hidden="1" customHeight="1" x14ac:dyDescent="0.2">
      <c r="A391" s="8"/>
      <c r="B391" s="135">
        <f>IF(B395&gt;D395,1,0)</f>
        <v>0</v>
      </c>
      <c r="C391" s="136"/>
      <c r="D391" s="137">
        <f>IF(D395&gt;B395,1,0)</f>
        <v>1</v>
      </c>
      <c r="E391" s="135">
        <f>IF(E395&gt;G395,1,0)</f>
        <v>0</v>
      </c>
      <c r="F391" s="136"/>
      <c r="G391" s="137">
        <f>IF(G395&gt;E395,1,0)</f>
        <v>1</v>
      </c>
      <c r="H391" s="135">
        <f>IF(H395&gt;J395,1,0)</f>
        <v>0</v>
      </c>
      <c r="I391" s="136"/>
      <c r="J391" s="137">
        <f>IF(J395&gt;H395,1,0)</f>
        <v>1</v>
      </c>
      <c r="K391" s="138"/>
      <c r="L391" s="139"/>
      <c r="M391" s="139"/>
      <c r="N391" s="140"/>
      <c r="R391" s="127"/>
      <c r="S391" s="127"/>
      <c r="T391" s="160"/>
      <c r="U391" s="160"/>
      <c r="V391" s="161"/>
      <c r="W391" s="135">
        <f>IF(W395&gt;Y395,1,0)</f>
        <v>0</v>
      </c>
      <c r="X391" s="136"/>
      <c r="Y391" s="137">
        <f>IF(Y395&gt;W395,1,0)</f>
        <v>1</v>
      </c>
      <c r="Z391" s="135">
        <f>IF(Z395&gt;AB395,1,0)</f>
        <v>0</v>
      </c>
      <c r="AA391" s="136"/>
      <c r="AB391" s="137">
        <f>IF(AB395&gt;Z395,1,0)</f>
        <v>1</v>
      </c>
      <c r="AC391" s="135">
        <f>IF(AC395&gt;AE395,1,0)</f>
        <v>0</v>
      </c>
      <c r="AD391" s="136"/>
      <c r="AE391" s="137">
        <f>IF(AE395&gt;AC395,1,0)</f>
        <v>1</v>
      </c>
      <c r="AF391" s="141"/>
      <c r="AG391" s="142"/>
      <c r="AH391" s="127"/>
      <c r="AI391" s="127"/>
      <c r="AJ391" s="127"/>
      <c r="AW391" s="154"/>
      <c r="AX391" s="70"/>
      <c r="AY391" s="70"/>
      <c r="AZ391" s="70"/>
      <c r="BA391" s="70"/>
    </row>
    <row r="392" spans="1:65" ht="13.5" hidden="1" customHeight="1" x14ac:dyDescent="0.2">
      <c r="A392" s="8"/>
      <c r="B392" s="135">
        <f>IF(B396&gt;D396,1,0)</f>
        <v>1</v>
      </c>
      <c r="C392" s="136"/>
      <c r="D392" s="137">
        <f>IF(D396&gt;B396,1,0)</f>
        <v>0</v>
      </c>
      <c r="E392" s="135">
        <f>IF(E396&gt;G396,1,0)</f>
        <v>1</v>
      </c>
      <c r="F392" s="136"/>
      <c r="G392" s="137">
        <f>IF(G396&gt;E396,1,0)</f>
        <v>0</v>
      </c>
      <c r="H392" s="135">
        <f>IF(H396&gt;J396,1,0)</f>
        <v>0</v>
      </c>
      <c r="I392" s="136"/>
      <c r="J392" s="137">
        <f>IF(J396&gt;H396,1,0)</f>
        <v>1</v>
      </c>
      <c r="K392" s="138"/>
      <c r="L392" s="139"/>
      <c r="M392" s="139"/>
      <c r="N392" s="140"/>
      <c r="R392" s="127"/>
      <c r="S392" s="127"/>
      <c r="T392" s="160"/>
      <c r="U392" s="160"/>
      <c r="V392" s="161"/>
      <c r="W392" s="135">
        <f>IF(W396&gt;Y396,1,0)</f>
        <v>0</v>
      </c>
      <c r="X392" s="136"/>
      <c r="Y392" s="137">
        <f>IF(Y396&gt;W396,1,0)</f>
        <v>1</v>
      </c>
      <c r="Z392" s="135">
        <f>IF(Z396&gt;AB396,1,0)</f>
        <v>1</v>
      </c>
      <c r="AA392" s="136"/>
      <c r="AB392" s="137">
        <f>IF(AB396&gt;Z396,1,0)</f>
        <v>0</v>
      </c>
      <c r="AC392" s="135">
        <f>IF(AC396&gt;AE396,1,0)</f>
        <v>0</v>
      </c>
      <c r="AD392" s="136"/>
      <c r="AE392" s="137">
        <f>IF(AE396&gt;AC396,1,0)</f>
        <v>1</v>
      </c>
      <c r="AF392" s="141"/>
      <c r="AG392" s="142"/>
      <c r="AH392" s="127"/>
      <c r="AI392" s="127"/>
      <c r="AJ392" s="127"/>
      <c r="AW392" s="154"/>
      <c r="AX392" s="70"/>
      <c r="AY392" s="70"/>
      <c r="AZ392" s="70"/>
      <c r="BA392" s="70"/>
    </row>
    <row r="393" spans="1:65" ht="13.5" hidden="1" customHeight="1" thickBot="1" x14ac:dyDescent="0.25">
      <c r="A393" s="8"/>
      <c r="B393" s="135">
        <f>IF(B397&gt;D397,1,0)</f>
        <v>1</v>
      </c>
      <c r="C393" s="136"/>
      <c r="D393" s="137">
        <f>IF(D397&gt;B397,1,0)</f>
        <v>0</v>
      </c>
      <c r="E393" s="135">
        <f>IF(E397&gt;G397,1,0)</f>
        <v>1</v>
      </c>
      <c r="F393" s="136"/>
      <c r="G393" s="137">
        <f>IF(G397&gt;E397,1,0)</f>
        <v>0</v>
      </c>
      <c r="H393" s="135">
        <f>IF(H397&gt;J397,1,0)</f>
        <v>0</v>
      </c>
      <c r="I393" s="136"/>
      <c r="J393" s="137">
        <f>IF(J397&gt;H397,1,0)</f>
        <v>0</v>
      </c>
      <c r="K393" s="138"/>
      <c r="L393" s="139"/>
      <c r="M393" s="139"/>
      <c r="N393" s="140"/>
      <c r="R393" s="127"/>
      <c r="S393" s="127"/>
      <c r="T393" s="160"/>
      <c r="U393" s="160"/>
      <c r="V393" s="161"/>
      <c r="W393" s="135">
        <f>IF(W397&gt;Y397,1,0)</f>
        <v>0</v>
      </c>
      <c r="X393" s="136"/>
      <c r="Y393" s="137">
        <f>IF(Y397&gt;W397,1,0)</f>
        <v>0</v>
      </c>
      <c r="Z393" s="135">
        <f>IF(Z397&gt;AB397,1,0)</f>
        <v>1</v>
      </c>
      <c r="AA393" s="136"/>
      <c r="AB393" s="137">
        <f>IF(AB397&gt;Z397,1,0)</f>
        <v>0</v>
      </c>
      <c r="AC393" s="135">
        <f>IF(AC397&gt;AE397,1,0)</f>
        <v>0</v>
      </c>
      <c r="AD393" s="136"/>
      <c r="AE393" s="137">
        <f>IF(AE397&gt;AC397,1,0)</f>
        <v>0</v>
      </c>
      <c r="AF393" s="141"/>
      <c r="AG393" s="142"/>
      <c r="AH393" s="127"/>
      <c r="AI393" s="127"/>
      <c r="AJ393" s="127"/>
      <c r="AW393" s="154"/>
      <c r="AX393" s="70"/>
      <c r="AY393" s="70"/>
      <c r="AZ393" s="70"/>
      <c r="BA393" s="70"/>
    </row>
    <row r="394" spans="1:65" ht="13.5" hidden="1" customHeight="1" x14ac:dyDescent="0.2">
      <c r="A394" s="8"/>
      <c r="B394" s="135">
        <f>SUM(B391:B393)</f>
        <v>2</v>
      </c>
      <c r="C394" s="136"/>
      <c r="D394" s="135">
        <f>SUM(D391:D393)</f>
        <v>1</v>
      </c>
      <c r="E394" s="135">
        <f>SUM(E391:E393)</f>
        <v>2</v>
      </c>
      <c r="F394" s="136"/>
      <c r="G394" s="135">
        <f>SUM(G391:G393)</f>
        <v>1</v>
      </c>
      <c r="H394" s="135">
        <f>SUM(H391:H393)</f>
        <v>0</v>
      </c>
      <c r="I394" s="136"/>
      <c r="J394" s="135">
        <f>SUM(J391:J393)</f>
        <v>2</v>
      </c>
      <c r="K394" s="138"/>
      <c r="L394" s="139"/>
      <c r="M394" s="139"/>
      <c r="N394" s="140"/>
      <c r="R394" s="127"/>
      <c r="S394" s="127"/>
      <c r="T394" s="160"/>
      <c r="U394" s="160"/>
      <c r="V394" s="161"/>
      <c r="W394" s="135">
        <f>SUM(W391:W393)</f>
        <v>0</v>
      </c>
      <c r="X394" s="136"/>
      <c r="Y394" s="135">
        <f>SUM(Y391:Y393)</f>
        <v>2</v>
      </c>
      <c r="Z394" s="135">
        <f>SUM(Z391:Z393)</f>
        <v>2</v>
      </c>
      <c r="AA394" s="136"/>
      <c r="AB394" s="135">
        <f>SUM(AB391:AB393)</f>
        <v>1</v>
      </c>
      <c r="AC394" s="135">
        <f>SUM(AC391:AC393)</f>
        <v>0</v>
      </c>
      <c r="AD394" s="136"/>
      <c r="AE394" s="135">
        <f>SUM(AE391:AE393)</f>
        <v>2</v>
      </c>
      <c r="AF394" s="141"/>
      <c r="AG394" s="142"/>
      <c r="AH394" s="127"/>
      <c r="AI394" s="127"/>
      <c r="AJ394" s="127"/>
      <c r="AW394" s="154"/>
      <c r="AX394" s="70"/>
      <c r="AY394" s="70"/>
      <c r="AZ394" s="70"/>
      <c r="BA394" s="70"/>
    </row>
    <row r="395" spans="1:65" ht="12.75" customHeight="1" x14ac:dyDescent="0.2">
      <c r="A395" s="6" t="s">
        <v>73</v>
      </c>
      <c r="B395" s="143">
        <v>21</v>
      </c>
      <c r="C395" s="66" t="s">
        <v>74</v>
      </c>
      <c r="D395" s="144">
        <v>25</v>
      </c>
      <c r="E395" s="145">
        <v>22</v>
      </c>
      <c r="F395" s="66" t="s">
        <v>74</v>
      </c>
      <c r="G395" s="144">
        <v>25</v>
      </c>
      <c r="H395" s="145">
        <v>23</v>
      </c>
      <c r="I395" s="66" t="s">
        <v>74</v>
      </c>
      <c r="J395" s="146">
        <v>25</v>
      </c>
      <c r="K395" s="162">
        <f>IF(AND(OR(H394&gt;0,J394&gt;0),AND(1&lt;=H390,H390&lt;=4),AND(1&lt;=J390,J390&lt;=4)),IF(H394&gt;J394,H390,IF(J394&gt;H394,J390,"")),"")</f>
        <v>2</v>
      </c>
      <c r="L395" s="163"/>
      <c r="M395" s="163"/>
      <c r="N395" s="164"/>
      <c r="R395" s="127"/>
      <c r="S395" s="127"/>
      <c r="T395" s="147"/>
      <c r="U395" s="147"/>
      <c r="V395" s="6" t="s">
        <v>73</v>
      </c>
      <c r="W395" s="143">
        <v>20</v>
      </c>
      <c r="X395" s="66" t="s">
        <v>74</v>
      </c>
      <c r="Y395" s="144">
        <v>25</v>
      </c>
      <c r="Z395" s="145">
        <v>23</v>
      </c>
      <c r="AA395" s="66" t="s">
        <v>74</v>
      </c>
      <c r="AB395" s="144">
        <v>25</v>
      </c>
      <c r="AC395" s="145">
        <v>15</v>
      </c>
      <c r="AD395" s="66" t="s">
        <v>74</v>
      </c>
      <c r="AE395" s="146">
        <v>25</v>
      </c>
      <c r="AF395" s="162">
        <f>IF(AND(OR(AC394&gt;0,AE394&gt;0),AND(1&lt;=AC390,AC390&lt;=4),AND(1&lt;=AE390,AE390&lt;=4)),IF(AC394&gt;AE394,AC390,IF(AE394&gt;AC394,AE390,"")),"")</f>
        <v>2</v>
      </c>
      <c r="AG395" s="164"/>
      <c r="AH395" s="127"/>
      <c r="AI395" s="127"/>
      <c r="AJ395" s="127"/>
      <c r="AW395" s="154"/>
      <c r="AX395" s="70"/>
      <c r="AY395" s="70"/>
      <c r="AZ395" s="70"/>
      <c r="BA395" s="70"/>
    </row>
    <row r="396" spans="1:65" ht="12.75" customHeight="1" x14ac:dyDescent="0.2">
      <c r="A396" s="6" t="s">
        <v>158</v>
      </c>
      <c r="B396" s="143">
        <v>25</v>
      </c>
      <c r="C396" s="66" t="s">
        <v>74</v>
      </c>
      <c r="D396" s="144">
        <v>22</v>
      </c>
      <c r="E396" s="145">
        <v>25</v>
      </c>
      <c r="F396" s="66" t="s">
        <v>74</v>
      </c>
      <c r="G396" s="144">
        <v>20</v>
      </c>
      <c r="H396" s="145">
        <v>22</v>
      </c>
      <c r="I396" s="66" t="s">
        <v>74</v>
      </c>
      <c r="J396" s="146">
        <v>25</v>
      </c>
      <c r="K396" s="165"/>
      <c r="L396" s="166"/>
      <c r="M396" s="166"/>
      <c r="N396" s="167"/>
      <c r="R396" s="127"/>
      <c r="S396" s="127"/>
      <c r="T396" s="147"/>
      <c r="U396" s="147"/>
      <c r="V396" s="6" t="s">
        <v>158</v>
      </c>
      <c r="W396" s="143">
        <v>20</v>
      </c>
      <c r="X396" s="66" t="s">
        <v>74</v>
      </c>
      <c r="Y396" s="144">
        <v>25</v>
      </c>
      <c r="Z396" s="145">
        <v>25</v>
      </c>
      <c r="AA396" s="66" t="s">
        <v>74</v>
      </c>
      <c r="AB396" s="144">
        <v>11</v>
      </c>
      <c r="AC396" s="145">
        <v>21</v>
      </c>
      <c r="AD396" s="66" t="s">
        <v>74</v>
      </c>
      <c r="AE396" s="146">
        <v>25</v>
      </c>
      <c r="AF396" s="165"/>
      <c r="AG396" s="167"/>
      <c r="AH396" s="127"/>
      <c r="AI396" s="127"/>
      <c r="AJ396" s="127"/>
      <c r="AW396" s="154"/>
      <c r="AX396" s="70"/>
      <c r="AY396" s="70"/>
      <c r="AZ396" s="70"/>
      <c r="BA396" s="70"/>
    </row>
    <row r="397" spans="1:65" ht="13.5" customHeight="1" thickBot="1" x14ac:dyDescent="0.25">
      <c r="A397" s="6" t="s">
        <v>159</v>
      </c>
      <c r="B397" s="148">
        <v>15</v>
      </c>
      <c r="C397" s="149" t="s">
        <v>74</v>
      </c>
      <c r="D397" s="150">
        <v>11</v>
      </c>
      <c r="E397" s="151">
        <v>15</v>
      </c>
      <c r="F397" s="149" t="s">
        <v>74</v>
      </c>
      <c r="G397" s="150">
        <v>9</v>
      </c>
      <c r="H397" s="151"/>
      <c r="I397" s="149" t="s">
        <v>74</v>
      </c>
      <c r="J397" s="152"/>
      <c r="K397" s="168"/>
      <c r="L397" s="169"/>
      <c r="M397" s="169"/>
      <c r="N397" s="170"/>
      <c r="R397" s="127"/>
      <c r="S397" s="127"/>
      <c r="T397" s="147"/>
      <c r="U397" s="147"/>
      <c r="V397" s="6" t="s">
        <v>159</v>
      </c>
      <c r="W397" s="148"/>
      <c r="X397" s="149" t="s">
        <v>74</v>
      </c>
      <c r="Y397" s="150"/>
      <c r="Z397" s="151">
        <v>15</v>
      </c>
      <c r="AA397" s="149" t="s">
        <v>74</v>
      </c>
      <c r="AB397" s="150">
        <v>12</v>
      </c>
      <c r="AC397" s="151"/>
      <c r="AD397" s="149" t="s">
        <v>74</v>
      </c>
      <c r="AE397" s="152"/>
      <c r="AF397" s="168"/>
      <c r="AG397" s="170"/>
      <c r="AH397" s="127"/>
      <c r="AI397" s="127"/>
      <c r="AJ397" s="127"/>
      <c r="AW397" s="154"/>
      <c r="AX397" s="70"/>
      <c r="AY397" s="70"/>
      <c r="AZ397" s="70"/>
      <c r="BA397" s="70"/>
    </row>
    <row r="398" spans="1:65" hidden="1" x14ac:dyDescent="0.2">
      <c r="B398" s="3"/>
      <c r="C398" s="153" t="s">
        <v>108</v>
      </c>
      <c r="D398" s="3" t="s">
        <v>160</v>
      </c>
      <c r="E398" s="3"/>
      <c r="F398" s="153"/>
      <c r="G398" s="4" t="s">
        <v>161</v>
      </c>
      <c r="J398" s="4" t="s">
        <v>162</v>
      </c>
      <c r="W398" s="3"/>
      <c r="X398" s="153" t="s">
        <v>108</v>
      </c>
      <c r="Y398" s="3" t="s">
        <v>160</v>
      </c>
      <c r="Z398" s="3"/>
      <c r="AA398" s="153"/>
      <c r="AB398" s="4" t="s">
        <v>161</v>
      </c>
      <c r="AE398" s="4" t="s">
        <v>162</v>
      </c>
      <c r="AT398" s="4" t="str">
        <f>B399</f>
        <v>C1VB 15 Elite Grvl</v>
      </c>
      <c r="AU398" s="4">
        <f>J399</f>
        <v>2494.7652302568054</v>
      </c>
      <c r="AW398" s="154"/>
      <c r="AX398" s="70"/>
      <c r="AY398" s="70"/>
      <c r="AZ398" s="70"/>
      <c r="BA398" s="70"/>
      <c r="BB398" s="154"/>
      <c r="BC398" s="70"/>
      <c r="BD398" s="70"/>
      <c r="BE398" s="154"/>
      <c r="BF398" s="70"/>
      <c r="BG398" s="70"/>
      <c r="BH398" s="154"/>
      <c r="BI398" s="70"/>
      <c r="BJ398" s="70"/>
      <c r="BK398" s="154"/>
      <c r="BL398" s="70"/>
      <c r="BM398" s="70"/>
    </row>
    <row r="399" spans="1:65" hidden="1" x14ac:dyDescent="0.2">
      <c r="A399" s="4">
        <v>1</v>
      </c>
      <c r="B399" s="4" t="str">
        <f>B382</f>
        <v>C1VB 15 Elite Grvl</v>
      </c>
      <c r="C399" s="4">
        <f>VLOOKUP(B399,AU$2:AY$22,4,FALSE)</f>
        <v>2504.9734736000346</v>
      </c>
      <c r="D399" s="4">
        <f>IF(A399=B390,B405,IF(A399=D390,D405,C399))</f>
        <v>2508.2558945548508</v>
      </c>
      <c r="G399" s="4">
        <f>IF(A399=E390,E405,IF(A399=G390,G405,D399))</f>
        <v>2508.2558945548508</v>
      </c>
      <c r="J399" s="4">
        <f>IF(A399=H390,H405,IF(A399=J390,J405,G399))</f>
        <v>2494.7652302568054</v>
      </c>
      <c r="U399" s="155"/>
      <c r="V399" s="155">
        <v>1</v>
      </c>
      <c r="W399" s="4" t="str">
        <f>X382</f>
        <v>Beaufort 15 Grey</v>
      </c>
      <c r="X399" s="4">
        <f>VLOOKUP(W399,AU$2:AY$22,4,FALSE)</f>
        <v>2394.0636859517681</v>
      </c>
      <c r="Y399" s="4">
        <f>IF(V399=W390,W405,IF(V399=Y390,Y405,X399))</f>
        <v>2377.208136429545</v>
      </c>
      <c r="AB399" s="4">
        <f>IF(V399=Z390,Z405,IF(V399=AB390,AB405,Y399))</f>
        <v>2377.208136429545</v>
      </c>
      <c r="AE399" s="4">
        <f>IF(V399=AC390,AC405,IF(V399=AE390,AE405,AB399))</f>
        <v>2377.208136429545</v>
      </c>
      <c r="AT399" s="4" t="str">
        <f>B400</f>
        <v>CSRA Heat 15 National</v>
      </c>
      <c r="AU399" s="4">
        <f>J400</f>
        <v>2576.6895575813751</v>
      </c>
      <c r="AW399" s="154"/>
      <c r="AX399" s="70"/>
      <c r="AY399" s="70"/>
      <c r="AZ399" s="70"/>
      <c r="BA399" s="70"/>
      <c r="BB399" s="154"/>
      <c r="BC399" s="70"/>
      <c r="BD399" s="70"/>
      <c r="BE399" s="154"/>
      <c r="BF399" s="70"/>
      <c r="BG399" s="70"/>
      <c r="BH399" s="154"/>
      <c r="BI399" s="70"/>
      <c r="BJ399" s="70"/>
      <c r="BK399" s="154"/>
      <c r="BL399" s="70"/>
      <c r="BM399" s="70"/>
    </row>
    <row r="400" spans="1:65" hidden="1" x14ac:dyDescent="0.2">
      <c r="A400" s="4">
        <v>2</v>
      </c>
      <c r="B400" s="4" t="str">
        <f>B383</f>
        <v>CSRA Heat 15 National</v>
      </c>
      <c r="C400" s="4">
        <f>VLOOKUP(B400,AU$2:AY$22,4,FALSE)</f>
        <v>2566.5229275315605</v>
      </c>
      <c r="D400" s="4">
        <f>IF(A400=B390,B405,IF(A400=D390,D405,C400))</f>
        <v>2566.5229275315605</v>
      </c>
      <c r="G400" s="4">
        <f>IF(A400=E390,E405,IF(A400=G390,G405,D400))</f>
        <v>2563.1988932833297</v>
      </c>
      <c r="J400" s="4">
        <f>IF(A400=H390,H405,IF(A400=J390,J405,G400))</f>
        <v>2576.6895575813751</v>
      </c>
      <c r="U400" s="155"/>
      <c r="V400" s="155">
        <v>2</v>
      </c>
      <c r="W400" s="4" t="str">
        <f>X383</f>
        <v>Magnum 15 Elite</v>
      </c>
      <c r="X400" s="4">
        <f>VLOOKUP(W400,AU$2:AY$22,4,FALSE)</f>
        <v>2398.6552232079011</v>
      </c>
      <c r="Y400" s="4">
        <f>IF(V400=W390,W405,IF(V400=Y390,Y405,X400))</f>
        <v>2398.6552232079011</v>
      </c>
      <c r="AB400" s="4">
        <f>IF(V400=Z390,Z405,IF(V400=AB390,AB405,Y400))</f>
        <v>2409.0970069413024</v>
      </c>
      <c r="AE400" s="4">
        <f>IF(V400=AC390,AC405,IF(V400=AE390,AE405,AB400))</f>
        <v>2424.3251569122449</v>
      </c>
      <c r="AT400" s="4" t="str">
        <f>B401</f>
        <v>C1VB 15 Power Grvl</v>
      </c>
      <c r="AU400" s="4">
        <f>J401</f>
        <v>2391.8112657680576</v>
      </c>
      <c r="AW400" s="154"/>
      <c r="AX400" s="70"/>
      <c r="AY400" s="70"/>
      <c r="AZ400" s="70"/>
      <c r="BA400" s="70"/>
      <c r="BB400" s="154"/>
      <c r="BC400" s="70"/>
      <c r="BD400" s="70"/>
      <c r="BE400" s="154"/>
      <c r="BF400" s="70"/>
      <c r="BG400" s="70"/>
      <c r="BH400" s="154"/>
      <c r="BI400" s="70"/>
      <c r="BJ400" s="70"/>
      <c r="BK400" s="154"/>
      <c r="BL400" s="70"/>
      <c r="BM400" s="70"/>
    </row>
    <row r="401" spans="1:65" hidden="1" x14ac:dyDescent="0.2">
      <c r="A401" s="4">
        <v>3</v>
      </c>
      <c r="B401" s="4" t="str">
        <f>B384</f>
        <v>C1VB 15 Power Grvl</v>
      </c>
      <c r="C401" s="4">
        <f>VLOOKUP(B401,AU$2:AY$22,4,FALSE)</f>
        <v>2388.4872315198268</v>
      </c>
      <c r="D401" s="4">
        <f>IF(A401=B390,B405,IF(A401=D390,D405,C401))</f>
        <v>2388.4872315198268</v>
      </c>
      <c r="G401" s="4">
        <f>IF(A401=E390,E405,IF(A401=G390,G405,D401))</f>
        <v>2391.8112657680576</v>
      </c>
      <c r="J401" s="4">
        <f>IF(A401=H390,H405,IF(A401=J390,J405,G401))</f>
        <v>2391.8112657680576</v>
      </c>
      <c r="U401" s="155"/>
      <c r="V401" s="155">
        <v>3</v>
      </c>
      <c r="W401" s="4" t="str">
        <f>X384</f>
        <v>Lake Murray 15 Red</v>
      </c>
      <c r="X401" s="4">
        <f>VLOOKUP(W401,AU$2:AY$22,4,FALSE)</f>
        <v>2434.1263930010114</v>
      </c>
      <c r="Y401" s="4">
        <f>IF(V401=W390,W405,IF(V401=Y390,Y405,X401))</f>
        <v>2434.1263930010114</v>
      </c>
      <c r="AB401" s="4">
        <f>IF(V401=Z390,Z405,IF(V401=AB390,AB405,Y401))</f>
        <v>2423.6846092676101</v>
      </c>
      <c r="AE401" s="4">
        <f>IF(V401=AC390,AC405,IF(V401=AE390,AE405,AB401))</f>
        <v>2423.6846092676101</v>
      </c>
      <c r="AT401" s="4" t="str">
        <f>B402</f>
        <v>Chas Jrs 15 Power</v>
      </c>
      <c r="AU401" s="4">
        <f>J402</f>
        <v>2432.4965464774205</v>
      </c>
      <c r="AW401" s="154"/>
      <c r="AX401" s="70"/>
      <c r="AY401" s="70"/>
      <c r="AZ401" s="70"/>
      <c r="BA401" s="70"/>
      <c r="BB401" s="154"/>
      <c r="BC401" s="70"/>
      <c r="BD401" s="70"/>
      <c r="BE401" s="154"/>
      <c r="BF401" s="70"/>
      <c r="BG401" s="70"/>
      <c r="BH401" s="154"/>
      <c r="BI401" s="70"/>
      <c r="BJ401" s="70"/>
      <c r="BK401" s="154"/>
      <c r="BL401" s="70"/>
      <c r="BM401" s="70"/>
    </row>
    <row r="402" spans="1:65" hidden="1" x14ac:dyDescent="0.2">
      <c r="A402" s="4">
        <v>4</v>
      </c>
      <c r="B402" s="4" t="str">
        <f>B385</f>
        <v>Chas Jrs 15 Power</v>
      </c>
      <c r="C402" s="4">
        <f>VLOOKUP(B402,AU$2:AY$22,4,FALSE)</f>
        <v>2435.7789674322366</v>
      </c>
      <c r="D402" s="4">
        <f>IF(A402=B390,B405,IF(A402=D390,D405,C402))</f>
        <v>2432.4965464774205</v>
      </c>
      <c r="G402" s="4">
        <f>IF(A402=E390,E405,IF(A402=G390,G405,D402))</f>
        <v>2432.4965464774205</v>
      </c>
      <c r="J402" s="4">
        <f>IF(A402=H390,H405,IF(A402=J390,J405,G402))</f>
        <v>2432.4965464774205</v>
      </c>
      <c r="U402" s="155"/>
      <c r="V402" s="155">
        <v>4</v>
      </c>
      <c r="W402" s="4" t="str">
        <f>X385</f>
        <v>CSRA Heat 14 National</v>
      </c>
      <c r="X402" s="4">
        <f>VLOOKUP(W402,AU$2:AY$22,4,FALSE)</f>
        <v>2375.4679273587694</v>
      </c>
      <c r="Y402" s="4">
        <f>IF(V402=W390,W405,IF(V402=Y390,Y405,X402))</f>
        <v>2392.3234768809925</v>
      </c>
      <c r="AB402" s="4">
        <f>IF(V402=Z390,Z405,IF(V402=AB390,AB405,Y402))</f>
        <v>2392.3234768809925</v>
      </c>
      <c r="AE402" s="4">
        <f>IF(V402=AC390,AC405,IF(V402=AE390,AE405,AB402))</f>
        <v>2377.0953269100501</v>
      </c>
      <c r="AT402" s="4" t="str">
        <f>W399</f>
        <v>Beaufort 15 Grey</v>
      </c>
      <c r="AU402" s="4">
        <f>AE399</f>
        <v>2377.208136429545</v>
      </c>
      <c r="AW402" s="154"/>
      <c r="AX402" s="70"/>
      <c r="AY402" s="70"/>
      <c r="AZ402" s="70"/>
      <c r="BA402" s="70"/>
      <c r="BB402" s="154"/>
      <c r="BC402" s="70"/>
      <c r="BD402" s="70"/>
      <c r="BE402" s="154"/>
      <c r="BF402" s="70"/>
      <c r="BG402" s="70"/>
      <c r="BH402" s="154"/>
      <c r="BI402" s="70"/>
      <c r="BJ402" s="70"/>
      <c r="BK402" s="154"/>
      <c r="BL402" s="70"/>
      <c r="BM402" s="70"/>
    </row>
    <row r="403" spans="1:65" hidden="1" x14ac:dyDescent="0.2">
      <c r="A403" s="4" t="s">
        <v>110</v>
      </c>
      <c r="B403" s="4">
        <f>VLOOKUP(B390,$A399:$J402,3,FALSE)</f>
        <v>2504.9734736000346</v>
      </c>
      <c r="D403" s="4">
        <f>VLOOKUP(D390,$A399:$J402,3,FALSE)</f>
        <v>2435.7789674322366</v>
      </c>
      <c r="E403" s="4">
        <f>VLOOKUP(E390,$A399:$J402,4,FALSE)</f>
        <v>2566.5229275315605</v>
      </c>
      <c r="G403" s="4">
        <f>VLOOKUP(G390,$A399:$J402,4,FALSE)</f>
        <v>2388.4872315198268</v>
      </c>
      <c r="H403" s="4">
        <f>VLOOKUP(H390,$A399:$J402,7,FALSE)</f>
        <v>2508.2558945548508</v>
      </c>
      <c r="J403" s="4">
        <f>VLOOKUP(J390,$A399:$J402,7,FALSE)</f>
        <v>2563.1988932833297</v>
      </c>
      <c r="T403" s="171" t="s">
        <v>110</v>
      </c>
      <c r="U403" s="171"/>
      <c r="V403" s="171"/>
      <c r="W403" s="4">
        <f>VLOOKUP(W390,$V399:$AE402,3,FALSE)</f>
        <v>2394.0636859517681</v>
      </c>
      <c r="Y403" s="4">
        <f>VLOOKUP(Y390,$V399:$AE402,3,FALSE)</f>
        <v>2375.4679273587694</v>
      </c>
      <c r="Z403" s="4">
        <f>VLOOKUP(Z390,$V399:$AE402,4,FALSE)</f>
        <v>2398.6552232079011</v>
      </c>
      <c r="AB403" s="4">
        <f>VLOOKUP(AB390,$V399:$AE402,4,FALSE)</f>
        <v>2434.1263930010114</v>
      </c>
      <c r="AC403" s="4">
        <f>VLOOKUP(AC390,$V399:$AE402,7,FALSE)</f>
        <v>2392.3234768809925</v>
      </c>
      <c r="AE403" s="4">
        <f>VLOOKUP(AE390,$V399:$AE402,7,FALSE)</f>
        <v>2409.0970069413024</v>
      </c>
      <c r="AT403" s="4" t="str">
        <f>W400</f>
        <v>Magnum 15 Elite</v>
      </c>
      <c r="AU403" s="4">
        <f>AE400</f>
        <v>2424.3251569122449</v>
      </c>
      <c r="AW403" s="154"/>
      <c r="AX403" s="70"/>
      <c r="AY403" s="70"/>
      <c r="AZ403" s="70"/>
      <c r="BA403" s="70"/>
      <c r="BB403" s="154"/>
      <c r="BC403" s="70"/>
      <c r="BD403" s="70"/>
      <c r="BE403" s="154"/>
      <c r="BF403" s="70"/>
      <c r="BG403" s="70"/>
      <c r="BH403" s="154"/>
      <c r="BI403" s="70"/>
      <c r="BJ403" s="70"/>
      <c r="BK403" s="154"/>
      <c r="BL403" s="70"/>
      <c r="BM403" s="70"/>
    </row>
    <row r="404" spans="1:65" hidden="1" x14ac:dyDescent="0.2">
      <c r="A404" s="84" t="s">
        <v>111</v>
      </c>
      <c r="B404" s="84">
        <f>1/(1+(10^-((B403-D403)/400)))*(B394+D394)</f>
        <v>1.7948486903239955</v>
      </c>
      <c r="C404" s="84"/>
      <c r="D404" s="84">
        <f>1/(1+(10^-((D403-B403)/400)))*(B394+D394)</f>
        <v>1.2051513096760045</v>
      </c>
      <c r="E404" s="84">
        <f>1/(1+(10^-((E403-G403)/400)))*(E394+G394)</f>
        <v>2.2077521405144211</v>
      </c>
      <c r="G404" s="84">
        <f>1/(1+(10^-((G403-E403)/400)))*(E394+G394)</f>
        <v>0.79224785948557896</v>
      </c>
      <c r="H404" s="84">
        <f>1/(1+(10^-((H403-J403)/400)))*(H394+J394)</f>
        <v>0.8431665186278483</v>
      </c>
      <c r="J404" s="84">
        <f>1/(1+(10^-((J403-H403)/400)))*(H394+J394)</f>
        <v>1.1568334813721517</v>
      </c>
      <c r="T404" s="172" t="s">
        <v>111</v>
      </c>
      <c r="U404" s="172"/>
      <c r="V404" s="172"/>
      <c r="W404" s="84">
        <f>1/(1+(10^-((W403-Y403)/400)))*(W394+Y394)</f>
        <v>1.053471845138936</v>
      </c>
      <c r="X404" s="84"/>
      <c r="Y404" s="84">
        <f>1/(1+(10^-((Y403-W403)/400)))*(W394+Y394)</f>
        <v>0.94652815486106412</v>
      </c>
      <c r="Z404" s="84">
        <f>1/(1+(10^-((Z403-AB403)/400)))*(Z394+AB394)</f>
        <v>1.3473885166624338</v>
      </c>
      <c r="AB404" s="84">
        <f>1/(1+(10^-((AB403-Z403)/400)))*(Z394+AB394)</f>
        <v>1.6526114833375662</v>
      </c>
      <c r="AC404" s="84">
        <f>1/(1+(10^-((AC403-AE403)/400)))*(AC394+AE394)</f>
        <v>0.95175937318391701</v>
      </c>
      <c r="AE404" s="84">
        <f>1/(1+(10^-((AE403-AC403)/400)))*(AC394+AE394)</f>
        <v>1.0482406268160831</v>
      </c>
      <c r="AT404" s="4" t="str">
        <f>W401</f>
        <v>Lake Murray 15 Red</v>
      </c>
      <c r="AU404" s="4">
        <f>AE401</f>
        <v>2423.6846092676101</v>
      </c>
      <c r="AW404" s="154"/>
      <c r="AX404" s="70"/>
      <c r="AY404" s="70"/>
      <c r="AZ404" s="70"/>
      <c r="BA404" s="70"/>
      <c r="BB404" s="154"/>
      <c r="BC404" s="70"/>
      <c r="BD404" s="70"/>
      <c r="BE404" s="154"/>
      <c r="BF404" s="70"/>
      <c r="BG404" s="70"/>
      <c r="BH404" s="154"/>
      <c r="BI404" s="70"/>
      <c r="BJ404" s="70"/>
      <c r="BK404" s="154"/>
      <c r="BL404" s="70"/>
      <c r="BM404" s="70"/>
    </row>
    <row r="405" spans="1:65" hidden="1" x14ac:dyDescent="0.2">
      <c r="A405" s="90" t="s">
        <v>112</v>
      </c>
      <c r="B405" s="90">
        <f>B403+(B394-B404)*$BA$2</f>
        <v>2508.2558945548508</v>
      </c>
      <c r="C405" s="90"/>
      <c r="D405" s="90">
        <f>D403+(D394-D404)*$BA$2</f>
        <v>2432.4965464774205</v>
      </c>
      <c r="E405" s="90">
        <f>E403+(E394-E404)*$BA$2</f>
        <v>2563.1988932833297</v>
      </c>
      <c r="G405" s="90">
        <f>G403+(G394-G404)*$BA$2</f>
        <v>2391.8112657680576</v>
      </c>
      <c r="H405" s="90">
        <f>H403+(H394-H404)*$BA$2</f>
        <v>2494.7652302568054</v>
      </c>
      <c r="J405" s="90">
        <f>J403+(J394-J404)*$BA$2</f>
        <v>2576.6895575813751</v>
      </c>
      <c r="T405" s="158" t="s">
        <v>112</v>
      </c>
      <c r="U405" s="158"/>
      <c r="V405" s="158"/>
      <c r="W405" s="90">
        <f>W403+(W394-W404)*$BA$2</f>
        <v>2377.208136429545</v>
      </c>
      <c r="X405" s="90"/>
      <c r="Y405" s="90">
        <f>Y403+(Y394-Y404)*$BA$2</f>
        <v>2392.3234768809925</v>
      </c>
      <c r="Z405" s="90">
        <f>Z403+(Z394-Z404)*$BA$2</f>
        <v>2409.0970069413024</v>
      </c>
      <c r="AB405" s="90">
        <f>AB403+(AB394-AB404)*$BA$2</f>
        <v>2423.6846092676101</v>
      </c>
      <c r="AC405" s="90">
        <f>AC403+(AC394-AC404)*$BA$2</f>
        <v>2377.0953269100501</v>
      </c>
      <c r="AE405" s="90">
        <f>AE403+(AE394-AE404)*$BA$2</f>
        <v>2424.3251569122449</v>
      </c>
      <c r="AT405" s="4" t="str">
        <f>W402</f>
        <v>CSRA Heat 14 National</v>
      </c>
      <c r="AU405" s="4">
        <f>AE402</f>
        <v>2377.0953269100501</v>
      </c>
      <c r="AW405" s="154"/>
      <c r="AX405" s="70"/>
      <c r="AY405" s="70"/>
      <c r="AZ405" s="70"/>
      <c r="BA405" s="70"/>
      <c r="BB405" s="154"/>
      <c r="BC405" s="70"/>
      <c r="BD405" s="70"/>
      <c r="BE405" s="154"/>
      <c r="BF405" s="70"/>
      <c r="BG405" s="70"/>
      <c r="BH405" s="154"/>
      <c r="BI405" s="70"/>
      <c r="BJ405" s="70"/>
      <c r="BK405" s="154"/>
      <c r="BL405" s="70"/>
      <c r="BM405" s="70"/>
    </row>
    <row r="406" spans="1:65" x14ac:dyDescent="0.2">
      <c r="A406" s="159" t="s">
        <v>163</v>
      </c>
      <c r="B406" s="159"/>
      <c r="C406" s="159"/>
      <c r="D406" s="159"/>
      <c r="E406" s="159"/>
      <c r="F406" s="159"/>
      <c r="G406" s="159"/>
      <c r="H406" s="159"/>
      <c r="I406" s="159"/>
      <c r="J406" s="159"/>
      <c r="K406" s="159"/>
      <c r="L406" s="159"/>
      <c r="M406" s="159"/>
      <c r="R406" s="127"/>
      <c r="S406" s="127"/>
      <c r="T406" s="147"/>
      <c r="U406" s="147"/>
      <c r="V406" s="159" t="s">
        <v>163</v>
      </c>
      <c r="W406" s="159"/>
      <c r="X406" s="159"/>
      <c r="Y406" s="159"/>
      <c r="Z406" s="159"/>
      <c r="AA406" s="159"/>
      <c r="AB406" s="159"/>
      <c r="AC406" s="159"/>
      <c r="AD406" s="159"/>
      <c r="AE406" s="159"/>
      <c r="AF406" s="159"/>
      <c r="AG406" s="159"/>
      <c r="AH406" s="127"/>
      <c r="AI406" s="127"/>
      <c r="AJ406" s="127"/>
      <c r="AW406" s="154"/>
      <c r="AX406" s="70"/>
      <c r="AY406" s="70"/>
      <c r="AZ406" s="70"/>
      <c r="BA406" s="70"/>
    </row>
    <row r="407" spans="1:65" x14ac:dyDescent="0.2">
      <c r="AW407" s="154"/>
      <c r="AX407" s="70"/>
      <c r="AY407" s="70"/>
      <c r="AZ407" s="70"/>
      <c r="BA407" s="70"/>
    </row>
    <row r="408" spans="1:65" x14ac:dyDescent="0.2">
      <c r="A408" s="259" t="s">
        <v>218</v>
      </c>
      <c r="B408" s="259"/>
      <c r="C408" s="259"/>
      <c r="D408" s="259"/>
      <c r="E408" s="259"/>
      <c r="F408" s="259"/>
      <c r="G408" s="259"/>
      <c r="H408" s="259"/>
      <c r="I408" s="259"/>
      <c r="J408" s="259"/>
      <c r="K408" s="259"/>
      <c r="L408" s="259"/>
      <c r="M408" s="259"/>
      <c r="N408" s="259"/>
      <c r="O408" s="259"/>
      <c r="P408" s="156"/>
      <c r="R408" s="259" t="s">
        <v>219</v>
      </c>
      <c r="S408" s="259"/>
      <c r="T408" s="259"/>
      <c r="U408" s="259"/>
      <c r="V408" s="259"/>
      <c r="W408" s="259"/>
      <c r="X408" s="259"/>
      <c r="Y408" s="259"/>
      <c r="Z408" s="259"/>
      <c r="AA408" s="259"/>
      <c r="AB408" s="259"/>
      <c r="AC408" s="259"/>
      <c r="AD408" s="259"/>
      <c r="AE408" s="259"/>
      <c r="AF408" s="259"/>
      <c r="AW408" s="154"/>
      <c r="AX408" s="70"/>
      <c r="AY408" s="70"/>
      <c r="AZ408" s="70"/>
      <c r="BA408" s="70"/>
    </row>
    <row r="409" spans="1:65" x14ac:dyDescent="0.2">
      <c r="AW409" s="154"/>
      <c r="AX409" s="70"/>
      <c r="AY409" s="70"/>
      <c r="AZ409" s="70"/>
      <c r="BA409" s="70"/>
    </row>
    <row r="410" spans="1:65" ht="13.5" thickBot="1" x14ac:dyDescent="0.25">
      <c r="A410" s="225" t="str">
        <f>IF(B438=1,B430,IF(B438=2,B431,IF(B438=3,B432,IF(B438=4,B433,IF(OR(B438="B",B438="b"),"BYE","invalid")))))</f>
        <v>Emerald City 15-Power</v>
      </c>
      <c r="B410" s="225"/>
      <c r="C410" s="225"/>
      <c r="D410" s="225"/>
      <c r="E410" s="225"/>
      <c r="F410" s="103"/>
      <c r="G410" s="103"/>
      <c r="H410" s="103"/>
      <c r="I410" s="103"/>
      <c r="J410" s="103"/>
      <c r="K410" s="103"/>
      <c r="L410" s="103"/>
      <c r="M410" s="103"/>
      <c r="N410" s="103"/>
      <c r="S410" s="157"/>
      <c r="T410" s="157"/>
      <c r="U410" s="225" t="str">
        <f>IF(W438=1,X430,IF(W438=2,X431,IF(W438=3,X432,IF(W438=4,X433,IF(OR(W438="B",W438="b"),"BYE","invalid")))))</f>
        <v>CSRA Heat 15 Gold</v>
      </c>
      <c r="V410" s="225"/>
      <c r="W410" s="225"/>
      <c r="X410" s="225"/>
      <c r="Y410" s="225"/>
      <c r="Z410" s="225"/>
      <c r="AA410" s="225"/>
      <c r="AB410" s="103"/>
      <c r="AC410" s="103"/>
      <c r="AD410" s="103"/>
      <c r="AE410" s="103"/>
      <c r="AW410" s="154"/>
      <c r="AX410" s="70"/>
      <c r="AY410" s="70"/>
      <c r="AZ410" s="70"/>
      <c r="BA410" s="70"/>
    </row>
    <row r="411" spans="1:65" x14ac:dyDescent="0.2">
      <c r="A411" s="227" t="s">
        <v>220</v>
      </c>
      <c r="B411" s="227"/>
      <c r="C411" s="227"/>
      <c r="D411" s="227"/>
      <c r="E411" s="227"/>
      <c r="F411" s="105"/>
      <c r="G411" s="103"/>
      <c r="H411" s="103"/>
      <c r="I411" s="103"/>
      <c r="J411" s="103"/>
      <c r="K411" s="103"/>
      <c r="L411" s="103"/>
      <c r="M411" s="103"/>
      <c r="N411" s="103"/>
      <c r="S411" s="106"/>
      <c r="T411" s="106"/>
      <c r="U411" s="228" t="s">
        <v>221</v>
      </c>
      <c r="V411" s="228"/>
      <c r="W411" s="228"/>
      <c r="X411" s="228"/>
      <c r="Y411" s="228"/>
      <c r="Z411" s="228"/>
      <c r="AA411" s="242"/>
      <c r="AB411" s="103"/>
      <c r="AC411" s="103"/>
      <c r="AD411" s="103"/>
      <c r="AE411" s="103"/>
      <c r="AW411" s="154"/>
      <c r="AX411" s="70"/>
      <c r="AY411" s="70"/>
      <c r="AZ411" s="70"/>
      <c r="BA411" s="70"/>
    </row>
    <row r="412" spans="1:65" x14ac:dyDescent="0.2">
      <c r="A412" s="103"/>
      <c r="B412" s="103"/>
      <c r="C412" s="103"/>
      <c r="D412" s="103"/>
      <c r="E412" s="103"/>
      <c r="F412" s="105"/>
      <c r="G412" s="103"/>
      <c r="H412" s="103"/>
      <c r="I412" s="103"/>
      <c r="J412" s="103"/>
      <c r="K412" s="103"/>
      <c r="L412" s="103"/>
      <c r="M412" s="103"/>
      <c r="N412" s="103"/>
      <c r="R412" s="103"/>
      <c r="S412" s="103"/>
      <c r="T412" s="103"/>
      <c r="U412" s="103"/>
      <c r="V412" s="103"/>
      <c r="W412" s="103"/>
      <c r="X412" s="103"/>
      <c r="Y412" s="103"/>
      <c r="Z412" s="103"/>
      <c r="AA412" s="107"/>
      <c r="AB412" s="103"/>
      <c r="AC412" s="103"/>
      <c r="AD412" s="103"/>
      <c r="AE412" s="103"/>
      <c r="AW412" s="154"/>
      <c r="AX412" s="70"/>
      <c r="AY412" s="70"/>
      <c r="AZ412" s="70"/>
      <c r="BA412" s="70"/>
    </row>
    <row r="413" spans="1:65" ht="13.5" thickBot="1" x14ac:dyDescent="0.25">
      <c r="A413" s="228" t="str">
        <f>B432&amp;" ref"</f>
        <v>Intense 15 Elite Rock Hil ref</v>
      </c>
      <c r="B413" s="228"/>
      <c r="C413" s="228"/>
      <c r="D413" s="228"/>
      <c r="E413" s="242"/>
      <c r="F413" s="237" t="str">
        <f>IF(H438=1,B430,IF(H438=2,B431,IF(H438=3,B432,IF(H438=4,B433,"Winner Match 1"))))</f>
        <v>Intense 15 Elite Columbia</v>
      </c>
      <c r="G413" s="238"/>
      <c r="H413" s="238"/>
      <c r="I413" s="238"/>
      <c r="J413" s="238"/>
      <c r="K413" s="238"/>
      <c r="L413" s="238"/>
      <c r="M413" s="238"/>
      <c r="N413" s="238"/>
      <c r="P413" s="108"/>
      <c r="Q413" s="108"/>
      <c r="R413" s="108"/>
      <c r="S413" s="108"/>
      <c r="T413" s="228" t="str">
        <f>X432&amp;" ref"</f>
        <v>Kershaw 15 Black ref</v>
      </c>
      <c r="U413" s="228"/>
      <c r="V413" s="228"/>
      <c r="W413" s="228"/>
      <c r="X413" s="228"/>
      <c r="Y413" s="228"/>
      <c r="Z413" s="228"/>
      <c r="AA413" s="242"/>
      <c r="AB413" s="237" t="str">
        <f>IF(AC438=1,X430,IF(AC438=2,X431,IF(AC438=3,X432,IF(AC438=4,X433,"Winner Match 1"))))</f>
        <v>C1VB 15 Power Pickens</v>
      </c>
      <c r="AC413" s="238"/>
      <c r="AD413" s="238"/>
      <c r="AE413" s="238"/>
      <c r="AF413" s="238"/>
      <c r="AG413" s="238"/>
      <c r="AH413" s="238"/>
      <c r="AW413" s="154"/>
      <c r="AX413" s="70"/>
      <c r="AY413" s="70"/>
      <c r="AZ413" s="70"/>
      <c r="BA413" s="70"/>
    </row>
    <row r="414" spans="1:65" x14ac:dyDescent="0.2">
      <c r="A414" s="239" t="s">
        <v>222</v>
      </c>
      <c r="B414" s="239"/>
      <c r="C414" s="239"/>
      <c r="D414" s="239"/>
      <c r="E414" s="239"/>
      <c r="F414" s="251"/>
      <c r="G414" s="252"/>
      <c r="H414" s="252"/>
      <c r="I414" s="253"/>
      <c r="J414" s="233"/>
      <c r="K414" s="234"/>
      <c r="L414" s="234"/>
      <c r="M414" s="234"/>
      <c r="N414" s="234"/>
      <c r="O414" s="103"/>
      <c r="P414" s="114"/>
      <c r="Q414" s="7"/>
      <c r="R414" s="115"/>
      <c r="S414" s="115"/>
      <c r="T414" s="254" t="s">
        <v>223</v>
      </c>
      <c r="U414" s="254"/>
      <c r="V414" s="254"/>
      <c r="W414" s="254"/>
      <c r="X414" s="254"/>
      <c r="Y414" s="254"/>
      <c r="Z414" s="254"/>
      <c r="AA414" s="107"/>
      <c r="AB414" s="251"/>
      <c r="AC414" s="252"/>
      <c r="AD414" s="252"/>
      <c r="AE414" s="253"/>
      <c r="AF414" s="233"/>
      <c r="AG414" s="234"/>
      <c r="AH414" s="234"/>
      <c r="AW414" s="154"/>
      <c r="AX414" s="70"/>
      <c r="AY414" s="70"/>
      <c r="AZ414" s="70"/>
      <c r="BA414" s="70"/>
    </row>
    <row r="415" spans="1:65" ht="13.5" thickBot="1" x14ac:dyDescent="0.25">
      <c r="A415" s="225" t="str">
        <f>IF(D438=1,B430,IF(D438=2,B431,IF(D438=3,B432,IF(D438=4,B433,IF(OR(D438="B",D438="b"),"BYE","invalid")))))</f>
        <v>Intense 15 Elite Columbia</v>
      </c>
      <c r="B415" s="225"/>
      <c r="C415" s="225"/>
      <c r="D415" s="225"/>
      <c r="E415" s="226"/>
      <c r="F415" s="105"/>
      <c r="G415" s="103"/>
      <c r="H415" s="103"/>
      <c r="I415" s="103"/>
      <c r="J415" s="105"/>
      <c r="K415" s="103"/>
      <c r="L415" s="103"/>
      <c r="M415" s="103"/>
      <c r="N415" s="103"/>
      <c r="O415" s="103"/>
      <c r="P415" s="103"/>
      <c r="T415" s="103"/>
      <c r="U415" s="225" t="str">
        <f>IF(Y438=1,X430,IF(Y438=2,X431,IF(Y438=3,X432,IF(Y438=4,X433,IF(OR(Y438="B",Y438="b"),"BYE","invalid")))))</f>
        <v>C1VB 15 Power Pickens</v>
      </c>
      <c r="V415" s="225"/>
      <c r="W415" s="225"/>
      <c r="X415" s="225"/>
      <c r="Y415" s="225"/>
      <c r="Z415" s="225"/>
      <c r="AA415" s="226"/>
      <c r="AB415" s="103"/>
      <c r="AC415" s="103"/>
      <c r="AD415" s="103"/>
      <c r="AE415" s="107"/>
      <c r="AF415" s="103"/>
      <c r="AG415" s="103"/>
      <c r="AT415" s="116"/>
      <c r="AU415" s="116"/>
      <c r="AW415" s="154"/>
      <c r="AX415" s="70"/>
      <c r="AY415" s="70"/>
      <c r="AZ415" s="70"/>
      <c r="BA415" s="70"/>
    </row>
    <row r="416" spans="1:65" x14ac:dyDescent="0.2">
      <c r="A416" s="227" t="s">
        <v>224</v>
      </c>
      <c r="B416" s="227"/>
      <c r="C416" s="227"/>
      <c r="D416" s="227"/>
      <c r="E416" s="227"/>
      <c r="F416" s="103"/>
      <c r="G416" s="103"/>
      <c r="H416" s="103"/>
      <c r="I416" s="103"/>
      <c r="J416" s="105"/>
      <c r="K416" s="103"/>
      <c r="L416" s="103"/>
      <c r="M416" s="103"/>
      <c r="N416" s="103"/>
      <c r="O416" s="103"/>
      <c r="P416" s="103"/>
      <c r="U416" s="249" t="s">
        <v>225</v>
      </c>
      <c r="V416" s="249"/>
      <c r="W416" s="249"/>
      <c r="X416" s="249"/>
      <c r="Y416" s="249"/>
      <c r="Z416" s="249"/>
      <c r="AA416" s="249"/>
      <c r="AB416" s="103"/>
      <c r="AC416" s="103"/>
      <c r="AD416" s="103"/>
      <c r="AE416" s="107"/>
      <c r="AF416" s="103"/>
      <c r="AG416" s="103"/>
      <c r="AQ416" s="116"/>
      <c r="AR416" s="116"/>
      <c r="AS416" s="116"/>
      <c r="AW416" s="154"/>
      <c r="AX416" s="70"/>
      <c r="AY416" s="70"/>
      <c r="AZ416" s="70"/>
      <c r="BA416" s="70"/>
      <c r="BB416" s="116"/>
      <c r="BC416" s="116"/>
    </row>
    <row r="417" spans="1:53" x14ac:dyDescent="0.2">
      <c r="A417" s="103"/>
      <c r="B417" s="103"/>
      <c r="C417" s="103"/>
      <c r="D417" s="103"/>
      <c r="E417" s="103"/>
      <c r="F417" s="241" t="s">
        <v>135</v>
      </c>
      <c r="G417" s="241"/>
      <c r="H417" s="241"/>
      <c r="I417" s="250"/>
      <c r="J417" s="105"/>
      <c r="K417" s="103"/>
      <c r="L417" s="103"/>
      <c r="M417" s="103"/>
      <c r="N417" s="103"/>
      <c r="O417" s="103"/>
      <c r="P417" s="103"/>
      <c r="R417" s="103"/>
      <c r="S417" s="103"/>
      <c r="T417" s="103"/>
      <c r="U417" s="103"/>
      <c r="V417" s="103"/>
      <c r="W417" s="108"/>
      <c r="X417" s="108"/>
      <c r="Y417" s="108"/>
      <c r="AA417" s="108"/>
      <c r="AB417" s="241" t="s">
        <v>135</v>
      </c>
      <c r="AC417" s="241"/>
      <c r="AD417" s="241"/>
      <c r="AE417" s="250"/>
      <c r="AF417" s="103"/>
      <c r="AG417" s="103"/>
    </row>
    <row r="418" spans="1:53" ht="13.5" thickBot="1" x14ac:dyDescent="0.25">
      <c r="A418" s="103"/>
      <c r="B418" s="103"/>
      <c r="C418" s="103"/>
      <c r="D418" s="103"/>
      <c r="E418" s="103"/>
      <c r="F418" s="103"/>
      <c r="G418" s="103"/>
      <c r="H418" s="103"/>
      <c r="I418" s="103"/>
      <c r="J418" s="244" t="str">
        <f>IF(K443=1,B430,IF(K443=2,B431,IF(K443=3,B432,IF(K443=4,B433,"Division Winner"))))</f>
        <v>Intense 15 Elite Columbia</v>
      </c>
      <c r="K418" s="245"/>
      <c r="L418" s="245"/>
      <c r="M418" s="245"/>
      <c r="N418" s="245"/>
      <c r="O418" s="245"/>
      <c r="P418" s="245"/>
      <c r="Q418" s="157"/>
      <c r="R418" s="103"/>
      <c r="S418" s="103"/>
      <c r="T418" s="103"/>
      <c r="U418" s="103"/>
      <c r="V418" s="103"/>
      <c r="W418" s="103"/>
      <c r="X418" s="103"/>
      <c r="Y418" s="103"/>
      <c r="Z418" s="103"/>
      <c r="AA418" s="118"/>
      <c r="AB418" s="118"/>
      <c r="AC418" s="118"/>
      <c r="AD418" s="118"/>
      <c r="AE418" s="119"/>
      <c r="AF418" s="245" t="str">
        <f>IF(AF443=1,X430,IF(AF443=2,X431,IF(AF443=3,X432,IF(AF443=4,X433,"Division Winner"))))</f>
        <v>C1VB 15 Power Pickens</v>
      </c>
      <c r="AG418" s="245"/>
      <c r="AH418" s="245"/>
      <c r="AI418" s="245"/>
      <c r="AJ418" s="245"/>
      <c r="AK418" s="118"/>
      <c r="AW418" s="81"/>
      <c r="AX418" s="77"/>
      <c r="AY418" s="77"/>
      <c r="AZ418" s="77"/>
      <c r="BA418" s="77"/>
    </row>
    <row r="419" spans="1:53" ht="13.5" thickBot="1" x14ac:dyDescent="0.25">
      <c r="A419" s="225" t="str">
        <f>IF(E438=1,B430,IF(E438=2,B431,IF(E438=3,B432,IF(E438=4,B433,IF(OR(E438="B",E438="b"),"BYE","invalid")))))</f>
        <v>Beaufort 15 Pink</v>
      </c>
      <c r="B419" s="225"/>
      <c r="C419" s="225"/>
      <c r="D419" s="225"/>
      <c r="E419" s="225"/>
      <c r="F419" s="239" t="s">
        <v>226</v>
      </c>
      <c r="G419" s="239"/>
      <c r="H419" s="239"/>
      <c r="I419" s="239"/>
      <c r="J419" s="240" t="s">
        <v>227</v>
      </c>
      <c r="K419" s="241"/>
      <c r="L419" s="241"/>
      <c r="M419" s="241"/>
      <c r="N419" s="241"/>
      <c r="O419" s="241"/>
      <c r="P419" s="241"/>
      <c r="R419" s="118"/>
      <c r="S419" s="118"/>
      <c r="T419" s="118"/>
      <c r="U419" s="225" t="str">
        <f>IF(Z438=1,X430,IF(Z438=2,X431,IF(Z438=3,X432,IF(Z438=4,X433,IF(OR(Z438="B",Z438="b"),"BYE","invalid")))))</f>
        <v>SC Midlands 15 Perf</v>
      </c>
      <c r="V419" s="225"/>
      <c r="W419" s="225"/>
      <c r="X419" s="225"/>
      <c r="Y419" s="225"/>
      <c r="Z419" s="225"/>
      <c r="AA419" s="225"/>
      <c r="AB419" s="239" t="s">
        <v>228</v>
      </c>
      <c r="AC419" s="239"/>
      <c r="AD419" s="239"/>
      <c r="AE419" s="246"/>
      <c r="AF419" s="247" t="s">
        <v>229</v>
      </c>
      <c r="AG419" s="248"/>
      <c r="AH419" s="248"/>
      <c r="AI419" s="248"/>
      <c r="AJ419" s="248"/>
      <c r="AW419" s="81"/>
      <c r="AX419" s="77"/>
      <c r="AY419" s="77"/>
      <c r="AZ419" s="77"/>
      <c r="BA419" s="77"/>
    </row>
    <row r="420" spans="1:53" x14ac:dyDescent="0.2">
      <c r="A420" s="227" t="s">
        <v>230</v>
      </c>
      <c r="B420" s="227"/>
      <c r="C420" s="227"/>
      <c r="D420" s="227"/>
      <c r="E420" s="227"/>
      <c r="F420" s="105"/>
      <c r="G420" s="103"/>
      <c r="H420" s="103"/>
      <c r="I420" s="103"/>
      <c r="J420" s="240"/>
      <c r="K420" s="241"/>
      <c r="L420" s="241"/>
      <c r="M420" s="241"/>
      <c r="N420" s="241"/>
      <c r="O420" s="241"/>
      <c r="P420" s="241"/>
      <c r="Q420" s="103"/>
      <c r="R420" s="116"/>
      <c r="S420" s="116"/>
      <c r="T420" s="116"/>
      <c r="U420" s="228" t="s">
        <v>231</v>
      </c>
      <c r="V420" s="228"/>
      <c r="W420" s="228"/>
      <c r="X420" s="228"/>
      <c r="Y420" s="228"/>
      <c r="Z420" s="228"/>
      <c r="AA420" s="242"/>
      <c r="AB420" s="103"/>
      <c r="AC420" s="103"/>
      <c r="AD420" s="103"/>
      <c r="AE420" s="107"/>
      <c r="AF420" s="103"/>
      <c r="AG420" s="103"/>
      <c r="AW420" s="81"/>
      <c r="AX420" s="77"/>
      <c r="AY420" s="77"/>
      <c r="AZ420" s="77"/>
      <c r="BA420" s="77"/>
    </row>
    <row r="421" spans="1:53" x14ac:dyDescent="0.2">
      <c r="A421" s="103"/>
      <c r="B421" s="103"/>
      <c r="C421" s="103"/>
      <c r="D421" s="103"/>
      <c r="E421" s="103"/>
      <c r="F421" s="105"/>
      <c r="G421" s="103"/>
      <c r="H421" s="103"/>
      <c r="I421" s="103"/>
      <c r="J421" s="105"/>
      <c r="K421" s="103"/>
      <c r="L421" s="103"/>
      <c r="M421" s="103"/>
      <c r="N421" s="103"/>
      <c r="P421" s="103"/>
      <c r="Q421" s="103"/>
      <c r="R421" s="103"/>
      <c r="S421" s="103"/>
      <c r="T421" s="103"/>
      <c r="U421" s="103"/>
      <c r="V421" s="103"/>
      <c r="W421" s="103"/>
      <c r="X421" s="103"/>
      <c r="Y421" s="103"/>
      <c r="Z421" s="103"/>
      <c r="AA421" s="107"/>
      <c r="AB421" s="105"/>
      <c r="AC421" s="103"/>
      <c r="AD421" s="103"/>
      <c r="AE421" s="107"/>
      <c r="AF421" s="103"/>
      <c r="AG421" s="103"/>
      <c r="AW421" s="81"/>
      <c r="AX421" s="77"/>
      <c r="AY421" s="77"/>
      <c r="AZ421" s="77"/>
      <c r="BA421" s="77"/>
    </row>
    <row r="422" spans="1:53" ht="13.5" thickBot="1" x14ac:dyDescent="0.25">
      <c r="A422" s="241" t="s">
        <v>142</v>
      </c>
      <c r="B422" s="241"/>
      <c r="C422" s="241"/>
      <c r="D422" s="241"/>
      <c r="E422" s="114"/>
      <c r="F422" s="230"/>
      <c r="G422" s="231"/>
      <c r="H422" s="231"/>
      <c r="I422" s="232"/>
      <c r="J422" s="233"/>
      <c r="K422" s="234"/>
      <c r="L422" s="234"/>
      <c r="M422" s="234"/>
      <c r="N422" s="234"/>
      <c r="Q422" s="108"/>
      <c r="R422" s="108"/>
      <c r="S422" s="108"/>
      <c r="T422" s="241" t="s">
        <v>142</v>
      </c>
      <c r="U422" s="241"/>
      <c r="V422" s="241"/>
      <c r="W422" s="241"/>
      <c r="X422" s="241"/>
      <c r="Y422" s="241"/>
      <c r="Z422" s="241"/>
      <c r="AA422" s="103"/>
      <c r="AB422" s="230"/>
      <c r="AC422" s="231"/>
      <c r="AD422" s="231"/>
      <c r="AE422" s="232"/>
      <c r="AF422" s="233"/>
      <c r="AG422" s="234"/>
      <c r="AH422" s="234"/>
      <c r="AW422" s="81"/>
      <c r="AX422" s="77"/>
      <c r="AY422" s="77"/>
      <c r="AZ422" s="77"/>
      <c r="BA422" s="77"/>
    </row>
    <row r="423" spans="1:53" x14ac:dyDescent="0.2">
      <c r="A423" s="239" t="s">
        <v>222</v>
      </c>
      <c r="B423" s="239"/>
      <c r="C423" s="239"/>
      <c r="D423" s="239"/>
      <c r="E423" s="246"/>
      <c r="F423" s="237" t="str">
        <f>IF(J438=1,B430,IF(J438=2,B431,IF(J438=3,B432,IF(J438=4,B433,"Winner Match 2"))))</f>
        <v>Beaufort 15 Pink</v>
      </c>
      <c r="G423" s="238"/>
      <c r="H423" s="238"/>
      <c r="I423" s="238"/>
      <c r="J423" s="238"/>
      <c r="K423" s="238"/>
      <c r="L423" s="238"/>
      <c r="M423" s="238"/>
      <c r="N423" s="238"/>
      <c r="P423" s="114"/>
      <c r="Q423" s="114"/>
      <c r="S423" s="115"/>
      <c r="T423" s="239" t="s">
        <v>223</v>
      </c>
      <c r="U423" s="239"/>
      <c r="V423" s="239"/>
      <c r="W423" s="239"/>
      <c r="X423" s="239"/>
      <c r="Y423" s="239"/>
      <c r="Z423" s="239"/>
      <c r="AA423" s="107"/>
      <c r="AB423" s="237" t="str">
        <f>IF(AE438=1,X430,IF(AE438=2,X431,IF(AE438=3,X432,IF(AE438=4,X433,"Winner Match 2"))))</f>
        <v>SC Midlands 15 Perf</v>
      </c>
      <c r="AC423" s="238"/>
      <c r="AD423" s="238"/>
      <c r="AE423" s="238"/>
      <c r="AF423" s="238"/>
      <c r="AG423" s="238"/>
      <c r="AH423" s="238"/>
      <c r="AW423" s="81"/>
      <c r="AX423" s="77"/>
      <c r="AY423" s="77"/>
      <c r="AZ423" s="77"/>
      <c r="BA423" s="77"/>
    </row>
    <row r="424" spans="1:53" ht="13.5" thickBot="1" x14ac:dyDescent="0.25">
      <c r="A424" s="225" t="str">
        <f>IF(G438=1,B430,IF(G438=2,B431,IF(G438=3,B432,IF(G438=4,B433,IF(OR(G438="B",G438="b"),"BYE","invalid")))))</f>
        <v>Intense 15 Elite Rock Hil</v>
      </c>
      <c r="B424" s="225"/>
      <c r="C424" s="225"/>
      <c r="D424" s="225"/>
      <c r="E424" s="226"/>
      <c r="F424" s="105"/>
      <c r="G424" s="103"/>
      <c r="H424" s="103"/>
      <c r="I424" s="103"/>
      <c r="J424" s="103"/>
      <c r="K424" s="103"/>
      <c r="L424" s="103"/>
      <c r="M424" s="103"/>
      <c r="N424" s="103"/>
      <c r="P424" s="103"/>
      <c r="Q424" s="103"/>
      <c r="R424" s="103"/>
      <c r="S424" s="118"/>
      <c r="T424" s="118"/>
      <c r="U424" s="225" t="str">
        <f>IF(AB438=1,X430,IF(AB438=2,X431,IF(AB438=3,X432,IF(AB438=4,X433,IF(OR(AB438="B",AB438="b"),"BYE","invalid")))))</f>
        <v>Kershaw 15 Black</v>
      </c>
      <c r="V424" s="225"/>
      <c r="W424" s="225"/>
      <c r="X424" s="225"/>
      <c r="Y424" s="225"/>
      <c r="Z424" s="225"/>
      <c r="AA424" s="226"/>
      <c r="AB424" s="103"/>
      <c r="AC424" s="103"/>
      <c r="AD424" s="103"/>
      <c r="AE424" s="103"/>
      <c r="AW424" s="81"/>
      <c r="AX424" s="77"/>
      <c r="AY424" s="77"/>
      <c r="AZ424" s="77"/>
      <c r="BA424" s="77"/>
    </row>
    <row r="425" spans="1:53" x14ac:dyDescent="0.2">
      <c r="A425" s="227" t="s">
        <v>232</v>
      </c>
      <c r="B425" s="227"/>
      <c r="C425" s="227"/>
      <c r="D425" s="227"/>
      <c r="E425" s="227"/>
      <c r="S425" s="116"/>
      <c r="T425" s="116"/>
      <c r="U425" s="228" t="s">
        <v>233</v>
      </c>
      <c r="V425" s="228"/>
      <c r="W425" s="228"/>
      <c r="X425" s="228"/>
      <c r="Y425" s="228"/>
      <c r="Z425" s="228"/>
      <c r="AA425" s="228"/>
      <c r="AW425" s="81"/>
      <c r="AX425" s="77"/>
      <c r="AY425" s="77"/>
      <c r="AZ425" s="77"/>
      <c r="BA425" s="77"/>
    </row>
    <row r="426" spans="1:53" x14ac:dyDescent="0.2">
      <c r="A426" s="453"/>
      <c r="B426" s="453"/>
      <c r="C426" s="453"/>
      <c r="D426" s="453"/>
      <c r="E426" s="453"/>
      <c r="AW426" s="88"/>
      <c r="AX426" s="87"/>
      <c r="AY426" s="87"/>
      <c r="AZ426" s="87"/>
      <c r="BA426" s="87"/>
    </row>
    <row r="427" spans="1:53" x14ac:dyDescent="0.2">
      <c r="AW427" s="94"/>
      <c r="AX427" s="93"/>
      <c r="AY427" s="93"/>
      <c r="AZ427" s="93"/>
      <c r="BA427" s="93"/>
    </row>
    <row r="428" spans="1:53" ht="16.5" thickBot="1" x14ac:dyDescent="0.3">
      <c r="A428" s="229" t="s">
        <v>234</v>
      </c>
      <c r="B428" s="229"/>
      <c r="C428" s="229"/>
      <c r="D428" s="229"/>
      <c r="E428" s="229"/>
      <c r="F428" s="229"/>
      <c r="G428" s="229"/>
      <c r="H428" s="229"/>
      <c r="I428" s="229"/>
      <c r="J428" s="229"/>
      <c r="Q428" s="125"/>
      <c r="R428" s="125"/>
      <c r="S428" s="125"/>
      <c r="U428" s="229" t="s">
        <v>235</v>
      </c>
      <c r="V428" s="229"/>
      <c r="W428" s="229"/>
      <c r="X428" s="229"/>
      <c r="Y428" s="229"/>
      <c r="Z428" s="229"/>
      <c r="AA428" s="229"/>
      <c r="AB428" s="229"/>
      <c r="AC428" s="229"/>
      <c r="AD428" s="229"/>
      <c r="AE428" s="229"/>
      <c r="AF428" s="229"/>
      <c r="AW428" s="94"/>
      <c r="AX428" s="93"/>
      <c r="AY428" s="93"/>
      <c r="AZ428" s="93"/>
      <c r="BA428" s="93"/>
    </row>
    <row r="429" spans="1:53" ht="13.5" thickBot="1" x14ac:dyDescent="0.25">
      <c r="A429" s="126" t="s">
        <v>147</v>
      </c>
      <c r="B429" s="219" t="s">
        <v>148</v>
      </c>
      <c r="C429" s="220"/>
      <c r="D429" s="220"/>
      <c r="E429" s="220"/>
      <c r="F429" s="220"/>
      <c r="G429" s="220"/>
      <c r="H429" s="220"/>
      <c r="I429" s="220"/>
      <c r="J429" s="221"/>
      <c r="K429" s="222" t="s">
        <v>149</v>
      </c>
      <c r="L429" s="223"/>
      <c r="M429" s="223"/>
      <c r="N429" s="223"/>
      <c r="O429" s="223"/>
      <c r="P429" s="223"/>
      <c r="Q429" s="224"/>
      <c r="U429" s="207" t="s">
        <v>147</v>
      </c>
      <c r="V429" s="208"/>
      <c r="W429" s="209"/>
      <c r="X429" s="219" t="s">
        <v>148</v>
      </c>
      <c r="Y429" s="220"/>
      <c r="Z429" s="220"/>
      <c r="AA429" s="220"/>
      <c r="AB429" s="220"/>
      <c r="AC429" s="220"/>
      <c r="AD429" s="220"/>
      <c r="AE429" s="220"/>
      <c r="AF429" s="221"/>
      <c r="AG429" s="222" t="s">
        <v>149</v>
      </c>
      <c r="AH429" s="223"/>
      <c r="AI429" s="223"/>
      <c r="AJ429" s="223"/>
      <c r="AK429" s="223"/>
      <c r="AL429" s="223"/>
      <c r="AM429" s="224"/>
      <c r="AW429" s="81"/>
      <c r="AX429" s="77"/>
      <c r="AY429" s="77"/>
      <c r="AZ429" s="77"/>
      <c r="BA429" s="77"/>
    </row>
    <row r="430" spans="1:53" ht="13.5" thickBot="1" x14ac:dyDescent="0.25">
      <c r="A430" s="126">
        <v>1</v>
      </c>
      <c r="B430" s="201" t="str">
        <f>V349</f>
        <v>Emerald City 15-Power</v>
      </c>
      <c r="C430" s="202"/>
      <c r="D430" s="202"/>
      <c r="E430" s="202"/>
      <c r="F430" s="202"/>
      <c r="G430" s="202"/>
      <c r="H430" s="202"/>
      <c r="I430" s="202"/>
      <c r="J430" s="203"/>
      <c r="K430" s="204" t="str">
        <f>AB349</f>
        <v>fj5ecity1pm</v>
      </c>
      <c r="L430" s="205"/>
      <c r="M430" s="205"/>
      <c r="N430" s="205"/>
      <c r="O430" s="205"/>
      <c r="P430" s="205"/>
      <c r="Q430" s="206"/>
      <c r="U430" s="207">
        <v>1</v>
      </c>
      <c r="V430" s="208"/>
      <c r="W430" s="209"/>
      <c r="X430" s="201" t="str">
        <f>AF349</f>
        <v>CSRA Heat 15 Gold</v>
      </c>
      <c r="Y430" s="202"/>
      <c r="Z430" s="202"/>
      <c r="AA430" s="202"/>
      <c r="AB430" s="202"/>
      <c r="AC430" s="202"/>
      <c r="AD430" s="202"/>
      <c r="AE430" s="202"/>
      <c r="AF430" s="203"/>
      <c r="AG430" s="204" t="str">
        <f>AL349</f>
        <v>fj5csrah2pm</v>
      </c>
      <c r="AH430" s="205"/>
      <c r="AI430" s="205"/>
      <c r="AJ430" s="205"/>
      <c r="AK430" s="205"/>
      <c r="AL430" s="205"/>
      <c r="AM430" s="206"/>
      <c r="AW430" s="81"/>
      <c r="AX430" s="77"/>
      <c r="AY430" s="77"/>
      <c r="AZ430" s="77"/>
      <c r="BA430" s="77"/>
    </row>
    <row r="431" spans="1:53" ht="13.5" thickBot="1" x14ac:dyDescent="0.25">
      <c r="A431" s="126">
        <v>2</v>
      </c>
      <c r="B431" s="201" t="str">
        <f>V350</f>
        <v>Beaufort 15 Pink</v>
      </c>
      <c r="C431" s="202"/>
      <c r="D431" s="202"/>
      <c r="E431" s="202"/>
      <c r="F431" s="202"/>
      <c r="G431" s="202"/>
      <c r="H431" s="202"/>
      <c r="I431" s="202"/>
      <c r="J431" s="203"/>
      <c r="K431" s="204" t="str">
        <f>AB350</f>
        <v>fj5beauf2pm</v>
      </c>
      <c r="L431" s="205"/>
      <c r="M431" s="205"/>
      <c r="N431" s="205"/>
      <c r="O431" s="205"/>
      <c r="P431" s="205"/>
      <c r="Q431" s="206"/>
      <c r="U431" s="207">
        <v>2</v>
      </c>
      <c r="V431" s="208"/>
      <c r="W431" s="209"/>
      <c r="X431" s="201" t="str">
        <f>AF350</f>
        <v>SC Midlands 15 Perf</v>
      </c>
      <c r="Y431" s="202"/>
      <c r="Z431" s="202"/>
      <c r="AA431" s="202"/>
      <c r="AB431" s="202"/>
      <c r="AC431" s="202"/>
      <c r="AD431" s="202"/>
      <c r="AE431" s="202"/>
      <c r="AF431" s="203"/>
      <c r="AG431" s="204" t="str">
        <f>AL350</f>
        <v>fj5scmid2pm</v>
      </c>
      <c r="AH431" s="205"/>
      <c r="AI431" s="205"/>
      <c r="AJ431" s="205"/>
      <c r="AK431" s="205"/>
      <c r="AL431" s="205"/>
      <c r="AM431" s="206"/>
    </row>
    <row r="432" spans="1:53" ht="13.5" thickBot="1" x14ac:dyDescent="0.25">
      <c r="A432" s="126">
        <v>3</v>
      </c>
      <c r="B432" s="201" t="str">
        <f>V351</f>
        <v>Intense 15 Elite Rock Hil</v>
      </c>
      <c r="C432" s="202"/>
      <c r="D432" s="202"/>
      <c r="E432" s="202"/>
      <c r="F432" s="202"/>
      <c r="G432" s="202"/>
      <c r="H432" s="202"/>
      <c r="I432" s="202"/>
      <c r="J432" s="203"/>
      <c r="K432" s="204" t="str">
        <f>AB351</f>
        <v>fj5inten3pm</v>
      </c>
      <c r="L432" s="205"/>
      <c r="M432" s="205"/>
      <c r="N432" s="205"/>
      <c r="O432" s="205"/>
      <c r="P432" s="205"/>
      <c r="Q432" s="206"/>
      <c r="U432" s="207">
        <v>3</v>
      </c>
      <c r="V432" s="208"/>
      <c r="W432" s="209"/>
      <c r="X432" s="201" t="str">
        <f>AF351</f>
        <v>Kershaw 15 Black</v>
      </c>
      <c r="Y432" s="202"/>
      <c r="Z432" s="202"/>
      <c r="AA432" s="202"/>
      <c r="AB432" s="202"/>
      <c r="AC432" s="202"/>
      <c r="AD432" s="202"/>
      <c r="AE432" s="202"/>
      <c r="AF432" s="203"/>
      <c r="AG432" s="204" t="str">
        <f>AL351</f>
        <v>fj5kersh1pm</v>
      </c>
      <c r="AH432" s="205"/>
      <c r="AI432" s="205"/>
      <c r="AJ432" s="205"/>
      <c r="AK432" s="205"/>
      <c r="AL432" s="205"/>
      <c r="AM432" s="206"/>
    </row>
    <row r="433" spans="1:65" ht="13.5" thickBot="1" x14ac:dyDescent="0.25">
      <c r="A433" s="126">
        <v>4</v>
      </c>
      <c r="B433" s="201" t="str">
        <f>V352</f>
        <v>Intense 15 Elite Columbia</v>
      </c>
      <c r="C433" s="202"/>
      <c r="D433" s="202"/>
      <c r="E433" s="202"/>
      <c r="F433" s="202"/>
      <c r="G433" s="202"/>
      <c r="H433" s="202"/>
      <c r="I433" s="202"/>
      <c r="J433" s="203"/>
      <c r="K433" s="204" t="str">
        <f>AB352</f>
        <v>fj5inten2pm</v>
      </c>
      <c r="L433" s="205"/>
      <c r="M433" s="205"/>
      <c r="N433" s="205"/>
      <c r="O433" s="205"/>
      <c r="P433" s="205"/>
      <c r="Q433" s="206"/>
      <c r="U433" s="207">
        <v>4</v>
      </c>
      <c r="V433" s="208"/>
      <c r="W433" s="209"/>
      <c r="X433" s="201" t="str">
        <f>AF352</f>
        <v>C1VB 15 Power Pickens</v>
      </c>
      <c r="Y433" s="202"/>
      <c r="Z433" s="202"/>
      <c r="AA433" s="202"/>
      <c r="AB433" s="202"/>
      <c r="AC433" s="202"/>
      <c r="AD433" s="202"/>
      <c r="AE433" s="202"/>
      <c r="AF433" s="203"/>
      <c r="AG433" s="204" t="str">
        <f>AL352</f>
        <v>fj5crone4pm</v>
      </c>
      <c r="AH433" s="205"/>
      <c r="AI433" s="205"/>
      <c r="AJ433" s="205"/>
      <c r="AK433" s="205"/>
      <c r="AL433" s="205"/>
      <c r="AM433" s="206"/>
    </row>
    <row r="434" spans="1:65" ht="13.5" thickBot="1" x14ac:dyDescent="0.25"/>
    <row r="435" spans="1:65" x14ac:dyDescent="0.2">
      <c r="B435" s="210" t="s">
        <v>150</v>
      </c>
      <c r="C435" s="182"/>
      <c r="D435" s="183"/>
      <c r="E435" s="181" t="s">
        <v>150</v>
      </c>
      <c r="F435" s="182"/>
      <c r="G435" s="183"/>
      <c r="H435" s="181" t="s">
        <v>14</v>
      </c>
      <c r="I435" s="182"/>
      <c r="J435" s="184"/>
      <c r="K435" s="185" t="s">
        <v>151</v>
      </c>
      <c r="L435" s="211"/>
      <c r="M435" s="211"/>
      <c r="N435" s="211"/>
      <c r="O435" s="211"/>
      <c r="P435" s="211"/>
      <c r="Q435" s="212"/>
      <c r="R435" s="127"/>
      <c r="S435" s="127"/>
      <c r="T435" s="127"/>
      <c r="U435" s="127"/>
      <c r="W435" s="210" t="s">
        <v>150</v>
      </c>
      <c r="X435" s="182"/>
      <c r="Y435" s="183"/>
      <c r="Z435" s="181" t="s">
        <v>150</v>
      </c>
      <c r="AA435" s="182"/>
      <c r="AB435" s="183"/>
      <c r="AC435" s="181" t="s">
        <v>14</v>
      </c>
      <c r="AD435" s="182"/>
      <c r="AE435" s="184"/>
      <c r="AF435" s="185" t="s">
        <v>151</v>
      </c>
      <c r="AG435" s="186"/>
      <c r="AH435" s="186"/>
      <c r="AI435" s="186"/>
      <c r="AJ435" s="187"/>
    </row>
    <row r="436" spans="1:65" x14ac:dyDescent="0.2">
      <c r="A436" s="56" t="s">
        <v>152</v>
      </c>
      <c r="B436" s="194">
        <v>3</v>
      </c>
      <c r="C436" s="195"/>
      <c r="D436" s="196"/>
      <c r="E436" s="197" t="s">
        <v>153</v>
      </c>
      <c r="F436" s="195"/>
      <c r="G436" s="196"/>
      <c r="H436" s="197" t="s">
        <v>154</v>
      </c>
      <c r="I436" s="195"/>
      <c r="J436" s="198"/>
      <c r="K436" s="213"/>
      <c r="L436" s="214"/>
      <c r="M436" s="214"/>
      <c r="N436" s="214"/>
      <c r="O436" s="214"/>
      <c r="P436" s="214"/>
      <c r="Q436" s="215"/>
      <c r="R436" s="127"/>
      <c r="S436" s="127"/>
      <c r="T436" s="199" t="s">
        <v>152</v>
      </c>
      <c r="U436" s="199"/>
      <c r="V436" s="200"/>
      <c r="W436" s="194">
        <v>3</v>
      </c>
      <c r="X436" s="195"/>
      <c r="Y436" s="196"/>
      <c r="Z436" s="197" t="s">
        <v>153</v>
      </c>
      <c r="AA436" s="195"/>
      <c r="AB436" s="196"/>
      <c r="AC436" s="197" t="s">
        <v>154</v>
      </c>
      <c r="AD436" s="195"/>
      <c r="AE436" s="198"/>
      <c r="AF436" s="188"/>
      <c r="AG436" s="189"/>
      <c r="AH436" s="189"/>
      <c r="AI436" s="189"/>
      <c r="AJ436" s="190"/>
    </row>
    <row r="437" spans="1:65" ht="13.5" thickBot="1" x14ac:dyDescent="0.25">
      <c r="A437" s="8"/>
      <c r="B437" s="179" t="s">
        <v>64</v>
      </c>
      <c r="C437" s="174"/>
      <c r="D437" s="180"/>
      <c r="E437" s="173" t="s">
        <v>155</v>
      </c>
      <c r="F437" s="174"/>
      <c r="G437" s="180"/>
      <c r="H437" s="173" t="s">
        <v>156</v>
      </c>
      <c r="I437" s="174"/>
      <c r="J437" s="175"/>
      <c r="K437" s="216"/>
      <c r="L437" s="217"/>
      <c r="M437" s="217"/>
      <c r="N437" s="217"/>
      <c r="O437" s="217"/>
      <c r="P437" s="217"/>
      <c r="Q437" s="218"/>
      <c r="R437" s="127"/>
      <c r="S437" s="127"/>
      <c r="T437" s="160"/>
      <c r="U437" s="160"/>
      <c r="V437" s="161"/>
      <c r="W437" s="179" t="s">
        <v>64</v>
      </c>
      <c r="X437" s="174"/>
      <c r="Y437" s="180"/>
      <c r="Z437" s="173" t="s">
        <v>155</v>
      </c>
      <c r="AA437" s="174"/>
      <c r="AB437" s="180"/>
      <c r="AC437" s="173" t="s">
        <v>156</v>
      </c>
      <c r="AD437" s="174"/>
      <c r="AE437" s="175"/>
      <c r="AF437" s="191"/>
      <c r="AG437" s="192"/>
      <c r="AH437" s="192"/>
      <c r="AI437" s="192"/>
      <c r="AJ437" s="193"/>
    </row>
    <row r="438" spans="1:65" ht="13.5" thickBot="1" x14ac:dyDescent="0.25">
      <c r="A438" s="8"/>
      <c r="B438" s="128">
        <v>1</v>
      </c>
      <c r="C438" s="129" t="s">
        <v>72</v>
      </c>
      <c r="D438" s="130">
        <v>4</v>
      </c>
      <c r="E438" s="131">
        <v>2</v>
      </c>
      <c r="F438" s="129" t="s">
        <v>72</v>
      </c>
      <c r="G438" s="130">
        <v>3</v>
      </c>
      <c r="H438" s="132">
        <f>IF(OR(AND(OR(B442&gt;0,D442&gt;0),B442&gt;D442),OR(D438="b",D438="B")),B438,IF(OR(AND(OR(B442&gt;0,D442&gt;0),D442&gt;B442),OR(B438="b",B438="B")),D438,"W1"))</f>
        <v>4</v>
      </c>
      <c r="I438" s="133" t="s">
        <v>72</v>
      </c>
      <c r="J438" s="134">
        <f>IF(OR(AND(OR(E442&gt;0,G442&gt;0),E442&gt;G442),OR(G438="b",G438="B")),E438,IF(OR(AND(OR(E442&gt;0,G442&gt;0),G442&gt;E442),OR(E438="b",E438="B")),G438,"W2"))</f>
        <v>2</v>
      </c>
      <c r="K438" s="176" t="s">
        <v>157</v>
      </c>
      <c r="L438" s="177"/>
      <c r="M438" s="177"/>
      <c r="N438" s="178"/>
      <c r="R438" s="127"/>
      <c r="S438" s="127"/>
      <c r="T438" s="160"/>
      <c r="U438" s="160"/>
      <c r="V438" s="161"/>
      <c r="W438" s="128">
        <v>1</v>
      </c>
      <c r="X438" s="129" t="s">
        <v>72</v>
      </c>
      <c r="Y438" s="130">
        <v>4</v>
      </c>
      <c r="Z438" s="131">
        <v>2</v>
      </c>
      <c r="AA438" s="129" t="s">
        <v>72</v>
      </c>
      <c r="AB438" s="130">
        <v>3</v>
      </c>
      <c r="AC438" s="132">
        <f>IF(OR(AND(OR(W442&gt;0,Y442&gt;0),W442&gt;Y442),OR(Y438="b",Y438="B")),W438,IF(OR(AND(OR(W442&gt;0,Y442&gt;0),Y442&gt;W442),OR(W438="b",W438="B")),Y438,"W1"))</f>
        <v>4</v>
      </c>
      <c r="AD438" s="133" t="s">
        <v>72</v>
      </c>
      <c r="AE438" s="134">
        <f>IF(OR(AND(OR(Z442&gt;0,AB442&gt;0),Z442&gt;AB442),OR(AB438="b",AB438="B")),Z438,IF(OR(AND(OR(Z442&gt;0,AB442&gt;0),AB442&gt;Z442),OR(Z438="b",Z438="B")),AB438,"W2"))</f>
        <v>2</v>
      </c>
      <c r="AF438" s="176" t="s">
        <v>157</v>
      </c>
      <c r="AG438" s="178"/>
      <c r="AH438" s="127"/>
      <c r="AI438" s="127"/>
      <c r="AJ438" s="127"/>
    </row>
    <row r="439" spans="1:65" ht="13.5" hidden="1" customHeight="1" x14ac:dyDescent="0.2">
      <c r="A439" s="8"/>
      <c r="B439" s="135">
        <f>IF(B443&gt;D443,1,0)</f>
        <v>0</v>
      </c>
      <c r="C439" s="136"/>
      <c r="D439" s="137">
        <f>IF(D443&gt;B443,1,0)</f>
        <v>1</v>
      </c>
      <c r="E439" s="135">
        <f>IF(E443&gt;G443,1,0)</f>
        <v>1</v>
      </c>
      <c r="F439" s="136"/>
      <c r="G439" s="137">
        <f>IF(G443&gt;E443,1,0)</f>
        <v>0</v>
      </c>
      <c r="H439" s="135">
        <f>IF(H443&gt;J443,1,0)</f>
        <v>0</v>
      </c>
      <c r="I439" s="136"/>
      <c r="J439" s="137">
        <f>IF(J443&gt;H443,1,0)</f>
        <v>1</v>
      </c>
      <c r="K439" s="138"/>
      <c r="L439" s="139"/>
      <c r="M439" s="139"/>
      <c r="N439" s="140"/>
      <c r="R439" s="127"/>
      <c r="S439" s="127"/>
      <c r="T439" s="160"/>
      <c r="U439" s="160"/>
      <c r="V439" s="161"/>
      <c r="W439" s="135">
        <f>IF(W443&gt;Y443,1,0)</f>
        <v>0</v>
      </c>
      <c r="X439" s="136"/>
      <c r="Y439" s="137">
        <f>IF(Y443&gt;W443,1,0)</f>
        <v>1</v>
      </c>
      <c r="Z439" s="135">
        <f>IF(Z443&gt;AB443,1,0)</f>
        <v>1</v>
      </c>
      <c r="AA439" s="136"/>
      <c r="AB439" s="137">
        <f>IF(AB443&gt;Z443,1,0)</f>
        <v>0</v>
      </c>
      <c r="AC439" s="135">
        <f>IF(AC443&gt;AE443,1,0)</f>
        <v>1</v>
      </c>
      <c r="AD439" s="136"/>
      <c r="AE439" s="137">
        <f>IF(AE443&gt;AC443,1,0)</f>
        <v>0</v>
      </c>
      <c r="AF439" s="141"/>
      <c r="AG439" s="142"/>
      <c r="AH439" s="127"/>
      <c r="AI439" s="127"/>
      <c r="AJ439" s="127"/>
    </row>
    <row r="440" spans="1:65" ht="13.5" hidden="1" customHeight="1" x14ac:dyDescent="0.2">
      <c r="A440" s="8"/>
      <c r="B440" s="135">
        <f>IF(B444&gt;D444,1,0)</f>
        <v>0</v>
      </c>
      <c r="C440" s="136"/>
      <c r="D440" s="137">
        <f>IF(D444&gt;B444,1,0)</f>
        <v>1</v>
      </c>
      <c r="E440" s="135">
        <f>IF(E444&gt;G444,1,0)</f>
        <v>1</v>
      </c>
      <c r="F440" s="136"/>
      <c r="G440" s="137">
        <f>IF(G444&gt;E444,1,0)</f>
        <v>0</v>
      </c>
      <c r="H440" s="135">
        <f>IF(H444&gt;J444,1,0)</f>
        <v>1</v>
      </c>
      <c r="I440" s="136"/>
      <c r="J440" s="137">
        <f>IF(J444&gt;H444,1,0)</f>
        <v>0</v>
      </c>
      <c r="K440" s="138"/>
      <c r="L440" s="139"/>
      <c r="M440" s="139"/>
      <c r="N440" s="140"/>
      <c r="R440" s="127"/>
      <c r="S440" s="127"/>
      <c r="T440" s="160"/>
      <c r="U440" s="160"/>
      <c r="V440" s="161"/>
      <c r="W440" s="135">
        <f>IF(W444&gt;Y444,1,0)</f>
        <v>1</v>
      </c>
      <c r="X440" s="136"/>
      <c r="Y440" s="137">
        <f>IF(Y444&gt;W444,1,0)</f>
        <v>0</v>
      </c>
      <c r="Z440" s="135">
        <f>IF(Z444&gt;AB444,1,0)</f>
        <v>0</v>
      </c>
      <c r="AA440" s="136"/>
      <c r="AB440" s="137">
        <f>IF(AB444&gt;Z444,1,0)</f>
        <v>1</v>
      </c>
      <c r="AC440" s="135">
        <f>IF(AC444&gt;AE444,1,0)</f>
        <v>1</v>
      </c>
      <c r="AD440" s="136"/>
      <c r="AE440" s="137">
        <f>IF(AE444&gt;AC444,1,0)</f>
        <v>0</v>
      </c>
      <c r="AF440" s="141"/>
      <c r="AG440" s="142"/>
      <c r="AH440" s="127"/>
      <c r="AI440" s="127"/>
      <c r="AJ440" s="127"/>
    </row>
    <row r="441" spans="1:65" ht="13.5" hidden="1" customHeight="1" thickBot="1" x14ac:dyDescent="0.25">
      <c r="A441" s="8"/>
      <c r="B441" s="135">
        <f>IF(B445&gt;D445,1,0)</f>
        <v>0</v>
      </c>
      <c r="C441" s="136"/>
      <c r="D441" s="137">
        <f>IF(D445&gt;B445,1,0)</f>
        <v>0</v>
      </c>
      <c r="E441" s="135">
        <f>IF(E445&gt;G445,1,0)</f>
        <v>0</v>
      </c>
      <c r="F441" s="136"/>
      <c r="G441" s="137">
        <f>IF(G445&gt;E445,1,0)</f>
        <v>0</v>
      </c>
      <c r="H441" s="135">
        <f>IF(H445&gt;J445,1,0)</f>
        <v>1</v>
      </c>
      <c r="I441" s="136"/>
      <c r="J441" s="137">
        <f>IF(J445&gt;H445,1,0)</f>
        <v>0</v>
      </c>
      <c r="K441" s="138"/>
      <c r="L441" s="139"/>
      <c r="M441" s="139"/>
      <c r="N441" s="140"/>
      <c r="R441" s="127"/>
      <c r="S441" s="127"/>
      <c r="T441" s="160"/>
      <c r="U441" s="160"/>
      <c r="V441" s="161"/>
      <c r="W441" s="135">
        <f>IF(W445&gt;Y445,1,0)</f>
        <v>0</v>
      </c>
      <c r="X441" s="136"/>
      <c r="Y441" s="137">
        <f>IF(Y445&gt;W445,1,0)</f>
        <v>1</v>
      </c>
      <c r="Z441" s="135">
        <f>IF(Z445&gt;AB445,1,0)</f>
        <v>1</v>
      </c>
      <c r="AA441" s="136"/>
      <c r="AB441" s="137">
        <f>IF(AB445&gt;Z445,1,0)</f>
        <v>0</v>
      </c>
      <c r="AC441" s="135">
        <f>IF(AC445&gt;AE445,1,0)</f>
        <v>0</v>
      </c>
      <c r="AD441" s="136"/>
      <c r="AE441" s="137">
        <f>IF(AE445&gt;AC445,1,0)</f>
        <v>0</v>
      </c>
      <c r="AF441" s="141"/>
      <c r="AG441" s="142"/>
      <c r="AH441" s="127"/>
      <c r="AI441" s="127"/>
      <c r="AJ441" s="127"/>
    </row>
    <row r="442" spans="1:65" ht="13.5" hidden="1" customHeight="1" x14ac:dyDescent="0.2">
      <c r="A442" s="8"/>
      <c r="B442" s="135">
        <f>SUM(B439:B441)</f>
        <v>0</v>
      </c>
      <c r="C442" s="136"/>
      <c r="D442" s="135">
        <f>SUM(D439:D441)</f>
        <v>2</v>
      </c>
      <c r="E442" s="135">
        <f>SUM(E439:E441)</f>
        <v>2</v>
      </c>
      <c r="F442" s="136"/>
      <c r="G442" s="135">
        <f>SUM(G439:G441)</f>
        <v>0</v>
      </c>
      <c r="H442" s="135">
        <f>SUM(H439:H441)</f>
        <v>2</v>
      </c>
      <c r="I442" s="136"/>
      <c r="J442" s="135">
        <f>SUM(J439:J441)</f>
        <v>1</v>
      </c>
      <c r="K442" s="138"/>
      <c r="L442" s="139"/>
      <c r="M442" s="139"/>
      <c r="N442" s="140"/>
      <c r="R442" s="127"/>
      <c r="S442" s="127"/>
      <c r="T442" s="160"/>
      <c r="U442" s="160"/>
      <c r="V442" s="161"/>
      <c r="W442" s="135">
        <f>SUM(W439:W441)</f>
        <v>1</v>
      </c>
      <c r="X442" s="136"/>
      <c r="Y442" s="135">
        <f>SUM(Y439:Y441)</f>
        <v>2</v>
      </c>
      <c r="Z442" s="135">
        <f>SUM(Z439:Z441)</f>
        <v>2</v>
      </c>
      <c r="AA442" s="136"/>
      <c r="AB442" s="135">
        <f>SUM(AB439:AB441)</f>
        <v>1</v>
      </c>
      <c r="AC442" s="135">
        <f>SUM(AC439:AC441)</f>
        <v>2</v>
      </c>
      <c r="AD442" s="136"/>
      <c r="AE442" s="135">
        <f>SUM(AE439:AE441)</f>
        <v>0</v>
      </c>
      <c r="AF442" s="141"/>
      <c r="AG442" s="142"/>
      <c r="AH442" s="127"/>
      <c r="AI442" s="127"/>
      <c r="AJ442" s="127"/>
    </row>
    <row r="443" spans="1:65" ht="12.75" customHeight="1" x14ac:dyDescent="0.2">
      <c r="A443" s="6" t="s">
        <v>73</v>
      </c>
      <c r="B443" s="143">
        <v>13</v>
      </c>
      <c r="C443" s="66" t="s">
        <v>74</v>
      </c>
      <c r="D443" s="144">
        <v>25</v>
      </c>
      <c r="E443" s="145">
        <v>25</v>
      </c>
      <c r="F443" s="66" t="s">
        <v>74</v>
      </c>
      <c r="G443" s="144">
        <v>22</v>
      </c>
      <c r="H443" s="145">
        <v>16</v>
      </c>
      <c r="I443" s="66" t="s">
        <v>74</v>
      </c>
      <c r="J443" s="146">
        <v>25</v>
      </c>
      <c r="K443" s="162">
        <f>IF(AND(OR(H442&gt;0,J442&gt;0),AND(1&lt;=H438,H438&lt;=4),AND(1&lt;=J438,J438&lt;=4)),IF(H442&gt;J442,H438,IF(J442&gt;H442,J438,"")),"")</f>
        <v>4</v>
      </c>
      <c r="L443" s="163"/>
      <c r="M443" s="163"/>
      <c r="N443" s="164"/>
      <c r="R443" s="127"/>
      <c r="S443" s="127"/>
      <c r="T443" s="147"/>
      <c r="U443" s="147"/>
      <c r="V443" s="6" t="s">
        <v>73</v>
      </c>
      <c r="W443" s="143">
        <v>20</v>
      </c>
      <c r="X443" s="66" t="s">
        <v>74</v>
      </c>
      <c r="Y443" s="144">
        <v>25</v>
      </c>
      <c r="Z443" s="145">
        <v>25</v>
      </c>
      <c r="AA443" s="66" t="s">
        <v>74</v>
      </c>
      <c r="AB443" s="144">
        <v>23</v>
      </c>
      <c r="AC443" s="145">
        <v>25</v>
      </c>
      <c r="AD443" s="66" t="s">
        <v>74</v>
      </c>
      <c r="AE443" s="146">
        <v>21</v>
      </c>
      <c r="AF443" s="162">
        <f>IF(AND(OR(AC442&gt;0,AE442&gt;0),AND(1&lt;=AC438,AC438&lt;=4),AND(1&lt;=AE438,AE438&lt;=4)),IF(AC442&gt;AE442,AC438,IF(AE442&gt;AC442,AE438,"")),"")</f>
        <v>4</v>
      </c>
      <c r="AG443" s="164"/>
      <c r="AH443" s="127"/>
      <c r="AI443" s="127"/>
      <c r="AJ443" s="127"/>
    </row>
    <row r="444" spans="1:65" ht="12.75" customHeight="1" x14ac:dyDescent="0.2">
      <c r="A444" s="6" t="s">
        <v>158</v>
      </c>
      <c r="B444" s="143">
        <v>16</v>
      </c>
      <c r="C444" s="66" t="s">
        <v>74</v>
      </c>
      <c r="D444" s="144">
        <v>25</v>
      </c>
      <c r="E444" s="145">
        <v>25</v>
      </c>
      <c r="F444" s="66" t="s">
        <v>74</v>
      </c>
      <c r="G444" s="144">
        <v>15</v>
      </c>
      <c r="H444" s="145">
        <v>25</v>
      </c>
      <c r="I444" s="66" t="s">
        <v>74</v>
      </c>
      <c r="J444" s="146">
        <v>21</v>
      </c>
      <c r="K444" s="165"/>
      <c r="L444" s="166"/>
      <c r="M444" s="166"/>
      <c r="N444" s="167"/>
      <c r="R444" s="127"/>
      <c r="S444" s="127"/>
      <c r="T444" s="147"/>
      <c r="U444" s="147"/>
      <c r="V444" s="6" t="s">
        <v>158</v>
      </c>
      <c r="W444" s="143">
        <v>25</v>
      </c>
      <c r="X444" s="66" t="s">
        <v>74</v>
      </c>
      <c r="Y444" s="144">
        <v>17</v>
      </c>
      <c r="Z444" s="145">
        <v>23</v>
      </c>
      <c r="AA444" s="66" t="s">
        <v>74</v>
      </c>
      <c r="AB444" s="144">
        <v>25</v>
      </c>
      <c r="AC444" s="145">
        <v>25</v>
      </c>
      <c r="AD444" s="66" t="s">
        <v>74</v>
      </c>
      <c r="AE444" s="146">
        <v>20</v>
      </c>
      <c r="AF444" s="165"/>
      <c r="AG444" s="167"/>
      <c r="AH444" s="127"/>
      <c r="AI444" s="127"/>
      <c r="AJ444" s="127"/>
    </row>
    <row r="445" spans="1:65" ht="13.5" customHeight="1" thickBot="1" x14ac:dyDescent="0.25">
      <c r="A445" s="6" t="s">
        <v>159</v>
      </c>
      <c r="B445" s="148"/>
      <c r="C445" s="149" t="s">
        <v>74</v>
      </c>
      <c r="D445" s="150"/>
      <c r="E445" s="151"/>
      <c r="F445" s="149" t="s">
        <v>74</v>
      </c>
      <c r="G445" s="150"/>
      <c r="H445" s="151">
        <v>15</v>
      </c>
      <c r="I445" s="149" t="s">
        <v>74</v>
      </c>
      <c r="J445" s="152">
        <v>11</v>
      </c>
      <c r="K445" s="168"/>
      <c r="L445" s="169"/>
      <c r="M445" s="169"/>
      <c r="N445" s="170"/>
      <c r="R445" s="127"/>
      <c r="S445" s="127"/>
      <c r="T445" s="147"/>
      <c r="U445" s="147"/>
      <c r="V445" s="6" t="s">
        <v>159</v>
      </c>
      <c r="W445" s="148">
        <v>8</v>
      </c>
      <c r="X445" s="149" t="s">
        <v>74</v>
      </c>
      <c r="Y445" s="150">
        <v>15</v>
      </c>
      <c r="Z445" s="151">
        <v>15</v>
      </c>
      <c r="AA445" s="149" t="s">
        <v>74</v>
      </c>
      <c r="AB445" s="150">
        <v>8</v>
      </c>
      <c r="AC445" s="151"/>
      <c r="AD445" s="149" t="s">
        <v>74</v>
      </c>
      <c r="AE445" s="152"/>
      <c r="AF445" s="168"/>
      <c r="AG445" s="170"/>
      <c r="AH445" s="127"/>
      <c r="AI445" s="127"/>
      <c r="AJ445" s="127"/>
    </row>
    <row r="446" spans="1:65" hidden="1" x14ac:dyDescent="0.2">
      <c r="B446" s="3"/>
      <c r="C446" s="153" t="s">
        <v>108</v>
      </c>
      <c r="D446" s="3" t="s">
        <v>160</v>
      </c>
      <c r="E446" s="3"/>
      <c r="F446" s="153"/>
      <c r="G446" s="4" t="s">
        <v>161</v>
      </c>
      <c r="J446" s="4" t="s">
        <v>162</v>
      </c>
      <c r="W446" s="3"/>
      <c r="X446" s="153" t="s">
        <v>108</v>
      </c>
      <c r="Y446" s="3" t="s">
        <v>160</v>
      </c>
      <c r="Z446" s="3"/>
      <c r="AA446" s="153"/>
      <c r="AB446" s="4" t="s">
        <v>161</v>
      </c>
      <c r="AE446" s="4" t="s">
        <v>162</v>
      </c>
      <c r="AT446" s="4" t="str">
        <f>B447</f>
        <v>Emerald City 15-Power</v>
      </c>
      <c r="AU446" s="4">
        <f>J447</f>
        <v>2373.4332491326863</v>
      </c>
      <c r="BB446" s="154"/>
      <c r="BC446" s="70"/>
      <c r="BD446" s="70"/>
      <c r="BE446" s="154"/>
      <c r="BF446" s="70"/>
      <c r="BG446" s="70"/>
      <c r="BH446" s="154"/>
      <c r="BI446" s="70"/>
      <c r="BJ446" s="70"/>
      <c r="BK446" s="154"/>
      <c r="BL446" s="70"/>
      <c r="BM446" s="70"/>
    </row>
    <row r="447" spans="1:65" hidden="1" x14ac:dyDescent="0.2">
      <c r="A447" s="4">
        <v>1</v>
      </c>
      <c r="B447" s="4" t="str">
        <f>B430</f>
        <v>Emerald City 15-Power</v>
      </c>
      <c r="C447" s="4">
        <f>VLOOKUP(B447,AU$2:AY$22,4,FALSE)</f>
        <v>2389.5607908815518</v>
      </c>
      <c r="D447" s="4">
        <f>IF(A447=B438,B453,IF(A447=D438,D453,C447))</f>
        <v>2373.4332491326863</v>
      </c>
      <c r="G447" s="4">
        <f>IF(A447=E438,E453,IF(A447=G438,G453,D447))</f>
        <v>2373.4332491326863</v>
      </c>
      <c r="J447" s="4">
        <f>IF(A447=H438,H453,IF(A447=J438,J453,G447))</f>
        <v>2373.4332491326863</v>
      </c>
      <c r="U447" s="155"/>
      <c r="V447" s="155">
        <v>1</v>
      </c>
      <c r="W447" s="4" t="str">
        <f>X430</f>
        <v>CSRA Heat 15 Gold</v>
      </c>
      <c r="X447" s="4">
        <f>VLOOKUP(W447,AU$2:AY$22,4,FALSE)</f>
        <v>2156.0436825911879</v>
      </c>
      <c r="Y447" s="4">
        <f>IF(V447=W438,W453,IF(V447=Y438,Y453,X447))</f>
        <v>2155.1630464559048</v>
      </c>
      <c r="AB447" s="4">
        <f>IF(V447=Z438,Z453,IF(V447=AB438,AB453,Y447))</f>
        <v>2155.1630464559048</v>
      </c>
      <c r="AE447" s="4">
        <f>IF(V447=AC438,AC453,IF(V447=AE438,AE453,AB447))</f>
        <v>2155.1630464559048</v>
      </c>
      <c r="AT447" s="4" t="str">
        <f>B448</f>
        <v>Beaufort 15 Pink</v>
      </c>
      <c r="AU447" s="4">
        <f>J448</f>
        <v>2343.2031299867836</v>
      </c>
      <c r="BB447" s="154"/>
      <c r="BC447" s="70"/>
      <c r="BD447" s="70"/>
      <c r="BE447" s="154"/>
      <c r="BF447" s="70"/>
      <c r="BG447" s="70"/>
      <c r="BH447" s="154"/>
      <c r="BI447" s="70"/>
      <c r="BJ447" s="70"/>
      <c r="BK447" s="154"/>
      <c r="BL447" s="70"/>
      <c r="BM447" s="70"/>
    </row>
    <row r="448" spans="1:65" hidden="1" x14ac:dyDescent="0.2">
      <c r="A448" s="4">
        <v>2</v>
      </c>
      <c r="B448" s="4" t="str">
        <f>B431</f>
        <v>Beaufort 15 Pink</v>
      </c>
      <c r="C448" s="4">
        <f>VLOOKUP(B448,AU$2:AY$22,4,FALSE)</f>
        <v>2333.2390839598011</v>
      </c>
      <c r="D448" s="4">
        <f>IF(A448=B438,B453,IF(A448=D438,D453,C448))</f>
        <v>2333.2390839598011</v>
      </c>
      <c r="G448" s="4">
        <f>IF(A448=E438,E453,IF(A448=G438,G453,D448))</f>
        <v>2347.4003688143043</v>
      </c>
      <c r="J448" s="4">
        <f>IF(A448=H438,H453,IF(A448=J438,J453,G448))</f>
        <v>2343.2031299867836</v>
      </c>
      <c r="U448" s="155"/>
      <c r="V448" s="155">
        <v>2</v>
      </c>
      <c r="W448" s="4" t="str">
        <f>X431</f>
        <v>SC Midlands 15 Perf</v>
      </c>
      <c r="X448" s="4">
        <f>VLOOKUP(W448,AU$2:AY$22,4,FALSE)</f>
        <v>2169.3540108702814</v>
      </c>
      <c r="Y448" s="4">
        <f>IF(V448=W438,W453,IF(V448=Y438,Y453,X448))</f>
        <v>2169.3540108702814</v>
      </c>
      <c r="AB448" s="4">
        <f>IF(V448=Z438,Z453,IF(V448=AB438,AB453,Y448))</f>
        <v>2187.7353785986679</v>
      </c>
      <c r="AE448" s="4">
        <f>IF(V448=AC438,AC453,IF(V448=AE438,AE453,AB448))</f>
        <v>2175.1561813868898</v>
      </c>
      <c r="AT448" s="4" t="str">
        <f>B449</f>
        <v>Intense 15 Elite Rock Hil</v>
      </c>
      <c r="AU448" s="4">
        <f>J449</f>
        <v>2278.973434353381</v>
      </c>
      <c r="BB448" s="154"/>
      <c r="BC448" s="70"/>
      <c r="BD448" s="70"/>
      <c r="BE448" s="154"/>
      <c r="BF448" s="70"/>
      <c r="BG448" s="70"/>
      <c r="BH448" s="154"/>
      <c r="BI448" s="70"/>
      <c r="BJ448" s="70"/>
      <c r="BK448" s="154"/>
      <c r="BL448" s="70"/>
      <c r="BM448" s="70"/>
    </row>
    <row r="449" spans="1:65" hidden="1" x14ac:dyDescent="0.2">
      <c r="A449" s="4">
        <v>3</v>
      </c>
      <c r="B449" s="4" t="str">
        <f>B432</f>
        <v>Intense 15 Elite Rock Hil</v>
      </c>
      <c r="C449" s="4">
        <f>VLOOKUP(B449,AU$2:AY$22,4,FALSE)</f>
        <v>2293.1347192078842</v>
      </c>
      <c r="D449" s="4">
        <f>IF(A449=B438,B453,IF(A449=D438,D453,C449))</f>
        <v>2293.1347192078842</v>
      </c>
      <c r="G449" s="4">
        <f>IF(A449=E438,E453,IF(A449=G438,G453,D449))</f>
        <v>2278.973434353381</v>
      </c>
      <c r="J449" s="4">
        <f>IF(A449=H438,H453,IF(A449=J438,J453,G449))</f>
        <v>2278.973434353381</v>
      </c>
      <c r="U449" s="155"/>
      <c r="V449" s="155">
        <v>3</v>
      </c>
      <c r="W449" s="4" t="str">
        <f>X432</f>
        <v>Kershaw 15 Black</v>
      </c>
      <c r="X449" s="4">
        <f>VLOOKUP(W449,AU$2:AY$22,4,FALSE)</f>
        <v>2330.2298733196999</v>
      </c>
      <c r="Y449" s="4">
        <f>IF(V449=W438,W453,IF(V449=Y438,Y453,X449))</f>
        <v>2330.2298733196999</v>
      </c>
      <c r="AB449" s="4">
        <f>IF(V449=Z438,Z453,IF(V449=AB438,AB453,Y449))</f>
        <v>2311.8485055913134</v>
      </c>
      <c r="AE449" s="4">
        <f>IF(V449=AC438,AC453,IF(V449=AE438,AE453,AB449))</f>
        <v>2311.8485055913134</v>
      </c>
      <c r="AT449" s="4" t="str">
        <f>B450</f>
        <v>Intense 15 Elite Columbia</v>
      </c>
      <c r="AU449" s="4">
        <f>J450</f>
        <v>2407.1159789073695</v>
      </c>
      <c r="BB449" s="154"/>
      <c r="BC449" s="70"/>
      <c r="BD449" s="70"/>
      <c r="BE449" s="154"/>
      <c r="BF449" s="70"/>
      <c r="BG449" s="70"/>
      <c r="BH449" s="154"/>
      <c r="BI449" s="70"/>
      <c r="BJ449" s="70"/>
      <c r="BK449" s="154"/>
      <c r="BL449" s="70"/>
      <c r="BM449" s="70"/>
    </row>
    <row r="450" spans="1:65" hidden="1" x14ac:dyDescent="0.2">
      <c r="A450" s="4">
        <v>4</v>
      </c>
      <c r="B450" s="4" t="str">
        <f>B433</f>
        <v>Intense 15 Elite Columbia</v>
      </c>
      <c r="C450" s="4">
        <f>VLOOKUP(B450,AU$2:AY$22,4,FALSE)</f>
        <v>2386.7911983309832</v>
      </c>
      <c r="D450" s="4">
        <f>IF(A450=B438,B453,IF(A450=D438,D453,C450))</f>
        <v>2402.9187400798487</v>
      </c>
      <c r="G450" s="4">
        <f>IF(A450=E438,E453,IF(A450=G438,G453,D450))</f>
        <v>2402.9187400798487</v>
      </c>
      <c r="J450" s="4">
        <f>IF(A450=H438,H453,IF(A450=J438,J453,G450))</f>
        <v>2407.1159789073695</v>
      </c>
      <c r="U450" s="155"/>
      <c r="V450" s="155">
        <v>4</v>
      </c>
      <c r="W450" s="4" t="str">
        <f>X433</f>
        <v>C1VB 15 Power Pickens</v>
      </c>
      <c r="X450" s="4">
        <f>VLOOKUP(W450,AU$2:AY$22,4,FALSE)</f>
        <v>2262.3004433771312</v>
      </c>
      <c r="Y450" s="4">
        <f>IF(V450=W438,W453,IF(V450=Y438,Y453,X450))</f>
        <v>2263.1810795124143</v>
      </c>
      <c r="AB450" s="4">
        <f>IF(V450=Z438,Z453,IF(V450=AB438,AB453,Y450))</f>
        <v>2263.1810795124143</v>
      </c>
      <c r="AE450" s="4">
        <f>IF(V450=AC438,AC453,IF(V450=AE438,AE453,AB450))</f>
        <v>2275.7602767241924</v>
      </c>
      <c r="AT450" s="4" t="str">
        <f>W447</f>
        <v>CSRA Heat 15 Gold</v>
      </c>
      <c r="AU450" s="4">
        <f>AE447</f>
        <v>2155.1630464559048</v>
      </c>
      <c r="BB450" s="154"/>
      <c r="BC450" s="70"/>
      <c r="BD450" s="70"/>
      <c r="BE450" s="154"/>
      <c r="BF450" s="70"/>
      <c r="BG450" s="70"/>
      <c r="BH450" s="154"/>
      <c r="BI450" s="70"/>
      <c r="BJ450" s="70"/>
      <c r="BK450" s="154"/>
      <c r="BL450" s="70"/>
      <c r="BM450" s="70"/>
    </row>
    <row r="451" spans="1:65" hidden="1" x14ac:dyDescent="0.2">
      <c r="A451" s="4" t="s">
        <v>110</v>
      </c>
      <c r="B451" s="4">
        <f>VLOOKUP(B438,$A447:$J450,3,FALSE)</f>
        <v>2389.5607908815518</v>
      </c>
      <c r="D451" s="4">
        <f>VLOOKUP(D438,$A447:$J450,3,FALSE)</f>
        <v>2386.7911983309832</v>
      </c>
      <c r="E451" s="4">
        <f>VLOOKUP(E438,$A447:$J450,4,FALSE)</f>
        <v>2333.2390839598011</v>
      </c>
      <c r="G451" s="4">
        <f>VLOOKUP(G438,$A447:$J450,4,FALSE)</f>
        <v>2293.1347192078842</v>
      </c>
      <c r="H451" s="4">
        <f>VLOOKUP(H438,$A447:$J450,7,FALSE)</f>
        <v>2402.9187400798487</v>
      </c>
      <c r="J451" s="4">
        <f>VLOOKUP(J438,$A447:$J450,7,FALSE)</f>
        <v>2347.4003688143043</v>
      </c>
      <c r="T451" s="171" t="s">
        <v>110</v>
      </c>
      <c r="U451" s="171"/>
      <c r="V451" s="171"/>
      <c r="W451" s="4">
        <f>VLOOKUP(W438,$V447:$AE450,3,FALSE)</f>
        <v>2156.0436825911879</v>
      </c>
      <c r="Y451" s="4">
        <f>VLOOKUP(Y438,$V447:$AE450,3,FALSE)</f>
        <v>2262.3004433771312</v>
      </c>
      <c r="Z451" s="4">
        <f>VLOOKUP(Z438,$V447:$AE450,4,FALSE)</f>
        <v>2169.3540108702814</v>
      </c>
      <c r="AB451" s="4">
        <f>VLOOKUP(AB438,$V447:$AE450,4,FALSE)</f>
        <v>2330.2298733196999</v>
      </c>
      <c r="AC451" s="4">
        <f>VLOOKUP(AC438,$V447:$AE450,7,FALSE)</f>
        <v>2263.1810795124143</v>
      </c>
      <c r="AE451" s="4">
        <f>VLOOKUP(AE438,$V447:$AE450,7,FALSE)</f>
        <v>2187.7353785986679</v>
      </c>
      <c r="AT451" s="4" t="str">
        <f>W448</f>
        <v>SC Midlands 15 Perf</v>
      </c>
      <c r="AU451" s="4">
        <f>AE448</f>
        <v>2175.1561813868898</v>
      </c>
      <c r="BB451" s="154"/>
      <c r="BC451" s="70"/>
      <c r="BD451" s="70"/>
      <c r="BE451" s="154"/>
      <c r="BF451" s="70"/>
      <c r="BG451" s="70"/>
      <c r="BH451" s="154"/>
      <c r="BI451" s="70"/>
      <c r="BJ451" s="70"/>
      <c r="BK451" s="154"/>
      <c r="BL451" s="70"/>
      <c r="BM451" s="70"/>
    </row>
    <row r="452" spans="1:65" hidden="1" x14ac:dyDescent="0.2">
      <c r="A452" s="84" t="s">
        <v>111</v>
      </c>
      <c r="B452" s="84">
        <f>1/(1+(10^-((B451-D451)/400)))*(B442+D442)</f>
        <v>1.0079713593041042</v>
      </c>
      <c r="C452" s="84"/>
      <c r="D452" s="84">
        <f>1/(1+(10^-((D451-B451)/400)))*(B442+D442)</f>
        <v>0.99202864069589569</v>
      </c>
      <c r="E452" s="84">
        <f>1/(1+(10^-((E451-G451)/400)))*(E442+G442)</f>
        <v>1.1149196965935393</v>
      </c>
      <c r="G452" s="84">
        <f>1/(1+(10^-((G451-E451)/400)))*(E442+G442)</f>
        <v>0.8850803034064606</v>
      </c>
      <c r="H452" s="84">
        <f>1/(1+(10^-((H451-J451)/400)))*(H442+J442)</f>
        <v>1.7376725732799647</v>
      </c>
      <c r="J452" s="84">
        <f>1/(1+(10^-((J451-H451)/400)))*(H442+J442)</f>
        <v>1.2623274267200353</v>
      </c>
      <c r="T452" s="172" t="s">
        <v>111</v>
      </c>
      <c r="U452" s="172"/>
      <c r="V452" s="172"/>
      <c r="W452" s="84">
        <f>1/(1+(10^-((W451-Y451)/400)))*(W442+Y442)</f>
        <v>1.0550397584552043</v>
      </c>
      <c r="X452" s="84"/>
      <c r="Y452" s="84">
        <f>1/(1+(10^-((Y451-W451)/400)))*(W442+Y442)</f>
        <v>1.9449602415447955</v>
      </c>
      <c r="Z452" s="84">
        <f>1/(1+(10^-((Z451-AB451)/400)))*(Z442+AB442)</f>
        <v>0.85116451697584061</v>
      </c>
      <c r="AB452" s="84">
        <f>1/(1+(10^-((AB451-Z451)/400)))*(Z442+AB442)</f>
        <v>2.1488354830241594</v>
      </c>
      <c r="AC452" s="84">
        <f>1/(1+(10^-((AC451-AE451)/400)))*(AC442+AE442)</f>
        <v>1.2138001742638616</v>
      </c>
      <c r="AE452" s="84">
        <f>1/(1+(10^-((AE451-AC451)/400)))*(AC442+AE442)</f>
        <v>0.78619982573613856</v>
      </c>
      <c r="AT452" s="4" t="str">
        <f>W449</f>
        <v>Kershaw 15 Black</v>
      </c>
      <c r="AU452" s="4">
        <f>AE449</f>
        <v>2311.8485055913134</v>
      </c>
      <c r="BB452" s="154"/>
      <c r="BC452" s="70"/>
      <c r="BD452" s="70"/>
      <c r="BE452" s="154"/>
      <c r="BF452" s="70"/>
      <c r="BG452" s="70"/>
      <c r="BH452" s="154"/>
      <c r="BI452" s="70"/>
      <c r="BJ452" s="70"/>
      <c r="BK452" s="154"/>
      <c r="BL452" s="70"/>
      <c r="BM452" s="70"/>
    </row>
    <row r="453" spans="1:65" hidden="1" x14ac:dyDescent="0.2">
      <c r="A453" s="90" t="s">
        <v>112</v>
      </c>
      <c r="B453" s="90">
        <f>B451+(B442-B452)*$BA$2</f>
        <v>2373.4332491326863</v>
      </c>
      <c r="C453" s="90"/>
      <c r="D453" s="90">
        <f>D451+(D442-D452)*$BA$2</f>
        <v>2402.9187400798487</v>
      </c>
      <c r="E453" s="90">
        <f>E451+(E442-E452)*$BA$2</f>
        <v>2347.4003688143043</v>
      </c>
      <c r="G453" s="90">
        <f>G451+(G442-G452)*$BA$2</f>
        <v>2278.973434353381</v>
      </c>
      <c r="H453" s="90">
        <f>H451+(H442-H452)*$BA$2</f>
        <v>2407.1159789073695</v>
      </c>
      <c r="J453" s="90">
        <f>J451+(J442-J452)*$BA$2</f>
        <v>2343.2031299867836</v>
      </c>
      <c r="T453" s="158" t="s">
        <v>112</v>
      </c>
      <c r="U453" s="158"/>
      <c r="V453" s="158"/>
      <c r="W453" s="90">
        <f>W451+(W442-W452)*$BA$2</f>
        <v>2155.1630464559048</v>
      </c>
      <c r="X453" s="90"/>
      <c r="Y453" s="90">
        <f>Y451+(Y442-Y452)*$BA$2</f>
        <v>2263.1810795124143</v>
      </c>
      <c r="Z453" s="90">
        <f>Z451+(Z442-Z452)*$BA$2</f>
        <v>2187.7353785986679</v>
      </c>
      <c r="AB453" s="90">
        <f>AB451+(AB442-AB452)*$BA$2</f>
        <v>2311.8485055913134</v>
      </c>
      <c r="AC453" s="90">
        <f>AC451+(AC442-AC452)*$BA$2</f>
        <v>2275.7602767241924</v>
      </c>
      <c r="AE453" s="90">
        <f>AE451+(AE442-AE452)*$BA$2</f>
        <v>2175.1561813868898</v>
      </c>
      <c r="AT453" s="4" t="str">
        <f>W450</f>
        <v>C1VB 15 Power Pickens</v>
      </c>
      <c r="AU453" s="4">
        <f>AE450</f>
        <v>2275.7602767241924</v>
      </c>
      <c r="BB453" s="154"/>
      <c r="BC453" s="70"/>
      <c r="BD453" s="70"/>
      <c r="BE453" s="154"/>
      <c r="BF453" s="70"/>
      <c r="BG453" s="70"/>
      <c r="BH453" s="154"/>
      <c r="BI453" s="70"/>
      <c r="BJ453" s="70"/>
      <c r="BK453" s="154"/>
      <c r="BL453" s="70"/>
      <c r="BM453" s="70"/>
    </row>
    <row r="454" spans="1:65" ht="15" x14ac:dyDescent="0.25">
      <c r="A454" s="454"/>
      <c r="B454" s="159"/>
      <c r="C454" s="159"/>
      <c r="D454" s="159"/>
      <c r="E454" s="159"/>
      <c r="F454" s="159"/>
      <c r="G454" s="159"/>
      <c r="H454" s="159"/>
      <c r="I454" s="159"/>
      <c r="J454" s="159"/>
      <c r="K454" s="159"/>
      <c r="L454" s="159"/>
      <c r="M454" s="159"/>
      <c r="R454" s="127"/>
      <c r="S454" s="127"/>
      <c r="T454" s="147"/>
      <c r="U454" s="147"/>
      <c r="V454" s="159" t="s">
        <v>163</v>
      </c>
      <c r="W454" s="159"/>
      <c r="X454" s="159"/>
      <c r="Y454" s="159"/>
      <c r="Z454" s="159"/>
      <c r="AA454" s="159"/>
      <c r="AB454" s="159"/>
      <c r="AC454" s="159"/>
      <c r="AD454" s="159"/>
      <c r="AE454" s="159"/>
      <c r="AF454" s="159"/>
      <c r="AG454" s="159"/>
      <c r="AH454" s="127"/>
      <c r="AI454" s="127"/>
      <c r="AJ454" s="127"/>
    </row>
    <row r="488" spans="49:49" x14ac:dyDescent="0.2">
      <c r="AW488" s="4"/>
    </row>
    <row r="489" spans="49:49" x14ac:dyDescent="0.2">
      <c r="AW489" s="4"/>
    </row>
    <row r="490" spans="49:49" x14ac:dyDescent="0.2">
      <c r="AW490" s="4"/>
    </row>
    <row r="491" spans="49:49" x14ac:dyDescent="0.2">
      <c r="AW491" s="4"/>
    </row>
    <row r="492" spans="49:49" x14ac:dyDescent="0.2">
      <c r="AW492" s="4"/>
    </row>
    <row r="493" spans="49:49" x14ac:dyDescent="0.2">
      <c r="AW493" s="4"/>
    </row>
    <row r="494" spans="49:49" x14ac:dyDescent="0.2">
      <c r="AW494" s="4"/>
    </row>
    <row r="495" spans="49:49" x14ac:dyDescent="0.2">
      <c r="AW495" s="4"/>
    </row>
    <row r="496" spans="49:49" x14ac:dyDescent="0.2">
      <c r="AW496" s="4"/>
    </row>
    <row r="542" spans="49:49" x14ac:dyDescent="0.2">
      <c r="AW542" s="4"/>
    </row>
    <row r="543" spans="49:49" x14ac:dyDescent="0.2">
      <c r="AW543" s="4"/>
    </row>
    <row r="544" spans="49:49" x14ac:dyDescent="0.2">
      <c r="AW544" s="4"/>
    </row>
    <row r="545" spans="49:49" x14ac:dyDescent="0.2">
      <c r="AW545" s="4"/>
    </row>
    <row r="546" spans="49:49" x14ac:dyDescent="0.2">
      <c r="AW546" s="4"/>
    </row>
    <row r="547" spans="49:49" x14ac:dyDescent="0.2">
      <c r="AW547" s="4"/>
    </row>
    <row r="548" spans="49:49" x14ac:dyDescent="0.2">
      <c r="AW548" s="4"/>
    </row>
    <row r="549" spans="49:49" x14ac:dyDescent="0.2">
      <c r="AW549" s="4"/>
    </row>
    <row r="550" spans="49:49" x14ac:dyDescent="0.2">
      <c r="AW550" s="4"/>
    </row>
    <row r="596" spans="49:49" x14ac:dyDescent="0.2">
      <c r="AW596" s="4"/>
    </row>
    <row r="597" spans="49:49" x14ac:dyDescent="0.2">
      <c r="AW597" s="4"/>
    </row>
    <row r="598" spans="49:49" x14ac:dyDescent="0.2">
      <c r="AW598" s="4"/>
    </row>
    <row r="599" spans="49:49" x14ac:dyDescent="0.2">
      <c r="AW599" s="4"/>
    </row>
    <row r="600" spans="49:49" x14ac:dyDescent="0.2">
      <c r="AW600" s="4"/>
    </row>
    <row r="601" spans="49:49" x14ac:dyDescent="0.2">
      <c r="AW601" s="4"/>
    </row>
    <row r="602" spans="49:49" x14ac:dyDescent="0.2">
      <c r="AW602" s="4"/>
    </row>
    <row r="603" spans="49:49" x14ac:dyDescent="0.2">
      <c r="AW603" s="4"/>
    </row>
    <row r="604" spans="49:49" x14ac:dyDescent="0.2">
      <c r="AW604" s="4"/>
    </row>
    <row r="650" spans="49:49" x14ac:dyDescent="0.2">
      <c r="AW650" s="4"/>
    </row>
    <row r="651" spans="49:49" x14ac:dyDescent="0.2">
      <c r="AW651" s="4"/>
    </row>
    <row r="652" spans="49:49" x14ac:dyDescent="0.2">
      <c r="AW652" s="4"/>
    </row>
    <row r="653" spans="49:49" x14ac:dyDescent="0.2">
      <c r="AW653" s="4"/>
    </row>
    <row r="654" spans="49:49" x14ac:dyDescent="0.2">
      <c r="AW654" s="4"/>
    </row>
    <row r="655" spans="49:49" x14ac:dyDescent="0.2">
      <c r="AW655" s="4"/>
    </row>
    <row r="656" spans="49:49" x14ac:dyDescent="0.2">
      <c r="AW656" s="4"/>
    </row>
    <row r="657" spans="49:49" x14ac:dyDescent="0.2">
      <c r="AW657" s="4"/>
    </row>
    <row r="658" spans="49:49" x14ac:dyDescent="0.2">
      <c r="AW658" s="4"/>
    </row>
  </sheetData>
  <sheetProtection sheet="1" formatCells="0" selectLockedCells="1"/>
  <mergeCells count="821">
    <mergeCell ref="T453:V453"/>
    <mergeCell ref="A454:M454"/>
    <mergeCell ref="V454:AG454"/>
    <mergeCell ref="T441:V441"/>
    <mergeCell ref="T442:V442"/>
    <mergeCell ref="K443:N445"/>
    <mergeCell ref="AF443:AG445"/>
    <mergeCell ref="T451:V451"/>
    <mergeCell ref="T452:V452"/>
    <mergeCell ref="AC437:AE437"/>
    <mergeCell ref="K438:N438"/>
    <mergeCell ref="T438:V438"/>
    <mergeCell ref="AF438:AG438"/>
    <mergeCell ref="T439:V439"/>
    <mergeCell ref="T440:V440"/>
    <mergeCell ref="B437:D437"/>
    <mergeCell ref="E437:G437"/>
    <mergeCell ref="H437:J437"/>
    <mergeCell ref="T437:V437"/>
    <mergeCell ref="W437:Y437"/>
    <mergeCell ref="Z437:AB437"/>
    <mergeCell ref="Z435:AB435"/>
    <mergeCell ref="AC435:AE435"/>
    <mergeCell ref="AF435:AJ437"/>
    <mergeCell ref="B436:D436"/>
    <mergeCell ref="E436:G436"/>
    <mergeCell ref="H436:J436"/>
    <mergeCell ref="T436:V436"/>
    <mergeCell ref="W436:Y436"/>
    <mergeCell ref="Z436:AB436"/>
    <mergeCell ref="AC436:AE436"/>
    <mergeCell ref="B433:J433"/>
    <mergeCell ref="K433:Q433"/>
    <mergeCell ref="U433:W433"/>
    <mergeCell ref="X433:AF433"/>
    <mergeCell ref="AG433:AM433"/>
    <mergeCell ref="B435:D435"/>
    <mergeCell ref="E435:G435"/>
    <mergeCell ref="H435:J435"/>
    <mergeCell ref="K435:Q437"/>
    <mergeCell ref="W435:Y435"/>
    <mergeCell ref="B431:J431"/>
    <mergeCell ref="K431:Q431"/>
    <mergeCell ref="U431:W431"/>
    <mergeCell ref="X431:AF431"/>
    <mergeCell ref="AG431:AM431"/>
    <mergeCell ref="B432:J432"/>
    <mergeCell ref="K432:Q432"/>
    <mergeCell ref="U432:W432"/>
    <mergeCell ref="X432:AF432"/>
    <mergeCell ref="AG432:AM432"/>
    <mergeCell ref="B429:J429"/>
    <mergeCell ref="K429:Q429"/>
    <mergeCell ref="U429:W429"/>
    <mergeCell ref="X429:AF429"/>
    <mergeCell ref="AG429:AM429"/>
    <mergeCell ref="B430:J430"/>
    <mergeCell ref="K430:Q430"/>
    <mergeCell ref="U430:W430"/>
    <mergeCell ref="X430:AF430"/>
    <mergeCell ref="AG430:AM430"/>
    <mergeCell ref="A424:E424"/>
    <mergeCell ref="U424:AA424"/>
    <mergeCell ref="A425:E425"/>
    <mergeCell ref="U425:AA425"/>
    <mergeCell ref="A428:J428"/>
    <mergeCell ref="U428:AF428"/>
    <mergeCell ref="AB422:AE422"/>
    <mergeCell ref="AF422:AH422"/>
    <mergeCell ref="A423:E423"/>
    <mergeCell ref="F423:N423"/>
    <mergeCell ref="T423:Z423"/>
    <mergeCell ref="AB423:AH423"/>
    <mergeCell ref="A420:E420"/>
    <mergeCell ref="J420:P420"/>
    <mergeCell ref="U420:AA420"/>
    <mergeCell ref="A422:D422"/>
    <mergeCell ref="F422:I422"/>
    <mergeCell ref="J422:N422"/>
    <mergeCell ref="T422:Z422"/>
    <mergeCell ref="J418:P418"/>
    <mergeCell ref="AF418:AJ418"/>
    <mergeCell ref="A419:E419"/>
    <mergeCell ref="F419:I419"/>
    <mergeCell ref="J419:P419"/>
    <mergeCell ref="U419:AA419"/>
    <mergeCell ref="AB419:AE419"/>
    <mergeCell ref="AF419:AJ419"/>
    <mergeCell ref="A415:E415"/>
    <mergeCell ref="U415:AA415"/>
    <mergeCell ref="A416:E416"/>
    <mergeCell ref="U416:AA416"/>
    <mergeCell ref="F417:I417"/>
    <mergeCell ref="AB417:AE417"/>
    <mergeCell ref="A414:E414"/>
    <mergeCell ref="F414:I414"/>
    <mergeCell ref="J414:N414"/>
    <mergeCell ref="T414:Z414"/>
    <mergeCell ref="AB414:AE414"/>
    <mergeCell ref="AF414:AH414"/>
    <mergeCell ref="A411:E411"/>
    <mergeCell ref="U411:AA411"/>
    <mergeCell ref="A413:E413"/>
    <mergeCell ref="F413:N413"/>
    <mergeCell ref="T413:AA413"/>
    <mergeCell ref="AB413:AH413"/>
    <mergeCell ref="T405:V405"/>
    <mergeCell ref="A406:M406"/>
    <mergeCell ref="V406:AG406"/>
    <mergeCell ref="A408:O408"/>
    <mergeCell ref="R408:AF408"/>
    <mergeCell ref="A410:E410"/>
    <mergeCell ref="U410:AA410"/>
    <mergeCell ref="T393:V393"/>
    <mergeCell ref="T394:V394"/>
    <mergeCell ref="K395:N397"/>
    <mergeCell ref="AF395:AG397"/>
    <mergeCell ref="T403:V403"/>
    <mergeCell ref="T404:V404"/>
    <mergeCell ref="AC389:AE389"/>
    <mergeCell ref="K390:N390"/>
    <mergeCell ref="T390:V390"/>
    <mergeCell ref="AF390:AG390"/>
    <mergeCell ref="T391:V391"/>
    <mergeCell ref="T392:V392"/>
    <mergeCell ref="B389:D389"/>
    <mergeCell ref="E389:G389"/>
    <mergeCell ref="H389:J389"/>
    <mergeCell ref="T389:V389"/>
    <mergeCell ref="W389:Y389"/>
    <mergeCell ref="Z389:AB389"/>
    <mergeCell ref="Z387:AB387"/>
    <mergeCell ref="AC387:AE387"/>
    <mergeCell ref="AF387:AJ389"/>
    <mergeCell ref="B388:D388"/>
    <mergeCell ref="E388:G388"/>
    <mergeCell ref="H388:J388"/>
    <mergeCell ref="T388:V388"/>
    <mergeCell ref="W388:Y388"/>
    <mergeCell ref="Z388:AB388"/>
    <mergeCell ref="AC388:AE388"/>
    <mergeCell ref="B385:J385"/>
    <mergeCell ref="K385:Q385"/>
    <mergeCell ref="U385:W385"/>
    <mergeCell ref="X385:AF385"/>
    <mergeCell ref="AG385:AM385"/>
    <mergeCell ref="B387:D387"/>
    <mergeCell ref="E387:G387"/>
    <mergeCell ref="H387:J387"/>
    <mergeCell ref="K387:Q389"/>
    <mergeCell ref="W387:Y387"/>
    <mergeCell ref="B383:J383"/>
    <mergeCell ref="K383:Q383"/>
    <mergeCell ref="U383:W383"/>
    <mergeCell ref="X383:AF383"/>
    <mergeCell ref="AG383:AM383"/>
    <mergeCell ref="B384:J384"/>
    <mergeCell ref="K384:Q384"/>
    <mergeCell ref="U384:W384"/>
    <mergeCell ref="X384:AF384"/>
    <mergeCell ref="AG384:AM384"/>
    <mergeCell ref="B381:J381"/>
    <mergeCell ref="K381:Q381"/>
    <mergeCell ref="U381:W381"/>
    <mergeCell ref="X381:AF381"/>
    <mergeCell ref="AG381:AM381"/>
    <mergeCell ref="B382:J382"/>
    <mergeCell ref="K382:Q382"/>
    <mergeCell ref="U382:W382"/>
    <mergeCell ref="X382:AF382"/>
    <mergeCell ref="AG382:AM382"/>
    <mergeCell ref="A376:E376"/>
    <mergeCell ref="U376:AA376"/>
    <mergeCell ref="A377:E377"/>
    <mergeCell ref="U377:AA377"/>
    <mergeCell ref="A380:J380"/>
    <mergeCell ref="U380:AF380"/>
    <mergeCell ref="AB374:AE374"/>
    <mergeCell ref="AF374:AH374"/>
    <mergeCell ref="A375:E375"/>
    <mergeCell ref="F375:M375"/>
    <mergeCell ref="T375:Z375"/>
    <mergeCell ref="AB375:AH375"/>
    <mergeCell ref="A372:E372"/>
    <mergeCell ref="J372:P372"/>
    <mergeCell ref="U372:AA372"/>
    <mergeCell ref="A374:D374"/>
    <mergeCell ref="F374:I374"/>
    <mergeCell ref="J374:M374"/>
    <mergeCell ref="T374:Z374"/>
    <mergeCell ref="J370:P370"/>
    <mergeCell ref="AF370:AJ370"/>
    <mergeCell ref="A371:E371"/>
    <mergeCell ref="F371:I371"/>
    <mergeCell ref="J371:P371"/>
    <mergeCell ref="U371:AA371"/>
    <mergeCell ref="AB371:AE371"/>
    <mergeCell ref="AF371:AJ371"/>
    <mergeCell ref="A367:E367"/>
    <mergeCell ref="U367:AA367"/>
    <mergeCell ref="A368:E368"/>
    <mergeCell ref="U368:AA368"/>
    <mergeCell ref="F369:I369"/>
    <mergeCell ref="AB369:AE369"/>
    <mergeCell ref="AB365:AH365"/>
    <mergeCell ref="A366:E366"/>
    <mergeCell ref="F366:I366"/>
    <mergeCell ref="J366:M366"/>
    <mergeCell ref="T366:Z366"/>
    <mergeCell ref="AB366:AE366"/>
    <mergeCell ref="AF366:AH366"/>
    <mergeCell ref="A362:E362"/>
    <mergeCell ref="U362:AA362"/>
    <mergeCell ref="A363:E363"/>
    <mergeCell ref="U363:AA363"/>
    <mergeCell ref="A365:E365"/>
    <mergeCell ref="F365:M365"/>
    <mergeCell ref="T365:Z365"/>
    <mergeCell ref="A354:AQ354"/>
    <mergeCell ref="A355:AQ355"/>
    <mergeCell ref="A356:AQ356"/>
    <mergeCell ref="A357:AQ357"/>
    <mergeCell ref="A358:K358"/>
    <mergeCell ref="A360:O360"/>
    <mergeCell ref="R360:AF360"/>
    <mergeCell ref="AF351:AK351"/>
    <mergeCell ref="AL351:AO351"/>
    <mergeCell ref="B352:G352"/>
    <mergeCell ref="H352:K352"/>
    <mergeCell ref="L352:Q352"/>
    <mergeCell ref="R352:U352"/>
    <mergeCell ref="V352:AA352"/>
    <mergeCell ref="AB352:AE352"/>
    <mergeCell ref="AF352:AK352"/>
    <mergeCell ref="AL352:AO352"/>
    <mergeCell ref="B351:G351"/>
    <mergeCell ref="H351:K351"/>
    <mergeCell ref="L351:Q351"/>
    <mergeCell ref="R351:U351"/>
    <mergeCell ref="V351:AA351"/>
    <mergeCell ref="AB351:AE351"/>
    <mergeCell ref="AF349:AK349"/>
    <mergeCell ref="AL349:AO349"/>
    <mergeCell ref="B350:G350"/>
    <mergeCell ref="H350:K350"/>
    <mergeCell ref="L350:Q350"/>
    <mergeCell ref="R350:U350"/>
    <mergeCell ref="V350:AA350"/>
    <mergeCell ref="AB350:AE350"/>
    <mergeCell ref="AF350:AK350"/>
    <mergeCell ref="AL350:AO350"/>
    <mergeCell ref="V348:AA348"/>
    <mergeCell ref="AB348:AE348"/>
    <mergeCell ref="AF348:AK348"/>
    <mergeCell ref="AL348:AO348"/>
    <mergeCell ref="B349:G349"/>
    <mergeCell ref="H349:K349"/>
    <mergeCell ref="L349:Q349"/>
    <mergeCell ref="R349:U349"/>
    <mergeCell ref="V349:AA349"/>
    <mergeCell ref="AB349:AE349"/>
    <mergeCell ref="A346:AQ346"/>
    <mergeCell ref="A347:A348"/>
    <mergeCell ref="B347:K347"/>
    <mergeCell ref="L347:U347"/>
    <mergeCell ref="V347:AE347"/>
    <mergeCell ref="AF347:AO347"/>
    <mergeCell ref="B348:G348"/>
    <mergeCell ref="H348:K348"/>
    <mergeCell ref="L348:Q348"/>
    <mergeCell ref="R348:U348"/>
    <mergeCell ref="Z278:AB278"/>
    <mergeCell ref="AC278:AE278"/>
    <mergeCell ref="AG312:AK312"/>
    <mergeCell ref="A344:AM344"/>
    <mergeCell ref="AN344:AQ344"/>
    <mergeCell ref="A345:AQ345"/>
    <mergeCell ref="Z277:AB277"/>
    <mergeCell ref="AC277:AE277"/>
    <mergeCell ref="B278:D278"/>
    <mergeCell ref="E278:G278"/>
    <mergeCell ref="H278:J278"/>
    <mergeCell ref="K278:M278"/>
    <mergeCell ref="N278:P278"/>
    <mergeCell ref="Q278:S278"/>
    <mergeCell ref="T278:V278"/>
    <mergeCell ref="W278:Y278"/>
    <mergeCell ref="Z276:AB276"/>
    <mergeCell ref="AC276:AE276"/>
    <mergeCell ref="B277:D277"/>
    <mergeCell ref="E277:G277"/>
    <mergeCell ref="H277:J277"/>
    <mergeCell ref="K277:M277"/>
    <mergeCell ref="N277:P277"/>
    <mergeCell ref="Q277:S277"/>
    <mergeCell ref="T277:V277"/>
    <mergeCell ref="W277:Y277"/>
    <mergeCell ref="Z275:AB275"/>
    <mergeCell ref="AC275:AE275"/>
    <mergeCell ref="B276:D276"/>
    <mergeCell ref="E276:G276"/>
    <mergeCell ref="H276:J276"/>
    <mergeCell ref="K276:M276"/>
    <mergeCell ref="N276:P276"/>
    <mergeCell ref="Q276:S276"/>
    <mergeCell ref="T276:V276"/>
    <mergeCell ref="W276:Y276"/>
    <mergeCell ref="AC274:AE274"/>
    <mergeCell ref="AF274:AQ277"/>
    <mergeCell ref="B275:D275"/>
    <mergeCell ref="E275:G275"/>
    <mergeCell ref="H275:J275"/>
    <mergeCell ref="K275:M275"/>
    <mergeCell ref="N275:P275"/>
    <mergeCell ref="Q275:S275"/>
    <mergeCell ref="T275:V275"/>
    <mergeCell ref="W275:Y275"/>
    <mergeCell ref="B273:AI273"/>
    <mergeCell ref="B274:D274"/>
    <mergeCell ref="E274:G274"/>
    <mergeCell ref="H274:J274"/>
    <mergeCell ref="K274:M274"/>
    <mergeCell ref="N274:P274"/>
    <mergeCell ref="Q274:S274"/>
    <mergeCell ref="T274:V274"/>
    <mergeCell ref="W274:Y274"/>
    <mergeCell ref="Z274:AB274"/>
    <mergeCell ref="Z271:AB272"/>
    <mergeCell ref="AC271:AE272"/>
    <mergeCell ref="AF271:AF272"/>
    <mergeCell ref="AG271:AG272"/>
    <mergeCell ref="AH271:AI272"/>
    <mergeCell ref="B272:D272"/>
    <mergeCell ref="E272:K272"/>
    <mergeCell ref="A271:A272"/>
    <mergeCell ref="B271:D271"/>
    <mergeCell ref="E271:K271"/>
    <mergeCell ref="L271:P272"/>
    <mergeCell ref="R271:V272"/>
    <mergeCell ref="W271:Y272"/>
    <mergeCell ref="Z269:AB270"/>
    <mergeCell ref="AC269:AE270"/>
    <mergeCell ref="AF269:AF270"/>
    <mergeCell ref="AG269:AG270"/>
    <mergeCell ref="AH269:AI270"/>
    <mergeCell ref="B270:D270"/>
    <mergeCell ref="E270:K270"/>
    <mergeCell ref="A269:A270"/>
    <mergeCell ref="B269:D269"/>
    <mergeCell ref="E269:K269"/>
    <mergeCell ref="L269:P270"/>
    <mergeCell ref="R269:V270"/>
    <mergeCell ref="W269:Y270"/>
    <mergeCell ref="Z267:AB268"/>
    <mergeCell ref="AC267:AE268"/>
    <mergeCell ref="AF267:AF268"/>
    <mergeCell ref="AG267:AG268"/>
    <mergeCell ref="AH267:AI268"/>
    <mergeCell ref="B268:D268"/>
    <mergeCell ref="E268:K268"/>
    <mergeCell ref="A267:A268"/>
    <mergeCell ref="B267:D267"/>
    <mergeCell ref="E267:K267"/>
    <mergeCell ref="L267:P268"/>
    <mergeCell ref="R267:V268"/>
    <mergeCell ref="W267:Y268"/>
    <mergeCell ref="Z265:AB266"/>
    <mergeCell ref="AC265:AE266"/>
    <mergeCell ref="AF265:AF266"/>
    <mergeCell ref="AG265:AG266"/>
    <mergeCell ref="AH265:AI266"/>
    <mergeCell ref="B266:D266"/>
    <mergeCell ref="E266:K266"/>
    <mergeCell ref="AG263:AG264"/>
    <mergeCell ref="AH263:AI264"/>
    <mergeCell ref="B264:D264"/>
    <mergeCell ref="E264:K264"/>
    <mergeCell ref="A265:A266"/>
    <mergeCell ref="B265:D265"/>
    <mergeCell ref="E265:K265"/>
    <mergeCell ref="L265:P266"/>
    <mergeCell ref="R265:V266"/>
    <mergeCell ref="W265:Y266"/>
    <mergeCell ref="AH262:AI262"/>
    <mergeCell ref="A263:A264"/>
    <mergeCell ref="B263:D263"/>
    <mergeCell ref="E263:K263"/>
    <mergeCell ref="L263:P264"/>
    <mergeCell ref="R263:V264"/>
    <mergeCell ref="W263:Y264"/>
    <mergeCell ref="Z263:AB264"/>
    <mergeCell ref="AC263:AE264"/>
    <mergeCell ref="AF263:AF264"/>
    <mergeCell ref="C261:H261"/>
    <mergeCell ref="I261:J261"/>
    <mergeCell ref="K261:AI261"/>
    <mergeCell ref="B262:K262"/>
    <mergeCell ref="L262:P262"/>
    <mergeCell ref="Q262:Q272"/>
    <mergeCell ref="R262:V262"/>
    <mergeCell ref="W262:Y262"/>
    <mergeCell ref="Z262:AB262"/>
    <mergeCell ref="AC262:AE262"/>
    <mergeCell ref="Z193:AB193"/>
    <mergeCell ref="AC193:AE193"/>
    <mergeCell ref="AG227:AK227"/>
    <mergeCell ref="A259:AM259"/>
    <mergeCell ref="AN259:AQ259"/>
    <mergeCell ref="A260:AQ260"/>
    <mergeCell ref="Z192:AB192"/>
    <mergeCell ref="AC192:AE192"/>
    <mergeCell ref="B193:D193"/>
    <mergeCell ref="E193:G193"/>
    <mergeCell ref="H193:J193"/>
    <mergeCell ref="K193:M193"/>
    <mergeCell ref="N193:P193"/>
    <mergeCell ref="Q193:S193"/>
    <mergeCell ref="T193:V193"/>
    <mergeCell ref="W193:Y193"/>
    <mergeCell ref="Z191:AB191"/>
    <mergeCell ref="AC191:AE191"/>
    <mergeCell ref="B192:D192"/>
    <mergeCell ref="E192:G192"/>
    <mergeCell ref="H192:J192"/>
    <mergeCell ref="K192:M192"/>
    <mergeCell ref="N192:P192"/>
    <mergeCell ref="Q192:S192"/>
    <mergeCell ref="T192:V192"/>
    <mergeCell ref="W192:Y192"/>
    <mergeCell ref="Z190:AB190"/>
    <mergeCell ref="AC190:AE190"/>
    <mergeCell ref="B191:D191"/>
    <mergeCell ref="E191:G191"/>
    <mergeCell ref="H191:J191"/>
    <mergeCell ref="K191:M191"/>
    <mergeCell ref="N191:P191"/>
    <mergeCell ref="Q191:S191"/>
    <mergeCell ref="T191:V191"/>
    <mergeCell ref="W191:Y191"/>
    <mergeCell ref="AC189:AE189"/>
    <mergeCell ref="AF189:AQ192"/>
    <mergeCell ref="B190:D190"/>
    <mergeCell ref="E190:G190"/>
    <mergeCell ref="H190:J190"/>
    <mergeCell ref="K190:M190"/>
    <mergeCell ref="N190:P190"/>
    <mergeCell ref="Q190:S190"/>
    <mergeCell ref="T190:V190"/>
    <mergeCell ref="W190:Y190"/>
    <mergeCell ref="B188:AI188"/>
    <mergeCell ref="B189:D189"/>
    <mergeCell ref="E189:G189"/>
    <mergeCell ref="H189:J189"/>
    <mergeCell ref="K189:M189"/>
    <mergeCell ref="N189:P189"/>
    <mergeCell ref="Q189:S189"/>
    <mergeCell ref="T189:V189"/>
    <mergeCell ref="W189:Y189"/>
    <mergeCell ref="Z189:AB189"/>
    <mergeCell ref="Z186:AB187"/>
    <mergeCell ref="AC186:AE187"/>
    <mergeCell ref="AF186:AF187"/>
    <mergeCell ref="AG186:AG187"/>
    <mergeCell ref="AH186:AI187"/>
    <mergeCell ref="B187:D187"/>
    <mergeCell ref="E187:K187"/>
    <mergeCell ref="A186:A187"/>
    <mergeCell ref="B186:D186"/>
    <mergeCell ref="E186:K186"/>
    <mergeCell ref="L186:P187"/>
    <mergeCell ref="R186:V187"/>
    <mergeCell ref="W186:Y187"/>
    <mergeCell ref="Z184:AB185"/>
    <mergeCell ref="AC184:AE185"/>
    <mergeCell ref="AF184:AF185"/>
    <mergeCell ref="AG184:AG185"/>
    <mergeCell ref="AH184:AI185"/>
    <mergeCell ref="B185:D185"/>
    <mergeCell ref="E185:K185"/>
    <mergeCell ref="A184:A185"/>
    <mergeCell ref="B184:D184"/>
    <mergeCell ref="E184:K184"/>
    <mergeCell ref="L184:P185"/>
    <mergeCell ref="R184:V185"/>
    <mergeCell ref="W184:Y185"/>
    <mergeCell ref="Z182:AB183"/>
    <mergeCell ref="AC182:AE183"/>
    <mergeCell ref="AF182:AF183"/>
    <mergeCell ref="AG182:AG183"/>
    <mergeCell ref="AH182:AI183"/>
    <mergeCell ref="B183:D183"/>
    <mergeCell ref="E183:K183"/>
    <mergeCell ref="A182:A183"/>
    <mergeCell ref="B182:D182"/>
    <mergeCell ref="E182:K182"/>
    <mergeCell ref="L182:P183"/>
    <mergeCell ref="R182:V183"/>
    <mergeCell ref="W182:Y183"/>
    <mergeCell ref="Z180:AB181"/>
    <mergeCell ref="AC180:AE181"/>
    <mergeCell ref="AF180:AF181"/>
    <mergeCell ref="AG180:AG181"/>
    <mergeCell ref="AH180:AI181"/>
    <mergeCell ref="B181:D181"/>
    <mergeCell ref="E181:K181"/>
    <mergeCell ref="AG178:AG179"/>
    <mergeCell ref="AH178:AI179"/>
    <mergeCell ref="B179:D179"/>
    <mergeCell ref="E179:K179"/>
    <mergeCell ref="A180:A181"/>
    <mergeCell ref="B180:D180"/>
    <mergeCell ref="E180:K180"/>
    <mergeCell ref="L180:P181"/>
    <mergeCell ref="R180:V181"/>
    <mergeCell ref="W180:Y181"/>
    <mergeCell ref="AH177:AI177"/>
    <mergeCell ref="A178:A179"/>
    <mergeCell ref="B178:D178"/>
    <mergeCell ref="E178:K178"/>
    <mergeCell ref="L178:P179"/>
    <mergeCell ref="R178:V179"/>
    <mergeCell ref="W178:Y179"/>
    <mergeCell ref="Z178:AB179"/>
    <mergeCell ref="AC178:AE179"/>
    <mergeCell ref="AF178:AF179"/>
    <mergeCell ref="C176:H176"/>
    <mergeCell ref="I176:J176"/>
    <mergeCell ref="K176:AI176"/>
    <mergeCell ref="B177:K177"/>
    <mergeCell ref="L177:P177"/>
    <mergeCell ref="Q177:Q187"/>
    <mergeCell ref="R177:V177"/>
    <mergeCell ref="W177:Y177"/>
    <mergeCell ref="Z177:AB177"/>
    <mergeCell ref="AC177:AE177"/>
    <mergeCell ref="Z108:AB108"/>
    <mergeCell ref="AC108:AE108"/>
    <mergeCell ref="AG142:AK142"/>
    <mergeCell ref="A174:AM174"/>
    <mergeCell ref="AN174:AQ174"/>
    <mergeCell ref="A175:AQ175"/>
    <mergeCell ref="Z107:AB107"/>
    <mergeCell ref="AC107:AE107"/>
    <mergeCell ref="B108:D108"/>
    <mergeCell ref="E108:G108"/>
    <mergeCell ref="H108:J108"/>
    <mergeCell ref="K108:M108"/>
    <mergeCell ref="N108:P108"/>
    <mergeCell ref="Q108:S108"/>
    <mergeCell ref="T108:V108"/>
    <mergeCell ref="W108:Y108"/>
    <mergeCell ref="Z106:AB106"/>
    <mergeCell ref="AC106:AE106"/>
    <mergeCell ref="B107:D107"/>
    <mergeCell ref="E107:G107"/>
    <mergeCell ref="H107:J107"/>
    <mergeCell ref="K107:M107"/>
    <mergeCell ref="N107:P107"/>
    <mergeCell ref="Q107:S107"/>
    <mergeCell ref="T107:V107"/>
    <mergeCell ref="W107:Y107"/>
    <mergeCell ref="Z105:AB105"/>
    <mergeCell ref="AC105:AE105"/>
    <mergeCell ref="B106:D106"/>
    <mergeCell ref="E106:G106"/>
    <mergeCell ref="H106:J106"/>
    <mergeCell ref="K106:M106"/>
    <mergeCell ref="N106:P106"/>
    <mergeCell ref="Q106:S106"/>
    <mergeCell ref="T106:V106"/>
    <mergeCell ref="W106:Y106"/>
    <mergeCell ref="AC104:AE104"/>
    <mergeCell ref="AF104:AQ107"/>
    <mergeCell ref="B105:D105"/>
    <mergeCell ref="E105:G105"/>
    <mergeCell ref="H105:J105"/>
    <mergeCell ref="K105:M105"/>
    <mergeCell ref="N105:P105"/>
    <mergeCell ref="Q105:S105"/>
    <mergeCell ref="T105:V105"/>
    <mergeCell ref="W105:Y105"/>
    <mergeCell ref="B103:AI103"/>
    <mergeCell ref="B104:D104"/>
    <mergeCell ref="E104:G104"/>
    <mergeCell ref="H104:J104"/>
    <mergeCell ref="K104:M104"/>
    <mergeCell ref="N104:P104"/>
    <mergeCell ref="Q104:S104"/>
    <mergeCell ref="T104:V104"/>
    <mergeCell ref="W104:Y104"/>
    <mergeCell ref="Z104:AB104"/>
    <mergeCell ref="Z101:AB102"/>
    <mergeCell ref="AC101:AE102"/>
    <mergeCell ref="AF101:AF102"/>
    <mergeCell ref="AG101:AG102"/>
    <mergeCell ref="AH101:AI102"/>
    <mergeCell ref="B102:D102"/>
    <mergeCell ref="E102:K102"/>
    <mergeCell ref="A101:A102"/>
    <mergeCell ref="B101:D101"/>
    <mergeCell ref="E101:K101"/>
    <mergeCell ref="L101:P102"/>
    <mergeCell ref="R101:V102"/>
    <mergeCell ref="W101:Y102"/>
    <mergeCell ref="AC99:AE100"/>
    <mergeCell ref="AF99:AF100"/>
    <mergeCell ref="AG99:AG100"/>
    <mergeCell ref="AH99:AI100"/>
    <mergeCell ref="B100:D100"/>
    <mergeCell ref="E100:K100"/>
    <mergeCell ref="AH97:AI98"/>
    <mergeCell ref="B98:D98"/>
    <mergeCell ref="E98:K98"/>
    <mergeCell ref="A99:A100"/>
    <mergeCell ref="B99:D99"/>
    <mergeCell ref="E99:K99"/>
    <mergeCell ref="L99:P100"/>
    <mergeCell ref="R99:V100"/>
    <mergeCell ref="W99:Y100"/>
    <mergeCell ref="Z99:AB100"/>
    <mergeCell ref="R97:V98"/>
    <mergeCell ref="W97:Y98"/>
    <mergeCell ref="Z97:AB98"/>
    <mergeCell ref="AC97:AE98"/>
    <mergeCell ref="AF97:AF98"/>
    <mergeCell ref="AG97:AG98"/>
    <mergeCell ref="B96:D96"/>
    <mergeCell ref="E96:K96"/>
    <mergeCell ref="A97:A98"/>
    <mergeCell ref="B97:D97"/>
    <mergeCell ref="E97:K97"/>
    <mergeCell ref="L97:P98"/>
    <mergeCell ref="W95:Y96"/>
    <mergeCell ref="Z95:AB96"/>
    <mergeCell ref="AC95:AE96"/>
    <mergeCell ref="AF95:AF96"/>
    <mergeCell ref="AG95:AG96"/>
    <mergeCell ref="AH95:AI96"/>
    <mergeCell ref="AF93:AF94"/>
    <mergeCell ref="AG93:AG94"/>
    <mergeCell ref="AH93:AI94"/>
    <mergeCell ref="B94:D94"/>
    <mergeCell ref="E94:K94"/>
    <mergeCell ref="A95:A96"/>
    <mergeCell ref="B95:D95"/>
    <mergeCell ref="E95:K95"/>
    <mergeCell ref="L95:P96"/>
    <mergeCell ref="R95:V96"/>
    <mergeCell ref="AC92:AE92"/>
    <mergeCell ref="AH92:AI92"/>
    <mergeCell ref="A93:A94"/>
    <mergeCell ref="B93:D93"/>
    <mergeCell ref="E93:K93"/>
    <mergeCell ref="L93:P94"/>
    <mergeCell ref="R93:V94"/>
    <mergeCell ref="W93:Y94"/>
    <mergeCell ref="Z93:AB94"/>
    <mergeCell ref="AC93:AE94"/>
    <mergeCell ref="A90:AQ90"/>
    <mergeCell ref="C91:H91"/>
    <mergeCell ref="I91:J91"/>
    <mergeCell ref="K91:AI91"/>
    <mergeCell ref="B92:K92"/>
    <mergeCell ref="L92:P92"/>
    <mergeCell ref="Q92:Q102"/>
    <mergeCell ref="R92:V92"/>
    <mergeCell ref="W92:Y92"/>
    <mergeCell ref="Z92:AB92"/>
    <mergeCell ref="Z23:AB23"/>
    <mergeCell ref="AC23:AE23"/>
    <mergeCell ref="AT23:AY24"/>
    <mergeCell ref="AG57:AK57"/>
    <mergeCell ref="A89:AM89"/>
    <mergeCell ref="AN89:AQ89"/>
    <mergeCell ref="Z22:AB22"/>
    <mergeCell ref="AC22:AE22"/>
    <mergeCell ref="B23:D23"/>
    <mergeCell ref="E23:G23"/>
    <mergeCell ref="H23:J23"/>
    <mergeCell ref="K23:M23"/>
    <mergeCell ref="N23:P23"/>
    <mergeCell ref="Q23:S23"/>
    <mergeCell ref="T23:V23"/>
    <mergeCell ref="W23:Y23"/>
    <mergeCell ref="Z21:AB21"/>
    <mergeCell ref="AC21:AE21"/>
    <mergeCell ref="B22:D22"/>
    <mergeCell ref="E22:G22"/>
    <mergeCell ref="H22:J22"/>
    <mergeCell ref="K22:M22"/>
    <mergeCell ref="N22:P22"/>
    <mergeCell ref="Q22:S22"/>
    <mergeCell ref="T22:V22"/>
    <mergeCell ref="W22:Y22"/>
    <mergeCell ref="Z20:AB20"/>
    <mergeCell ref="AC20:AE20"/>
    <mergeCell ref="B21:D21"/>
    <mergeCell ref="E21:G21"/>
    <mergeCell ref="H21:J21"/>
    <mergeCell ref="K21:M21"/>
    <mergeCell ref="N21:P21"/>
    <mergeCell ref="Q21:S21"/>
    <mergeCell ref="T21:V21"/>
    <mergeCell ref="W21:Y21"/>
    <mergeCell ref="AC19:AE19"/>
    <mergeCell ref="AF19:AQ22"/>
    <mergeCell ref="B20:D20"/>
    <mergeCell ref="E20:G20"/>
    <mergeCell ref="H20:J20"/>
    <mergeCell ref="K20:M20"/>
    <mergeCell ref="N20:P20"/>
    <mergeCell ref="Q20:S20"/>
    <mergeCell ref="T20:V20"/>
    <mergeCell ref="W20:Y20"/>
    <mergeCell ref="B18:AI18"/>
    <mergeCell ref="B19:D19"/>
    <mergeCell ref="E19:G19"/>
    <mergeCell ref="H19:J19"/>
    <mergeCell ref="K19:M19"/>
    <mergeCell ref="N19:P19"/>
    <mergeCell ref="Q19:S19"/>
    <mergeCell ref="T19:V19"/>
    <mergeCell ref="W19:Y19"/>
    <mergeCell ref="Z19:AB19"/>
    <mergeCell ref="Z16:AB17"/>
    <mergeCell ref="AC16:AE17"/>
    <mergeCell ref="AF16:AF17"/>
    <mergeCell ref="AG16:AG17"/>
    <mergeCell ref="AH16:AI17"/>
    <mergeCell ref="B17:D17"/>
    <mergeCell ref="E17:K17"/>
    <mergeCell ref="A16:A17"/>
    <mergeCell ref="B16:D16"/>
    <mergeCell ref="E16:K16"/>
    <mergeCell ref="L16:P17"/>
    <mergeCell ref="R16:V17"/>
    <mergeCell ref="W16:Y17"/>
    <mergeCell ref="Z14:AB15"/>
    <mergeCell ref="AC14:AE15"/>
    <mergeCell ref="AF14:AF15"/>
    <mergeCell ref="AG14:AG15"/>
    <mergeCell ref="AH14:AI15"/>
    <mergeCell ref="B15:D15"/>
    <mergeCell ref="E15:K15"/>
    <mergeCell ref="A14:A15"/>
    <mergeCell ref="B14:D14"/>
    <mergeCell ref="E14:K14"/>
    <mergeCell ref="L14:P15"/>
    <mergeCell ref="R14:V15"/>
    <mergeCell ref="W14:Y15"/>
    <mergeCell ref="Z12:AB13"/>
    <mergeCell ref="AC12:AE13"/>
    <mergeCell ref="AF12:AF13"/>
    <mergeCell ref="AG12:AG13"/>
    <mergeCell ref="AH12:AI13"/>
    <mergeCell ref="B13:D13"/>
    <mergeCell ref="E13:K13"/>
    <mergeCell ref="A12:A13"/>
    <mergeCell ref="B12:D12"/>
    <mergeCell ref="E12:K12"/>
    <mergeCell ref="L12:P13"/>
    <mergeCell ref="R12:V13"/>
    <mergeCell ref="W12:Y13"/>
    <mergeCell ref="Z10:AB11"/>
    <mergeCell ref="AC10:AE11"/>
    <mergeCell ref="AF10:AF11"/>
    <mergeCell ref="AG10:AG11"/>
    <mergeCell ref="AH10:AI11"/>
    <mergeCell ref="B11:D11"/>
    <mergeCell ref="E11:K11"/>
    <mergeCell ref="A10:A11"/>
    <mergeCell ref="B10:D10"/>
    <mergeCell ref="E10:K10"/>
    <mergeCell ref="L10:P11"/>
    <mergeCell ref="R10:V11"/>
    <mergeCell ref="W10:Y11"/>
    <mergeCell ref="AC8:AE9"/>
    <mergeCell ref="AF8:AF9"/>
    <mergeCell ref="AG8:AG9"/>
    <mergeCell ref="AH8:AI9"/>
    <mergeCell ref="B9:D9"/>
    <mergeCell ref="E9:K9"/>
    <mergeCell ref="Z7:AB7"/>
    <mergeCell ref="AC7:AE7"/>
    <mergeCell ref="AH7:AI7"/>
    <mergeCell ref="A8:A9"/>
    <mergeCell ref="B8:D8"/>
    <mergeCell ref="E8:K8"/>
    <mergeCell ref="L8:P9"/>
    <mergeCell ref="R8:V9"/>
    <mergeCell ref="W8:Y9"/>
    <mergeCell ref="Z8:AB9"/>
    <mergeCell ref="B5:J5"/>
    <mergeCell ref="K5:AE5"/>
    <mergeCell ref="C6:H6"/>
    <mergeCell ref="I6:J6"/>
    <mergeCell ref="K6:AI6"/>
    <mergeCell ref="B7:K7"/>
    <mergeCell ref="L7:P7"/>
    <mergeCell ref="Q7:Q17"/>
    <mergeCell ref="R7:V7"/>
    <mergeCell ref="W7:Y7"/>
    <mergeCell ref="A4:D4"/>
    <mergeCell ref="E4:M4"/>
    <mergeCell ref="N4:Q4"/>
    <mergeCell ref="R4:AA4"/>
    <mergeCell ref="AB4:AE4"/>
    <mergeCell ref="AF4:AI4"/>
    <mergeCell ref="B3:O3"/>
    <mergeCell ref="P3:R3"/>
    <mergeCell ref="S3:X3"/>
    <mergeCell ref="Y3:AD3"/>
    <mergeCell ref="AE3:AF3"/>
    <mergeCell ref="AG3:AI3"/>
    <mergeCell ref="A1:AI1"/>
    <mergeCell ref="AT1:AW1"/>
    <mergeCell ref="AX1:AY1"/>
    <mergeCell ref="A2:I2"/>
    <mergeCell ref="J2:X2"/>
    <mergeCell ref="Y2:AC2"/>
    <mergeCell ref="AD2:AI2"/>
  </mergeCells>
  <conditionalFormatting sqref="A93 A178 A8 A263">
    <cfRule type="expression" dxfId="4588" priority="5" stopIfTrue="1">
      <formula>IF(AK9&gt;0,0,1)</formula>
    </cfRule>
  </conditionalFormatting>
  <conditionalFormatting sqref="A95:A96 A180:A181 A10:A11 A265:A266">
    <cfRule type="expression" dxfId="4587" priority="6" stopIfTrue="1">
      <formula>IF(AK9&gt;1,0,1)</formula>
    </cfRule>
  </conditionalFormatting>
  <conditionalFormatting sqref="A97:A98 A182:A183 A12:A13 A267:A268">
    <cfRule type="expression" dxfId="4586" priority="7" stopIfTrue="1">
      <formula>IF(AK9&gt;2,0,1)</formula>
    </cfRule>
  </conditionalFormatting>
  <conditionalFormatting sqref="A99:A100 A184:A185 A14:A15 A269:A270">
    <cfRule type="expression" dxfId="4585" priority="8" stopIfTrue="1">
      <formula>IF(AK9&gt;3,0,1)</formula>
    </cfRule>
  </conditionalFormatting>
  <conditionalFormatting sqref="A101:A102 A186:A187 A16:A17 A271:A272">
    <cfRule type="expression" dxfId="4584" priority="9" stopIfTrue="1">
      <formula>IF(AK9&gt;4,0,1)</formula>
    </cfRule>
  </conditionalFormatting>
  <conditionalFormatting sqref="B8 B178 B93 B263">
    <cfRule type="expression" dxfId="4583" priority="10" stopIfTrue="1">
      <formula>IF(AK9&gt;0,0,1)</formula>
    </cfRule>
  </conditionalFormatting>
  <conditionalFormatting sqref="B9 B179 B94 B264">
    <cfRule type="expression" dxfId="4582" priority="11" stopIfTrue="1">
      <formula>IF(AK9&gt;0,0,1)</formula>
    </cfRule>
  </conditionalFormatting>
  <conditionalFormatting sqref="B10 B180 B95 B265">
    <cfRule type="expression" dxfId="4581" priority="12" stopIfTrue="1">
      <formula>IF(AK9&gt;1,0,1)</formula>
    </cfRule>
  </conditionalFormatting>
  <conditionalFormatting sqref="B11:D11 B181:D181 B96:D96 B266:D266">
    <cfRule type="expression" dxfId="4580" priority="13" stopIfTrue="1">
      <formula>IF(AK9&gt;1,0,1)</formula>
    </cfRule>
  </conditionalFormatting>
  <conditionalFormatting sqref="B12:D12 B182:D182 B97:D97 B267:D267">
    <cfRule type="expression" dxfId="4579" priority="14" stopIfTrue="1">
      <formula>IF(AK9&gt;2,0,1)</formula>
    </cfRule>
  </conditionalFormatting>
  <conditionalFormatting sqref="B13:D13 B183:D183 B98:D98 B268:D268">
    <cfRule type="expression" dxfId="4578" priority="15" stopIfTrue="1">
      <formula>IF(AK9&gt;2,0,1)</formula>
    </cfRule>
  </conditionalFormatting>
  <conditionalFormatting sqref="B14:D14 B184:D184 B99:D99 B269:D269">
    <cfRule type="expression" dxfId="4577" priority="16" stopIfTrue="1">
      <formula>IF(AK9&gt;3,0,1)</formula>
    </cfRule>
  </conditionalFormatting>
  <conditionalFormatting sqref="B15:D15 B185:D185 B100:D100 B270:D270">
    <cfRule type="expression" dxfId="4576" priority="17" stopIfTrue="1">
      <formula>IF(AK9&gt;3,0,1)</formula>
    </cfRule>
  </conditionalFormatting>
  <conditionalFormatting sqref="B16:D16 B186:D186 B101:D101 B271:D271">
    <cfRule type="expression" dxfId="4575" priority="18" stopIfTrue="1">
      <formula>IF(AK9&gt;4,0,1)</formula>
    </cfRule>
  </conditionalFormatting>
  <conditionalFormatting sqref="B17:D17 B187:D187 B102:D102 B272:D272">
    <cfRule type="expression" dxfId="4574" priority="19" stopIfTrue="1">
      <formula>IF(AK9&gt;4,0,1)</formula>
    </cfRule>
  </conditionalFormatting>
  <conditionalFormatting sqref="E8 E93 E178 E263">
    <cfRule type="expression" dxfId="4573" priority="20" stopIfTrue="1">
      <formula>IF(AK9&gt;0,0,1)</formula>
    </cfRule>
  </conditionalFormatting>
  <conditionalFormatting sqref="E9 E94 E179 E264">
    <cfRule type="expression" dxfId="4572" priority="21" stopIfTrue="1">
      <formula>IF(AK9&gt;0,0,1)</formula>
    </cfRule>
  </conditionalFormatting>
  <conditionalFormatting sqref="E10 E95 E180 E265">
    <cfRule type="expression" dxfId="4571" priority="22" stopIfTrue="1">
      <formula>IF(AK9&gt;1,0,1)</formula>
    </cfRule>
  </conditionalFormatting>
  <conditionalFormatting sqref="E11 E96 E181 E266">
    <cfRule type="expression" dxfId="4570" priority="23" stopIfTrue="1">
      <formula>IF(AK9&gt;1,0,1)</formula>
    </cfRule>
  </conditionalFormatting>
  <conditionalFormatting sqref="E12 E97 E182 E267">
    <cfRule type="expression" dxfId="4569" priority="24" stopIfTrue="1">
      <formula>IF(AK9&gt;2,0,1)</formula>
    </cfRule>
  </conditionalFormatting>
  <conditionalFormatting sqref="E13 E98 E183 E268">
    <cfRule type="expression" dxfId="4568" priority="25" stopIfTrue="1">
      <formula>IF(AK9&gt;2,0,1)</formula>
    </cfRule>
  </conditionalFormatting>
  <conditionalFormatting sqref="E14 E99 E184 E269">
    <cfRule type="expression" dxfId="4567" priority="26" stopIfTrue="1">
      <formula>IF(AK9&gt;3,0,1)</formula>
    </cfRule>
  </conditionalFormatting>
  <conditionalFormatting sqref="E15 E100 E185 E270">
    <cfRule type="expression" dxfId="4566" priority="27" stopIfTrue="1">
      <formula>IF(AK9&gt;3,0,1)</formula>
    </cfRule>
  </conditionalFormatting>
  <conditionalFormatting sqref="E16 E101 E186 E271">
    <cfRule type="expression" dxfId="4565" priority="28" stopIfTrue="1">
      <formula>IF(AK9&gt;4,0,1)</formula>
    </cfRule>
  </conditionalFormatting>
  <conditionalFormatting sqref="E17 E102 E187 E272">
    <cfRule type="expression" dxfId="4564" priority="29" stopIfTrue="1">
      <formula>IF(AK9&gt;4,0,1)</formula>
    </cfRule>
  </conditionalFormatting>
  <conditionalFormatting sqref="AC93 AC178 AC8 AC263">
    <cfRule type="expression" dxfId="4563" priority="30" stopIfTrue="1">
      <formula>IF(AK11=1,IF(AK9&gt;0,0,1),1)</formula>
    </cfRule>
  </conditionalFormatting>
  <conditionalFormatting sqref="AC95:AE96 AC180:AE181 AC10:AE11 AC265:AE266">
    <cfRule type="expression" dxfId="4562" priority="31" stopIfTrue="1">
      <formula>IF(AK11=1,IF(AK9&gt;1,0,1),1)</formula>
    </cfRule>
  </conditionalFormatting>
  <conditionalFormatting sqref="AC97:AE98 AC182:AE183 AC12:AE13 AC267:AE268">
    <cfRule type="expression" dxfId="4561" priority="32" stopIfTrue="1">
      <formula>IF(AK11=1,IF(AK9&gt;2,0,1),1)</formula>
    </cfRule>
  </conditionalFormatting>
  <conditionalFormatting sqref="AC99:AE100 AC184:AE185 AC14:AE15 AC269:AE270">
    <cfRule type="expression" dxfId="4560" priority="33" stopIfTrue="1">
      <formula>IF(AK11=1,IF(AK9&gt;3,0,1),1)</formula>
    </cfRule>
  </conditionalFormatting>
  <conditionalFormatting sqref="AC101:AE102 AC186:AE187 AC16:AE17 AC271:AE272">
    <cfRule type="expression" dxfId="4559" priority="34" stopIfTrue="1">
      <formula>IF(AK11=1,IF(AK9&gt;4,0,1),1)</formula>
    </cfRule>
  </conditionalFormatting>
  <conditionalFormatting sqref="AH93 AH178 AH8 AH263">
    <cfRule type="expression" dxfId="4558" priority="35" stopIfTrue="1">
      <formula>IF(AK9&gt;0,0,1)</formula>
    </cfRule>
  </conditionalFormatting>
  <conditionalFormatting sqref="AH95:AI96 AH180:AI181 AH10:AI11 AH265:AI266">
    <cfRule type="expression" dxfId="4557" priority="36" stopIfTrue="1">
      <formula>IF(AK9&gt;1,0,1)</formula>
    </cfRule>
  </conditionalFormatting>
  <conditionalFormatting sqref="AH97:AI98 AH182:AI183 AH12:AI13 AH267:AI268">
    <cfRule type="expression" dxfId="4556" priority="37" stopIfTrue="1">
      <formula>IF(AK9&gt;2,0,1)</formula>
    </cfRule>
  </conditionalFormatting>
  <conditionalFormatting sqref="AH99:AI100 AH184:AI185 AH14:AI15 AH269:AI270">
    <cfRule type="expression" dxfId="4555" priority="38" stopIfTrue="1">
      <formula>IF(AK9&gt;3,0,1)</formula>
    </cfRule>
  </conditionalFormatting>
  <conditionalFormatting sqref="AH101:AI102 AH186:AI187 AH16:AI17 AH271:AI272">
    <cfRule type="expression" dxfId="4554" priority="39" stopIfTrue="1">
      <formula>IF(AK9&gt;4,0,1)</formula>
    </cfRule>
  </conditionalFormatting>
  <conditionalFormatting sqref="B189:D189 B19:D19 B104:D104 B274:D274">
    <cfRule type="expression" dxfId="4553" priority="40" stopIfTrue="1">
      <formula>IF(AK8&gt;0,0,1)</formula>
    </cfRule>
  </conditionalFormatting>
  <conditionalFormatting sqref="E189:G189 E19:G19 E104:G104 E274:G274">
    <cfRule type="expression" dxfId="4552" priority="41" stopIfTrue="1">
      <formula>IF(AK8&gt;1,0,1)</formula>
    </cfRule>
  </conditionalFormatting>
  <conditionalFormatting sqref="H189:J189 H19:J19 H104:J104 H274:J274">
    <cfRule type="expression" dxfId="4551" priority="42" stopIfTrue="1">
      <formula>IF(AK8&gt;2,0,1)</formula>
    </cfRule>
  </conditionalFormatting>
  <conditionalFormatting sqref="K189:M189 K19:M19 K104:M104 K274:M274">
    <cfRule type="expression" dxfId="4550" priority="43" stopIfTrue="1">
      <formula>IF(AK8&gt;3,0,1)</formula>
    </cfRule>
  </conditionalFormatting>
  <conditionalFormatting sqref="N189:P189 N19:P19 N104:P104 N274:P274">
    <cfRule type="expression" dxfId="4549" priority="44" stopIfTrue="1">
      <formula>IF(AK8&gt;4,0,1)</formula>
    </cfRule>
  </conditionalFormatting>
  <conditionalFormatting sqref="Q189:S189 Q19:S19 Q104:S104 Q274:S274">
    <cfRule type="expression" dxfId="4548" priority="45" stopIfTrue="1">
      <formula>IF(AK8&gt;5,0,1)</formula>
    </cfRule>
  </conditionalFormatting>
  <conditionalFormatting sqref="T189:V189 T19:V19 T104:V104 T274:V274">
    <cfRule type="expression" dxfId="4547" priority="46" stopIfTrue="1">
      <formula>IF(AK8&gt;6,0,1)</formula>
    </cfRule>
  </conditionalFormatting>
  <conditionalFormatting sqref="W189:Y189 W19:Y19 W104:Y104 W274:Y274">
    <cfRule type="expression" dxfId="4546" priority="47" stopIfTrue="1">
      <formula>IF(AK8&gt;7,0,1)</formula>
    </cfRule>
  </conditionalFormatting>
  <conditionalFormatting sqref="Z189:AB189 Z19:AB19 Z104:AB104 Z274:AB274">
    <cfRule type="expression" dxfId="4545" priority="48" stopIfTrue="1">
      <formula>IF(AK8&gt;8,0,1)</formula>
    </cfRule>
  </conditionalFormatting>
  <conditionalFormatting sqref="AC189:AE189 AC19:AE19 AC104:AE104 AC274:AE274">
    <cfRule type="expression" dxfId="4544" priority="49" stopIfTrue="1">
      <formula>IF(AK8&gt;9,0,1)</formula>
    </cfRule>
  </conditionalFormatting>
  <conditionalFormatting sqref="B190:D190 B105:D105 B20:D20 B275:D275">
    <cfRule type="expression" dxfId="4543" priority="50" stopIfTrue="1">
      <formula>IF(AK8&gt;0,0,1)</formula>
    </cfRule>
  </conditionalFormatting>
  <conditionalFormatting sqref="E190:G190 E105:G105 E20:G20 E275:G275">
    <cfRule type="expression" dxfId="4542" priority="51" stopIfTrue="1">
      <formula>IF(AK8&gt;1,0,1)</formula>
    </cfRule>
  </conditionalFormatting>
  <conditionalFormatting sqref="H190:J190 H105:J105 H20:J20 H275:J275">
    <cfRule type="expression" dxfId="4541" priority="52" stopIfTrue="1">
      <formula>IF(AK8&gt;2,0,1)</formula>
    </cfRule>
  </conditionalFormatting>
  <conditionalFormatting sqref="K190:M190 K105:M105 K20:M20 K275:M275">
    <cfRule type="expression" dxfId="4540" priority="53" stopIfTrue="1">
      <formula>IF(AK8&gt;3,0,1)</formula>
    </cfRule>
  </conditionalFormatting>
  <conditionalFormatting sqref="N190:P190 N105:P105 N20:P20 N275:P275">
    <cfRule type="expression" dxfId="4539" priority="54" stopIfTrue="1">
      <formula>IF(AK8&gt;4,0,1)</formula>
    </cfRule>
  </conditionalFormatting>
  <conditionalFormatting sqref="Q190:S190 Q105:S105 Q20:S20 Q275:S275">
    <cfRule type="expression" dxfId="4538" priority="55" stopIfTrue="1">
      <formula>IF(AK8&gt;5,0,1)</formula>
    </cfRule>
  </conditionalFormatting>
  <conditionalFormatting sqref="T190:V190 T105:V105 T20:V20 T275:V275">
    <cfRule type="expression" dxfId="4537" priority="56" stopIfTrue="1">
      <formula>IF(AK8&gt;6,0,1)</formula>
    </cfRule>
  </conditionalFormatting>
  <conditionalFormatting sqref="W190:Y190 W105:Y105 W20:Y20 W275:Y275">
    <cfRule type="expression" dxfId="4536" priority="57" stopIfTrue="1">
      <formula>IF(AK8&gt;7,0,1)</formula>
    </cfRule>
  </conditionalFormatting>
  <conditionalFormatting sqref="Z190:AB190 Z105:AB105 Z20:AB20 Z275:AB275">
    <cfRule type="expression" dxfId="4535" priority="58" stopIfTrue="1">
      <formula>IF(AK8&gt;8,0,1)</formula>
    </cfRule>
  </conditionalFormatting>
  <conditionalFormatting sqref="AC190:AE190 AC105:AE105 AC20:AE20 AC275:AE275">
    <cfRule type="expression" dxfId="4534" priority="59" stopIfTrue="1">
      <formula>IF(AK8&gt;9,0,1)</formula>
    </cfRule>
  </conditionalFormatting>
  <conditionalFormatting sqref="E22:G22 E192:G192 E107:G107 E277:G277">
    <cfRule type="expression" dxfId="4533" priority="60" stopIfTrue="1">
      <formula>IF(AK8&gt;1,0,1)</formula>
    </cfRule>
  </conditionalFormatting>
  <conditionalFormatting sqref="H22:J22 H192:J192 H107:J107 H277:J277">
    <cfRule type="expression" dxfId="4532" priority="61" stopIfTrue="1">
      <formula>IF(AK8&gt;2,0,1)</formula>
    </cfRule>
  </conditionalFormatting>
  <conditionalFormatting sqref="K22:M22 K192:M192 K107:M107 K277:M277">
    <cfRule type="expression" dxfId="4531" priority="62" stopIfTrue="1">
      <formula>IF(AK8&gt;3,0,1)</formula>
    </cfRule>
  </conditionalFormatting>
  <conditionalFormatting sqref="N22:P22 N192:P192 N107:P107 N277:P277">
    <cfRule type="expression" dxfId="4530" priority="63" stopIfTrue="1">
      <formula>IF(AK8&gt;4,0,1)</formula>
    </cfRule>
  </conditionalFormatting>
  <conditionalFormatting sqref="Q22:S22 Q192:S192 Q107:S107 Q277:S277">
    <cfRule type="expression" dxfId="4529" priority="64" stopIfTrue="1">
      <formula>IF(AK8&gt;5,0,1)</formula>
    </cfRule>
  </conditionalFormatting>
  <conditionalFormatting sqref="T22:V22 T192:V192 T107:V107 T277:V277">
    <cfRule type="expression" dxfId="4528" priority="65" stopIfTrue="1">
      <formula>IF(AK8&gt;6,0,1)</formula>
    </cfRule>
  </conditionalFormatting>
  <conditionalFormatting sqref="W22:Y22 W192:Y192 W107:Y107 W277:Y277">
    <cfRule type="expression" dxfId="4527" priority="66" stopIfTrue="1">
      <formula>IF(AK8&gt;7,0,1)</formula>
    </cfRule>
  </conditionalFormatting>
  <conditionalFormatting sqref="Z22:AB22 Z192:AB192 Z107:AB107 Z277:AB277">
    <cfRule type="expression" dxfId="4526" priority="67" stopIfTrue="1">
      <formula>IF(AK8&gt;8,0,1)</formula>
    </cfRule>
  </conditionalFormatting>
  <conditionalFormatting sqref="AC22:AE22 AC192:AE192 AC107:AE107 AC277:AE277">
    <cfRule type="expression" dxfId="4525" priority="68" stopIfTrue="1">
      <formula>IF(AK8&gt;9,0,1)</formula>
    </cfRule>
  </conditionalFormatting>
  <conditionalFormatting sqref="B24 B194 B109 B279">
    <cfRule type="expression" dxfId="4524" priority="69" stopIfTrue="1">
      <formula>IF(AK8&gt;0,0,1)</formula>
    </cfRule>
  </conditionalFormatting>
  <conditionalFormatting sqref="C24 C194 C109 C279">
    <cfRule type="expression" dxfId="4523" priority="70" stopIfTrue="1">
      <formula>IF(AK8&gt;0,0,1)</formula>
    </cfRule>
  </conditionalFormatting>
  <conditionalFormatting sqref="D24 D194 D109 D279">
    <cfRule type="expression" dxfId="4522" priority="71" stopIfTrue="1">
      <formula>IF(AK8&gt;0,0,1)</formula>
    </cfRule>
  </conditionalFormatting>
  <conditionalFormatting sqref="E193:G193 E108:G108 E23:G23 E278:G278">
    <cfRule type="expression" dxfId="4521" priority="72" stopIfTrue="1">
      <formula>IF(AK8&gt;1,0,1)</formula>
    </cfRule>
  </conditionalFormatting>
  <conditionalFormatting sqref="F24 F194 F109 F279">
    <cfRule type="expression" dxfId="4520" priority="73" stopIfTrue="1">
      <formula>IF(AK8&gt;1,0,1)</formula>
    </cfRule>
  </conditionalFormatting>
  <conditionalFormatting sqref="G24 G194 G109 G279">
    <cfRule type="expression" dxfId="4519" priority="74" stopIfTrue="1">
      <formula>IF(AK8&gt;1,0,1)</formula>
    </cfRule>
  </conditionalFormatting>
  <conditionalFormatting sqref="H193:J193 H108:J108 H23:J23 H278:J278">
    <cfRule type="expression" dxfId="4518" priority="75" stopIfTrue="1">
      <formula>IF(AK8&gt;2,0,1)</formula>
    </cfRule>
  </conditionalFormatting>
  <conditionalFormatting sqref="I24 I194 I109 I279">
    <cfRule type="expression" dxfId="4517" priority="76" stopIfTrue="1">
      <formula>IF(AK8&gt;2,0,1)</formula>
    </cfRule>
  </conditionalFormatting>
  <conditionalFormatting sqref="J24 J194 J109 J279">
    <cfRule type="expression" dxfId="4516" priority="77" stopIfTrue="1">
      <formula>IF(AK8&gt;2,0,1)</formula>
    </cfRule>
  </conditionalFormatting>
  <conditionalFormatting sqref="K193:M193 K108:M108 K23:M23 K278:M278">
    <cfRule type="expression" dxfId="4515" priority="78" stopIfTrue="1">
      <formula>IF(AK8&gt;3,0,1)</formula>
    </cfRule>
  </conditionalFormatting>
  <conditionalFormatting sqref="L24 L194 L109 L279">
    <cfRule type="expression" dxfId="4514" priority="79" stopIfTrue="1">
      <formula>IF(AK8&gt;3,0,1)</formula>
    </cfRule>
  </conditionalFormatting>
  <conditionalFormatting sqref="M24 M194 M109 M279">
    <cfRule type="expression" dxfId="4513" priority="80" stopIfTrue="1">
      <formula>IF(AK8&gt;3,0,1)</formula>
    </cfRule>
  </conditionalFormatting>
  <conditionalFormatting sqref="N193:P193 N108:P108 N23:P23 N278:P278">
    <cfRule type="expression" dxfId="4512" priority="81" stopIfTrue="1">
      <formula>IF(AK8&gt;4,0,1)</formula>
    </cfRule>
  </conditionalFormatting>
  <conditionalFormatting sqref="O24 O194 O109 O279">
    <cfRule type="expression" dxfId="4511" priority="82" stopIfTrue="1">
      <formula>IF(AK8&gt;4,0,1)</formula>
    </cfRule>
  </conditionalFormatting>
  <conditionalFormatting sqref="P24 P194 P109 P279">
    <cfRule type="expression" dxfId="4510" priority="83" stopIfTrue="1">
      <formula>IF(AK8&gt;4,0,1)</formula>
    </cfRule>
  </conditionalFormatting>
  <conditionalFormatting sqref="Q193:S193 Q108:S108 Q23:S23 Q278:S278">
    <cfRule type="expression" dxfId="4509" priority="84" stopIfTrue="1">
      <formula>IF(AK8&gt;5,0,1)</formula>
    </cfRule>
  </conditionalFormatting>
  <conditionalFormatting sqref="R24 R194 R109 R279">
    <cfRule type="expression" dxfId="4508" priority="85" stopIfTrue="1">
      <formula>IF(AK8&gt;5,0,1)</formula>
    </cfRule>
  </conditionalFormatting>
  <conditionalFormatting sqref="S24 S194 S109 S279">
    <cfRule type="expression" dxfId="4507" priority="86" stopIfTrue="1">
      <formula>IF(AK8&gt;5,0,1)</formula>
    </cfRule>
  </conditionalFormatting>
  <conditionalFormatting sqref="T193:V193 T108:V108 T23:V23 T278:V278">
    <cfRule type="expression" dxfId="4506" priority="87" stopIfTrue="1">
      <formula>IF(AK8&gt;6,0,1)</formula>
    </cfRule>
  </conditionalFormatting>
  <conditionalFormatting sqref="U24 U194 U109 U279">
    <cfRule type="expression" dxfId="4505" priority="88" stopIfTrue="1">
      <formula>IF(AK8&gt;6,0,1)</formula>
    </cfRule>
  </conditionalFormatting>
  <conditionalFormatting sqref="V24 V194 V109 V279">
    <cfRule type="expression" dxfId="4504" priority="89" stopIfTrue="1">
      <formula>IF(AK8&gt;6,0,1)</formula>
    </cfRule>
  </conditionalFormatting>
  <conditionalFormatting sqref="W193:Y193 W108:Y108 W23:Y23 W278:Y278">
    <cfRule type="expression" dxfId="4503" priority="90" stopIfTrue="1">
      <formula>IF(AK8&gt;7,0,1)</formula>
    </cfRule>
  </conditionalFormatting>
  <conditionalFormatting sqref="X24 X194 X109 X279">
    <cfRule type="expression" dxfId="4502" priority="91" stopIfTrue="1">
      <formula>IF(AK8&gt;7,0,1)</formula>
    </cfRule>
  </conditionalFormatting>
  <conditionalFormatting sqref="Y24 Y194 Y109 Y279">
    <cfRule type="expression" dxfId="4501" priority="92" stopIfTrue="1">
      <formula>IF(AK8&gt;7,0,1)</formula>
    </cfRule>
  </conditionalFormatting>
  <conditionalFormatting sqref="Z193:AB193 Z108:AB108 Z23:AB23 Z278:AB278">
    <cfRule type="expression" dxfId="4500" priority="93" stopIfTrue="1">
      <formula>IF(AK8&gt;8,0,1)</formula>
    </cfRule>
  </conditionalFormatting>
  <conditionalFormatting sqref="AA24 AA194 AA109 AA279">
    <cfRule type="expression" dxfId="4499" priority="94" stopIfTrue="1">
      <formula>IF(AK8&gt;8,0,1)</formula>
    </cfRule>
  </conditionalFormatting>
  <conditionalFormatting sqref="AB24 AB194 AB109 AB279">
    <cfRule type="expression" dxfId="4498" priority="95" stopIfTrue="1">
      <formula>IF(AK8&gt;8,0,1)</formula>
    </cfRule>
  </conditionalFormatting>
  <conditionalFormatting sqref="AC193:AE193 AC108:AE108 AC23:AE23 AC278:AE278">
    <cfRule type="expression" dxfId="4497" priority="96" stopIfTrue="1">
      <formula>IF(AK8&gt;9,0,1)</formula>
    </cfRule>
  </conditionalFormatting>
  <conditionalFormatting sqref="AD24 AD194 AD109 AD279">
    <cfRule type="expression" dxfId="4496" priority="97" stopIfTrue="1">
      <formula>IF(AK8&gt;9,0,1)</formula>
    </cfRule>
  </conditionalFormatting>
  <conditionalFormatting sqref="AE24 AE194 AE109 AE279">
    <cfRule type="expression" dxfId="4495" priority="98" stopIfTrue="1">
      <formula>IF(AK8&gt;9,0,1)</formula>
    </cfRule>
  </conditionalFormatting>
  <conditionalFormatting sqref="A26 A196 A111 A281">
    <cfRule type="expression" dxfId="4494" priority="99" stopIfTrue="1">
      <formula>IF(AK7&gt;1,0,1)</formula>
    </cfRule>
  </conditionalFormatting>
  <conditionalFormatting sqref="A27 A197 A112 A282">
    <cfRule type="expression" dxfId="4493" priority="100" stopIfTrue="1">
      <formula>IF(AK7&gt;2,0,1)</formula>
    </cfRule>
  </conditionalFormatting>
  <conditionalFormatting sqref="A28 A198 A113 A283">
    <cfRule type="expression" dxfId="4492" priority="101" stopIfTrue="1">
      <formula>IF(AK7&gt;3,0,1)</formula>
    </cfRule>
  </conditionalFormatting>
  <conditionalFormatting sqref="A29 A199 A114 A284">
    <cfRule type="expression" dxfId="4491" priority="102" stopIfTrue="1">
      <formula>IF(AK7&gt;4,0,1)</formula>
    </cfRule>
  </conditionalFormatting>
  <conditionalFormatting sqref="B25:D25 B195:D195 B110:D110 B280:D280">
    <cfRule type="expression" dxfId="4490" priority="103" stopIfTrue="1">
      <formula>IF($AK8&gt;0,0,1)</formula>
    </cfRule>
  </conditionalFormatting>
  <conditionalFormatting sqref="B26:D26 B196:D196 B111:D111 B281:D281">
    <cfRule type="expression" dxfId="4489" priority="104" stopIfTrue="1">
      <formula>IF($AK8&lt;1,1,IF($AK7&lt;2,1,0))</formula>
    </cfRule>
  </conditionalFormatting>
  <conditionalFormatting sqref="B27:D27 B197:D197 B112:D112 B282:D282">
    <cfRule type="expression" dxfId="4488" priority="105" stopIfTrue="1">
      <formula>IF($AK8&lt;1,1,IF($AK7&lt;3,1,0))</formula>
    </cfRule>
  </conditionalFormatting>
  <conditionalFormatting sqref="B28:D28 B198:D198 B113:D113 B283:D283">
    <cfRule type="expression" dxfId="4487" priority="106" stopIfTrue="1">
      <formula>IF($AK8&lt;1,1,IF($AK7&lt;4,1,0))</formula>
    </cfRule>
  </conditionalFormatting>
  <conditionalFormatting sqref="B29:D29 B199:D199 B114:D114 B284:D284">
    <cfRule type="expression" dxfId="4486" priority="107" stopIfTrue="1">
      <formula>IF($AK8&lt;1,1,IF($AK7&lt;5,1,0))</formula>
    </cfRule>
  </conditionalFormatting>
  <conditionalFormatting sqref="AG23 AG193 AG108 AG278">
    <cfRule type="expression" dxfId="4485" priority="108" stopIfTrue="1">
      <formula>IF($AK8&lt;1,1,0)</formula>
    </cfRule>
  </conditionalFormatting>
  <conditionalFormatting sqref="AH23 AH193 AH108 AH278">
    <cfRule type="expression" dxfId="4484" priority="109" stopIfTrue="1">
      <formula>IF($AK8&lt;2,1,0)</formula>
    </cfRule>
  </conditionalFormatting>
  <conditionalFormatting sqref="AI23 AI193 AI108 AI278">
    <cfRule type="expression" dxfId="4483" priority="110" stopIfTrue="1">
      <formula>IF($AK8&lt;3,1,0)</formula>
    </cfRule>
  </conditionalFormatting>
  <conditionalFormatting sqref="AJ23 AJ193 AJ108 AJ278">
    <cfRule type="expression" dxfId="4482" priority="111" stopIfTrue="1">
      <formula>IF($AK8&lt;4,1,0)</formula>
    </cfRule>
  </conditionalFormatting>
  <conditionalFormatting sqref="AK23 AK193 AK108 AK278">
    <cfRule type="expression" dxfId="4481" priority="112" stopIfTrue="1">
      <formula>IF($AK8&lt;5,1,0)</formula>
    </cfRule>
  </conditionalFormatting>
  <conditionalFormatting sqref="AL23 AL193 AL108 AL278">
    <cfRule type="expression" dxfId="4480" priority="113" stopIfTrue="1">
      <formula>IF($AK8&lt;6,1,0)</formula>
    </cfRule>
  </conditionalFormatting>
  <conditionalFormatting sqref="AM23 AM193 AM108 AM278">
    <cfRule type="expression" dxfId="4479" priority="114" stopIfTrue="1">
      <formula>IF($AK8&lt;7,1,0)</formula>
    </cfRule>
  </conditionalFormatting>
  <conditionalFormatting sqref="AN23 AN193 AN108 AN278">
    <cfRule type="expression" dxfId="4478" priority="115" stopIfTrue="1">
      <formula>IF($AK8&lt;8,1,0)</formula>
    </cfRule>
  </conditionalFormatting>
  <conditionalFormatting sqref="AO23 AO193 AO108 AO278">
    <cfRule type="expression" dxfId="4477" priority="116" stopIfTrue="1">
      <formula>IF($AK8&lt;9,1,0)</formula>
    </cfRule>
  </conditionalFormatting>
  <conditionalFormatting sqref="AP23 AP193 AP108 AP278">
    <cfRule type="expression" dxfId="4476" priority="117" stopIfTrue="1">
      <formula>IF($AK8&lt;10,1,0)</formula>
    </cfRule>
  </conditionalFormatting>
  <conditionalFormatting sqref="AQ24 AQ194 AQ109 AQ279">
    <cfRule type="expression" dxfId="4475" priority="118" stopIfTrue="1">
      <formula>IF($AK9&gt;0,0,1)</formula>
    </cfRule>
  </conditionalFormatting>
  <conditionalFormatting sqref="AQ25 AQ195 AQ110 AQ280">
    <cfRule type="expression" dxfId="4474" priority="119" stopIfTrue="1">
      <formula>IF($AK9&gt;1,0,1)</formula>
    </cfRule>
  </conditionalFormatting>
  <conditionalFormatting sqref="AQ26 H25:J25 AQ196 H195:J195 AQ111 H110:J110 AQ281 H280:J280">
    <cfRule type="expression" dxfId="4473" priority="120" stopIfTrue="1">
      <formula>IF($AK8&gt;2,0,1)</formula>
    </cfRule>
  </conditionalFormatting>
  <conditionalFormatting sqref="K195:M195 K110:M110 K25:M25 K280:M280">
    <cfRule type="expression" dxfId="4472" priority="121" stopIfTrue="1">
      <formula>IF($AK8&gt;3,0,1)</formula>
    </cfRule>
  </conditionalFormatting>
  <conditionalFormatting sqref="AQ28 AQ198 AQ113 AQ283">
    <cfRule type="expression" dxfId="4471" priority="122" stopIfTrue="1">
      <formula>IF($AK9&gt;4,0,1)</formula>
    </cfRule>
  </conditionalFormatting>
  <conditionalFormatting sqref="E26:G26 E196:G196 E111:G111 E281:G281">
    <cfRule type="expression" dxfId="4470" priority="123" stopIfTrue="1">
      <formula>IF($AK8&lt;2,1,IF($AK7&lt;2,1,0))</formula>
    </cfRule>
  </conditionalFormatting>
  <conditionalFormatting sqref="E27:G27 E197:G197 E112:G112 E282:G282">
    <cfRule type="expression" dxfId="4469" priority="124" stopIfTrue="1">
      <formula>IF($AK8&lt;2,1,IF($AK7&lt;3,1,0))</formula>
    </cfRule>
  </conditionalFormatting>
  <conditionalFormatting sqref="E28:G28 E198:G198 E113:G113 E283:G283">
    <cfRule type="expression" dxfId="4468" priority="125" stopIfTrue="1">
      <formula>IF($AK8&lt;2,1,IF($AK7&lt;4,1,0))</formula>
    </cfRule>
  </conditionalFormatting>
  <conditionalFormatting sqref="E29:G29 E199:G199 E114:G114 E284:G284">
    <cfRule type="expression" dxfId="4467" priority="126" stopIfTrue="1">
      <formula>IF($AK8&lt;2,1,IF($AK7&lt;5,1,0))</formula>
    </cfRule>
  </conditionalFormatting>
  <conditionalFormatting sqref="N25:P25 N195:P195 N110:P110 N280:P280">
    <cfRule type="expression" dxfId="4466" priority="127" stopIfTrue="1">
      <formula>IF($AK8&gt;4,0,1)</formula>
    </cfRule>
  </conditionalFormatting>
  <conditionalFormatting sqref="Q25:S25 Q195:S195 Q110:S110 Q280:S280">
    <cfRule type="expression" dxfId="4465" priority="128" stopIfTrue="1">
      <formula>IF($AK8&gt;5,0,1)</formula>
    </cfRule>
  </conditionalFormatting>
  <conditionalFormatting sqref="T25:V25 T195:V195 T110:V110 T280:V280">
    <cfRule type="expression" dxfId="4464" priority="129" stopIfTrue="1">
      <formula>IF($AK8&gt;6,0,1)</formula>
    </cfRule>
  </conditionalFormatting>
  <conditionalFormatting sqref="W25:Y25 W195:Y195 W110:Y110 W280:Y280">
    <cfRule type="expression" dxfId="4463" priority="130" stopIfTrue="1">
      <formula>IF($AK8&gt;7,0,1)</formula>
    </cfRule>
  </conditionalFormatting>
  <conditionalFormatting sqref="Z25:AB25 Z195:AB195 Z110:AB110 Z280:AB280">
    <cfRule type="expression" dxfId="4462" priority="131" stopIfTrue="1">
      <formula>IF($AK8&gt;8,0,1)</formula>
    </cfRule>
  </conditionalFormatting>
  <conditionalFormatting sqref="AC25:AE25 AC195:AE195 AC110:AE110 AC280:AE280">
    <cfRule type="expression" dxfId="4461" priority="132" stopIfTrue="1">
      <formula>IF($AK8&gt;9,0,1)</formula>
    </cfRule>
  </conditionalFormatting>
  <conditionalFormatting sqref="H26:J26 H196:J196 H111:J111 H281:J281">
    <cfRule type="expression" dxfId="4460" priority="133" stopIfTrue="1">
      <formula>IF($AK8&lt;3,1,IF($AK7&lt;2,1,0))</formula>
    </cfRule>
  </conditionalFormatting>
  <conditionalFormatting sqref="K26:M26 K196:M196 K111:M111 K281:M281">
    <cfRule type="expression" dxfId="4459" priority="134" stopIfTrue="1">
      <formula>IF($AK8&lt;4,1,IF($AK7&lt;2,1,0))</formula>
    </cfRule>
  </conditionalFormatting>
  <conditionalFormatting sqref="N26:P26 N196:P196 N111:P111 N281:P281">
    <cfRule type="expression" dxfId="4458" priority="135" stopIfTrue="1">
      <formula>IF($AK8&lt;5,1,IF($AK7&lt;2,1,0))</formula>
    </cfRule>
  </conditionalFormatting>
  <conditionalFormatting sqref="Q26:S26 Q196:S196 Q111:S111 Q281:S281">
    <cfRule type="expression" dxfId="4457" priority="136" stopIfTrue="1">
      <formula>IF($AK8&lt;6,1,IF($AK7&lt;2,1,0))</formula>
    </cfRule>
  </conditionalFormatting>
  <conditionalFormatting sqref="T26:V26 T196:V196 T111:V111 T281:V281">
    <cfRule type="expression" dxfId="4456" priority="137" stopIfTrue="1">
      <formula>IF($AK8&lt;7,1,IF($AK7&lt;2,1,0))</formula>
    </cfRule>
  </conditionalFormatting>
  <conditionalFormatting sqref="W26:Y26 W196:Y196 W111:Y111 W281:Y281">
    <cfRule type="expression" dxfId="4455" priority="138" stopIfTrue="1">
      <formula>IF($AK8&lt;8,1,IF($AK7&lt;2,1,0))</formula>
    </cfRule>
  </conditionalFormatting>
  <conditionalFormatting sqref="Z26:AB26 Z196:AB196 Z111:AB111 Z281:AB281">
    <cfRule type="expression" dxfId="4454" priority="139" stopIfTrue="1">
      <formula>IF($AK8&lt;9,1,IF($AK7&lt;2,1,0))</formula>
    </cfRule>
  </conditionalFormatting>
  <conditionalFormatting sqref="AC26:AE26 AC196:AE196 AC111:AE111 AC281:AE281">
    <cfRule type="expression" dxfId="4453" priority="140" stopIfTrue="1">
      <formula>IF($AK8&lt;10,1,IF($AK7&lt;2,1,0))</formula>
    </cfRule>
  </conditionalFormatting>
  <conditionalFormatting sqref="H27:J27 H197:J197 H112:J112 H282:J282">
    <cfRule type="expression" dxfId="4452" priority="141" stopIfTrue="1">
      <formula>IF($AK8&lt;3,1,IF($AK7&lt;3,1,0))</formula>
    </cfRule>
  </conditionalFormatting>
  <conditionalFormatting sqref="K27:M27 K197:M197 K112:M112 K282:M282">
    <cfRule type="expression" dxfId="4451" priority="142" stopIfTrue="1">
      <formula>IF($AK8&lt;4,1,IF($AK7&lt;3,1,0))</formula>
    </cfRule>
  </conditionalFormatting>
  <conditionalFormatting sqref="N27:P27 N197:P197 N112:P112 N282:P282">
    <cfRule type="expression" dxfId="4450" priority="143" stopIfTrue="1">
      <formula>IF($AK8&lt;5,1,IF($AK7&lt;3,1,0))</formula>
    </cfRule>
  </conditionalFormatting>
  <conditionalFormatting sqref="Q27:S27 Q197:S197 Q112:S112 Q282:S282">
    <cfRule type="expression" dxfId="4449" priority="144" stopIfTrue="1">
      <formula>IF($AK8&lt;6,1,IF($AK7&lt;3,1,0))</formula>
    </cfRule>
  </conditionalFormatting>
  <conditionalFormatting sqref="T27:V27 T197:V197 T112:V112 T282:V282">
    <cfRule type="expression" dxfId="4448" priority="145" stopIfTrue="1">
      <formula>IF($AK8&lt;7,1,IF($AK7&lt;3,1,0))</formula>
    </cfRule>
  </conditionalFormatting>
  <conditionalFormatting sqref="W27:Y27 W197:Y197 W112:Y112 W282:Y282">
    <cfRule type="expression" dxfId="4447" priority="146" stopIfTrue="1">
      <formula>IF($AK8&lt;8,1,IF($AK7&lt;3,1,0))</formula>
    </cfRule>
  </conditionalFormatting>
  <conditionalFormatting sqref="Z27:AB27 Z197:AB197 Z112:AB112 Z282:AB282">
    <cfRule type="expression" dxfId="4446" priority="147" stopIfTrue="1">
      <formula>IF($AK8&lt;9,1,IF($AK7&lt;3,1,0))</formula>
    </cfRule>
  </conditionalFormatting>
  <conditionalFormatting sqref="AC27:AE27 AC197:AE197 AC112:AE112 AC282:AE282">
    <cfRule type="expression" dxfId="4445" priority="148" stopIfTrue="1">
      <formula>IF($AK8&lt;10,1,IF($AK7&lt;3,1,0))</formula>
    </cfRule>
  </conditionalFormatting>
  <conditionalFormatting sqref="H28:J28 H198:J198 H113:J113 H283:J283">
    <cfRule type="expression" dxfId="4444" priority="149" stopIfTrue="1">
      <formula>IF($AK8&lt;3,1,IF($AK7&lt;4,1,0))</formula>
    </cfRule>
  </conditionalFormatting>
  <conditionalFormatting sqref="K28:M28 K198:M198 K113:M113 K283:M283">
    <cfRule type="expression" dxfId="4443" priority="150" stopIfTrue="1">
      <formula>IF($AK8&lt;4,1,IF($AK7&lt;4,1,0))</formula>
    </cfRule>
  </conditionalFormatting>
  <conditionalFormatting sqref="N28:P28 N198:P198 N113:P113 N283:P283">
    <cfRule type="expression" dxfId="4442" priority="151" stopIfTrue="1">
      <formula>IF($AK8&lt;5,1,IF($AK7&lt;4,1,0))</formula>
    </cfRule>
  </conditionalFormatting>
  <conditionalFormatting sqref="Q28:S28 Q198:S198 Q113:S113 Q283:S283">
    <cfRule type="expression" dxfId="4441" priority="152" stopIfTrue="1">
      <formula>IF($AK8&lt;6,1,IF($AK7&lt;4,1,0))</formula>
    </cfRule>
  </conditionalFormatting>
  <conditionalFormatting sqref="T28:V28 T198:V198 T113:V113 T283:V283">
    <cfRule type="expression" dxfId="4440" priority="153" stopIfTrue="1">
      <formula>IF($AK8&lt;7,1,IF($AK7&lt;4,1,0))</formula>
    </cfRule>
  </conditionalFormatting>
  <conditionalFormatting sqref="W28:Y28 W198:Y198 W113:Y113 W283:Y283">
    <cfRule type="expression" dxfId="4439" priority="154" stopIfTrue="1">
      <formula>IF($AK8&lt;8,1,IF($AK7&lt;4,1,0))</formula>
    </cfRule>
  </conditionalFormatting>
  <conditionalFormatting sqref="Z28:AB28 Z198:AB198 Z113:AB113 Z283:AB283">
    <cfRule type="expression" dxfId="4438" priority="155" stopIfTrue="1">
      <formula>IF($AK8&lt;9,1,IF($AK7&lt;4,1,0))</formula>
    </cfRule>
  </conditionalFormatting>
  <conditionalFormatting sqref="AC28:AE28 AC198:AE198 AC113:AE113 AC283:AE283">
    <cfRule type="expression" dxfId="4437" priority="156" stopIfTrue="1">
      <formula>IF($AK8&lt;10,1,IF($AK7&lt;4,1,0))</formula>
    </cfRule>
  </conditionalFormatting>
  <conditionalFormatting sqref="H29:J29 H199:J199 H114:J114 H284:J284">
    <cfRule type="expression" dxfId="4436" priority="157" stopIfTrue="1">
      <formula>IF($AK8&lt;3,1,IF($AK7&lt;5,1,0))</formula>
    </cfRule>
  </conditionalFormatting>
  <conditionalFormatting sqref="K29:M29 K199:M199 K114:M114 K284:M284">
    <cfRule type="expression" dxfId="4435" priority="158" stopIfTrue="1">
      <formula>IF($AK8&lt;4,1,IF($AK7&lt;5,1,0))</formula>
    </cfRule>
  </conditionalFormatting>
  <conditionalFormatting sqref="N29:P29 N199:P199 N114:P114 N284:P284">
    <cfRule type="expression" dxfId="4434" priority="159" stopIfTrue="1">
      <formula>IF($AK8&lt;5,1,IF($AK7&lt;5,1,0))</formula>
    </cfRule>
  </conditionalFormatting>
  <conditionalFormatting sqref="Q29:S29 Q199:S199 Q114:S114 Q284:S284">
    <cfRule type="expression" dxfId="4433" priority="160" stopIfTrue="1">
      <formula>IF($AK8&lt;6,1,IF($AK7&lt;5,1,0))</formula>
    </cfRule>
  </conditionalFormatting>
  <conditionalFormatting sqref="T29:V29 T199:V199 T114:V114 T284:V284">
    <cfRule type="expression" dxfId="4432" priority="161" stopIfTrue="1">
      <formula>IF($AK8&lt;7,1,IF($AK7&lt;5,1,0))</formula>
    </cfRule>
  </conditionalFormatting>
  <conditionalFormatting sqref="W29:Y29 W199:Y199 W114:Y114 W284:Y284">
    <cfRule type="expression" dxfId="4431" priority="162" stopIfTrue="1">
      <formula>IF($AK8&lt;8,1,IF($AK7&lt;5,1,0))</formula>
    </cfRule>
  </conditionalFormatting>
  <conditionalFormatting sqref="Z29:AB29 Z199:AB199 Z114:AB114 Z284:AB284">
    <cfRule type="expression" dxfId="4430" priority="163" stopIfTrue="1">
      <formula>IF($AK8&lt;9,1,IF($AK7&lt;5,1,0))</formula>
    </cfRule>
  </conditionalFormatting>
  <conditionalFormatting sqref="AC29:AE29 AC199:AE199 AC114:AE114 AC284:AE284">
    <cfRule type="expression" dxfId="4429" priority="164" stopIfTrue="1">
      <formula>IF($AK8&lt;10,1,IF($AK7&lt;5,1,0))</formula>
    </cfRule>
  </conditionalFormatting>
  <conditionalFormatting sqref="R184:AB185 AF184:AF185 L184:P185 R14:AB15 AF14:AF15 L14:P15 R99:AB100 AF99:AF100 L99:P100 R269:AB270 AF269:AF270 L269:P270 AG14 AG99 AG184 AG269">
    <cfRule type="expression" dxfId="4428" priority="165" stopIfTrue="1">
      <formula>IF($AK9&gt;3,0,1)</formula>
    </cfRule>
  </conditionalFormatting>
  <conditionalFormatting sqref="R186:AB187 AF186:AF187 L186:P187 R16:AB17 AF16:AF17 L16:P17 R101:AB102 AF101:AF102 L101:P102 R271:AB272 AF271:AF272 L271:P272 AG16 AG101 AG186 AG271">
    <cfRule type="expression" dxfId="4427" priority="166" stopIfTrue="1">
      <formula>IF($AK9&gt;4,0,1)</formula>
    </cfRule>
  </conditionalFormatting>
  <conditionalFormatting sqref="R178:AB179 AF178:AF179 L178:P179 R8:AB9 AF8:AF9 L8:P9 R93:AB94 AF93:AF94 L93:P94 R263:AB264 AF263:AF264 L263:P264 AG8 AG93 AG178 AG263">
    <cfRule type="expression" dxfId="4426" priority="167" stopIfTrue="1">
      <formula>IF($AK9&gt;0,0,1)</formula>
    </cfRule>
  </conditionalFormatting>
  <conditionalFormatting sqref="R180:AB181 AF180:AF181 L180:P181 R10:AB11 AF10:AF11 L10:P11 R95:AB96 AF95:AF96 L95:P96 R265:AB266 AF265:AF266 L265:P266 AG10 AG95 AG180 AG265">
    <cfRule type="expression" dxfId="4425" priority="168" stopIfTrue="1">
      <formula>IF($AK9&gt;1,0,1)</formula>
    </cfRule>
  </conditionalFormatting>
  <conditionalFormatting sqref="R182:AB183 AF182:AF183 L182:P183 R12:AB13 AF12:AF13 L12:P13 R97:AB98 AF97:AF98 L97:P98 R267:AB268 AF267:AF268 L267:P268 AG12 AG97 AG182 AG267">
    <cfRule type="expression" dxfId="4424" priority="169" stopIfTrue="1">
      <formula>IF($AK9&gt;2,0,1)</formula>
    </cfRule>
  </conditionalFormatting>
  <conditionalFormatting sqref="E194 E109 E24 E279">
    <cfRule type="expression" dxfId="4423" priority="170" stopIfTrue="1">
      <formula>IF(AK8&gt;1,0,1)</formula>
    </cfRule>
  </conditionalFormatting>
  <conditionalFormatting sqref="H194 H109 H24 H279">
    <cfRule type="expression" dxfId="4422" priority="171" stopIfTrue="1">
      <formula>IF(AK8&gt;2,0,1)</formula>
    </cfRule>
  </conditionalFormatting>
  <conditionalFormatting sqref="K194 K109 K24 K279">
    <cfRule type="expression" dxfId="4421" priority="172" stopIfTrue="1">
      <formula>IF(AK8&gt;3,0,1)</formula>
    </cfRule>
  </conditionalFormatting>
  <conditionalFormatting sqref="N194 N109 N24 N279">
    <cfRule type="expression" dxfId="4420" priority="173" stopIfTrue="1">
      <formula>IF(AK8&gt;4,0,1)</formula>
    </cfRule>
  </conditionalFormatting>
  <conditionalFormatting sqref="Q194 Q109 Q24 Q279">
    <cfRule type="expression" dxfId="4419" priority="174" stopIfTrue="1">
      <formula>IF(AK8&gt;5,0,1)</formula>
    </cfRule>
  </conditionalFormatting>
  <conditionalFormatting sqref="T194 T109 T24 T279">
    <cfRule type="expression" dxfId="4418" priority="175" stopIfTrue="1">
      <formula>IF(AK8&gt;6,0,1)</formula>
    </cfRule>
  </conditionalFormatting>
  <conditionalFormatting sqref="W194 W109 W24 W279">
    <cfRule type="expression" dxfId="4417" priority="176" stopIfTrue="1">
      <formula>IF(AK8&gt;7,0,1)</formula>
    </cfRule>
  </conditionalFormatting>
  <conditionalFormatting sqref="Z194 Z109 Z24 Z279">
    <cfRule type="expression" dxfId="4416" priority="177" stopIfTrue="1">
      <formula>IF(AK8&gt;8,0,1)</formula>
    </cfRule>
  </conditionalFormatting>
  <conditionalFormatting sqref="AC194 AC109 AC24 AC279">
    <cfRule type="expression" dxfId="4415" priority="178" stopIfTrue="1">
      <formula>IF(AK8&gt;9,0,1)</formula>
    </cfRule>
  </conditionalFormatting>
  <conditionalFormatting sqref="AQ197 AQ112 AQ27 AQ282">
    <cfRule type="expression" dxfId="4414" priority="179" stopIfTrue="1">
      <formula>IF($AK9&gt;3,0,1)</formula>
    </cfRule>
  </conditionalFormatting>
  <conditionalFormatting sqref="E195:G195 E110:G110 E25:G25 E280:G280">
    <cfRule type="expression" dxfId="4413" priority="180" stopIfTrue="1">
      <formula>IF($AK8&gt;1,0,1)</formula>
    </cfRule>
  </conditionalFormatting>
  <conditionalFormatting sqref="B191:D191 B106:D106 B21:D21 B276:D276">
    <cfRule type="expression" dxfId="4412" priority="181" stopIfTrue="1">
      <formula>IF(AK8&gt;0,0,1)</formula>
    </cfRule>
  </conditionalFormatting>
  <conditionalFormatting sqref="E191:G191 E106:G106 E21:G21 E276:G276">
    <cfRule type="expression" dxfId="4411" priority="182" stopIfTrue="1">
      <formula>IF(AK8&gt;1,0,1)</formula>
    </cfRule>
  </conditionalFormatting>
  <conditionalFormatting sqref="H191:J191 H106:J106 H21:J21 H276:J276">
    <cfRule type="expression" dxfId="4410" priority="183" stopIfTrue="1">
      <formula>IF(AK8&gt;2,0,1)</formula>
    </cfRule>
  </conditionalFormatting>
  <conditionalFormatting sqref="K191:M191 K106:M106 K21:M21 K276:M276">
    <cfRule type="expression" dxfId="4409" priority="184" stopIfTrue="1">
      <formula>IF(AK8&gt;3,0,1)</formula>
    </cfRule>
  </conditionalFormatting>
  <conditionalFormatting sqref="N191:P191 N106:P106 N21:P21 N276:P276">
    <cfRule type="expression" dxfId="4408" priority="185" stopIfTrue="1">
      <formula>IF(AK8&gt;4,0,1)</formula>
    </cfRule>
  </conditionalFormatting>
  <conditionalFormatting sqref="Q191:S191 Q106:S106 Q21:S21 Q276:S276">
    <cfRule type="expression" dxfId="4407" priority="186" stopIfTrue="1">
      <formula>IF(AK8&gt;5,0,1)</formula>
    </cfRule>
  </conditionalFormatting>
  <conditionalFormatting sqref="T191:V191 T106:V106 T21:V21 T276:V276">
    <cfRule type="expression" dxfId="4406" priority="187" stopIfTrue="1">
      <formula>IF(AK8&gt;6,0,1)</formula>
    </cfRule>
  </conditionalFormatting>
  <conditionalFormatting sqref="W191:Y191 W106:Y106 W21:Y21 W276:Y276">
    <cfRule type="expression" dxfId="4405" priority="188" stopIfTrue="1">
      <formula>IF(AK8&gt;7,0,1)</formula>
    </cfRule>
  </conditionalFormatting>
  <conditionalFormatting sqref="Z191:AB191 Z106:AB106 Z21:AB21 Z276:AB276">
    <cfRule type="expression" dxfId="4404" priority="189" stopIfTrue="1">
      <formula>IF(AK8&gt;8,0,1)</formula>
    </cfRule>
  </conditionalFormatting>
  <conditionalFormatting sqref="AC191:AE191 AC106:AE106 AC21:AE21 AC276:AE276">
    <cfRule type="expression" dxfId="4403" priority="190" stopIfTrue="1">
      <formula>IF(AK8&gt;9,0,1)</formula>
    </cfRule>
  </conditionalFormatting>
  <conditionalFormatting sqref="C387:D387 B390:D395 E391:J394 F395:F397 AD395:AD397 X396:X397 W387:W388 X387:Y387 W390:Y395 Z391:AE394 AA395:AA397 I395:I397 AA443:AA445 B387:B388 I443:I445 C444:C445 B435:B436 C435:D435 B438:D443 E439:J442 F443:F445 AD443:AD445 C396:C397 W435:W436 X435:Y435 W438:Y443 Z439:AE442 X444:X445">
    <cfRule type="expression" dxfId="4402" priority="191" stopIfTrue="1">
      <formula>IF(#REF!&gt;0,0,1)</formula>
    </cfRule>
  </conditionalFormatting>
  <conditionalFormatting sqref="F390:G390 E395 E387:E390 AA387:AB387 AB395 AA390:AB390 Z395 Z387:Z390 F387:G387 G395 Z435:Z438 F435:G435 G443 F438:G438 E443 E435:E438 AA435:AB435 AB443 AA438:AB438 Z443">
    <cfRule type="expression" dxfId="4401" priority="192" stopIfTrue="1">
      <formula>IF(#REF!&gt;1,0,1)</formula>
    </cfRule>
  </conditionalFormatting>
  <conditionalFormatting sqref="I387:J387 J395 I390:J390 H395 AC387:AC390 AD387:AE387 AE395 AD390:AE390 AC395 H387:H390 AC443 H435:H438 I435:J435 J443 I438:J438 H443 AC435:AC438 AD435:AE435 AE443 AD438:AE438">
    <cfRule type="expression" dxfId="4400" priority="193" stopIfTrue="1">
      <formula>IF(#REF!&gt;2,0,1)</formula>
    </cfRule>
  </conditionalFormatting>
  <conditionalFormatting sqref="B396 D396 W396 Y396 B444 D444 W444 Y444">
    <cfRule type="expression" dxfId="4399" priority="194" stopIfTrue="1">
      <formula>IF(#REF!&lt;1,1,IF(#REF!&lt;2,1,0))</formula>
    </cfRule>
  </conditionalFormatting>
  <conditionalFormatting sqref="E396 G396 Z396 AB396 E444 G444 Z444 AB444">
    <cfRule type="expression" dxfId="4398" priority="195" stopIfTrue="1">
      <formula>IF(#REF!&lt;2,1,IF(#REF!&lt;2,1,0))</formula>
    </cfRule>
  </conditionalFormatting>
  <conditionalFormatting sqref="H396 J396 AC396 AE396 H444 J444 AC444 AE444">
    <cfRule type="expression" dxfId="4397" priority="196" stopIfTrue="1">
      <formula>IF(#REF!&lt;3,1,IF(#REF!&lt;2,1,0))</formula>
    </cfRule>
  </conditionalFormatting>
  <conditionalFormatting sqref="D397 W397 Y397 B445 D445 W445 B397 Y445">
    <cfRule type="expression" dxfId="4396" priority="197" stopIfTrue="1">
      <formula>IF(#REF!&lt;1,1,IF(#REF!&lt;3,1,0))</formula>
    </cfRule>
  </conditionalFormatting>
  <conditionalFormatting sqref="G397 Z397 AB397 E445 G445 Z445 E397 AB445">
    <cfRule type="expression" dxfId="4395" priority="198" stopIfTrue="1">
      <formula>IF(#REF!&lt;2,1,IF(#REF!&lt;3,1,0))</formula>
    </cfRule>
  </conditionalFormatting>
  <conditionalFormatting sqref="J397 AC397 AE397 H445 J445 AC445 H397 AE445">
    <cfRule type="expression" dxfId="4394" priority="199" stopIfTrue="1">
      <formula>IF(#REF!&lt;3,1,IF(#REF!&lt;3,1,0))</formula>
    </cfRule>
  </conditionalFormatting>
  <conditionalFormatting sqref="AG194:AP198 AG24:AP28 AG109:AP113 AG279:AP283">
    <cfRule type="cellIs" dxfId="4393" priority="200" stopIfTrue="1" operator="notBetween">
      <formula>-9999</formula>
      <formula>9999</formula>
    </cfRule>
  </conditionalFormatting>
  <conditionalFormatting sqref="AC92 AC177 AC7 AC262">
    <cfRule type="expression" dxfId="4392" priority="201" stopIfTrue="1">
      <formula>IF($AK$11=0,1,0)</formula>
    </cfRule>
  </conditionalFormatting>
  <conditionalFormatting sqref="B188 B18 B103 B273">
    <cfRule type="expression" dxfId="4391" priority="202" stopIfTrue="1">
      <formula>IF($AK$9&gt;0,0,1)</formula>
    </cfRule>
  </conditionalFormatting>
  <conditionalFormatting sqref="B192:D193 B22:D23 B107:D108 B277:D278">
    <cfRule type="cellIs" dxfId="4390" priority="203" stopIfTrue="1" operator="equal">
      <formula>99</formula>
    </cfRule>
  </conditionalFormatting>
  <conditionalFormatting sqref="C398 F398 X398 AA398 C446 F446 X446 AA446">
    <cfRule type="expression" dxfId="4389" priority="204" stopIfTrue="1">
      <formula>IF(#REF!&gt;0,0,1)</formula>
    </cfRule>
  </conditionalFormatting>
  <conditionalFormatting sqref="K387">
    <cfRule type="expression" dxfId="4388" priority="4" stopIfTrue="1">
      <formula>IF(ISNUMBER(K395),0,1)</formula>
    </cfRule>
  </conditionalFormatting>
  <conditionalFormatting sqref="K435">
    <cfRule type="expression" dxfId="4387" priority="3" stopIfTrue="1">
      <formula>IF(ISNUMBER(K443),0,1)</formula>
    </cfRule>
  </conditionalFormatting>
  <conditionalFormatting sqref="AF435">
    <cfRule type="expression" dxfId="4386" priority="2" stopIfTrue="1">
      <formula>IF(ISNUMBER(AF443),0,1)</formula>
    </cfRule>
  </conditionalFormatting>
  <conditionalFormatting sqref="AF387">
    <cfRule type="expression" dxfId="4385" priority="1" stopIfTrue="1">
      <formula>IF(ISNUMBER(AF395),0,1)</formula>
    </cfRule>
  </conditionalFormatting>
  <pageMargins left="0.25" right="0.25" top="0.25" bottom="0.25" header="0" footer="0"/>
  <pageSetup scale="80" fitToHeight="8" orientation="landscape" r:id="rId1"/>
  <headerFooter alignWithMargins="0"/>
  <rowBreaks count="5" manualBreakCount="5">
    <brk id="90" max="42" man="1"/>
    <brk id="175" max="42" man="1"/>
    <brk id="260" max="42" man="1"/>
    <brk id="353" max="42" man="1"/>
    <brk id="406" max="42" man="1"/>
  </rowBreaks>
  <drawing r:id="rId2"/>
  <legacyDrawing r:id="rId3"/>
  <controls>
    <mc:AlternateContent xmlns:mc="http://schemas.openxmlformats.org/markup-compatibility/2006">
      <mc:Choice Requires="x14">
        <control shapeId="6148" r:id="rId4" name="Pool4RecalcFinish">
          <controlPr defaultSize="0" autoLine="0" r:id="rId5">
            <anchor moveWithCells="1" sizeWithCells="1">
              <from>
                <xdr:col>36</xdr:col>
                <xdr:colOff>114300</xdr:colOff>
                <xdr:row>267</xdr:row>
                <xdr:rowOff>219075</xdr:rowOff>
              </from>
              <to>
                <xdr:col>41</xdr:col>
                <xdr:colOff>228600</xdr:colOff>
                <xdr:row>271</xdr:row>
                <xdr:rowOff>76200</xdr:rowOff>
              </to>
            </anchor>
          </controlPr>
        </control>
      </mc:Choice>
      <mc:Fallback>
        <control shapeId="6148" r:id="rId4" name="Pool4RecalcFinish"/>
      </mc:Fallback>
    </mc:AlternateContent>
    <mc:AlternateContent xmlns:mc="http://schemas.openxmlformats.org/markup-compatibility/2006">
      <mc:Choice Requires="x14">
        <control shapeId="6147" r:id="rId6" name="Pool3RecalcFinish">
          <controlPr defaultSize="0" autoLine="0" r:id="rId7">
            <anchor moveWithCells="1" sizeWithCells="1">
              <from>
                <xdr:col>36</xdr:col>
                <xdr:colOff>133350</xdr:colOff>
                <xdr:row>183</xdr:row>
                <xdr:rowOff>0</xdr:rowOff>
              </from>
              <to>
                <xdr:col>42</xdr:col>
                <xdr:colOff>19050</xdr:colOff>
                <xdr:row>186</xdr:row>
                <xdr:rowOff>95250</xdr:rowOff>
              </to>
            </anchor>
          </controlPr>
        </control>
      </mc:Choice>
      <mc:Fallback>
        <control shapeId="6147" r:id="rId6" name="Pool3RecalcFinish"/>
      </mc:Fallback>
    </mc:AlternateContent>
    <mc:AlternateContent xmlns:mc="http://schemas.openxmlformats.org/markup-compatibility/2006">
      <mc:Choice Requires="x14">
        <control shapeId="6146" r:id="rId8" name="Pool2RecalcFinish">
          <controlPr defaultSize="0" autoLine="0" r:id="rId9">
            <anchor moveWithCells="1" sizeWithCells="1">
              <from>
                <xdr:col>36</xdr:col>
                <xdr:colOff>114300</xdr:colOff>
                <xdr:row>98</xdr:row>
                <xdr:rowOff>0</xdr:rowOff>
              </from>
              <to>
                <xdr:col>41</xdr:col>
                <xdr:colOff>228600</xdr:colOff>
                <xdr:row>101</xdr:row>
                <xdr:rowOff>95250</xdr:rowOff>
              </to>
            </anchor>
          </controlPr>
        </control>
      </mc:Choice>
      <mc:Fallback>
        <control shapeId="6146" r:id="rId8" name="Pool2RecalcFinish"/>
      </mc:Fallback>
    </mc:AlternateContent>
    <mc:AlternateContent xmlns:mc="http://schemas.openxmlformats.org/markup-compatibility/2006">
      <mc:Choice Requires="x14">
        <control shapeId="6145" r:id="rId10" name="Pool1RecalcFinish">
          <controlPr defaultSize="0" autoLine="0" r:id="rId11">
            <anchor moveWithCells="1" sizeWithCells="1">
              <from>
                <xdr:col>36</xdr:col>
                <xdr:colOff>114300</xdr:colOff>
                <xdr:row>13</xdr:row>
                <xdr:rowOff>0</xdr:rowOff>
              </from>
              <to>
                <xdr:col>41</xdr:col>
                <xdr:colOff>228600</xdr:colOff>
                <xdr:row>16</xdr:row>
                <xdr:rowOff>95250</xdr:rowOff>
              </to>
            </anchor>
          </controlPr>
        </control>
      </mc:Choice>
      <mc:Fallback>
        <control shapeId="6145" r:id="rId10" name="Pool1RecalcFinish"/>
      </mc:Fallback>
    </mc:AlternateContent>
  </controls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8">
    <tabColor indexed="11"/>
  </sheetPr>
  <dimension ref="A1:BY658"/>
  <sheetViews>
    <sheetView topLeftCell="T1" zoomScale="75" zoomScaleNormal="75" workbookViewId="0">
      <selection activeCell="AW3" sqref="AW3"/>
    </sheetView>
  </sheetViews>
  <sheetFormatPr defaultColWidth="8.85546875" defaultRowHeight="12.75" x14ac:dyDescent="0.2"/>
  <cols>
    <col min="1" max="1" width="8.85546875" style="4"/>
    <col min="2" max="2" width="3.5703125" style="4" customWidth="1"/>
    <col min="3" max="3" width="2.42578125" style="4" customWidth="1"/>
    <col min="4" max="5" width="3.5703125" style="4" customWidth="1"/>
    <col min="6" max="6" width="2.42578125" style="4" customWidth="1"/>
    <col min="7" max="8" width="3.5703125" style="4" customWidth="1"/>
    <col min="9" max="9" width="2.42578125" style="4" customWidth="1"/>
    <col min="10" max="11" width="3.5703125" style="4" customWidth="1"/>
    <col min="12" max="12" width="2.42578125" style="4" customWidth="1"/>
    <col min="13" max="14" width="3.5703125" style="4" customWidth="1"/>
    <col min="15" max="15" width="2.42578125" style="4" customWidth="1"/>
    <col min="16" max="17" width="3.5703125" style="4" customWidth="1"/>
    <col min="18" max="18" width="2.42578125" style="4" customWidth="1"/>
    <col min="19" max="20" width="3.5703125" style="4" customWidth="1"/>
    <col min="21" max="21" width="2.42578125" style="4" customWidth="1"/>
    <col min="22" max="23" width="3.5703125" style="4" customWidth="1"/>
    <col min="24" max="24" width="2.42578125" style="4" customWidth="1"/>
    <col min="25" max="26" width="3.5703125" style="4" customWidth="1"/>
    <col min="27" max="27" width="2.42578125" style="4" customWidth="1"/>
    <col min="28" max="29" width="3.5703125" style="4" customWidth="1"/>
    <col min="30" max="30" width="2.42578125" style="4" customWidth="1"/>
    <col min="31" max="31" width="3.5703125" style="4" customWidth="1"/>
    <col min="32" max="32" width="9.5703125" style="4" customWidth="1"/>
    <col min="33" max="42" width="3.5703125" style="4" customWidth="1"/>
    <col min="43" max="43" width="11" style="4" customWidth="1"/>
    <col min="44" max="46" width="8.85546875" style="4"/>
    <col min="47" max="47" width="21" style="4" customWidth="1"/>
    <col min="48" max="48" width="24.42578125" style="4" customWidth="1"/>
    <col min="49" max="49" width="15.42578125" style="156" customWidth="1"/>
    <col min="50" max="50" width="10.42578125" style="4" customWidth="1"/>
    <col min="51" max="51" width="11.42578125" style="4" customWidth="1"/>
    <col min="52" max="52" width="25" style="4" customWidth="1"/>
    <col min="53" max="53" width="6" style="4" customWidth="1"/>
    <col min="54" max="257" width="8.85546875" style="4"/>
    <col min="258" max="258" width="3.5703125" style="4" customWidth="1"/>
    <col min="259" max="259" width="2.42578125" style="4" customWidth="1"/>
    <col min="260" max="261" width="3.5703125" style="4" customWidth="1"/>
    <col min="262" max="262" width="2.42578125" style="4" customWidth="1"/>
    <col min="263" max="264" width="3.5703125" style="4" customWidth="1"/>
    <col min="265" max="265" width="2.42578125" style="4" customWidth="1"/>
    <col min="266" max="267" width="3.5703125" style="4" customWidth="1"/>
    <col min="268" max="268" width="2.42578125" style="4" customWidth="1"/>
    <col min="269" max="270" width="3.5703125" style="4" customWidth="1"/>
    <col min="271" max="271" width="2.42578125" style="4" customWidth="1"/>
    <col min="272" max="273" width="3.5703125" style="4" customWidth="1"/>
    <col min="274" max="274" width="2.42578125" style="4" customWidth="1"/>
    <col min="275" max="276" width="3.5703125" style="4" customWidth="1"/>
    <col min="277" max="277" width="2.42578125" style="4" customWidth="1"/>
    <col min="278" max="279" width="3.5703125" style="4" customWidth="1"/>
    <col min="280" max="280" width="2.42578125" style="4" customWidth="1"/>
    <col min="281" max="282" width="3.5703125" style="4" customWidth="1"/>
    <col min="283" max="283" width="2.42578125" style="4" customWidth="1"/>
    <col min="284" max="285" width="3.5703125" style="4" customWidth="1"/>
    <col min="286" max="286" width="2.42578125" style="4" customWidth="1"/>
    <col min="287" max="287" width="3.5703125" style="4" customWidth="1"/>
    <col min="288" max="288" width="9.5703125" style="4" customWidth="1"/>
    <col min="289" max="298" width="3.5703125" style="4" customWidth="1"/>
    <col min="299" max="299" width="11" style="4" customWidth="1"/>
    <col min="300" max="302" width="8.85546875" style="4"/>
    <col min="303" max="303" width="21" style="4" customWidth="1"/>
    <col min="304" max="304" width="24.42578125" style="4" customWidth="1"/>
    <col min="305" max="305" width="15.42578125" style="4" customWidth="1"/>
    <col min="306" max="306" width="10.42578125" style="4" customWidth="1"/>
    <col min="307" max="307" width="11.42578125" style="4" customWidth="1"/>
    <col min="308" max="308" width="25" style="4" customWidth="1"/>
    <col min="309" max="309" width="6" style="4" customWidth="1"/>
    <col min="310" max="513" width="8.85546875" style="4"/>
    <col min="514" max="514" width="3.5703125" style="4" customWidth="1"/>
    <col min="515" max="515" width="2.42578125" style="4" customWidth="1"/>
    <col min="516" max="517" width="3.5703125" style="4" customWidth="1"/>
    <col min="518" max="518" width="2.42578125" style="4" customWidth="1"/>
    <col min="519" max="520" width="3.5703125" style="4" customWidth="1"/>
    <col min="521" max="521" width="2.42578125" style="4" customWidth="1"/>
    <col min="522" max="523" width="3.5703125" style="4" customWidth="1"/>
    <col min="524" max="524" width="2.42578125" style="4" customWidth="1"/>
    <col min="525" max="526" width="3.5703125" style="4" customWidth="1"/>
    <col min="527" max="527" width="2.42578125" style="4" customWidth="1"/>
    <col min="528" max="529" width="3.5703125" style="4" customWidth="1"/>
    <col min="530" max="530" width="2.42578125" style="4" customWidth="1"/>
    <col min="531" max="532" width="3.5703125" style="4" customWidth="1"/>
    <col min="533" max="533" width="2.42578125" style="4" customWidth="1"/>
    <col min="534" max="535" width="3.5703125" style="4" customWidth="1"/>
    <col min="536" max="536" width="2.42578125" style="4" customWidth="1"/>
    <col min="537" max="538" width="3.5703125" style="4" customWidth="1"/>
    <col min="539" max="539" width="2.42578125" style="4" customWidth="1"/>
    <col min="540" max="541" width="3.5703125" style="4" customWidth="1"/>
    <col min="542" max="542" width="2.42578125" style="4" customWidth="1"/>
    <col min="543" max="543" width="3.5703125" style="4" customWidth="1"/>
    <col min="544" max="544" width="9.5703125" style="4" customWidth="1"/>
    <col min="545" max="554" width="3.5703125" style="4" customWidth="1"/>
    <col min="555" max="555" width="11" style="4" customWidth="1"/>
    <col min="556" max="558" width="8.85546875" style="4"/>
    <col min="559" max="559" width="21" style="4" customWidth="1"/>
    <col min="560" max="560" width="24.42578125" style="4" customWidth="1"/>
    <col min="561" max="561" width="15.42578125" style="4" customWidth="1"/>
    <col min="562" max="562" width="10.42578125" style="4" customWidth="1"/>
    <col min="563" max="563" width="11.42578125" style="4" customWidth="1"/>
    <col min="564" max="564" width="25" style="4" customWidth="1"/>
    <col min="565" max="565" width="6" style="4" customWidth="1"/>
    <col min="566" max="769" width="8.85546875" style="4"/>
    <col min="770" max="770" width="3.5703125" style="4" customWidth="1"/>
    <col min="771" max="771" width="2.42578125" style="4" customWidth="1"/>
    <col min="772" max="773" width="3.5703125" style="4" customWidth="1"/>
    <col min="774" max="774" width="2.42578125" style="4" customWidth="1"/>
    <col min="775" max="776" width="3.5703125" style="4" customWidth="1"/>
    <col min="777" max="777" width="2.42578125" style="4" customWidth="1"/>
    <col min="778" max="779" width="3.5703125" style="4" customWidth="1"/>
    <col min="780" max="780" width="2.42578125" style="4" customWidth="1"/>
    <col min="781" max="782" width="3.5703125" style="4" customWidth="1"/>
    <col min="783" max="783" width="2.42578125" style="4" customWidth="1"/>
    <col min="784" max="785" width="3.5703125" style="4" customWidth="1"/>
    <col min="786" max="786" width="2.42578125" style="4" customWidth="1"/>
    <col min="787" max="788" width="3.5703125" style="4" customWidth="1"/>
    <col min="789" max="789" width="2.42578125" style="4" customWidth="1"/>
    <col min="790" max="791" width="3.5703125" style="4" customWidth="1"/>
    <col min="792" max="792" width="2.42578125" style="4" customWidth="1"/>
    <col min="793" max="794" width="3.5703125" style="4" customWidth="1"/>
    <col min="795" max="795" width="2.42578125" style="4" customWidth="1"/>
    <col min="796" max="797" width="3.5703125" style="4" customWidth="1"/>
    <col min="798" max="798" width="2.42578125" style="4" customWidth="1"/>
    <col min="799" max="799" width="3.5703125" style="4" customWidth="1"/>
    <col min="800" max="800" width="9.5703125" style="4" customWidth="1"/>
    <col min="801" max="810" width="3.5703125" style="4" customWidth="1"/>
    <col min="811" max="811" width="11" style="4" customWidth="1"/>
    <col min="812" max="814" width="8.85546875" style="4"/>
    <col min="815" max="815" width="21" style="4" customWidth="1"/>
    <col min="816" max="816" width="24.42578125" style="4" customWidth="1"/>
    <col min="817" max="817" width="15.42578125" style="4" customWidth="1"/>
    <col min="818" max="818" width="10.42578125" style="4" customWidth="1"/>
    <col min="819" max="819" width="11.42578125" style="4" customWidth="1"/>
    <col min="820" max="820" width="25" style="4" customWidth="1"/>
    <col min="821" max="821" width="6" style="4" customWidth="1"/>
    <col min="822" max="1025" width="8.85546875" style="4"/>
    <col min="1026" max="1026" width="3.5703125" style="4" customWidth="1"/>
    <col min="1027" max="1027" width="2.42578125" style="4" customWidth="1"/>
    <col min="1028" max="1029" width="3.5703125" style="4" customWidth="1"/>
    <col min="1030" max="1030" width="2.42578125" style="4" customWidth="1"/>
    <col min="1031" max="1032" width="3.5703125" style="4" customWidth="1"/>
    <col min="1033" max="1033" width="2.42578125" style="4" customWidth="1"/>
    <col min="1034" max="1035" width="3.5703125" style="4" customWidth="1"/>
    <col min="1036" max="1036" width="2.42578125" style="4" customWidth="1"/>
    <col min="1037" max="1038" width="3.5703125" style="4" customWidth="1"/>
    <col min="1039" max="1039" width="2.42578125" style="4" customWidth="1"/>
    <col min="1040" max="1041" width="3.5703125" style="4" customWidth="1"/>
    <col min="1042" max="1042" width="2.42578125" style="4" customWidth="1"/>
    <col min="1043" max="1044" width="3.5703125" style="4" customWidth="1"/>
    <col min="1045" max="1045" width="2.42578125" style="4" customWidth="1"/>
    <col min="1046" max="1047" width="3.5703125" style="4" customWidth="1"/>
    <col min="1048" max="1048" width="2.42578125" style="4" customWidth="1"/>
    <col min="1049" max="1050" width="3.5703125" style="4" customWidth="1"/>
    <col min="1051" max="1051" width="2.42578125" style="4" customWidth="1"/>
    <col min="1052" max="1053" width="3.5703125" style="4" customWidth="1"/>
    <col min="1054" max="1054" width="2.42578125" style="4" customWidth="1"/>
    <col min="1055" max="1055" width="3.5703125" style="4" customWidth="1"/>
    <col min="1056" max="1056" width="9.5703125" style="4" customWidth="1"/>
    <col min="1057" max="1066" width="3.5703125" style="4" customWidth="1"/>
    <col min="1067" max="1067" width="11" style="4" customWidth="1"/>
    <col min="1068" max="1070" width="8.85546875" style="4"/>
    <col min="1071" max="1071" width="21" style="4" customWidth="1"/>
    <col min="1072" max="1072" width="24.42578125" style="4" customWidth="1"/>
    <col min="1073" max="1073" width="15.42578125" style="4" customWidth="1"/>
    <col min="1074" max="1074" width="10.42578125" style="4" customWidth="1"/>
    <col min="1075" max="1075" width="11.42578125" style="4" customWidth="1"/>
    <col min="1076" max="1076" width="25" style="4" customWidth="1"/>
    <col min="1077" max="1077" width="6" style="4" customWidth="1"/>
    <col min="1078" max="1281" width="8.85546875" style="4"/>
    <col min="1282" max="1282" width="3.5703125" style="4" customWidth="1"/>
    <col min="1283" max="1283" width="2.42578125" style="4" customWidth="1"/>
    <col min="1284" max="1285" width="3.5703125" style="4" customWidth="1"/>
    <col min="1286" max="1286" width="2.42578125" style="4" customWidth="1"/>
    <col min="1287" max="1288" width="3.5703125" style="4" customWidth="1"/>
    <col min="1289" max="1289" width="2.42578125" style="4" customWidth="1"/>
    <col min="1290" max="1291" width="3.5703125" style="4" customWidth="1"/>
    <col min="1292" max="1292" width="2.42578125" style="4" customWidth="1"/>
    <col min="1293" max="1294" width="3.5703125" style="4" customWidth="1"/>
    <col min="1295" max="1295" width="2.42578125" style="4" customWidth="1"/>
    <col min="1296" max="1297" width="3.5703125" style="4" customWidth="1"/>
    <col min="1298" max="1298" width="2.42578125" style="4" customWidth="1"/>
    <col min="1299" max="1300" width="3.5703125" style="4" customWidth="1"/>
    <col min="1301" max="1301" width="2.42578125" style="4" customWidth="1"/>
    <col min="1302" max="1303" width="3.5703125" style="4" customWidth="1"/>
    <col min="1304" max="1304" width="2.42578125" style="4" customWidth="1"/>
    <col min="1305" max="1306" width="3.5703125" style="4" customWidth="1"/>
    <col min="1307" max="1307" width="2.42578125" style="4" customWidth="1"/>
    <col min="1308" max="1309" width="3.5703125" style="4" customWidth="1"/>
    <col min="1310" max="1310" width="2.42578125" style="4" customWidth="1"/>
    <col min="1311" max="1311" width="3.5703125" style="4" customWidth="1"/>
    <col min="1312" max="1312" width="9.5703125" style="4" customWidth="1"/>
    <col min="1313" max="1322" width="3.5703125" style="4" customWidth="1"/>
    <col min="1323" max="1323" width="11" style="4" customWidth="1"/>
    <col min="1324" max="1326" width="8.85546875" style="4"/>
    <col min="1327" max="1327" width="21" style="4" customWidth="1"/>
    <col min="1328" max="1328" width="24.42578125" style="4" customWidth="1"/>
    <col min="1329" max="1329" width="15.42578125" style="4" customWidth="1"/>
    <col min="1330" max="1330" width="10.42578125" style="4" customWidth="1"/>
    <col min="1331" max="1331" width="11.42578125" style="4" customWidth="1"/>
    <col min="1332" max="1332" width="25" style="4" customWidth="1"/>
    <col min="1333" max="1333" width="6" style="4" customWidth="1"/>
    <col min="1334" max="1537" width="8.85546875" style="4"/>
    <col min="1538" max="1538" width="3.5703125" style="4" customWidth="1"/>
    <col min="1539" max="1539" width="2.42578125" style="4" customWidth="1"/>
    <col min="1540" max="1541" width="3.5703125" style="4" customWidth="1"/>
    <col min="1542" max="1542" width="2.42578125" style="4" customWidth="1"/>
    <col min="1543" max="1544" width="3.5703125" style="4" customWidth="1"/>
    <col min="1545" max="1545" width="2.42578125" style="4" customWidth="1"/>
    <col min="1546" max="1547" width="3.5703125" style="4" customWidth="1"/>
    <col min="1548" max="1548" width="2.42578125" style="4" customWidth="1"/>
    <col min="1549" max="1550" width="3.5703125" style="4" customWidth="1"/>
    <col min="1551" max="1551" width="2.42578125" style="4" customWidth="1"/>
    <col min="1552" max="1553" width="3.5703125" style="4" customWidth="1"/>
    <col min="1554" max="1554" width="2.42578125" style="4" customWidth="1"/>
    <col min="1555" max="1556" width="3.5703125" style="4" customWidth="1"/>
    <col min="1557" max="1557" width="2.42578125" style="4" customWidth="1"/>
    <col min="1558" max="1559" width="3.5703125" style="4" customWidth="1"/>
    <col min="1560" max="1560" width="2.42578125" style="4" customWidth="1"/>
    <col min="1561" max="1562" width="3.5703125" style="4" customWidth="1"/>
    <col min="1563" max="1563" width="2.42578125" style="4" customWidth="1"/>
    <col min="1564" max="1565" width="3.5703125" style="4" customWidth="1"/>
    <col min="1566" max="1566" width="2.42578125" style="4" customWidth="1"/>
    <col min="1567" max="1567" width="3.5703125" style="4" customWidth="1"/>
    <col min="1568" max="1568" width="9.5703125" style="4" customWidth="1"/>
    <col min="1569" max="1578" width="3.5703125" style="4" customWidth="1"/>
    <col min="1579" max="1579" width="11" style="4" customWidth="1"/>
    <col min="1580" max="1582" width="8.85546875" style="4"/>
    <col min="1583" max="1583" width="21" style="4" customWidth="1"/>
    <col min="1584" max="1584" width="24.42578125" style="4" customWidth="1"/>
    <col min="1585" max="1585" width="15.42578125" style="4" customWidth="1"/>
    <col min="1586" max="1586" width="10.42578125" style="4" customWidth="1"/>
    <col min="1587" max="1587" width="11.42578125" style="4" customWidth="1"/>
    <col min="1588" max="1588" width="25" style="4" customWidth="1"/>
    <col min="1589" max="1589" width="6" style="4" customWidth="1"/>
    <col min="1590" max="1793" width="8.85546875" style="4"/>
    <col min="1794" max="1794" width="3.5703125" style="4" customWidth="1"/>
    <col min="1795" max="1795" width="2.42578125" style="4" customWidth="1"/>
    <col min="1796" max="1797" width="3.5703125" style="4" customWidth="1"/>
    <col min="1798" max="1798" width="2.42578125" style="4" customWidth="1"/>
    <col min="1799" max="1800" width="3.5703125" style="4" customWidth="1"/>
    <col min="1801" max="1801" width="2.42578125" style="4" customWidth="1"/>
    <col min="1802" max="1803" width="3.5703125" style="4" customWidth="1"/>
    <col min="1804" max="1804" width="2.42578125" style="4" customWidth="1"/>
    <col min="1805" max="1806" width="3.5703125" style="4" customWidth="1"/>
    <col min="1807" max="1807" width="2.42578125" style="4" customWidth="1"/>
    <col min="1808" max="1809" width="3.5703125" style="4" customWidth="1"/>
    <col min="1810" max="1810" width="2.42578125" style="4" customWidth="1"/>
    <col min="1811" max="1812" width="3.5703125" style="4" customWidth="1"/>
    <col min="1813" max="1813" width="2.42578125" style="4" customWidth="1"/>
    <col min="1814" max="1815" width="3.5703125" style="4" customWidth="1"/>
    <col min="1816" max="1816" width="2.42578125" style="4" customWidth="1"/>
    <col min="1817" max="1818" width="3.5703125" style="4" customWidth="1"/>
    <col min="1819" max="1819" width="2.42578125" style="4" customWidth="1"/>
    <col min="1820" max="1821" width="3.5703125" style="4" customWidth="1"/>
    <col min="1822" max="1822" width="2.42578125" style="4" customWidth="1"/>
    <col min="1823" max="1823" width="3.5703125" style="4" customWidth="1"/>
    <col min="1824" max="1824" width="9.5703125" style="4" customWidth="1"/>
    <col min="1825" max="1834" width="3.5703125" style="4" customWidth="1"/>
    <col min="1835" max="1835" width="11" style="4" customWidth="1"/>
    <col min="1836" max="1838" width="8.85546875" style="4"/>
    <col min="1839" max="1839" width="21" style="4" customWidth="1"/>
    <col min="1840" max="1840" width="24.42578125" style="4" customWidth="1"/>
    <col min="1841" max="1841" width="15.42578125" style="4" customWidth="1"/>
    <col min="1842" max="1842" width="10.42578125" style="4" customWidth="1"/>
    <col min="1843" max="1843" width="11.42578125" style="4" customWidth="1"/>
    <col min="1844" max="1844" width="25" style="4" customWidth="1"/>
    <col min="1845" max="1845" width="6" style="4" customWidth="1"/>
    <col min="1846" max="2049" width="8.85546875" style="4"/>
    <col min="2050" max="2050" width="3.5703125" style="4" customWidth="1"/>
    <col min="2051" max="2051" width="2.42578125" style="4" customWidth="1"/>
    <col min="2052" max="2053" width="3.5703125" style="4" customWidth="1"/>
    <col min="2054" max="2054" width="2.42578125" style="4" customWidth="1"/>
    <col min="2055" max="2056" width="3.5703125" style="4" customWidth="1"/>
    <col min="2057" max="2057" width="2.42578125" style="4" customWidth="1"/>
    <col min="2058" max="2059" width="3.5703125" style="4" customWidth="1"/>
    <col min="2060" max="2060" width="2.42578125" style="4" customWidth="1"/>
    <col min="2061" max="2062" width="3.5703125" style="4" customWidth="1"/>
    <col min="2063" max="2063" width="2.42578125" style="4" customWidth="1"/>
    <col min="2064" max="2065" width="3.5703125" style="4" customWidth="1"/>
    <col min="2066" max="2066" width="2.42578125" style="4" customWidth="1"/>
    <col min="2067" max="2068" width="3.5703125" style="4" customWidth="1"/>
    <col min="2069" max="2069" width="2.42578125" style="4" customWidth="1"/>
    <col min="2070" max="2071" width="3.5703125" style="4" customWidth="1"/>
    <col min="2072" max="2072" width="2.42578125" style="4" customWidth="1"/>
    <col min="2073" max="2074" width="3.5703125" style="4" customWidth="1"/>
    <col min="2075" max="2075" width="2.42578125" style="4" customWidth="1"/>
    <col min="2076" max="2077" width="3.5703125" style="4" customWidth="1"/>
    <col min="2078" max="2078" width="2.42578125" style="4" customWidth="1"/>
    <col min="2079" max="2079" width="3.5703125" style="4" customWidth="1"/>
    <col min="2080" max="2080" width="9.5703125" style="4" customWidth="1"/>
    <col min="2081" max="2090" width="3.5703125" style="4" customWidth="1"/>
    <col min="2091" max="2091" width="11" style="4" customWidth="1"/>
    <col min="2092" max="2094" width="8.85546875" style="4"/>
    <col min="2095" max="2095" width="21" style="4" customWidth="1"/>
    <col min="2096" max="2096" width="24.42578125" style="4" customWidth="1"/>
    <col min="2097" max="2097" width="15.42578125" style="4" customWidth="1"/>
    <col min="2098" max="2098" width="10.42578125" style="4" customWidth="1"/>
    <col min="2099" max="2099" width="11.42578125" style="4" customWidth="1"/>
    <col min="2100" max="2100" width="25" style="4" customWidth="1"/>
    <col min="2101" max="2101" width="6" style="4" customWidth="1"/>
    <col min="2102" max="2305" width="8.85546875" style="4"/>
    <col min="2306" max="2306" width="3.5703125" style="4" customWidth="1"/>
    <col min="2307" max="2307" width="2.42578125" style="4" customWidth="1"/>
    <col min="2308" max="2309" width="3.5703125" style="4" customWidth="1"/>
    <col min="2310" max="2310" width="2.42578125" style="4" customWidth="1"/>
    <col min="2311" max="2312" width="3.5703125" style="4" customWidth="1"/>
    <col min="2313" max="2313" width="2.42578125" style="4" customWidth="1"/>
    <col min="2314" max="2315" width="3.5703125" style="4" customWidth="1"/>
    <col min="2316" max="2316" width="2.42578125" style="4" customWidth="1"/>
    <col min="2317" max="2318" width="3.5703125" style="4" customWidth="1"/>
    <col min="2319" max="2319" width="2.42578125" style="4" customWidth="1"/>
    <col min="2320" max="2321" width="3.5703125" style="4" customWidth="1"/>
    <col min="2322" max="2322" width="2.42578125" style="4" customWidth="1"/>
    <col min="2323" max="2324" width="3.5703125" style="4" customWidth="1"/>
    <col min="2325" max="2325" width="2.42578125" style="4" customWidth="1"/>
    <col min="2326" max="2327" width="3.5703125" style="4" customWidth="1"/>
    <col min="2328" max="2328" width="2.42578125" style="4" customWidth="1"/>
    <col min="2329" max="2330" width="3.5703125" style="4" customWidth="1"/>
    <col min="2331" max="2331" width="2.42578125" style="4" customWidth="1"/>
    <col min="2332" max="2333" width="3.5703125" style="4" customWidth="1"/>
    <col min="2334" max="2334" width="2.42578125" style="4" customWidth="1"/>
    <col min="2335" max="2335" width="3.5703125" style="4" customWidth="1"/>
    <col min="2336" max="2336" width="9.5703125" style="4" customWidth="1"/>
    <col min="2337" max="2346" width="3.5703125" style="4" customWidth="1"/>
    <col min="2347" max="2347" width="11" style="4" customWidth="1"/>
    <col min="2348" max="2350" width="8.85546875" style="4"/>
    <col min="2351" max="2351" width="21" style="4" customWidth="1"/>
    <col min="2352" max="2352" width="24.42578125" style="4" customWidth="1"/>
    <col min="2353" max="2353" width="15.42578125" style="4" customWidth="1"/>
    <col min="2354" max="2354" width="10.42578125" style="4" customWidth="1"/>
    <col min="2355" max="2355" width="11.42578125" style="4" customWidth="1"/>
    <col min="2356" max="2356" width="25" style="4" customWidth="1"/>
    <col min="2357" max="2357" width="6" style="4" customWidth="1"/>
    <col min="2358" max="2561" width="8.85546875" style="4"/>
    <col min="2562" max="2562" width="3.5703125" style="4" customWidth="1"/>
    <col min="2563" max="2563" width="2.42578125" style="4" customWidth="1"/>
    <col min="2564" max="2565" width="3.5703125" style="4" customWidth="1"/>
    <col min="2566" max="2566" width="2.42578125" style="4" customWidth="1"/>
    <col min="2567" max="2568" width="3.5703125" style="4" customWidth="1"/>
    <col min="2569" max="2569" width="2.42578125" style="4" customWidth="1"/>
    <col min="2570" max="2571" width="3.5703125" style="4" customWidth="1"/>
    <col min="2572" max="2572" width="2.42578125" style="4" customWidth="1"/>
    <col min="2573" max="2574" width="3.5703125" style="4" customWidth="1"/>
    <col min="2575" max="2575" width="2.42578125" style="4" customWidth="1"/>
    <col min="2576" max="2577" width="3.5703125" style="4" customWidth="1"/>
    <col min="2578" max="2578" width="2.42578125" style="4" customWidth="1"/>
    <col min="2579" max="2580" width="3.5703125" style="4" customWidth="1"/>
    <col min="2581" max="2581" width="2.42578125" style="4" customWidth="1"/>
    <col min="2582" max="2583" width="3.5703125" style="4" customWidth="1"/>
    <col min="2584" max="2584" width="2.42578125" style="4" customWidth="1"/>
    <col min="2585" max="2586" width="3.5703125" style="4" customWidth="1"/>
    <col min="2587" max="2587" width="2.42578125" style="4" customWidth="1"/>
    <col min="2588" max="2589" width="3.5703125" style="4" customWidth="1"/>
    <col min="2590" max="2590" width="2.42578125" style="4" customWidth="1"/>
    <col min="2591" max="2591" width="3.5703125" style="4" customWidth="1"/>
    <col min="2592" max="2592" width="9.5703125" style="4" customWidth="1"/>
    <col min="2593" max="2602" width="3.5703125" style="4" customWidth="1"/>
    <col min="2603" max="2603" width="11" style="4" customWidth="1"/>
    <col min="2604" max="2606" width="8.85546875" style="4"/>
    <col min="2607" max="2607" width="21" style="4" customWidth="1"/>
    <col min="2608" max="2608" width="24.42578125" style="4" customWidth="1"/>
    <col min="2609" max="2609" width="15.42578125" style="4" customWidth="1"/>
    <col min="2610" max="2610" width="10.42578125" style="4" customWidth="1"/>
    <col min="2611" max="2611" width="11.42578125" style="4" customWidth="1"/>
    <col min="2612" max="2612" width="25" style="4" customWidth="1"/>
    <col min="2613" max="2613" width="6" style="4" customWidth="1"/>
    <col min="2614" max="2817" width="8.85546875" style="4"/>
    <col min="2818" max="2818" width="3.5703125" style="4" customWidth="1"/>
    <col min="2819" max="2819" width="2.42578125" style="4" customWidth="1"/>
    <col min="2820" max="2821" width="3.5703125" style="4" customWidth="1"/>
    <col min="2822" max="2822" width="2.42578125" style="4" customWidth="1"/>
    <col min="2823" max="2824" width="3.5703125" style="4" customWidth="1"/>
    <col min="2825" max="2825" width="2.42578125" style="4" customWidth="1"/>
    <col min="2826" max="2827" width="3.5703125" style="4" customWidth="1"/>
    <col min="2828" max="2828" width="2.42578125" style="4" customWidth="1"/>
    <col min="2829" max="2830" width="3.5703125" style="4" customWidth="1"/>
    <col min="2831" max="2831" width="2.42578125" style="4" customWidth="1"/>
    <col min="2832" max="2833" width="3.5703125" style="4" customWidth="1"/>
    <col min="2834" max="2834" width="2.42578125" style="4" customWidth="1"/>
    <col min="2835" max="2836" width="3.5703125" style="4" customWidth="1"/>
    <col min="2837" max="2837" width="2.42578125" style="4" customWidth="1"/>
    <col min="2838" max="2839" width="3.5703125" style="4" customWidth="1"/>
    <col min="2840" max="2840" width="2.42578125" style="4" customWidth="1"/>
    <col min="2841" max="2842" width="3.5703125" style="4" customWidth="1"/>
    <col min="2843" max="2843" width="2.42578125" style="4" customWidth="1"/>
    <col min="2844" max="2845" width="3.5703125" style="4" customWidth="1"/>
    <col min="2846" max="2846" width="2.42578125" style="4" customWidth="1"/>
    <col min="2847" max="2847" width="3.5703125" style="4" customWidth="1"/>
    <col min="2848" max="2848" width="9.5703125" style="4" customWidth="1"/>
    <col min="2849" max="2858" width="3.5703125" style="4" customWidth="1"/>
    <col min="2859" max="2859" width="11" style="4" customWidth="1"/>
    <col min="2860" max="2862" width="8.85546875" style="4"/>
    <col min="2863" max="2863" width="21" style="4" customWidth="1"/>
    <col min="2864" max="2864" width="24.42578125" style="4" customWidth="1"/>
    <col min="2865" max="2865" width="15.42578125" style="4" customWidth="1"/>
    <col min="2866" max="2866" width="10.42578125" style="4" customWidth="1"/>
    <col min="2867" max="2867" width="11.42578125" style="4" customWidth="1"/>
    <col min="2868" max="2868" width="25" style="4" customWidth="1"/>
    <col min="2869" max="2869" width="6" style="4" customWidth="1"/>
    <col min="2870" max="3073" width="8.85546875" style="4"/>
    <col min="3074" max="3074" width="3.5703125" style="4" customWidth="1"/>
    <col min="3075" max="3075" width="2.42578125" style="4" customWidth="1"/>
    <col min="3076" max="3077" width="3.5703125" style="4" customWidth="1"/>
    <col min="3078" max="3078" width="2.42578125" style="4" customWidth="1"/>
    <col min="3079" max="3080" width="3.5703125" style="4" customWidth="1"/>
    <col min="3081" max="3081" width="2.42578125" style="4" customWidth="1"/>
    <col min="3082" max="3083" width="3.5703125" style="4" customWidth="1"/>
    <col min="3084" max="3084" width="2.42578125" style="4" customWidth="1"/>
    <col min="3085" max="3086" width="3.5703125" style="4" customWidth="1"/>
    <col min="3087" max="3087" width="2.42578125" style="4" customWidth="1"/>
    <col min="3088" max="3089" width="3.5703125" style="4" customWidth="1"/>
    <col min="3090" max="3090" width="2.42578125" style="4" customWidth="1"/>
    <col min="3091" max="3092" width="3.5703125" style="4" customWidth="1"/>
    <col min="3093" max="3093" width="2.42578125" style="4" customWidth="1"/>
    <col min="3094" max="3095" width="3.5703125" style="4" customWidth="1"/>
    <col min="3096" max="3096" width="2.42578125" style="4" customWidth="1"/>
    <col min="3097" max="3098" width="3.5703125" style="4" customWidth="1"/>
    <col min="3099" max="3099" width="2.42578125" style="4" customWidth="1"/>
    <col min="3100" max="3101" width="3.5703125" style="4" customWidth="1"/>
    <col min="3102" max="3102" width="2.42578125" style="4" customWidth="1"/>
    <col min="3103" max="3103" width="3.5703125" style="4" customWidth="1"/>
    <col min="3104" max="3104" width="9.5703125" style="4" customWidth="1"/>
    <col min="3105" max="3114" width="3.5703125" style="4" customWidth="1"/>
    <col min="3115" max="3115" width="11" style="4" customWidth="1"/>
    <col min="3116" max="3118" width="8.85546875" style="4"/>
    <col min="3119" max="3119" width="21" style="4" customWidth="1"/>
    <col min="3120" max="3120" width="24.42578125" style="4" customWidth="1"/>
    <col min="3121" max="3121" width="15.42578125" style="4" customWidth="1"/>
    <col min="3122" max="3122" width="10.42578125" style="4" customWidth="1"/>
    <col min="3123" max="3123" width="11.42578125" style="4" customWidth="1"/>
    <col min="3124" max="3124" width="25" style="4" customWidth="1"/>
    <col min="3125" max="3125" width="6" style="4" customWidth="1"/>
    <col min="3126" max="3329" width="8.85546875" style="4"/>
    <col min="3330" max="3330" width="3.5703125" style="4" customWidth="1"/>
    <col min="3331" max="3331" width="2.42578125" style="4" customWidth="1"/>
    <col min="3332" max="3333" width="3.5703125" style="4" customWidth="1"/>
    <col min="3334" max="3334" width="2.42578125" style="4" customWidth="1"/>
    <col min="3335" max="3336" width="3.5703125" style="4" customWidth="1"/>
    <col min="3337" max="3337" width="2.42578125" style="4" customWidth="1"/>
    <col min="3338" max="3339" width="3.5703125" style="4" customWidth="1"/>
    <col min="3340" max="3340" width="2.42578125" style="4" customWidth="1"/>
    <col min="3341" max="3342" width="3.5703125" style="4" customWidth="1"/>
    <col min="3343" max="3343" width="2.42578125" style="4" customWidth="1"/>
    <col min="3344" max="3345" width="3.5703125" style="4" customWidth="1"/>
    <col min="3346" max="3346" width="2.42578125" style="4" customWidth="1"/>
    <col min="3347" max="3348" width="3.5703125" style="4" customWidth="1"/>
    <col min="3349" max="3349" width="2.42578125" style="4" customWidth="1"/>
    <col min="3350" max="3351" width="3.5703125" style="4" customWidth="1"/>
    <col min="3352" max="3352" width="2.42578125" style="4" customWidth="1"/>
    <col min="3353" max="3354" width="3.5703125" style="4" customWidth="1"/>
    <col min="3355" max="3355" width="2.42578125" style="4" customWidth="1"/>
    <col min="3356" max="3357" width="3.5703125" style="4" customWidth="1"/>
    <col min="3358" max="3358" width="2.42578125" style="4" customWidth="1"/>
    <col min="3359" max="3359" width="3.5703125" style="4" customWidth="1"/>
    <col min="3360" max="3360" width="9.5703125" style="4" customWidth="1"/>
    <col min="3361" max="3370" width="3.5703125" style="4" customWidth="1"/>
    <col min="3371" max="3371" width="11" style="4" customWidth="1"/>
    <col min="3372" max="3374" width="8.85546875" style="4"/>
    <col min="3375" max="3375" width="21" style="4" customWidth="1"/>
    <col min="3376" max="3376" width="24.42578125" style="4" customWidth="1"/>
    <col min="3377" max="3377" width="15.42578125" style="4" customWidth="1"/>
    <col min="3378" max="3378" width="10.42578125" style="4" customWidth="1"/>
    <col min="3379" max="3379" width="11.42578125" style="4" customWidth="1"/>
    <col min="3380" max="3380" width="25" style="4" customWidth="1"/>
    <col min="3381" max="3381" width="6" style="4" customWidth="1"/>
    <col min="3382" max="3585" width="8.85546875" style="4"/>
    <col min="3586" max="3586" width="3.5703125" style="4" customWidth="1"/>
    <col min="3587" max="3587" width="2.42578125" style="4" customWidth="1"/>
    <col min="3588" max="3589" width="3.5703125" style="4" customWidth="1"/>
    <col min="3590" max="3590" width="2.42578125" style="4" customWidth="1"/>
    <col min="3591" max="3592" width="3.5703125" style="4" customWidth="1"/>
    <col min="3593" max="3593" width="2.42578125" style="4" customWidth="1"/>
    <col min="3594" max="3595" width="3.5703125" style="4" customWidth="1"/>
    <col min="3596" max="3596" width="2.42578125" style="4" customWidth="1"/>
    <col min="3597" max="3598" width="3.5703125" style="4" customWidth="1"/>
    <col min="3599" max="3599" width="2.42578125" style="4" customWidth="1"/>
    <col min="3600" max="3601" width="3.5703125" style="4" customWidth="1"/>
    <col min="3602" max="3602" width="2.42578125" style="4" customWidth="1"/>
    <col min="3603" max="3604" width="3.5703125" style="4" customWidth="1"/>
    <col min="3605" max="3605" width="2.42578125" style="4" customWidth="1"/>
    <col min="3606" max="3607" width="3.5703125" style="4" customWidth="1"/>
    <col min="3608" max="3608" width="2.42578125" style="4" customWidth="1"/>
    <col min="3609" max="3610" width="3.5703125" style="4" customWidth="1"/>
    <col min="3611" max="3611" width="2.42578125" style="4" customWidth="1"/>
    <col min="3612" max="3613" width="3.5703125" style="4" customWidth="1"/>
    <col min="3614" max="3614" width="2.42578125" style="4" customWidth="1"/>
    <col min="3615" max="3615" width="3.5703125" style="4" customWidth="1"/>
    <col min="3616" max="3616" width="9.5703125" style="4" customWidth="1"/>
    <col min="3617" max="3626" width="3.5703125" style="4" customWidth="1"/>
    <col min="3627" max="3627" width="11" style="4" customWidth="1"/>
    <col min="3628" max="3630" width="8.85546875" style="4"/>
    <col min="3631" max="3631" width="21" style="4" customWidth="1"/>
    <col min="3632" max="3632" width="24.42578125" style="4" customWidth="1"/>
    <col min="3633" max="3633" width="15.42578125" style="4" customWidth="1"/>
    <col min="3634" max="3634" width="10.42578125" style="4" customWidth="1"/>
    <col min="3635" max="3635" width="11.42578125" style="4" customWidth="1"/>
    <col min="3636" max="3636" width="25" style="4" customWidth="1"/>
    <col min="3637" max="3637" width="6" style="4" customWidth="1"/>
    <col min="3638" max="3841" width="8.85546875" style="4"/>
    <col min="3842" max="3842" width="3.5703125" style="4" customWidth="1"/>
    <col min="3843" max="3843" width="2.42578125" style="4" customWidth="1"/>
    <col min="3844" max="3845" width="3.5703125" style="4" customWidth="1"/>
    <col min="3846" max="3846" width="2.42578125" style="4" customWidth="1"/>
    <col min="3847" max="3848" width="3.5703125" style="4" customWidth="1"/>
    <col min="3849" max="3849" width="2.42578125" style="4" customWidth="1"/>
    <col min="3850" max="3851" width="3.5703125" style="4" customWidth="1"/>
    <col min="3852" max="3852" width="2.42578125" style="4" customWidth="1"/>
    <col min="3853" max="3854" width="3.5703125" style="4" customWidth="1"/>
    <col min="3855" max="3855" width="2.42578125" style="4" customWidth="1"/>
    <col min="3856" max="3857" width="3.5703125" style="4" customWidth="1"/>
    <col min="3858" max="3858" width="2.42578125" style="4" customWidth="1"/>
    <col min="3859" max="3860" width="3.5703125" style="4" customWidth="1"/>
    <col min="3861" max="3861" width="2.42578125" style="4" customWidth="1"/>
    <col min="3862" max="3863" width="3.5703125" style="4" customWidth="1"/>
    <col min="3864" max="3864" width="2.42578125" style="4" customWidth="1"/>
    <col min="3865" max="3866" width="3.5703125" style="4" customWidth="1"/>
    <col min="3867" max="3867" width="2.42578125" style="4" customWidth="1"/>
    <col min="3868" max="3869" width="3.5703125" style="4" customWidth="1"/>
    <col min="3870" max="3870" width="2.42578125" style="4" customWidth="1"/>
    <col min="3871" max="3871" width="3.5703125" style="4" customWidth="1"/>
    <col min="3872" max="3872" width="9.5703125" style="4" customWidth="1"/>
    <col min="3873" max="3882" width="3.5703125" style="4" customWidth="1"/>
    <col min="3883" max="3883" width="11" style="4" customWidth="1"/>
    <col min="3884" max="3886" width="8.85546875" style="4"/>
    <col min="3887" max="3887" width="21" style="4" customWidth="1"/>
    <col min="3888" max="3888" width="24.42578125" style="4" customWidth="1"/>
    <col min="3889" max="3889" width="15.42578125" style="4" customWidth="1"/>
    <col min="3890" max="3890" width="10.42578125" style="4" customWidth="1"/>
    <col min="3891" max="3891" width="11.42578125" style="4" customWidth="1"/>
    <col min="3892" max="3892" width="25" style="4" customWidth="1"/>
    <col min="3893" max="3893" width="6" style="4" customWidth="1"/>
    <col min="3894" max="4097" width="8.85546875" style="4"/>
    <col min="4098" max="4098" width="3.5703125" style="4" customWidth="1"/>
    <col min="4099" max="4099" width="2.42578125" style="4" customWidth="1"/>
    <col min="4100" max="4101" width="3.5703125" style="4" customWidth="1"/>
    <col min="4102" max="4102" width="2.42578125" style="4" customWidth="1"/>
    <col min="4103" max="4104" width="3.5703125" style="4" customWidth="1"/>
    <col min="4105" max="4105" width="2.42578125" style="4" customWidth="1"/>
    <col min="4106" max="4107" width="3.5703125" style="4" customWidth="1"/>
    <col min="4108" max="4108" width="2.42578125" style="4" customWidth="1"/>
    <col min="4109" max="4110" width="3.5703125" style="4" customWidth="1"/>
    <col min="4111" max="4111" width="2.42578125" style="4" customWidth="1"/>
    <col min="4112" max="4113" width="3.5703125" style="4" customWidth="1"/>
    <col min="4114" max="4114" width="2.42578125" style="4" customWidth="1"/>
    <col min="4115" max="4116" width="3.5703125" style="4" customWidth="1"/>
    <col min="4117" max="4117" width="2.42578125" style="4" customWidth="1"/>
    <col min="4118" max="4119" width="3.5703125" style="4" customWidth="1"/>
    <col min="4120" max="4120" width="2.42578125" style="4" customWidth="1"/>
    <col min="4121" max="4122" width="3.5703125" style="4" customWidth="1"/>
    <col min="4123" max="4123" width="2.42578125" style="4" customWidth="1"/>
    <col min="4124" max="4125" width="3.5703125" style="4" customWidth="1"/>
    <col min="4126" max="4126" width="2.42578125" style="4" customWidth="1"/>
    <col min="4127" max="4127" width="3.5703125" style="4" customWidth="1"/>
    <col min="4128" max="4128" width="9.5703125" style="4" customWidth="1"/>
    <col min="4129" max="4138" width="3.5703125" style="4" customWidth="1"/>
    <col min="4139" max="4139" width="11" style="4" customWidth="1"/>
    <col min="4140" max="4142" width="8.85546875" style="4"/>
    <col min="4143" max="4143" width="21" style="4" customWidth="1"/>
    <col min="4144" max="4144" width="24.42578125" style="4" customWidth="1"/>
    <col min="4145" max="4145" width="15.42578125" style="4" customWidth="1"/>
    <col min="4146" max="4146" width="10.42578125" style="4" customWidth="1"/>
    <col min="4147" max="4147" width="11.42578125" style="4" customWidth="1"/>
    <col min="4148" max="4148" width="25" style="4" customWidth="1"/>
    <col min="4149" max="4149" width="6" style="4" customWidth="1"/>
    <col min="4150" max="4353" width="8.85546875" style="4"/>
    <col min="4354" max="4354" width="3.5703125" style="4" customWidth="1"/>
    <col min="4355" max="4355" width="2.42578125" style="4" customWidth="1"/>
    <col min="4356" max="4357" width="3.5703125" style="4" customWidth="1"/>
    <col min="4358" max="4358" width="2.42578125" style="4" customWidth="1"/>
    <col min="4359" max="4360" width="3.5703125" style="4" customWidth="1"/>
    <col min="4361" max="4361" width="2.42578125" style="4" customWidth="1"/>
    <col min="4362" max="4363" width="3.5703125" style="4" customWidth="1"/>
    <col min="4364" max="4364" width="2.42578125" style="4" customWidth="1"/>
    <col min="4365" max="4366" width="3.5703125" style="4" customWidth="1"/>
    <col min="4367" max="4367" width="2.42578125" style="4" customWidth="1"/>
    <col min="4368" max="4369" width="3.5703125" style="4" customWidth="1"/>
    <col min="4370" max="4370" width="2.42578125" style="4" customWidth="1"/>
    <col min="4371" max="4372" width="3.5703125" style="4" customWidth="1"/>
    <col min="4373" max="4373" width="2.42578125" style="4" customWidth="1"/>
    <col min="4374" max="4375" width="3.5703125" style="4" customWidth="1"/>
    <col min="4376" max="4376" width="2.42578125" style="4" customWidth="1"/>
    <col min="4377" max="4378" width="3.5703125" style="4" customWidth="1"/>
    <col min="4379" max="4379" width="2.42578125" style="4" customWidth="1"/>
    <col min="4380" max="4381" width="3.5703125" style="4" customWidth="1"/>
    <col min="4382" max="4382" width="2.42578125" style="4" customWidth="1"/>
    <col min="4383" max="4383" width="3.5703125" style="4" customWidth="1"/>
    <col min="4384" max="4384" width="9.5703125" style="4" customWidth="1"/>
    <col min="4385" max="4394" width="3.5703125" style="4" customWidth="1"/>
    <col min="4395" max="4395" width="11" style="4" customWidth="1"/>
    <col min="4396" max="4398" width="8.85546875" style="4"/>
    <col min="4399" max="4399" width="21" style="4" customWidth="1"/>
    <col min="4400" max="4400" width="24.42578125" style="4" customWidth="1"/>
    <col min="4401" max="4401" width="15.42578125" style="4" customWidth="1"/>
    <col min="4402" max="4402" width="10.42578125" style="4" customWidth="1"/>
    <col min="4403" max="4403" width="11.42578125" style="4" customWidth="1"/>
    <col min="4404" max="4404" width="25" style="4" customWidth="1"/>
    <col min="4405" max="4405" width="6" style="4" customWidth="1"/>
    <col min="4406" max="4609" width="8.85546875" style="4"/>
    <col min="4610" max="4610" width="3.5703125" style="4" customWidth="1"/>
    <col min="4611" max="4611" width="2.42578125" style="4" customWidth="1"/>
    <col min="4612" max="4613" width="3.5703125" style="4" customWidth="1"/>
    <col min="4614" max="4614" width="2.42578125" style="4" customWidth="1"/>
    <col min="4615" max="4616" width="3.5703125" style="4" customWidth="1"/>
    <col min="4617" max="4617" width="2.42578125" style="4" customWidth="1"/>
    <col min="4618" max="4619" width="3.5703125" style="4" customWidth="1"/>
    <col min="4620" max="4620" width="2.42578125" style="4" customWidth="1"/>
    <col min="4621" max="4622" width="3.5703125" style="4" customWidth="1"/>
    <col min="4623" max="4623" width="2.42578125" style="4" customWidth="1"/>
    <col min="4624" max="4625" width="3.5703125" style="4" customWidth="1"/>
    <col min="4626" max="4626" width="2.42578125" style="4" customWidth="1"/>
    <col min="4627" max="4628" width="3.5703125" style="4" customWidth="1"/>
    <col min="4629" max="4629" width="2.42578125" style="4" customWidth="1"/>
    <col min="4630" max="4631" width="3.5703125" style="4" customWidth="1"/>
    <col min="4632" max="4632" width="2.42578125" style="4" customWidth="1"/>
    <col min="4633" max="4634" width="3.5703125" style="4" customWidth="1"/>
    <col min="4635" max="4635" width="2.42578125" style="4" customWidth="1"/>
    <col min="4636" max="4637" width="3.5703125" style="4" customWidth="1"/>
    <col min="4638" max="4638" width="2.42578125" style="4" customWidth="1"/>
    <col min="4639" max="4639" width="3.5703125" style="4" customWidth="1"/>
    <col min="4640" max="4640" width="9.5703125" style="4" customWidth="1"/>
    <col min="4641" max="4650" width="3.5703125" style="4" customWidth="1"/>
    <col min="4651" max="4651" width="11" style="4" customWidth="1"/>
    <col min="4652" max="4654" width="8.85546875" style="4"/>
    <col min="4655" max="4655" width="21" style="4" customWidth="1"/>
    <col min="4656" max="4656" width="24.42578125" style="4" customWidth="1"/>
    <col min="4657" max="4657" width="15.42578125" style="4" customWidth="1"/>
    <col min="4658" max="4658" width="10.42578125" style="4" customWidth="1"/>
    <col min="4659" max="4659" width="11.42578125" style="4" customWidth="1"/>
    <col min="4660" max="4660" width="25" style="4" customWidth="1"/>
    <col min="4661" max="4661" width="6" style="4" customWidth="1"/>
    <col min="4662" max="4865" width="8.85546875" style="4"/>
    <col min="4866" max="4866" width="3.5703125" style="4" customWidth="1"/>
    <col min="4867" max="4867" width="2.42578125" style="4" customWidth="1"/>
    <col min="4868" max="4869" width="3.5703125" style="4" customWidth="1"/>
    <col min="4870" max="4870" width="2.42578125" style="4" customWidth="1"/>
    <col min="4871" max="4872" width="3.5703125" style="4" customWidth="1"/>
    <col min="4873" max="4873" width="2.42578125" style="4" customWidth="1"/>
    <col min="4874" max="4875" width="3.5703125" style="4" customWidth="1"/>
    <col min="4876" max="4876" width="2.42578125" style="4" customWidth="1"/>
    <col min="4877" max="4878" width="3.5703125" style="4" customWidth="1"/>
    <col min="4879" max="4879" width="2.42578125" style="4" customWidth="1"/>
    <col min="4880" max="4881" width="3.5703125" style="4" customWidth="1"/>
    <col min="4882" max="4882" width="2.42578125" style="4" customWidth="1"/>
    <col min="4883" max="4884" width="3.5703125" style="4" customWidth="1"/>
    <col min="4885" max="4885" width="2.42578125" style="4" customWidth="1"/>
    <col min="4886" max="4887" width="3.5703125" style="4" customWidth="1"/>
    <col min="4888" max="4888" width="2.42578125" style="4" customWidth="1"/>
    <col min="4889" max="4890" width="3.5703125" style="4" customWidth="1"/>
    <col min="4891" max="4891" width="2.42578125" style="4" customWidth="1"/>
    <col min="4892" max="4893" width="3.5703125" style="4" customWidth="1"/>
    <col min="4894" max="4894" width="2.42578125" style="4" customWidth="1"/>
    <col min="4895" max="4895" width="3.5703125" style="4" customWidth="1"/>
    <col min="4896" max="4896" width="9.5703125" style="4" customWidth="1"/>
    <col min="4897" max="4906" width="3.5703125" style="4" customWidth="1"/>
    <col min="4907" max="4907" width="11" style="4" customWidth="1"/>
    <col min="4908" max="4910" width="8.85546875" style="4"/>
    <col min="4911" max="4911" width="21" style="4" customWidth="1"/>
    <col min="4912" max="4912" width="24.42578125" style="4" customWidth="1"/>
    <col min="4913" max="4913" width="15.42578125" style="4" customWidth="1"/>
    <col min="4914" max="4914" width="10.42578125" style="4" customWidth="1"/>
    <col min="4915" max="4915" width="11.42578125" style="4" customWidth="1"/>
    <col min="4916" max="4916" width="25" style="4" customWidth="1"/>
    <col min="4917" max="4917" width="6" style="4" customWidth="1"/>
    <col min="4918" max="5121" width="8.85546875" style="4"/>
    <col min="5122" max="5122" width="3.5703125" style="4" customWidth="1"/>
    <col min="5123" max="5123" width="2.42578125" style="4" customWidth="1"/>
    <col min="5124" max="5125" width="3.5703125" style="4" customWidth="1"/>
    <col min="5126" max="5126" width="2.42578125" style="4" customWidth="1"/>
    <col min="5127" max="5128" width="3.5703125" style="4" customWidth="1"/>
    <col min="5129" max="5129" width="2.42578125" style="4" customWidth="1"/>
    <col min="5130" max="5131" width="3.5703125" style="4" customWidth="1"/>
    <col min="5132" max="5132" width="2.42578125" style="4" customWidth="1"/>
    <col min="5133" max="5134" width="3.5703125" style="4" customWidth="1"/>
    <col min="5135" max="5135" width="2.42578125" style="4" customWidth="1"/>
    <col min="5136" max="5137" width="3.5703125" style="4" customWidth="1"/>
    <col min="5138" max="5138" width="2.42578125" style="4" customWidth="1"/>
    <col min="5139" max="5140" width="3.5703125" style="4" customWidth="1"/>
    <col min="5141" max="5141" width="2.42578125" style="4" customWidth="1"/>
    <col min="5142" max="5143" width="3.5703125" style="4" customWidth="1"/>
    <col min="5144" max="5144" width="2.42578125" style="4" customWidth="1"/>
    <col min="5145" max="5146" width="3.5703125" style="4" customWidth="1"/>
    <col min="5147" max="5147" width="2.42578125" style="4" customWidth="1"/>
    <col min="5148" max="5149" width="3.5703125" style="4" customWidth="1"/>
    <col min="5150" max="5150" width="2.42578125" style="4" customWidth="1"/>
    <col min="5151" max="5151" width="3.5703125" style="4" customWidth="1"/>
    <col min="5152" max="5152" width="9.5703125" style="4" customWidth="1"/>
    <col min="5153" max="5162" width="3.5703125" style="4" customWidth="1"/>
    <col min="5163" max="5163" width="11" style="4" customWidth="1"/>
    <col min="5164" max="5166" width="8.85546875" style="4"/>
    <col min="5167" max="5167" width="21" style="4" customWidth="1"/>
    <col min="5168" max="5168" width="24.42578125" style="4" customWidth="1"/>
    <col min="5169" max="5169" width="15.42578125" style="4" customWidth="1"/>
    <col min="5170" max="5170" width="10.42578125" style="4" customWidth="1"/>
    <col min="5171" max="5171" width="11.42578125" style="4" customWidth="1"/>
    <col min="5172" max="5172" width="25" style="4" customWidth="1"/>
    <col min="5173" max="5173" width="6" style="4" customWidth="1"/>
    <col min="5174" max="5377" width="8.85546875" style="4"/>
    <col min="5378" max="5378" width="3.5703125" style="4" customWidth="1"/>
    <col min="5379" max="5379" width="2.42578125" style="4" customWidth="1"/>
    <col min="5380" max="5381" width="3.5703125" style="4" customWidth="1"/>
    <col min="5382" max="5382" width="2.42578125" style="4" customWidth="1"/>
    <col min="5383" max="5384" width="3.5703125" style="4" customWidth="1"/>
    <col min="5385" max="5385" width="2.42578125" style="4" customWidth="1"/>
    <col min="5386" max="5387" width="3.5703125" style="4" customWidth="1"/>
    <col min="5388" max="5388" width="2.42578125" style="4" customWidth="1"/>
    <col min="5389" max="5390" width="3.5703125" style="4" customWidth="1"/>
    <col min="5391" max="5391" width="2.42578125" style="4" customWidth="1"/>
    <col min="5392" max="5393" width="3.5703125" style="4" customWidth="1"/>
    <col min="5394" max="5394" width="2.42578125" style="4" customWidth="1"/>
    <col min="5395" max="5396" width="3.5703125" style="4" customWidth="1"/>
    <col min="5397" max="5397" width="2.42578125" style="4" customWidth="1"/>
    <col min="5398" max="5399" width="3.5703125" style="4" customWidth="1"/>
    <col min="5400" max="5400" width="2.42578125" style="4" customWidth="1"/>
    <col min="5401" max="5402" width="3.5703125" style="4" customWidth="1"/>
    <col min="5403" max="5403" width="2.42578125" style="4" customWidth="1"/>
    <col min="5404" max="5405" width="3.5703125" style="4" customWidth="1"/>
    <col min="5406" max="5406" width="2.42578125" style="4" customWidth="1"/>
    <col min="5407" max="5407" width="3.5703125" style="4" customWidth="1"/>
    <col min="5408" max="5408" width="9.5703125" style="4" customWidth="1"/>
    <col min="5409" max="5418" width="3.5703125" style="4" customWidth="1"/>
    <col min="5419" max="5419" width="11" style="4" customWidth="1"/>
    <col min="5420" max="5422" width="8.85546875" style="4"/>
    <col min="5423" max="5423" width="21" style="4" customWidth="1"/>
    <col min="5424" max="5424" width="24.42578125" style="4" customWidth="1"/>
    <col min="5425" max="5425" width="15.42578125" style="4" customWidth="1"/>
    <col min="5426" max="5426" width="10.42578125" style="4" customWidth="1"/>
    <col min="5427" max="5427" width="11.42578125" style="4" customWidth="1"/>
    <col min="5428" max="5428" width="25" style="4" customWidth="1"/>
    <col min="5429" max="5429" width="6" style="4" customWidth="1"/>
    <col min="5430" max="5633" width="8.85546875" style="4"/>
    <col min="5634" max="5634" width="3.5703125" style="4" customWidth="1"/>
    <col min="5635" max="5635" width="2.42578125" style="4" customWidth="1"/>
    <col min="5636" max="5637" width="3.5703125" style="4" customWidth="1"/>
    <col min="5638" max="5638" width="2.42578125" style="4" customWidth="1"/>
    <col min="5639" max="5640" width="3.5703125" style="4" customWidth="1"/>
    <col min="5641" max="5641" width="2.42578125" style="4" customWidth="1"/>
    <col min="5642" max="5643" width="3.5703125" style="4" customWidth="1"/>
    <col min="5644" max="5644" width="2.42578125" style="4" customWidth="1"/>
    <col min="5645" max="5646" width="3.5703125" style="4" customWidth="1"/>
    <col min="5647" max="5647" width="2.42578125" style="4" customWidth="1"/>
    <col min="5648" max="5649" width="3.5703125" style="4" customWidth="1"/>
    <col min="5650" max="5650" width="2.42578125" style="4" customWidth="1"/>
    <col min="5651" max="5652" width="3.5703125" style="4" customWidth="1"/>
    <col min="5653" max="5653" width="2.42578125" style="4" customWidth="1"/>
    <col min="5654" max="5655" width="3.5703125" style="4" customWidth="1"/>
    <col min="5656" max="5656" width="2.42578125" style="4" customWidth="1"/>
    <col min="5657" max="5658" width="3.5703125" style="4" customWidth="1"/>
    <col min="5659" max="5659" width="2.42578125" style="4" customWidth="1"/>
    <col min="5660" max="5661" width="3.5703125" style="4" customWidth="1"/>
    <col min="5662" max="5662" width="2.42578125" style="4" customWidth="1"/>
    <col min="5663" max="5663" width="3.5703125" style="4" customWidth="1"/>
    <col min="5664" max="5664" width="9.5703125" style="4" customWidth="1"/>
    <col min="5665" max="5674" width="3.5703125" style="4" customWidth="1"/>
    <col min="5675" max="5675" width="11" style="4" customWidth="1"/>
    <col min="5676" max="5678" width="8.85546875" style="4"/>
    <col min="5679" max="5679" width="21" style="4" customWidth="1"/>
    <col min="5680" max="5680" width="24.42578125" style="4" customWidth="1"/>
    <col min="5681" max="5681" width="15.42578125" style="4" customWidth="1"/>
    <col min="5682" max="5682" width="10.42578125" style="4" customWidth="1"/>
    <col min="5683" max="5683" width="11.42578125" style="4" customWidth="1"/>
    <col min="5684" max="5684" width="25" style="4" customWidth="1"/>
    <col min="5685" max="5685" width="6" style="4" customWidth="1"/>
    <col min="5686" max="5889" width="8.85546875" style="4"/>
    <col min="5890" max="5890" width="3.5703125" style="4" customWidth="1"/>
    <col min="5891" max="5891" width="2.42578125" style="4" customWidth="1"/>
    <col min="5892" max="5893" width="3.5703125" style="4" customWidth="1"/>
    <col min="5894" max="5894" width="2.42578125" style="4" customWidth="1"/>
    <col min="5895" max="5896" width="3.5703125" style="4" customWidth="1"/>
    <col min="5897" max="5897" width="2.42578125" style="4" customWidth="1"/>
    <col min="5898" max="5899" width="3.5703125" style="4" customWidth="1"/>
    <col min="5900" max="5900" width="2.42578125" style="4" customWidth="1"/>
    <col min="5901" max="5902" width="3.5703125" style="4" customWidth="1"/>
    <col min="5903" max="5903" width="2.42578125" style="4" customWidth="1"/>
    <col min="5904" max="5905" width="3.5703125" style="4" customWidth="1"/>
    <col min="5906" max="5906" width="2.42578125" style="4" customWidth="1"/>
    <col min="5907" max="5908" width="3.5703125" style="4" customWidth="1"/>
    <col min="5909" max="5909" width="2.42578125" style="4" customWidth="1"/>
    <col min="5910" max="5911" width="3.5703125" style="4" customWidth="1"/>
    <col min="5912" max="5912" width="2.42578125" style="4" customWidth="1"/>
    <col min="5913" max="5914" width="3.5703125" style="4" customWidth="1"/>
    <col min="5915" max="5915" width="2.42578125" style="4" customWidth="1"/>
    <col min="5916" max="5917" width="3.5703125" style="4" customWidth="1"/>
    <col min="5918" max="5918" width="2.42578125" style="4" customWidth="1"/>
    <col min="5919" max="5919" width="3.5703125" style="4" customWidth="1"/>
    <col min="5920" max="5920" width="9.5703125" style="4" customWidth="1"/>
    <col min="5921" max="5930" width="3.5703125" style="4" customWidth="1"/>
    <col min="5931" max="5931" width="11" style="4" customWidth="1"/>
    <col min="5932" max="5934" width="8.85546875" style="4"/>
    <col min="5935" max="5935" width="21" style="4" customWidth="1"/>
    <col min="5936" max="5936" width="24.42578125" style="4" customWidth="1"/>
    <col min="5937" max="5937" width="15.42578125" style="4" customWidth="1"/>
    <col min="5938" max="5938" width="10.42578125" style="4" customWidth="1"/>
    <col min="5939" max="5939" width="11.42578125" style="4" customWidth="1"/>
    <col min="5940" max="5940" width="25" style="4" customWidth="1"/>
    <col min="5941" max="5941" width="6" style="4" customWidth="1"/>
    <col min="5942" max="6145" width="8.85546875" style="4"/>
    <col min="6146" max="6146" width="3.5703125" style="4" customWidth="1"/>
    <col min="6147" max="6147" width="2.42578125" style="4" customWidth="1"/>
    <col min="6148" max="6149" width="3.5703125" style="4" customWidth="1"/>
    <col min="6150" max="6150" width="2.42578125" style="4" customWidth="1"/>
    <col min="6151" max="6152" width="3.5703125" style="4" customWidth="1"/>
    <col min="6153" max="6153" width="2.42578125" style="4" customWidth="1"/>
    <col min="6154" max="6155" width="3.5703125" style="4" customWidth="1"/>
    <col min="6156" max="6156" width="2.42578125" style="4" customWidth="1"/>
    <col min="6157" max="6158" width="3.5703125" style="4" customWidth="1"/>
    <col min="6159" max="6159" width="2.42578125" style="4" customWidth="1"/>
    <col min="6160" max="6161" width="3.5703125" style="4" customWidth="1"/>
    <col min="6162" max="6162" width="2.42578125" style="4" customWidth="1"/>
    <col min="6163" max="6164" width="3.5703125" style="4" customWidth="1"/>
    <col min="6165" max="6165" width="2.42578125" style="4" customWidth="1"/>
    <col min="6166" max="6167" width="3.5703125" style="4" customWidth="1"/>
    <col min="6168" max="6168" width="2.42578125" style="4" customWidth="1"/>
    <col min="6169" max="6170" width="3.5703125" style="4" customWidth="1"/>
    <col min="6171" max="6171" width="2.42578125" style="4" customWidth="1"/>
    <col min="6172" max="6173" width="3.5703125" style="4" customWidth="1"/>
    <col min="6174" max="6174" width="2.42578125" style="4" customWidth="1"/>
    <col min="6175" max="6175" width="3.5703125" style="4" customWidth="1"/>
    <col min="6176" max="6176" width="9.5703125" style="4" customWidth="1"/>
    <col min="6177" max="6186" width="3.5703125" style="4" customWidth="1"/>
    <col min="6187" max="6187" width="11" style="4" customWidth="1"/>
    <col min="6188" max="6190" width="8.85546875" style="4"/>
    <col min="6191" max="6191" width="21" style="4" customWidth="1"/>
    <col min="6192" max="6192" width="24.42578125" style="4" customWidth="1"/>
    <col min="6193" max="6193" width="15.42578125" style="4" customWidth="1"/>
    <col min="6194" max="6194" width="10.42578125" style="4" customWidth="1"/>
    <col min="6195" max="6195" width="11.42578125" style="4" customWidth="1"/>
    <col min="6196" max="6196" width="25" style="4" customWidth="1"/>
    <col min="6197" max="6197" width="6" style="4" customWidth="1"/>
    <col min="6198" max="6401" width="8.85546875" style="4"/>
    <col min="6402" max="6402" width="3.5703125" style="4" customWidth="1"/>
    <col min="6403" max="6403" width="2.42578125" style="4" customWidth="1"/>
    <col min="6404" max="6405" width="3.5703125" style="4" customWidth="1"/>
    <col min="6406" max="6406" width="2.42578125" style="4" customWidth="1"/>
    <col min="6407" max="6408" width="3.5703125" style="4" customWidth="1"/>
    <col min="6409" max="6409" width="2.42578125" style="4" customWidth="1"/>
    <col min="6410" max="6411" width="3.5703125" style="4" customWidth="1"/>
    <col min="6412" max="6412" width="2.42578125" style="4" customWidth="1"/>
    <col min="6413" max="6414" width="3.5703125" style="4" customWidth="1"/>
    <col min="6415" max="6415" width="2.42578125" style="4" customWidth="1"/>
    <col min="6416" max="6417" width="3.5703125" style="4" customWidth="1"/>
    <col min="6418" max="6418" width="2.42578125" style="4" customWidth="1"/>
    <col min="6419" max="6420" width="3.5703125" style="4" customWidth="1"/>
    <col min="6421" max="6421" width="2.42578125" style="4" customWidth="1"/>
    <col min="6422" max="6423" width="3.5703125" style="4" customWidth="1"/>
    <col min="6424" max="6424" width="2.42578125" style="4" customWidth="1"/>
    <col min="6425" max="6426" width="3.5703125" style="4" customWidth="1"/>
    <col min="6427" max="6427" width="2.42578125" style="4" customWidth="1"/>
    <col min="6428" max="6429" width="3.5703125" style="4" customWidth="1"/>
    <col min="6430" max="6430" width="2.42578125" style="4" customWidth="1"/>
    <col min="6431" max="6431" width="3.5703125" style="4" customWidth="1"/>
    <col min="6432" max="6432" width="9.5703125" style="4" customWidth="1"/>
    <col min="6433" max="6442" width="3.5703125" style="4" customWidth="1"/>
    <col min="6443" max="6443" width="11" style="4" customWidth="1"/>
    <col min="6444" max="6446" width="8.85546875" style="4"/>
    <col min="6447" max="6447" width="21" style="4" customWidth="1"/>
    <col min="6448" max="6448" width="24.42578125" style="4" customWidth="1"/>
    <col min="6449" max="6449" width="15.42578125" style="4" customWidth="1"/>
    <col min="6450" max="6450" width="10.42578125" style="4" customWidth="1"/>
    <col min="6451" max="6451" width="11.42578125" style="4" customWidth="1"/>
    <col min="6452" max="6452" width="25" style="4" customWidth="1"/>
    <col min="6453" max="6453" width="6" style="4" customWidth="1"/>
    <col min="6454" max="6657" width="8.85546875" style="4"/>
    <col min="6658" max="6658" width="3.5703125" style="4" customWidth="1"/>
    <col min="6659" max="6659" width="2.42578125" style="4" customWidth="1"/>
    <col min="6660" max="6661" width="3.5703125" style="4" customWidth="1"/>
    <col min="6662" max="6662" width="2.42578125" style="4" customWidth="1"/>
    <col min="6663" max="6664" width="3.5703125" style="4" customWidth="1"/>
    <col min="6665" max="6665" width="2.42578125" style="4" customWidth="1"/>
    <col min="6666" max="6667" width="3.5703125" style="4" customWidth="1"/>
    <col min="6668" max="6668" width="2.42578125" style="4" customWidth="1"/>
    <col min="6669" max="6670" width="3.5703125" style="4" customWidth="1"/>
    <col min="6671" max="6671" width="2.42578125" style="4" customWidth="1"/>
    <col min="6672" max="6673" width="3.5703125" style="4" customWidth="1"/>
    <col min="6674" max="6674" width="2.42578125" style="4" customWidth="1"/>
    <col min="6675" max="6676" width="3.5703125" style="4" customWidth="1"/>
    <col min="6677" max="6677" width="2.42578125" style="4" customWidth="1"/>
    <col min="6678" max="6679" width="3.5703125" style="4" customWidth="1"/>
    <col min="6680" max="6680" width="2.42578125" style="4" customWidth="1"/>
    <col min="6681" max="6682" width="3.5703125" style="4" customWidth="1"/>
    <col min="6683" max="6683" width="2.42578125" style="4" customWidth="1"/>
    <col min="6684" max="6685" width="3.5703125" style="4" customWidth="1"/>
    <col min="6686" max="6686" width="2.42578125" style="4" customWidth="1"/>
    <col min="6687" max="6687" width="3.5703125" style="4" customWidth="1"/>
    <col min="6688" max="6688" width="9.5703125" style="4" customWidth="1"/>
    <col min="6689" max="6698" width="3.5703125" style="4" customWidth="1"/>
    <col min="6699" max="6699" width="11" style="4" customWidth="1"/>
    <col min="6700" max="6702" width="8.85546875" style="4"/>
    <col min="6703" max="6703" width="21" style="4" customWidth="1"/>
    <col min="6704" max="6704" width="24.42578125" style="4" customWidth="1"/>
    <col min="6705" max="6705" width="15.42578125" style="4" customWidth="1"/>
    <col min="6706" max="6706" width="10.42578125" style="4" customWidth="1"/>
    <col min="6707" max="6707" width="11.42578125" style="4" customWidth="1"/>
    <col min="6708" max="6708" width="25" style="4" customWidth="1"/>
    <col min="6709" max="6709" width="6" style="4" customWidth="1"/>
    <col min="6710" max="6913" width="8.85546875" style="4"/>
    <col min="6914" max="6914" width="3.5703125" style="4" customWidth="1"/>
    <col min="6915" max="6915" width="2.42578125" style="4" customWidth="1"/>
    <col min="6916" max="6917" width="3.5703125" style="4" customWidth="1"/>
    <col min="6918" max="6918" width="2.42578125" style="4" customWidth="1"/>
    <col min="6919" max="6920" width="3.5703125" style="4" customWidth="1"/>
    <col min="6921" max="6921" width="2.42578125" style="4" customWidth="1"/>
    <col min="6922" max="6923" width="3.5703125" style="4" customWidth="1"/>
    <col min="6924" max="6924" width="2.42578125" style="4" customWidth="1"/>
    <col min="6925" max="6926" width="3.5703125" style="4" customWidth="1"/>
    <col min="6927" max="6927" width="2.42578125" style="4" customWidth="1"/>
    <col min="6928" max="6929" width="3.5703125" style="4" customWidth="1"/>
    <col min="6930" max="6930" width="2.42578125" style="4" customWidth="1"/>
    <col min="6931" max="6932" width="3.5703125" style="4" customWidth="1"/>
    <col min="6933" max="6933" width="2.42578125" style="4" customWidth="1"/>
    <col min="6934" max="6935" width="3.5703125" style="4" customWidth="1"/>
    <col min="6936" max="6936" width="2.42578125" style="4" customWidth="1"/>
    <col min="6937" max="6938" width="3.5703125" style="4" customWidth="1"/>
    <col min="6939" max="6939" width="2.42578125" style="4" customWidth="1"/>
    <col min="6940" max="6941" width="3.5703125" style="4" customWidth="1"/>
    <col min="6942" max="6942" width="2.42578125" style="4" customWidth="1"/>
    <col min="6943" max="6943" width="3.5703125" style="4" customWidth="1"/>
    <col min="6944" max="6944" width="9.5703125" style="4" customWidth="1"/>
    <col min="6945" max="6954" width="3.5703125" style="4" customWidth="1"/>
    <col min="6955" max="6955" width="11" style="4" customWidth="1"/>
    <col min="6956" max="6958" width="8.85546875" style="4"/>
    <col min="6959" max="6959" width="21" style="4" customWidth="1"/>
    <col min="6960" max="6960" width="24.42578125" style="4" customWidth="1"/>
    <col min="6961" max="6961" width="15.42578125" style="4" customWidth="1"/>
    <col min="6962" max="6962" width="10.42578125" style="4" customWidth="1"/>
    <col min="6963" max="6963" width="11.42578125" style="4" customWidth="1"/>
    <col min="6964" max="6964" width="25" style="4" customWidth="1"/>
    <col min="6965" max="6965" width="6" style="4" customWidth="1"/>
    <col min="6966" max="7169" width="8.85546875" style="4"/>
    <col min="7170" max="7170" width="3.5703125" style="4" customWidth="1"/>
    <col min="7171" max="7171" width="2.42578125" style="4" customWidth="1"/>
    <col min="7172" max="7173" width="3.5703125" style="4" customWidth="1"/>
    <col min="7174" max="7174" width="2.42578125" style="4" customWidth="1"/>
    <col min="7175" max="7176" width="3.5703125" style="4" customWidth="1"/>
    <col min="7177" max="7177" width="2.42578125" style="4" customWidth="1"/>
    <col min="7178" max="7179" width="3.5703125" style="4" customWidth="1"/>
    <col min="7180" max="7180" width="2.42578125" style="4" customWidth="1"/>
    <col min="7181" max="7182" width="3.5703125" style="4" customWidth="1"/>
    <col min="7183" max="7183" width="2.42578125" style="4" customWidth="1"/>
    <col min="7184" max="7185" width="3.5703125" style="4" customWidth="1"/>
    <col min="7186" max="7186" width="2.42578125" style="4" customWidth="1"/>
    <col min="7187" max="7188" width="3.5703125" style="4" customWidth="1"/>
    <col min="7189" max="7189" width="2.42578125" style="4" customWidth="1"/>
    <col min="7190" max="7191" width="3.5703125" style="4" customWidth="1"/>
    <col min="7192" max="7192" width="2.42578125" style="4" customWidth="1"/>
    <col min="7193" max="7194" width="3.5703125" style="4" customWidth="1"/>
    <col min="7195" max="7195" width="2.42578125" style="4" customWidth="1"/>
    <col min="7196" max="7197" width="3.5703125" style="4" customWidth="1"/>
    <col min="7198" max="7198" width="2.42578125" style="4" customWidth="1"/>
    <col min="7199" max="7199" width="3.5703125" style="4" customWidth="1"/>
    <col min="7200" max="7200" width="9.5703125" style="4" customWidth="1"/>
    <col min="7201" max="7210" width="3.5703125" style="4" customWidth="1"/>
    <col min="7211" max="7211" width="11" style="4" customWidth="1"/>
    <col min="7212" max="7214" width="8.85546875" style="4"/>
    <col min="7215" max="7215" width="21" style="4" customWidth="1"/>
    <col min="7216" max="7216" width="24.42578125" style="4" customWidth="1"/>
    <col min="7217" max="7217" width="15.42578125" style="4" customWidth="1"/>
    <col min="7218" max="7218" width="10.42578125" style="4" customWidth="1"/>
    <col min="7219" max="7219" width="11.42578125" style="4" customWidth="1"/>
    <col min="7220" max="7220" width="25" style="4" customWidth="1"/>
    <col min="7221" max="7221" width="6" style="4" customWidth="1"/>
    <col min="7222" max="7425" width="8.85546875" style="4"/>
    <col min="7426" max="7426" width="3.5703125" style="4" customWidth="1"/>
    <col min="7427" max="7427" width="2.42578125" style="4" customWidth="1"/>
    <col min="7428" max="7429" width="3.5703125" style="4" customWidth="1"/>
    <col min="7430" max="7430" width="2.42578125" style="4" customWidth="1"/>
    <col min="7431" max="7432" width="3.5703125" style="4" customWidth="1"/>
    <col min="7433" max="7433" width="2.42578125" style="4" customWidth="1"/>
    <col min="7434" max="7435" width="3.5703125" style="4" customWidth="1"/>
    <col min="7436" max="7436" width="2.42578125" style="4" customWidth="1"/>
    <col min="7437" max="7438" width="3.5703125" style="4" customWidth="1"/>
    <col min="7439" max="7439" width="2.42578125" style="4" customWidth="1"/>
    <col min="7440" max="7441" width="3.5703125" style="4" customWidth="1"/>
    <col min="7442" max="7442" width="2.42578125" style="4" customWidth="1"/>
    <col min="7443" max="7444" width="3.5703125" style="4" customWidth="1"/>
    <col min="7445" max="7445" width="2.42578125" style="4" customWidth="1"/>
    <col min="7446" max="7447" width="3.5703125" style="4" customWidth="1"/>
    <col min="7448" max="7448" width="2.42578125" style="4" customWidth="1"/>
    <col min="7449" max="7450" width="3.5703125" style="4" customWidth="1"/>
    <col min="7451" max="7451" width="2.42578125" style="4" customWidth="1"/>
    <col min="7452" max="7453" width="3.5703125" style="4" customWidth="1"/>
    <col min="7454" max="7454" width="2.42578125" style="4" customWidth="1"/>
    <col min="7455" max="7455" width="3.5703125" style="4" customWidth="1"/>
    <col min="7456" max="7456" width="9.5703125" style="4" customWidth="1"/>
    <col min="7457" max="7466" width="3.5703125" style="4" customWidth="1"/>
    <col min="7467" max="7467" width="11" style="4" customWidth="1"/>
    <col min="7468" max="7470" width="8.85546875" style="4"/>
    <col min="7471" max="7471" width="21" style="4" customWidth="1"/>
    <col min="7472" max="7472" width="24.42578125" style="4" customWidth="1"/>
    <col min="7473" max="7473" width="15.42578125" style="4" customWidth="1"/>
    <col min="7474" max="7474" width="10.42578125" style="4" customWidth="1"/>
    <col min="7475" max="7475" width="11.42578125" style="4" customWidth="1"/>
    <col min="7476" max="7476" width="25" style="4" customWidth="1"/>
    <col min="7477" max="7477" width="6" style="4" customWidth="1"/>
    <col min="7478" max="7681" width="8.85546875" style="4"/>
    <col min="7682" max="7682" width="3.5703125" style="4" customWidth="1"/>
    <col min="7683" max="7683" width="2.42578125" style="4" customWidth="1"/>
    <col min="7684" max="7685" width="3.5703125" style="4" customWidth="1"/>
    <col min="7686" max="7686" width="2.42578125" style="4" customWidth="1"/>
    <col min="7687" max="7688" width="3.5703125" style="4" customWidth="1"/>
    <col min="7689" max="7689" width="2.42578125" style="4" customWidth="1"/>
    <col min="7690" max="7691" width="3.5703125" style="4" customWidth="1"/>
    <col min="7692" max="7692" width="2.42578125" style="4" customWidth="1"/>
    <col min="7693" max="7694" width="3.5703125" style="4" customWidth="1"/>
    <col min="7695" max="7695" width="2.42578125" style="4" customWidth="1"/>
    <col min="7696" max="7697" width="3.5703125" style="4" customWidth="1"/>
    <col min="7698" max="7698" width="2.42578125" style="4" customWidth="1"/>
    <col min="7699" max="7700" width="3.5703125" style="4" customWidth="1"/>
    <col min="7701" max="7701" width="2.42578125" style="4" customWidth="1"/>
    <col min="7702" max="7703" width="3.5703125" style="4" customWidth="1"/>
    <col min="7704" max="7704" width="2.42578125" style="4" customWidth="1"/>
    <col min="7705" max="7706" width="3.5703125" style="4" customWidth="1"/>
    <col min="7707" max="7707" width="2.42578125" style="4" customWidth="1"/>
    <col min="7708" max="7709" width="3.5703125" style="4" customWidth="1"/>
    <col min="7710" max="7710" width="2.42578125" style="4" customWidth="1"/>
    <col min="7711" max="7711" width="3.5703125" style="4" customWidth="1"/>
    <col min="7712" max="7712" width="9.5703125" style="4" customWidth="1"/>
    <col min="7713" max="7722" width="3.5703125" style="4" customWidth="1"/>
    <col min="7723" max="7723" width="11" style="4" customWidth="1"/>
    <col min="7724" max="7726" width="8.85546875" style="4"/>
    <col min="7727" max="7727" width="21" style="4" customWidth="1"/>
    <col min="7728" max="7728" width="24.42578125" style="4" customWidth="1"/>
    <col min="7729" max="7729" width="15.42578125" style="4" customWidth="1"/>
    <col min="7730" max="7730" width="10.42578125" style="4" customWidth="1"/>
    <col min="7731" max="7731" width="11.42578125" style="4" customWidth="1"/>
    <col min="7732" max="7732" width="25" style="4" customWidth="1"/>
    <col min="7733" max="7733" width="6" style="4" customWidth="1"/>
    <col min="7734" max="7937" width="8.85546875" style="4"/>
    <col min="7938" max="7938" width="3.5703125" style="4" customWidth="1"/>
    <col min="7939" max="7939" width="2.42578125" style="4" customWidth="1"/>
    <col min="7940" max="7941" width="3.5703125" style="4" customWidth="1"/>
    <col min="7942" max="7942" width="2.42578125" style="4" customWidth="1"/>
    <col min="7943" max="7944" width="3.5703125" style="4" customWidth="1"/>
    <col min="7945" max="7945" width="2.42578125" style="4" customWidth="1"/>
    <col min="7946" max="7947" width="3.5703125" style="4" customWidth="1"/>
    <col min="7948" max="7948" width="2.42578125" style="4" customWidth="1"/>
    <col min="7949" max="7950" width="3.5703125" style="4" customWidth="1"/>
    <col min="7951" max="7951" width="2.42578125" style="4" customWidth="1"/>
    <col min="7952" max="7953" width="3.5703125" style="4" customWidth="1"/>
    <col min="7954" max="7954" width="2.42578125" style="4" customWidth="1"/>
    <col min="7955" max="7956" width="3.5703125" style="4" customWidth="1"/>
    <col min="7957" max="7957" width="2.42578125" style="4" customWidth="1"/>
    <col min="7958" max="7959" width="3.5703125" style="4" customWidth="1"/>
    <col min="7960" max="7960" width="2.42578125" style="4" customWidth="1"/>
    <col min="7961" max="7962" width="3.5703125" style="4" customWidth="1"/>
    <col min="7963" max="7963" width="2.42578125" style="4" customWidth="1"/>
    <col min="7964" max="7965" width="3.5703125" style="4" customWidth="1"/>
    <col min="7966" max="7966" width="2.42578125" style="4" customWidth="1"/>
    <col min="7967" max="7967" width="3.5703125" style="4" customWidth="1"/>
    <col min="7968" max="7968" width="9.5703125" style="4" customWidth="1"/>
    <col min="7969" max="7978" width="3.5703125" style="4" customWidth="1"/>
    <col min="7979" max="7979" width="11" style="4" customWidth="1"/>
    <col min="7980" max="7982" width="8.85546875" style="4"/>
    <col min="7983" max="7983" width="21" style="4" customWidth="1"/>
    <col min="7984" max="7984" width="24.42578125" style="4" customWidth="1"/>
    <col min="7985" max="7985" width="15.42578125" style="4" customWidth="1"/>
    <col min="7986" max="7986" width="10.42578125" style="4" customWidth="1"/>
    <col min="7987" max="7987" width="11.42578125" style="4" customWidth="1"/>
    <col min="7988" max="7988" width="25" style="4" customWidth="1"/>
    <col min="7989" max="7989" width="6" style="4" customWidth="1"/>
    <col min="7990" max="8193" width="8.85546875" style="4"/>
    <col min="8194" max="8194" width="3.5703125" style="4" customWidth="1"/>
    <col min="8195" max="8195" width="2.42578125" style="4" customWidth="1"/>
    <col min="8196" max="8197" width="3.5703125" style="4" customWidth="1"/>
    <col min="8198" max="8198" width="2.42578125" style="4" customWidth="1"/>
    <col min="8199" max="8200" width="3.5703125" style="4" customWidth="1"/>
    <col min="8201" max="8201" width="2.42578125" style="4" customWidth="1"/>
    <col min="8202" max="8203" width="3.5703125" style="4" customWidth="1"/>
    <col min="8204" max="8204" width="2.42578125" style="4" customWidth="1"/>
    <col min="8205" max="8206" width="3.5703125" style="4" customWidth="1"/>
    <col min="8207" max="8207" width="2.42578125" style="4" customWidth="1"/>
    <col min="8208" max="8209" width="3.5703125" style="4" customWidth="1"/>
    <col min="8210" max="8210" width="2.42578125" style="4" customWidth="1"/>
    <col min="8211" max="8212" width="3.5703125" style="4" customWidth="1"/>
    <col min="8213" max="8213" width="2.42578125" style="4" customWidth="1"/>
    <col min="8214" max="8215" width="3.5703125" style="4" customWidth="1"/>
    <col min="8216" max="8216" width="2.42578125" style="4" customWidth="1"/>
    <col min="8217" max="8218" width="3.5703125" style="4" customWidth="1"/>
    <col min="8219" max="8219" width="2.42578125" style="4" customWidth="1"/>
    <col min="8220" max="8221" width="3.5703125" style="4" customWidth="1"/>
    <col min="8222" max="8222" width="2.42578125" style="4" customWidth="1"/>
    <col min="8223" max="8223" width="3.5703125" style="4" customWidth="1"/>
    <col min="8224" max="8224" width="9.5703125" style="4" customWidth="1"/>
    <col min="8225" max="8234" width="3.5703125" style="4" customWidth="1"/>
    <col min="8235" max="8235" width="11" style="4" customWidth="1"/>
    <col min="8236" max="8238" width="8.85546875" style="4"/>
    <col min="8239" max="8239" width="21" style="4" customWidth="1"/>
    <col min="8240" max="8240" width="24.42578125" style="4" customWidth="1"/>
    <col min="8241" max="8241" width="15.42578125" style="4" customWidth="1"/>
    <col min="8242" max="8242" width="10.42578125" style="4" customWidth="1"/>
    <col min="8243" max="8243" width="11.42578125" style="4" customWidth="1"/>
    <col min="8244" max="8244" width="25" style="4" customWidth="1"/>
    <col min="8245" max="8245" width="6" style="4" customWidth="1"/>
    <col min="8246" max="8449" width="8.85546875" style="4"/>
    <col min="8450" max="8450" width="3.5703125" style="4" customWidth="1"/>
    <col min="8451" max="8451" width="2.42578125" style="4" customWidth="1"/>
    <col min="8452" max="8453" width="3.5703125" style="4" customWidth="1"/>
    <col min="8454" max="8454" width="2.42578125" style="4" customWidth="1"/>
    <col min="8455" max="8456" width="3.5703125" style="4" customWidth="1"/>
    <col min="8457" max="8457" width="2.42578125" style="4" customWidth="1"/>
    <col min="8458" max="8459" width="3.5703125" style="4" customWidth="1"/>
    <col min="8460" max="8460" width="2.42578125" style="4" customWidth="1"/>
    <col min="8461" max="8462" width="3.5703125" style="4" customWidth="1"/>
    <col min="8463" max="8463" width="2.42578125" style="4" customWidth="1"/>
    <col min="8464" max="8465" width="3.5703125" style="4" customWidth="1"/>
    <col min="8466" max="8466" width="2.42578125" style="4" customWidth="1"/>
    <col min="8467" max="8468" width="3.5703125" style="4" customWidth="1"/>
    <col min="8469" max="8469" width="2.42578125" style="4" customWidth="1"/>
    <col min="8470" max="8471" width="3.5703125" style="4" customWidth="1"/>
    <col min="8472" max="8472" width="2.42578125" style="4" customWidth="1"/>
    <col min="8473" max="8474" width="3.5703125" style="4" customWidth="1"/>
    <col min="8475" max="8475" width="2.42578125" style="4" customWidth="1"/>
    <col min="8476" max="8477" width="3.5703125" style="4" customWidth="1"/>
    <col min="8478" max="8478" width="2.42578125" style="4" customWidth="1"/>
    <col min="8479" max="8479" width="3.5703125" style="4" customWidth="1"/>
    <col min="8480" max="8480" width="9.5703125" style="4" customWidth="1"/>
    <col min="8481" max="8490" width="3.5703125" style="4" customWidth="1"/>
    <col min="8491" max="8491" width="11" style="4" customWidth="1"/>
    <col min="8492" max="8494" width="8.85546875" style="4"/>
    <col min="8495" max="8495" width="21" style="4" customWidth="1"/>
    <col min="8496" max="8496" width="24.42578125" style="4" customWidth="1"/>
    <col min="8497" max="8497" width="15.42578125" style="4" customWidth="1"/>
    <col min="8498" max="8498" width="10.42578125" style="4" customWidth="1"/>
    <col min="8499" max="8499" width="11.42578125" style="4" customWidth="1"/>
    <col min="8500" max="8500" width="25" style="4" customWidth="1"/>
    <col min="8501" max="8501" width="6" style="4" customWidth="1"/>
    <col min="8502" max="8705" width="8.85546875" style="4"/>
    <col min="8706" max="8706" width="3.5703125" style="4" customWidth="1"/>
    <col min="8707" max="8707" width="2.42578125" style="4" customWidth="1"/>
    <col min="8708" max="8709" width="3.5703125" style="4" customWidth="1"/>
    <col min="8710" max="8710" width="2.42578125" style="4" customWidth="1"/>
    <col min="8711" max="8712" width="3.5703125" style="4" customWidth="1"/>
    <col min="8713" max="8713" width="2.42578125" style="4" customWidth="1"/>
    <col min="8714" max="8715" width="3.5703125" style="4" customWidth="1"/>
    <col min="8716" max="8716" width="2.42578125" style="4" customWidth="1"/>
    <col min="8717" max="8718" width="3.5703125" style="4" customWidth="1"/>
    <col min="8719" max="8719" width="2.42578125" style="4" customWidth="1"/>
    <col min="8720" max="8721" width="3.5703125" style="4" customWidth="1"/>
    <col min="8722" max="8722" width="2.42578125" style="4" customWidth="1"/>
    <col min="8723" max="8724" width="3.5703125" style="4" customWidth="1"/>
    <col min="8725" max="8725" width="2.42578125" style="4" customWidth="1"/>
    <col min="8726" max="8727" width="3.5703125" style="4" customWidth="1"/>
    <col min="8728" max="8728" width="2.42578125" style="4" customWidth="1"/>
    <col min="8729" max="8730" width="3.5703125" style="4" customWidth="1"/>
    <col min="8731" max="8731" width="2.42578125" style="4" customWidth="1"/>
    <col min="8732" max="8733" width="3.5703125" style="4" customWidth="1"/>
    <col min="8734" max="8734" width="2.42578125" style="4" customWidth="1"/>
    <col min="8735" max="8735" width="3.5703125" style="4" customWidth="1"/>
    <col min="8736" max="8736" width="9.5703125" style="4" customWidth="1"/>
    <col min="8737" max="8746" width="3.5703125" style="4" customWidth="1"/>
    <col min="8747" max="8747" width="11" style="4" customWidth="1"/>
    <col min="8748" max="8750" width="8.85546875" style="4"/>
    <col min="8751" max="8751" width="21" style="4" customWidth="1"/>
    <col min="8752" max="8752" width="24.42578125" style="4" customWidth="1"/>
    <col min="8753" max="8753" width="15.42578125" style="4" customWidth="1"/>
    <col min="8754" max="8754" width="10.42578125" style="4" customWidth="1"/>
    <col min="8755" max="8755" width="11.42578125" style="4" customWidth="1"/>
    <col min="8756" max="8756" width="25" style="4" customWidth="1"/>
    <col min="8757" max="8757" width="6" style="4" customWidth="1"/>
    <col min="8758" max="8961" width="8.85546875" style="4"/>
    <col min="8962" max="8962" width="3.5703125" style="4" customWidth="1"/>
    <col min="8963" max="8963" width="2.42578125" style="4" customWidth="1"/>
    <col min="8964" max="8965" width="3.5703125" style="4" customWidth="1"/>
    <col min="8966" max="8966" width="2.42578125" style="4" customWidth="1"/>
    <col min="8967" max="8968" width="3.5703125" style="4" customWidth="1"/>
    <col min="8969" max="8969" width="2.42578125" style="4" customWidth="1"/>
    <col min="8970" max="8971" width="3.5703125" style="4" customWidth="1"/>
    <col min="8972" max="8972" width="2.42578125" style="4" customWidth="1"/>
    <col min="8973" max="8974" width="3.5703125" style="4" customWidth="1"/>
    <col min="8975" max="8975" width="2.42578125" style="4" customWidth="1"/>
    <col min="8976" max="8977" width="3.5703125" style="4" customWidth="1"/>
    <col min="8978" max="8978" width="2.42578125" style="4" customWidth="1"/>
    <col min="8979" max="8980" width="3.5703125" style="4" customWidth="1"/>
    <col min="8981" max="8981" width="2.42578125" style="4" customWidth="1"/>
    <col min="8982" max="8983" width="3.5703125" style="4" customWidth="1"/>
    <col min="8984" max="8984" width="2.42578125" style="4" customWidth="1"/>
    <col min="8985" max="8986" width="3.5703125" style="4" customWidth="1"/>
    <col min="8987" max="8987" width="2.42578125" style="4" customWidth="1"/>
    <col min="8988" max="8989" width="3.5703125" style="4" customWidth="1"/>
    <col min="8990" max="8990" width="2.42578125" style="4" customWidth="1"/>
    <col min="8991" max="8991" width="3.5703125" style="4" customWidth="1"/>
    <col min="8992" max="8992" width="9.5703125" style="4" customWidth="1"/>
    <col min="8993" max="9002" width="3.5703125" style="4" customWidth="1"/>
    <col min="9003" max="9003" width="11" style="4" customWidth="1"/>
    <col min="9004" max="9006" width="8.85546875" style="4"/>
    <col min="9007" max="9007" width="21" style="4" customWidth="1"/>
    <col min="9008" max="9008" width="24.42578125" style="4" customWidth="1"/>
    <col min="9009" max="9009" width="15.42578125" style="4" customWidth="1"/>
    <col min="9010" max="9010" width="10.42578125" style="4" customWidth="1"/>
    <col min="9011" max="9011" width="11.42578125" style="4" customWidth="1"/>
    <col min="9012" max="9012" width="25" style="4" customWidth="1"/>
    <col min="9013" max="9013" width="6" style="4" customWidth="1"/>
    <col min="9014" max="9217" width="8.85546875" style="4"/>
    <col min="9218" max="9218" width="3.5703125" style="4" customWidth="1"/>
    <col min="9219" max="9219" width="2.42578125" style="4" customWidth="1"/>
    <col min="9220" max="9221" width="3.5703125" style="4" customWidth="1"/>
    <col min="9222" max="9222" width="2.42578125" style="4" customWidth="1"/>
    <col min="9223" max="9224" width="3.5703125" style="4" customWidth="1"/>
    <col min="9225" max="9225" width="2.42578125" style="4" customWidth="1"/>
    <col min="9226" max="9227" width="3.5703125" style="4" customWidth="1"/>
    <col min="9228" max="9228" width="2.42578125" style="4" customWidth="1"/>
    <col min="9229" max="9230" width="3.5703125" style="4" customWidth="1"/>
    <col min="9231" max="9231" width="2.42578125" style="4" customWidth="1"/>
    <col min="9232" max="9233" width="3.5703125" style="4" customWidth="1"/>
    <col min="9234" max="9234" width="2.42578125" style="4" customWidth="1"/>
    <col min="9235" max="9236" width="3.5703125" style="4" customWidth="1"/>
    <col min="9237" max="9237" width="2.42578125" style="4" customWidth="1"/>
    <col min="9238" max="9239" width="3.5703125" style="4" customWidth="1"/>
    <col min="9240" max="9240" width="2.42578125" style="4" customWidth="1"/>
    <col min="9241" max="9242" width="3.5703125" style="4" customWidth="1"/>
    <col min="9243" max="9243" width="2.42578125" style="4" customWidth="1"/>
    <col min="9244" max="9245" width="3.5703125" style="4" customWidth="1"/>
    <col min="9246" max="9246" width="2.42578125" style="4" customWidth="1"/>
    <col min="9247" max="9247" width="3.5703125" style="4" customWidth="1"/>
    <col min="9248" max="9248" width="9.5703125" style="4" customWidth="1"/>
    <col min="9249" max="9258" width="3.5703125" style="4" customWidth="1"/>
    <col min="9259" max="9259" width="11" style="4" customWidth="1"/>
    <col min="9260" max="9262" width="8.85546875" style="4"/>
    <col min="9263" max="9263" width="21" style="4" customWidth="1"/>
    <col min="9264" max="9264" width="24.42578125" style="4" customWidth="1"/>
    <col min="9265" max="9265" width="15.42578125" style="4" customWidth="1"/>
    <col min="9266" max="9266" width="10.42578125" style="4" customWidth="1"/>
    <col min="9267" max="9267" width="11.42578125" style="4" customWidth="1"/>
    <col min="9268" max="9268" width="25" style="4" customWidth="1"/>
    <col min="9269" max="9269" width="6" style="4" customWidth="1"/>
    <col min="9270" max="9473" width="8.85546875" style="4"/>
    <col min="9474" max="9474" width="3.5703125" style="4" customWidth="1"/>
    <col min="9475" max="9475" width="2.42578125" style="4" customWidth="1"/>
    <col min="9476" max="9477" width="3.5703125" style="4" customWidth="1"/>
    <col min="9478" max="9478" width="2.42578125" style="4" customWidth="1"/>
    <col min="9479" max="9480" width="3.5703125" style="4" customWidth="1"/>
    <col min="9481" max="9481" width="2.42578125" style="4" customWidth="1"/>
    <col min="9482" max="9483" width="3.5703125" style="4" customWidth="1"/>
    <col min="9484" max="9484" width="2.42578125" style="4" customWidth="1"/>
    <col min="9485" max="9486" width="3.5703125" style="4" customWidth="1"/>
    <col min="9487" max="9487" width="2.42578125" style="4" customWidth="1"/>
    <col min="9488" max="9489" width="3.5703125" style="4" customWidth="1"/>
    <col min="9490" max="9490" width="2.42578125" style="4" customWidth="1"/>
    <col min="9491" max="9492" width="3.5703125" style="4" customWidth="1"/>
    <col min="9493" max="9493" width="2.42578125" style="4" customWidth="1"/>
    <col min="9494" max="9495" width="3.5703125" style="4" customWidth="1"/>
    <col min="9496" max="9496" width="2.42578125" style="4" customWidth="1"/>
    <col min="9497" max="9498" width="3.5703125" style="4" customWidth="1"/>
    <col min="9499" max="9499" width="2.42578125" style="4" customWidth="1"/>
    <col min="9500" max="9501" width="3.5703125" style="4" customWidth="1"/>
    <col min="9502" max="9502" width="2.42578125" style="4" customWidth="1"/>
    <col min="9503" max="9503" width="3.5703125" style="4" customWidth="1"/>
    <col min="9504" max="9504" width="9.5703125" style="4" customWidth="1"/>
    <col min="9505" max="9514" width="3.5703125" style="4" customWidth="1"/>
    <col min="9515" max="9515" width="11" style="4" customWidth="1"/>
    <col min="9516" max="9518" width="8.85546875" style="4"/>
    <col min="9519" max="9519" width="21" style="4" customWidth="1"/>
    <col min="9520" max="9520" width="24.42578125" style="4" customWidth="1"/>
    <col min="9521" max="9521" width="15.42578125" style="4" customWidth="1"/>
    <col min="9522" max="9522" width="10.42578125" style="4" customWidth="1"/>
    <col min="9523" max="9523" width="11.42578125" style="4" customWidth="1"/>
    <col min="9524" max="9524" width="25" style="4" customWidth="1"/>
    <col min="9525" max="9525" width="6" style="4" customWidth="1"/>
    <col min="9526" max="9729" width="8.85546875" style="4"/>
    <col min="9730" max="9730" width="3.5703125" style="4" customWidth="1"/>
    <col min="9731" max="9731" width="2.42578125" style="4" customWidth="1"/>
    <col min="9732" max="9733" width="3.5703125" style="4" customWidth="1"/>
    <col min="9734" max="9734" width="2.42578125" style="4" customWidth="1"/>
    <col min="9735" max="9736" width="3.5703125" style="4" customWidth="1"/>
    <col min="9737" max="9737" width="2.42578125" style="4" customWidth="1"/>
    <col min="9738" max="9739" width="3.5703125" style="4" customWidth="1"/>
    <col min="9740" max="9740" width="2.42578125" style="4" customWidth="1"/>
    <col min="9741" max="9742" width="3.5703125" style="4" customWidth="1"/>
    <col min="9743" max="9743" width="2.42578125" style="4" customWidth="1"/>
    <col min="9744" max="9745" width="3.5703125" style="4" customWidth="1"/>
    <col min="9746" max="9746" width="2.42578125" style="4" customWidth="1"/>
    <col min="9747" max="9748" width="3.5703125" style="4" customWidth="1"/>
    <col min="9749" max="9749" width="2.42578125" style="4" customWidth="1"/>
    <col min="9750" max="9751" width="3.5703125" style="4" customWidth="1"/>
    <col min="9752" max="9752" width="2.42578125" style="4" customWidth="1"/>
    <col min="9753" max="9754" width="3.5703125" style="4" customWidth="1"/>
    <col min="9755" max="9755" width="2.42578125" style="4" customWidth="1"/>
    <col min="9756" max="9757" width="3.5703125" style="4" customWidth="1"/>
    <col min="9758" max="9758" width="2.42578125" style="4" customWidth="1"/>
    <col min="9759" max="9759" width="3.5703125" style="4" customWidth="1"/>
    <col min="9760" max="9760" width="9.5703125" style="4" customWidth="1"/>
    <col min="9761" max="9770" width="3.5703125" style="4" customWidth="1"/>
    <col min="9771" max="9771" width="11" style="4" customWidth="1"/>
    <col min="9772" max="9774" width="8.85546875" style="4"/>
    <col min="9775" max="9775" width="21" style="4" customWidth="1"/>
    <col min="9776" max="9776" width="24.42578125" style="4" customWidth="1"/>
    <col min="9777" max="9777" width="15.42578125" style="4" customWidth="1"/>
    <col min="9778" max="9778" width="10.42578125" style="4" customWidth="1"/>
    <col min="9779" max="9779" width="11.42578125" style="4" customWidth="1"/>
    <col min="9780" max="9780" width="25" style="4" customWidth="1"/>
    <col min="9781" max="9781" width="6" style="4" customWidth="1"/>
    <col min="9782" max="9985" width="8.85546875" style="4"/>
    <col min="9986" max="9986" width="3.5703125" style="4" customWidth="1"/>
    <col min="9987" max="9987" width="2.42578125" style="4" customWidth="1"/>
    <col min="9988" max="9989" width="3.5703125" style="4" customWidth="1"/>
    <col min="9990" max="9990" width="2.42578125" style="4" customWidth="1"/>
    <col min="9991" max="9992" width="3.5703125" style="4" customWidth="1"/>
    <col min="9993" max="9993" width="2.42578125" style="4" customWidth="1"/>
    <col min="9994" max="9995" width="3.5703125" style="4" customWidth="1"/>
    <col min="9996" max="9996" width="2.42578125" style="4" customWidth="1"/>
    <col min="9997" max="9998" width="3.5703125" style="4" customWidth="1"/>
    <col min="9999" max="9999" width="2.42578125" style="4" customWidth="1"/>
    <col min="10000" max="10001" width="3.5703125" style="4" customWidth="1"/>
    <col min="10002" max="10002" width="2.42578125" style="4" customWidth="1"/>
    <col min="10003" max="10004" width="3.5703125" style="4" customWidth="1"/>
    <col min="10005" max="10005" width="2.42578125" style="4" customWidth="1"/>
    <col min="10006" max="10007" width="3.5703125" style="4" customWidth="1"/>
    <col min="10008" max="10008" width="2.42578125" style="4" customWidth="1"/>
    <col min="10009" max="10010" width="3.5703125" style="4" customWidth="1"/>
    <col min="10011" max="10011" width="2.42578125" style="4" customWidth="1"/>
    <col min="10012" max="10013" width="3.5703125" style="4" customWidth="1"/>
    <col min="10014" max="10014" width="2.42578125" style="4" customWidth="1"/>
    <col min="10015" max="10015" width="3.5703125" style="4" customWidth="1"/>
    <col min="10016" max="10016" width="9.5703125" style="4" customWidth="1"/>
    <col min="10017" max="10026" width="3.5703125" style="4" customWidth="1"/>
    <col min="10027" max="10027" width="11" style="4" customWidth="1"/>
    <col min="10028" max="10030" width="8.85546875" style="4"/>
    <col min="10031" max="10031" width="21" style="4" customWidth="1"/>
    <col min="10032" max="10032" width="24.42578125" style="4" customWidth="1"/>
    <col min="10033" max="10033" width="15.42578125" style="4" customWidth="1"/>
    <col min="10034" max="10034" width="10.42578125" style="4" customWidth="1"/>
    <col min="10035" max="10035" width="11.42578125" style="4" customWidth="1"/>
    <col min="10036" max="10036" width="25" style="4" customWidth="1"/>
    <col min="10037" max="10037" width="6" style="4" customWidth="1"/>
    <col min="10038" max="10241" width="8.85546875" style="4"/>
    <col min="10242" max="10242" width="3.5703125" style="4" customWidth="1"/>
    <col min="10243" max="10243" width="2.42578125" style="4" customWidth="1"/>
    <col min="10244" max="10245" width="3.5703125" style="4" customWidth="1"/>
    <col min="10246" max="10246" width="2.42578125" style="4" customWidth="1"/>
    <col min="10247" max="10248" width="3.5703125" style="4" customWidth="1"/>
    <col min="10249" max="10249" width="2.42578125" style="4" customWidth="1"/>
    <col min="10250" max="10251" width="3.5703125" style="4" customWidth="1"/>
    <col min="10252" max="10252" width="2.42578125" style="4" customWidth="1"/>
    <col min="10253" max="10254" width="3.5703125" style="4" customWidth="1"/>
    <col min="10255" max="10255" width="2.42578125" style="4" customWidth="1"/>
    <col min="10256" max="10257" width="3.5703125" style="4" customWidth="1"/>
    <col min="10258" max="10258" width="2.42578125" style="4" customWidth="1"/>
    <col min="10259" max="10260" width="3.5703125" style="4" customWidth="1"/>
    <col min="10261" max="10261" width="2.42578125" style="4" customWidth="1"/>
    <col min="10262" max="10263" width="3.5703125" style="4" customWidth="1"/>
    <col min="10264" max="10264" width="2.42578125" style="4" customWidth="1"/>
    <col min="10265" max="10266" width="3.5703125" style="4" customWidth="1"/>
    <col min="10267" max="10267" width="2.42578125" style="4" customWidth="1"/>
    <col min="10268" max="10269" width="3.5703125" style="4" customWidth="1"/>
    <col min="10270" max="10270" width="2.42578125" style="4" customWidth="1"/>
    <col min="10271" max="10271" width="3.5703125" style="4" customWidth="1"/>
    <col min="10272" max="10272" width="9.5703125" style="4" customWidth="1"/>
    <col min="10273" max="10282" width="3.5703125" style="4" customWidth="1"/>
    <col min="10283" max="10283" width="11" style="4" customWidth="1"/>
    <col min="10284" max="10286" width="8.85546875" style="4"/>
    <col min="10287" max="10287" width="21" style="4" customWidth="1"/>
    <col min="10288" max="10288" width="24.42578125" style="4" customWidth="1"/>
    <col min="10289" max="10289" width="15.42578125" style="4" customWidth="1"/>
    <col min="10290" max="10290" width="10.42578125" style="4" customWidth="1"/>
    <col min="10291" max="10291" width="11.42578125" style="4" customWidth="1"/>
    <col min="10292" max="10292" width="25" style="4" customWidth="1"/>
    <col min="10293" max="10293" width="6" style="4" customWidth="1"/>
    <col min="10294" max="10497" width="8.85546875" style="4"/>
    <col min="10498" max="10498" width="3.5703125" style="4" customWidth="1"/>
    <col min="10499" max="10499" width="2.42578125" style="4" customWidth="1"/>
    <col min="10500" max="10501" width="3.5703125" style="4" customWidth="1"/>
    <col min="10502" max="10502" width="2.42578125" style="4" customWidth="1"/>
    <col min="10503" max="10504" width="3.5703125" style="4" customWidth="1"/>
    <col min="10505" max="10505" width="2.42578125" style="4" customWidth="1"/>
    <col min="10506" max="10507" width="3.5703125" style="4" customWidth="1"/>
    <col min="10508" max="10508" width="2.42578125" style="4" customWidth="1"/>
    <col min="10509" max="10510" width="3.5703125" style="4" customWidth="1"/>
    <col min="10511" max="10511" width="2.42578125" style="4" customWidth="1"/>
    <col min="10512" max="10513" width="3.5703125" style="4" customWidth="1"/>
    <col min="10514" max="10514" width="2.42578125" style="4" customWidth="1"/>
    <col min="10515" max="10516" width="3.5703125" style="4" customWidth="1"/>
    <col min="10517" max="10517" width="2.42578125" style="4" customWidth="1"/>
    <col min="10518" max="10519" width="3.5703125" style="4" customWidth="1"/>
    <col min="10520" max="10520" width="2.42578125" style="4" customWidth="1"/>
    <col min="10521" max="10522" width="3.5703125" style="4" customWidth="1"/>
    <col min="10523" max="10523" width="2.42578125" style="4" customWidth="1"/>
    <col min="10524" max="10525" width="3.5703125" style="4" customWidth="1"/>
    <col min="10526" max="10526" width="2.42578125" style="4" customWidth="1"/>
    <col min="10527" max="10527" width="3.5703125" style="4" customWidth="1"/>
    <col min="10528" max="10528" width="9.5703125" style="4" customWidth="1"/>
    <col min="10529" max="10538" width="3.5703125" style="4" customWidth="1"/>
    <col min="10539" max="10539" width="11" style="4" customWidth="1"/>
    <col min="10540" max="10542" width="8.85546875" style="4"/>
    <col min="10543" max="10543" width="21" style="4" customWidth="1"/>
    <col min="10544" max="10544" width="24.42578125" style="4" customWidth="1"/>
    <col min="10545" max="10545" width="15.42578125" style="4" customWidth="1"/>
    <col min="10546" max="10546" width="10.42578125" style="4" customWidth="1"/>
    <col min="10547" max="10547" width="11.42578125" style="4" customWidth="1"/>
    <col min="10548" max="10548" width="25" style="4" customWidth="1"/>
    <col min="10549" max="10549" width="6" style="4" customWidth="1"/>
    <col min="10550" max="10753" width="8.85546875" style="4"/>
    <col min="10754" max="10754" width="3.5703125" style="4" customWidth="1"/>
    <col min="10755" max="10755" width="2.42578125" style="4" customWidth="1"/>
    <col min="10756" max="10757" width="3.5703125" style="4" customWidth="1"/>
    <col min="10758" max="10758" width="2.42578125" style="4" customWidth="1"/>
    <col min="10759" max="10760" width="3.5703125" style="4" customWidth="1"/>
    <col min="10761" max="10761" width="2.42578125" style="4" customWidth="1"/>
    <col min="10762" max="10763" width="3.5703125" style="4" customWidth="1"/>
    <col min="10764" max="10764" width="2.42578125" style="4" customWidth="1"/>
    <col min="10765" max="10766" width="3.5703125" style="4" customWidth="1"/>
    <col min="10767" max="10767" width="2.42578125" style="4" customWidth="1"/>
    <col min="10768" max="10769" width="3.5703125" style="4" customWidth="1"/>
    <col min="10770" max="10770" width="2.42578125" style="4" customWidth="1"/>
    <col min="10771" max="10772" width="3.5703125" style="4" customWidth="1"/>
    <col min="10773" max="10773" width="2.42578125" style="4" customWidth="1"/>
    <col min="10774" max="10775" width="3.5703125" style="4" customWidth="1"/>
    <col min="10776" max="10776" width="2.42578125" style="4" customWidth="1"/>
    <col min="10777" max="10778" width="3.5703125" style="4" customWidth="1"/>
    <col min="10779" max="10779" width="2.42578125" style="4" customWidth="1"/>
    <col min="10780" max="10781" width="3.5703125" style="4" customWidth="1"/>
    <col min="10782" max="10782" width="2.42578125" style="4" customWidth="1"/>
    <col min="10783" max="10783" width="3.5703125" style="4" customWidth="1"/>
    <col min="10784" max="10784" width="9.5703125" style="4" customWidth="1"/>
    <col min="10785" max="10794" width="3.5703125" style="4" customWidth="1"/>
    <col min="10795" max="10795" width="11" style="4" customWidth="1"/>
    <col min="10796" max="10798" width="8.85546875" style="4"/>
    <col min="10799" max="10799" width="21" style="4" customWidth="1"/>
    <col min="10800" max="10800" width="24.42578125" style="4" customWidth="1"/>
    <col min="10801" max="10801" width="15.42578125" style="4" customWidth="1"/>
    <col min="10802" max="10802" width="10.42578125" style="4" customWidth="1"/>
    <col min="10803" max="10803" width="11.42578125" style="4" customWidth="1"/>
    <col min="10804" max="10804" width="25" style="4" customWidth="1"/>
    <col min="10805" max="10805" width="6" style="4" customWidth="1"/>
    <col min="10806" max="11009" width="8.85546875" style="4"/>
    <col min="11010" max="11010" width="3.5703125" style="4" customWidth="1"/>
    <col min="11011" max="11011" width="2.42578125" style="4" customWidth="1"/>
    <col min="11012" max="11013" width="3.5703125" style="4" customWidth="1"/>
    <col min="11014" max="11014" width="2.42578125" style="4" customWidth="1"/>
    <col min="11015" max="11016" width="3.5703125" style="4" customWidth="1"/>
    <col min="11017" max="11017" width="2.42578125" style="4" customWidth="1"/>
    <col min="11018" max="11019" width="3.5703125" style="4" customWidth="1"/>
    <col min="11020" max="11020" width="2.42578125" style="4" customWidth="1"/>
    <col min="11021" max="11022" width="3.5703125" style="4" customWidth="1"/>
    <col min="11023" max="11023" width="2.42578125" style="4" customWidth="1"/>
    <col min="11024" max="11025" width="3.5703125" style="4" customWidth="1"/>
    <col min="11026" max="11026" width="2.42578125" style="4" customWidth="1"/>
    <col min="11027" max="11028" width="3.5703125" style="4" customWidth="1"/>
    <col min="11029" max="11029" width="2.42578125" style="4" customWidth="1"/>
    <col min="11030" max="11031" width="3.5703125" style="4" customWidth="1"/>
    <col min="11032" max="11032" width="2.42578125" style="4" customWidth="1"/>
    <col min="11033" max="11034" width="3.5703125" style="4" customWidth="1"/>
    <col min="11035" max="11035" width="2.42578125" style="4" customWidth="1"/>
    <col min="11036" max="11037" width="3.5703125" style="4" customWidth="1"/>
    <col min="11038" max="11038" width="2.42578125" style="4" customWidth="1"/>
    <col min="11039" max="11039" width="3.5703125" style="4" customWidth="1"/>
    <col min="11040" max="11040" width="9.5703125" style="4" customWidth="1"/>
    <col min="11041" max="11050" width="3.5703125" style="4" customWidth="1"/>
    <col min="11051" max="11051" width="11" style="4" customWidth="1"/>
    <col min="11052" max="11054" width="8.85546875" style="4"/>
    <col min="11055" max="11055" width="21" style="4" customWidth="1"/>
    <col min="11056" max="11056" width="24.42578125" style="4" customWidth="1"/>
    <col min="11057" max="11057" width="15.42578125" style="4" customWidth="1"/>
    <col min="11058" max="11058" width="10.42578125" style="4" customWidth="1"/>
    <col min="11059" max="11059" width="11.42578125" style="4" customWidth="1"/>
    <col min="11060" max="11060" width="25" style="4" customWidth="1"/>
    <col min="11061" max="11061" width="6" style="4" customWidth="1"/>
    <col min="11062" max="11265" width="8.85546875" style="4"/>
    <col min="11266" max="11266" width="3.5703125" style="4" customWidth="1"/>
    <col min="11267" max="11267" width="2.42578125" style="4" customWidth="1"/>
    <col min="11268" max="11269" width="3.5703125" style="4" customWidth="1"/>
    <col min="11270" max="11270" width="2.42578125" style="4" customWidth="1"/>
    <col min="11271" max="11272" width="3.5703125" style="4" customWidth="1"/>
    <col min="11273" max="11273" width="2.42578125" style="4" customWidth="1"/>
    <col min="11274" max="11275" width="3.5703125" style="4" customWidth="1"/>
    <col min="11276" max="11276" width="2.42578125" style="4" customWidth="1"/>
    <col min="11277" max="11278" width="3.5703125" style="4" customWidth="1"/>
    <col min="11279" max="11279" width="2.42578125" style="4" customWidth="1"/>
    <col min="11280" max="11281" width="3.5703125" style="4" customWidth="1"/>
    <col min="11282" max="11282" width="2.42578125" style="4" customWidth="1"/>
    <col min="11283" max="11284" width="3.5703125" style="4" customWidth="1"/>
    <col min="11285" max="11285" width="2.42578125" style="4" customWidth="1"/>
    <col min="11286" max="11287" width="3.5703125" style="4" customWidth="1"/>
    <col min="11288" max="11288" width="2.42578125" style="4" customWidth="1"/>
    <col min="11289" max="11290" width="3.5703125" style="4" customWidth="1"/>
    <col min="11291" max="11291" width="2.42578125" style="4" customWidth="1"/>
    <col min="11292" max="11293" width="3.5703125" style="4" customWidth="1"/>
    <col min="11294" max="11294" width="2.42578125" style="4" customWidth="1"/>
    <col min="11295" max="11295" width="3.5703125" style="4" customWidth="1"/>
    <col min="11296" max="11296" width="9.5703125" style="4" customWidth="1"/>
    <col min="11297" max="11306" width="3.5703125" style="4" customWidth="1"/>
    <col min="11307" max="11307" width="11" style="4" customWidth="1"/>
    <col min="11308" max="11310" width="8.85546875" style="4"/>
    <col min="11311" max="11311" width="21" style="4" customWidth="1"/>
    <col min="11312" max="11312" width="24.42578125" style="4" customWidth="1"/>
    <col min="11313" max="11313" width="15.42578125" style="4" customWidth="1"/>
    <col min="11314" max="11314" width="10.42578125" style="4" customWidth="1"/>
    <col min="11315" max="11315" width="11.42578125" style="4" customWidth="1"/>
    <col min="11316" max="11316" width="25" style="4" customWidth="1"/>
    <col min="11317" max="11317" width="6" style="4" customWidth="1"/>
    <col min="11318" max="11521" width="8.85546875" style="4"/>
    <col min="11522" max="11522" width="3.5703125" style="4" customWidth="1"/>
    <col min="11523" max="11523" width="2.42578125" style="4" customWidth="1"/>
    <col min="11524" max="11525" width="3.5703125" style="4" customWidth="1"/>
    <col min="11526" max="11526" width="2.42578125" style="4" customWidth="1"/>
    <col min="11527" max="11528" width="3.5703125" style="4" customWidth="1"/>
    <col min="11529" max="11529" width="2.42578125" style="4" customWidth="1"/>
    <col min="11530" max="11531" width="3.5703125" style="4" customWidth="1"/>
    <col min="11532" max="11532" width="2.42578125" style="4" customWidth="1"/>
    <col min="11533" max="11534" width="3.5703125" style="4" customWidth="1"/>
    <col min="11535" max="11535" width="2.42578125" style="4" customWidth="1"/>
    <col min="11536" max="11537" width="3.5703125" style="4" customWidth="1"/>
    <col min="11538" max="11538" width="2.42578125" style="4" customWidth="1"/>
    <col min="11539" max="11540" width="3.5703125" style="4" customWidth="1"/>
    <col min="11541" max="11541" width="2.42578125" style="4" customWidth="1"/>
    <col min="11542" max="11543" width="3.5703125" style="4" customWidth="1"/>
    <col min="11544" max="11544" width="2.42578125" style="4" customWidth="1"/>
    <col min="11545" max="11546" width="3.5703125" style="4" customWidth="1"/>
    <col min="11547" max="11547" width="2.42578125" style="4" customWidth="1"/>
    <col min="11548" max="11549" width="3.5703125" style="4" customWidth="1"/>
    <col min="11550" max="11550" width="2.42578125" style="4" customWidth="1"/>
    <col min="11551" max="11551" width="3.5703125" style="4" customWidth="1"/>
    <col min="11552" max="11552" width="9.5703125" style="4" customWidth="1"/>
    <col min="11553" max="11562" width="3.5703125" style="4" customWidth="1"/>
    <col min="11563" max="11563" width="11" style="4" customWidth="1"/>
    <col min="11564" max="11566" width="8.85546875" style="4"/>
    <col min="11567" max="11567" width="21" style="4" customWidth="1"/>
    <col min="11568" max="11568" width="24.42578125" style="4" customWidth="1"/>
    <col min="11569" max="11569" width="15.42578125" style="4" customWidth="1"/>
    <col min="11570" max="11570" width="10.42578125" style="4" customWidth="1"/>
    <col min="11571" max="11571" width="11.42578125" style="4" customWidth="1"/>
    <col min="11572" max="11572" width="25" style="4" customWidth="1"/>
    <col min="11573" max="11573" width="6" style="4" customWidth="1"/>
    <col min="11574" max="11777" width="8.85546875" style="4"/>
    <col min="11778" max="11778" width="3.5703125" style="4" customWidth="1"/>
    <col min="11779" max="11779" width="2.42578125" style="4" customWidth="1"/>
    <col min="11780" max="11781" width="3.5703125" style="4" customWidth="1"/>
    <col min="11782" max="11782" width="2.42578125" style="4" customWidth="1"/>
    <col min="11783" max="11784" width="3.5703125" style="4" customWidth="1"/>
    <col min="11785" max="11785" width="2.42578125" style="4" customWidth="1"/>
    <col min="11786" max="11787" width="3.5703125" style="4" customWidth="1"/>
    <col min="11788" max="11788" width="2.42578125" style="4" customWidth="1"/>
    <col min="11789" max="11790" width="3.5703125" style="4" customWidth="1"/>
    <col min="11791" max="11791" width="2.42578125" style="4" customWidth="1"/>
    <col min="11792" max="11793" width="3.5703125" style="4" customWidth="1"/>
    <col min="11794" max="11794" width="2.42578125" style="4" customWidth="1"/>
    <col min="11795" max="11796" width="3.5703125" style="4" customWidth="1"/>
    <col min="11797" max="11797" width="2.42578125" style="4" customWidth="1"/>
    <col min="11798" max="11799" width="3.5703125" style="4" customWidth="1"/>
    <col min="11800" max="11800" width="2.42578125" style="4" customWidth="1"/>
    <col min="11801" max="11802" width="3.5703125" style="4" customWidth="1"/>
    <col min="11803" max="11803" width="2.42578125" style="4" customWidth="1"/>
    <col min="11804" max="11805" width="3.5703125" style="4" customWidth="1"/>
    <col min="11806" max="11806" width="2.42578125" style="4" customWidth="1"/>
    <col min="11807" max="11807" width="3.5703125" style="4" customWidth="1"/>
    <col min="11808" max="11808" width="9.5703125" style="4" customWidth="1"/>
    <col min="11809" max="11818" width="3.5703125" style="4" customWidth="1"/>
    <col min="11819" max="11819" width="11" style="4" customWidth="1"/>
    <col min="11820" max="11822" width="8.85546875" style="4"/>
    <col min="11823" max="11823" width="21" style="4" customWidth="1"/>
    <col min="11824" max="11824" width="24.42578125" style="4" customWidth="1"/>
    <col min="11825" max="11825" width="15.42578125" style="4" customWidth="1"/>
    <col min="11826" max="11826" width="10.42578125" style="4" customWidth="1"/>
    <col min="11827" max="11827" width="11.42578125" style="4" customWidth="1"/>
    <col min="11828" max="11828" width="25" style="4" customWidth="1"/>
    <col min="11829" max="11829" width="6" style="4" customWidth="1"/>
    <col min="11830" max="12033" width="8.85546875" style="4"/>
    <col min="12034" max="12034" width="3.5703125" style="4" customWidth="1"/>
    <col min="12035" max="12035" width="2.42578125" style="4" customWidth="1"/>
    <col min="12036" max="12037" width="3.5703125" style="4" customWidth="1"/>
    <col min="12038" max="12038" width="2.42578125" style="4" customWidth="1"/>
    <col min="12039" max="12040" width="3.5703125" style="4" customWidth="1"/>
    <col min="12041" max="12041" width="2.42578125" style="4" customWidth="1"/>
    <col min="12042" max="12043" width="3.5703125" style="4" customWidth="1"/>
    <col min="12044" max="12044" width="2.42578125" style="4" customWidth="1"/>
    <col min="12045" max="12046" width="3.5703125" style="4" customWidth="1"/>
    <col min="12047" max="12047" width="2.42578125" style="4" customWidth="1"/>
    <col min="12048" max="12049" width="3.5703125" style="4" customWidth="1"/>
    <col min="12050" max="12050" width="2.42578125" style="4" customWidth="1"/>
    <col min="12051" max="12052" width="3.5703125" style="4" customWidth="1"/>
    <col min="12053" max="12053" width="2.42578125" style="4" customWidth="1"/>
    <col min="12054" max="12055" width="3.5703125" style="4" customWidth="1"/>
    <col min="12056" max="12056" width="2.42578125" style="4" customWidth="1"/>
    <col min="12057" max="12058" width="3.5703125" style="4" customWidth="1"/>
    <col min="12059" max="12059" width="2.42578125" style="4" customWidth="1"/>
    <col min="12060" max="12061" width="3.5703125" style="4" customWidth="1"/>
    <col min="12062" max="12062" width="2.42578125" style="4" customWidth="1"/>
    <col min="12063" max="12063" width="3.5703125" style="4" customWidth="1"/>
    <col min="12064" max="12064" width="9.5703125" style="4" customWidth="1"/>
    <col min="12065" max="12074" width="3.5703125" style="4" customWidth="1"/>
    <col min="12075" max="12075" width="11" style="4" customWidth="1"/>
    <col min="12076" max="12078" width="8.85546875" style="4"/>
    <col min="12079" max="12079" width="21" style="4" customWidth="1"/>
    <col min="12080" max="12080" width="24.42578125" style="4" customWidth="1"/>
    <col min="12081" max="12081" width="15.42578125" style="4" customWidth="1"/>
    <col min="12082" max="12082" width="10.42578125" style="4" customWidth="1"/>
    <col min="12083" max="12083" width="11.42578125" style="4" customWidth="1"/>
    <col min="12084" max="12084" width="25" style="4" customWidth="1"/>
    <col min="12085" max="12085" width="6" style="4" customWidth="1"/>
    <col min="12086" max="12289" width="8.85546875" style="4"/>
    <col min="12290" max="12290" width="3.5703125" style="4" customWidth="1"/>
    <col min="12291" max="12291" width="2.42578125" style="4" customWidth="1"/>
    <col min="12292" max="12293" width="3.5703125" style="4" customWidth="1"/>
    <col min="12294" max="12294" width="2.42578125" style="4" customWidth="1"/>
    <col min="12295" max="12296" width="3.5703125" style="4" customWidth="1"/>
    <col min="12297" max="12297" width="2.42578125" style="4" customWidth="1"/>
    <col min="12298" max="12299" width="3.5703125" style="4" customWidth="1"/>
    <col min="12300" max="12300" width="2.42578125" style="4" customWidth="1"/>
    <col min="12301" max="12302" width="3.5703125" style="4" customWidth="1"/>
    <col min="12303" max="12303" width="2.42578125" style="4" customWidth="1"/>
    <col min="12304" max="12305" width="3.5703125" style="4" customWidth="1"/>
    <col min="12306" max="12306" width="2.42578125" style="4" customWidth="1"/>
    <col min="12307" max="12308" width="3.5703125" style="4" customWidth="1"/>
    <col min="12309" max="12309" width="2.42578125" style="4" customWidth="1"/>
    <col min="12310" max="12311" width="3.5703125" style="4" customWidth="1"/>
    <col min="12312" max="12312" width="2.42578125" style="4" customWidth="1"/>
    <col min="12313" max="12314" width="3.5703125" style="4" customWidth="1"/>
    <col min="12315" max="12315" width="2.42578125" style="4" customWidth="1"/>
    <col min="12316" max="12317" width="3.5703125" style="4" customWidth="1"/>
    <col min="12318" max="12318" width="2.42578125" style="4" customWidth="1"/>
    <col min="12319" max="12319" width="3.5703125" style="4" customWidth="1"/>
    <col min="12320" max="12320" width="9.5703125" style="4" customWidth="1"/>
    <col min="12321" max="12330" width="3.5703125" style="4" customWidth="1"/>
    <col min="12331" max="12331" width="11" style="4" customWidth="1"/>
    <col min="12332" max="12334" width="8.85546875" style="4"/>
    <col min="12335" max="12335" width="21" style="4" customWidth="1"/>
    <col min="12336" max="12336" width="24.42578125" style="4" customWidth="1"/>
    <col min="12337" max="12337" width="15.42578125" style="4" customWidth="1"/>
    <col min="12338" max="12338" width="10.42578125" style="4" customWidth="1"/>
    <col min="12339" max="12339" width="11.42578125" style="4" customWidth="1"/>
    <col min="12340" max="12340" width="25" style="4" customWidth="1"/>
    <col min="12341" max="12341" width="6" style="4" customWidth="1"/>
    <col min="12342" max="12545" width="8.85546875" style="4"/>
    <col min="12546" max="12546" width="3.5703125" style="4" customWidth="1"/>
    <col min="12547" max="12547" width="2.42578125" style="4" customWidth="1"/>
    <col min="12548" max="12549" width="3.5703125" style="4" customWidth="1"/>
    <col min="12550" max="12550" width="2.42578125" style="4" customWidth="1"/>
    <col min="12551" max="12552" width="3.5703125" style="4" customWidth="1"/>
    <col min="12553" max="12553" width="2.42578125" style="4" customWidth="1"/>
    <col min="12554" max="12555" width="3.5703125" style="4" customWidth="1"/>
    <col min="12556" max="12556" width="2.42578125" style="4" customWidth="1"/>
    <col min="12557" max="12558" width="3.5703125" style="4" customWidth="1"/>
    <col min="12559" max="12559" width="2.42578125" style="4" customWidth="1"/>
    <col min="12560" max="12561" width="3.5703125" style="4" customWidth="1"/>
    <col min="12562" max="12562" width="2.42578125" style="4" customWidth="1"/>
    <col min="12563" max="12564" width="3.5703125" style="4" customWidth="1"/>
    <col min="12565" max="12565" width="2.42578125" style="4" customWidth="1"/>
    <col min="12566" max="12567" width="3.5703125" style="4" customWidth="1"/>
    <col min="12568" max="12568" width="2.42578125" style="4" customWidth="1"/>
    <col min="12569" max="12570" width="3.5703125" style="4" customWidth="1"/>
    <col min="12571" max="12571" width="2.42578125" style="4" customWidth="1"/>
    <col min="12572" max="12573" width="3.5703125" style="4" customWidth="1"/>
    <col min="12574" max="12574" width="2.42578125" style="4" customWidth="1"/>
    <col min="12575" max="12575" width="3.5703125" style="4" customWidth="1"/>
    <col min="12576" max="12576" width="9.5703125" style="4" customWidth="1"/>
    <col min="12577" max="12586" width="3.5703125" style="4" customWidth="1"/>
    <col min="12587" max="12587" width="11" style="4" customWidth="1"/>
    <col min="12588" max="12590" width="8.85546875" style="4"/>
    <col min="12591" max="12591" width="21" style="4" customWidth="1"/>
    <col min="12592" max="12592" width="24.42578125" style="4" customWidth="1"/>
    <col min="12593" max="12593" width="15.42578125" style="4" customWidth="1"/>
    <col min="12594" max="12594" width="10.42578125" style="4" customWidth="1"/>
    <col min="12595" max="12595" width="11.42578125" style="4" customWidth="1"/>
    <col min="12596" max="12596" width="25" style="4" customWidth="1"/>
    <col min="12597" max="12597" width="6" style="4" customWidth="1"/>
    <col min="12598" max="12801" width="8.85546875" style="4"/>
    <col min="12802" max="12802" width="3.5703125" style="4" customWidth="1"/>
    <col min="12803" max="12803" width="2.42578125" style="4" customWidth="1"/>
    <col min="12804" max="12805" width="3.5703125" style="4" customWidth="1"/>
    <col min="12806" max="12806" width="2.42578125" style="4" customWidth="1"/>
    <col min="12807" max="12808" width="3.5703125" style="4" customWidth="1"/>
    <col min="12809" max="12809" width="2.42578125" style="4" customWidth="1"/>
    <col min="12810" max="12811" width="3.5703125" style="4" customWidth="1"/>
    <col min="12812" max="12812" width="2.42578125" style="4" customWidth="1"/>
    <col min="12813" max="12814" width="3.5703125" style="4" customWidth="1"/>
    <col min="12815" max="12815" width="2.42578125" style="4" customWidth="1"/>
    <col min="12816" max="12817" width="3.5703125" style="4" customWidth="1"/>
    <col min="12818" max="12818" width="2.42578125" style="4" customWidth="1"/>
    <col min="12819" max="12820" width="3.5703125" style="4" customWidth="1"/>
    <col min="12821" max="12821" width="2.42578125" style="4" customWidth="1"/>
    <col min="12822" max="12823" width="3.5703125" style="4" customWidth="1"/>
    <col min="12824" max="12824" width="2.42578125" style="4" customWidth="1"/>
    <col min="12825" max="12826" width="3.5703125" style="4" customWidth="1"/>
    <col min="12827" max="12827" width="2.42578125" style="4" customWidth="1"/>
    <col min="12828" max="12829" width="3.5703125" style="4" customWidth="1"/>
    <col min="12830" max="12830" width="2.42578125" style="4" customWidth="1"/>
    <col min="12831" max="12831" width="3.5703125" style="4" customWidth="1"/>
    <col min="12832" max="12832" width="9.5703125" style="4" customWidth="1"/>
    <col min="12833" max="12842" width="3.5703125" style="4" customWidth="1"/>
    <col min="12843" max="12843" width="11" style="4" customWidth="1"/>
    <col min="12844" max="12846" width="8.85546875" style="4"/>
    <col min="12847" max="12847" width="21" style="4" customWidth="1"/>
    <col min="12848" max="12848" width="24.42578125" style="4" customWidth="1"/>
    <col min="12849" max="12849" width="15.42578125" style="4" customWidth="1"/>
    <col min="12850" max="12850" width="10.42578125" style="4" customWidth="1"/>
    <col min="12851" max="12851" width="11.42578125" style="4" customWidth="1"/>
    <col min="12852" max="12852" width="25" style="4" customWidth="1"/>
    <col min="12853" max="12853" width="6" style="4" customWidth="1"/>
    <col min="12854" max="13057" width="8.85546875" style="4"/>
    <col min="13058" max="13058" width="3.5703125" style="4" customWidth="1"/>
    <col min="13059" max="13059" width="2.42578125" style="4" customWidth="1"/>
    <col min="13060" max="13061" width="3.5703125" style="4" customWidth="1"/>
    <col min="13062" max="13062" width="2.42578125" style="4" customWidth="1"/>
    <col min="13063" max="13064" width="3.5703125" style="4" customWidth="1"/>
    <col min="13065" max="13065" width="2.42578125" style="4" customWidth="1"/>
    <col min="13066" max="13067" width="3.5703125" style="4" customWidth="1"/>
    <col min="13068" max="13068" width="2.42578125" style="4" customWidth="1"/>
    <col min="13069" max="13070" width="3.5703125" style="4" customWidth="1"/>
    <col min="13071" max="13071" width="2.42578125" style="4" customWidth="1"/>
    <col min="13072" max="13073" width="3.5703125" style="4" customWidth="1"/>
    <col min="13074" max="13074" width="2.42578125" style="4" customWidth="1"/>
    <col min="13075" max="13076" width="3.5703125" style="4" customWidth="1"/>
    <col min="13077" max="13077" width="2.42578125" style="4" customWidth="1"/>
    <col min="13078" max="13079" width="3.5703125" style="4" customWidth="1"/>
    <col min="13080" max="13080" width="2.42578125" style="4" customWidth="1"/>
    <col min="13081" max="13082" width="3.5703125" style="4" customWidth="1"/>
    <col min="13083" max="13083" width="2.42578125" style="4" customWidth="1"/>
    <col min="13084" max="13085" width="3.5703125" style="4" customWidth="1"/>
    <col min="13086" max="13086" width="2.42578125" style="4" customWidth="1"/>
    <col min="13087" max="13087" width="3.5703125" style="4" customWidth="1"/>
    <col min="13088" max="13088" width="9.5703125" style="4" customWidth="1"/>
    <col min="13089" max="13098" width="3.5703125" style="4" customWidth="1"/>
    <col min="13099" max="13099" width="11" style="4" customWidth="1"/>
    <col min="13100" max="13102" width="8.85546875" style="4"/>
    <col min="13103" max="13103" width="21" style="4" customWidth="1"/>
    <col min="13104" max="13104" width="24.42578125" style="4" customWidth="1"/>
    <col min="13105" max="13105" width="15.42578125" style="4" customWidth="1"/>
    <col min="13106" max="13106" width="10.42578125" style="4" customWidth="1"/>
    <col min="13107" max="13107" width="11.42578125" style="4" customWidth="1"/>
    <col min="13108" max="13108" width="25" style="4" customWidth="1"/>
    <col min="13109" max="13109" width="6" style="4" customWidth="1"/>
    <col min="13110" max="13313" width="8.85546875" style="4"/>
    <col min="13314" max="13314" width="3.5703125" style="4" customWidth="1"/>
    <col min="13315" max="13315" width="2.42578125" style="4" customWidth="1"/>
    <col min="13316" max="13317" width="3.5703125" style="4" customWidth="1"/>
    <col min="13318" max="13318" width="2.42578125" style="4" customWidth="1"/>
    <col min="13319" max="13320" width="3.5703125" style="4" customWidth="1"/>
    <col min="13321" max="13321" width="2.42578125" style="4" customWidth="1"/>
    <col min="13322" max="13323" width="3.5703125" style="4" customWidth="1"/>
    <col min="13324" max="13324" width="2.42578125" style="4" customWidth="1"/>
    <col min="13325" max="13326" width="3.5703125" style="4" customWidth="1"/>
    <col min="13327" max="13327" width="2.42578125" style="4" customWidth="1"/>
    <col min="13328" max="13329" width="3.5703125" style="4" customWidth="1"/>
    <col min="13330" max="13330" width="2.42578125" style="4" customWidth="1"/>
    <col min="13331" max="13332" width="3.5703125" style="4" customWidth="1"/>
    <col min="13333" max="13333" width="2.42578125" style="4" customWidth="1"/>
    <col min="13334" max="13335" width="3.5703125" style="4" customWidth="1"/>
    <col min="13336" max="13336" width="2.42578125" style="4" customWidth="1"/>
    <col min="13337" max="13338" width="3.5703125" style="4" customWidth="1"/>
    <col min="13339" max="13339" width="2.42578125" style="4" customWidth="1"/>
    <col min="13340" max="13341" width="3.5703125" style="4" customWidth="1"/>
    <col min="13342" max="13342" width="2.42578125" style="4" customWidth="1"/>
    <col min="13343" max="13343" width="3.5703125" style="4" customWidth="1"/>
    <col min="13344" max="13344" width="9.5703125" style="4" customWidth="1"/>
    <col min="13345" max="13354" width="3.5703125" style="4" customWidth="1"/>
    <col min="13355" max="13355" width="11" style="4" customWidth="1"/>
    <col min="13356" max="13358" width="8.85546875" style="4"/>
    <col min="13359" max="13359" width="21" style="4" customWidth="1"/>
    <col min="13360" max="13360" width="24.42578125" style="4" customWidth="1"/>
    <col min="13361" max="13361" width="15.42578125" style="4" customWidth="1"/>
    <col min="13362" max="13362" width="10.42578125" style="4" customWidth="1"/>
    <col min="13363" max="13363" width="11.42578125" style="4" customWidth="1"/>
    <col min="13364" max="13364" width="25" style="4" customWidth="1"/>
    <col min="13365" max="13365" width="6" style="4" customWidth="1"/>
    <col min="13366" max="13569" width="8.85546875" style="4"/>
    <col min="13570" max="13570" width="3.5703125" style="4" customWidth="1"/>
    <col min="13571" max="13571" width="2.42578125" style="4" customWidth="1"/>
    <col min="13572" max="13573" width="3.5703125" style="4" customWidth="1"/>
    <col min="13574" max="13574" width="2.42578125" style="4" customWidth="1"/>
    <col min="13575" max="13576" width="3.5703125" style="4" customWidth="1"/>
    <col min="13577" max="13577" width="2.42578125" style="4" customWidth="1"/>
    <col min="13578" max="13579" width="3.5703125" style="4" customWidth="1"/>
    <col min="13580" max="13580" width="2.42578125" style="4" customWidth="1"/>
    <col min="13581" max="13582" width="3.5703125" style="4" customWidth="1"/>
    <col min="13583" max="13583" width="2.42578125" style="4" customWidth="1"/>
    <col min="13584" max="13585" width="3.5703125" style="4" customWidth="1"/>
    <col min="13586" max="13586" width="2.42578125" style="4" customWidth="1"/>
    <col min="13587" max="13588" width="3.5703125" style="4" customWidth="1"/>
    <col min="13589" max="13589" width="2.42578125" style="4" customWidth="1"/>
    <col min="13590" max="13591" width="3.5703125" style="4" customWidth="1"/>
    <col min="13592" max="13592" width="2.42578125" style="4" customWidth="1"/>
    <col min="13593" max="13594" width="3.5703125" style="4" customWidth="1"/>
    <col min="13595" max="13595" width="2.42578125" style="4" customWidth="1"/>
    <col min="13596" max="13597" width="3.5703125" style="4" customWidth="1"/>
    <col min="13598" max="13598" width="2.42578125" style="4" customWidth="1"/>
    <col min="13599" max="13599" width="3.5703125" style="4" customWidth="1"/>
    <col min="13600" max="13600" width="9.5703125" style="4" customWidth="1"/>
    <col min="13601" max="13610" width="3.5703125" style="4" customWidth="1"/>
    <col min="13611" max="13611" width="11" style="4" customWidth="1"/>
    <col min="13612" max="13614" width="8.85546875" style="4"/>
    <col min="13615" max="13615" width="21" style="4" customWidth="1"/>
    <col min="13616" max="13616" width="24.42578125" style="4" customWidth="1"/>
    <col min="13617" max="13617" width="15.42578125" style="4" customWidth="1"/>
    <col min="13618" max="13618" width="10.42578125" style="4" customWidth="1"/>
    <col min="13619" max="13619" width="11.42578125" style="4" customWidth="1"/>
    <col min="13620" max="13620" width="25" style="4" customWidth="1"/>
    <col min="13621" max="13621" width="6" style="4" customWidth="1"/>
    <col min="13622" max="13825" width="8.85546875" style="4"/>
    <col min="13826" max="13826" width="3.5703125" style="4" customWidth="1"/>
    <col min="13827" max="13827" width="2.42578125" style="4" customWidth="1"/>
    <col min="13828" max="13829" width="3.5703125" style="4" customWidth="1"/>
    <col min="13830" max="13830" width="2.42578125" style="4" customWidth="1"/>
    <col min="13831" max="13832" width="3.5703125" style="4" customWidth="1"/>
    <col min="13833" max="13833" width="2.42578125" style="4" customWidth="1"/>
    <col min="13834" max="13835" width="3.5703125" style="4" customWidth="1"/>
    <col min="13836" max="13836" width="2.42578125" style="4" customWidth="1"/>
    <col min="13837" max="13838" width="3.5703125" style="4" customWidth="1"/>
    <col min="13839" max="13839" width="2.42578125" style="4" customWidth="1"/>
    <col min="13840" max="13841" width="3.5703125" style="4" customWidth="1"/>
    <col min="13842" max="13842" width="2.42578125" style="4" customWidth="1"/>
    <col min="13843" max="13844" width="3.5703125" style="4" customWidth="1"/>
    <col min="13845" max="13845" width="2.42578125" style="4" customWidth="1"/>
    <col min="13846" max="13847" width="3.5703125" style="4" customWidth="1"/>
    <col min="13848" max="13848" width="2.42578125" style="4" customWidth="1"/>
    <col min="13849" max="13850" width="3.5703125" style="4" customWidth="1"/>
    <col min="13851" max="13851" width="2.42578125" style="4" customWidth="1"/>
    <col min="13852" max="13853" width="3.5703125" style="4" customWidth="1"/>
    <col min="13854" max="13854" width="2.42578125" style="4" customWidth="1"/>
    <col min="13855" max="13855" width="3.5703125" style="4" customWidth="1"/>
    <col min="13856" max="13856" width="9.5703125" style="4" customWidth="1"/>
    <col min="13857" max="13866" width="3.5703125" style="4" customWidth="1"/>
    <col min="13867" max="13867" width="11" style="4" customWidth="1"/>
    <col min="13868" max="13870" width="8.85546875" style="4"/>
    <col min="13871" max="13871" width="21" style="4" customWidth="1"/>
    <col min="13872" max="13872" width="24.42578125" style="4" customWidth="1"/>
    <col min="13873" max="13873" width="15.42578125" style="4" customWidth="1"/>
    <col min="13874" max="13874" width="10.42578125" style="4" customWidth="1"/>
    <col min="13875" max="13875" width="11.42578125" style="4" customWidth="1"/>
    <col min="13876" max="13876" width="25" style="4" customWidth="1"/>
    <col min="13877" max="13877" width="6" style="4" customWidth="1"/>
    <col min="13878" max="14081" width="8.85546875" style="4"/>
    <col min="14082" max="14082" width="3.5703125" style="4" customWidth="1"/>
    <col min="14083" max="14083" width="2.42578125" style="4" customWidth="1"/>
    <col min="14084" max="14085" width="3.5703125" style="4" customWidth="1"/>
    <col min="14086" max="14086" width="2.42578125" style="4" customWidth="1"/>
    <col min="14087" max="14088" width="3.5703125" style="4" customWidth="1"/>
    <col min="14089" max="14089" width="2.42578125" style="4" customWidth="1"/>
    <col min="14090" max="14091" width="3.5703125" style="4" customWidth="1"/>
    <col min="14092" max="14092" width="2.42578125" style="4" customWidth="1"/>
    <col min="14093" max="14094" width="3.5703125" style="4" customWidth="1"/>
    <col min="14095" max="14095" width="2.42578125" style="4" customWidth="1"/>
    <col min="14096" max="14097" width="3.5703125" style="4" customWidth="1"/>
    <col min="14098" max="14098" width="2.42578125" style="4" customWidth="1"/>
    <col min="14099" max="14100" width="3.5703125" style="4" customWidth="1"/>
    <col min="14101" max="14101" width="2.42578125" style="4" customWidth="1"/>
    <col min="14102" max="14103" width="3.5703125" style="4" customWidth="1"/>
    <col min="14104" max="14104" width="2.42578125" style="4" customWidth="1"/>
    <col min="14105" max="14106" width="3.5703125" style="4" customWidth="1"/>
    <col min="14107" max="14107" width="2.42578125" style="4" customWidth="1"/>
    <col min="14108" max="14109" width="3.5703125" style="4" customWidth="1"/>
    <col min="14110" max="14110" width="2.42578125" style="4" customWidth="1"/>
    <col min="14111" max="14111" width="3.5703125" style="4" customWidth="1"/>
    <col min="14112" max="14112" width="9.5703125" style="4" customWidth="1"/>
    <col min="14113" max="14122" width="3.5703125" style="4" customWidth="1"/>
    <col min="14123" max="14123" width="11" style="4" customWidth="1"/>
    <col min="14124" max="14126" width="8.85546875" style="4"/>
    <col min="14127" max="14127" width="21" style="4" customWidth="1"/>
    <col min="14128" max="14128" width="24.42578125" style="4" customWidth="1"/>
    <col min="14129" max="14129" width="15.42578125" style="4" customWidth="1"/>
    <col min="14130" max="14130" width="10.42578125" style="4" customWidth="1"/>
    <col min="14131" max="14131" width="11.42578125" style="4" customWidth="1"/>
    <col min="14132" max="14132" width="25" style="4" customWidth="1"/>
    <col min="14133" max="14133" width="6" style="4" customWidth="1"/>
    <col min="14134" max="14337" width="8.85546875" style="4"/>
    <col min="14338" max="14338" width="3.5703125" style="4" customWidth="1"/>
    <col min="14339" max="14339" width="2.42578125" style="4" customWidth="1"/>
    <col min="14340" max="14341" width="3.5703125" style="4" customWidth="1"/>
    <col min="14342" max="14342" width="2.42578125" style="4" customWidth="1"/>
    <col min="14343" max="14344" width="3.5703125" style="4" customWidth="1"/>
    <col min="14345" max="14345" width="2.42578125" style="4" customWidth="1"/>
    <col min="14346" max="14347" width="3.5703125" style="4" customWidth="1"/>
    <col min="14348" max="14348" width="2.42578125" style="4" customWidth="1"/>
    <col min="14349" max="14350" width="3.5703125" style="4" customWidth="1"/>
    <col min="14351" max="14351" width="2.42578125" style="4" customWidth="1"/>
    <col min="14352" max="14353" width="3.5703125" style="4" customWidth="1"/>
    <col min="14354" max="14354" width="2.42578125" style="4" customWidth="1"/>
    <col min="14355" max="14356" width="3.5703125" style="4" customWidth="1"/>
    <col min="14357" max="14357" width="2.42578125" style="4" customWidth="1"/>
    <col min="14358" max="14359" width="3.5703125" style="4" customWidth="1"/>
    <col min="14360" max="14360" width="2.42578125" style="4" customWidth="1"/>
    <col min="14361" max="14362" width="3.5703125" style="4" customWidth="1"/>
    <col min="14363" max="14363" width="2.42578125" style="4" customWidth="1"/>
    <col min="14364" max="14365" width="3.5703125" style="4" customWidth="1"/>
    <col min="14366" max="14366" width="2.42578125" style="4" customWidth="1"/>
    <col min="14367" max="14367" width="3.5703125" style="4" customWidth="1"/>
    <col min="14368" max="14368" width="9.5703125" style="4" customWidth="1"/>
    <col min="14369" max="14378" width="3.5703125" style="4" customWidth="1"/>
    <col min="14379" max="14379" width="11" style="4" customWidth="1"/>
    <col min="14380" max="14382" width="8.85546875" style="4"/>
    <col min="14383" max="14383" width="21" style="4" customWidth="1"/>
    <col min="14384" max="14384" width="24.42578125" style="4" customWidth="1"/>
    <col min="14385" max="14385" width="15.42578125" style="4" customWidth="1"/>
    <col min="14386" max="14386" width="10.42578125" style="4" customWidth="1"/>
    <col min="14387" max="14387" width="11.42578125" style="4" customWidth="1"/>
    <col min="14388" max="14388" width="25" style="4" customWidth="1"/>
    <col min="14389" max="14389" width="6" style="4" customWidth="1"/>
    <col min="14390" max="14593" width="8.85546875" style="4"/>
    <col min="14594" max="14594" width="3.5703125" style="4" customWidth="1"/>
    <col min="14595" max="14595" width="2.42578125" style="4" customWidth="1"/>
    <col min="14596" max="14597" width="3.5703125" style="4" customWidth="1"/>
    <col min="14598" max="14598" width="2.42578125" style="4" customWidth="1"/>
    <col min="14599" max="14600" width="3.5703125" style="4" customWidth="1"/>
    <col min="14601" max="14601" width="2.42578125" style="4" customWidth="1"/>
    <col min="14602" max="14603" width="3.5703125" style="4" customWidth="1"/>
    <col min="14604" max="14604" width="2.42578125" style="4" customWidth="1"/>
    <col min="14605" max="14606" width="3.5703125" style="4" customWidth="1"/>
    <col min="14607" max="14607" width="2.42578125" style="4" customWidth="1"/>
    <col min="14608" max="14609" width="3.5703125" style="4" customWidth="1"/>
    <col min="14610" max="14610" width="2.42578125" style="4" customWidth="1"/>
    <col min="14611" max="14612" width="3.5703125" style="4" customWidth="1"/>
    <col min="14613" max="14613" width="2.42578125" style="4" customWidth="1"/>
    <col min="14614" max="14615" width="3.5703125" style="4" customWidth="1"/>
    <col min="14616" max="14616" width="2.42578125" style="4" customWidth="1"/>
    <col min="14617" max="14618" width="3.5703125" style="4" customWidth="1"/>
    <col min="14619" max="14619" width="2.42578125" style="4" customWidth="1"/>
    <col min="14620" max="14621" width="3.5703125" style="4" customWidth="1"/>
    <col min="14622" max="14622" width="2.42578125" style="4" customWidth="1"/>
    <col min="14623" max="14623" width="3.5703125" style="4" customWidth="1"/>
    <col min="14624" max="14624" width="9.5703125" style="4" customWidth="1"/>
    <col min="14625" max="14634" width="3.5703125" style="4" customWidth="1"/>
    <col min="14635" max="14635" width="11" style="4" customWidth="1"/>
    <col min="14636" max="14638" width="8.85546875" style="4"/>
    <col min="14639" max="14639" width="21" style="4" customWidth="1"/>
    <col min="14640" max="14640" width="24.42578125" style="4" customWidth="1"/>
    <col min="14641" max="14641" width="15.42578125" style="4" customWidth="1"/>
    <col min="14642" max="14642" width="10.42578125" style="4" customWidth="1"/>
    <col min="14643" max="14643" width="11.42578125" style="4" customWidth="1"/>
    <col min="14644" max="14644" width="25" style="4" customWidth="1"/>
    <col min="14645" max="14645" width="6" style="4" customWidth="1"/>
    <col min="14646" max="14849" width="8.85546875" style="4"/>
    <col min="14850" max="14850" width="3.5703125" style="4" customWidth="1"/>
    <col min="14851" max="14851" width="2.42578125" style="4" customWidth="1"/>
    <col min="14852" max="14853" width="3.5703125" style="4" customWidth="1"/>
    <col min="14854" max="14854" width="2.42578125" style="4" customWidth="1"/>
    <col min="14855" max="14856" width="3.5703125" style="4" customWidth="1"/>
    <col min="14857" max="14857" width="2.42578125" style="4" customWidth="1"/>
    <col min="14858" max="14859" width="3.5703125" style="4" customWidth="1"/>
    <col min="14860" max="14860" width="2.42578125" style="4" customWidth="1"/>
    <col min="14861" max="14862" width="3.5703125" style="4" customWidth="1"/>
    <col min="14863" max="14863" width="2.42578125" style="4" customWidth="1"/>
    <col min="14864" max="14865" width="3.5703125" style="4" customWidth="1"/>
    <col min="14866" max="14866" width="2.42578125" style="4" customWidth="1"/>
    <col min="14867" max="14868" width="3.5703125" style="4" customWidth="1"/>
    <col min="14869" max="14869" width="2.42578125" style="4" customWidth="1"/>
    <col min="14870" max="14871" width="3.5703125" style="4" customWidth="1"/>
    <col min="14872" max="14872" width="2.42578125" style="4" customWidth="1"/>
    <col min="14873" max="14874" width="3.5703125" style="4" customWidth="1"/>
    <col min="14875" max="14875" width="2.42578125" style="4" customWidth="1"/>
    <col min="14876" max="14877" width="3.5703125" style="4" customWidth="1"/>
    <col min="14878" max="14878" width="2.42578125" style="4" customWidth="1"/>
    <col min="14879" max="14879" width="3.5703125" style="4" customWidth="1"/>
    <col min="14880" max="14880" width="9.5703125" style="4" customWidth="1"/>
    <col min="14881" max="14890" width="3.5703125" style="4" customWidth="1"/>
    <col min="14891" max="14891" width="11" style="4" customWidth="1"/>
    <col min="14892" max="14894" width="8.85546875" style="4"/>
    <col min="14895" max="14895" width="21" style="4" customWidth="1"/>
    <col min="14896" max="14896" width="24.42578125" style="4" customWidth="1"/>
    <col min="14897" max="14897" width="15.42578125" style="4" customWidth="1"/>
    <col min="14898" max="14898" width="10.42578125" style="4" customWidth="1"/>
    <col min="14899" max="14899" width="11.42578125" style="4" customWidth="1"/>
    <col min="14900" max="14900" width="25" style="4" customWidth="1"/>
    <col min="14901" max="14901" width="6" style="4" customWidth="1"/>
    <col min="14902" max="15105" width="8.85546875" style="4"/>
    <col min="15106" max="15106" width="3.5703125" style="4" customWidth="1"/>
    <col min="15107" max="15107" width="2.42578125" style="4" customWidth="1"/>
    <col min="15108" max="15109" width="3.5703125" style="4" customWidth="1"/>
    <col min="15110" max="15110" width="2.42578125" style="4" customWidth="1"/>
    <col min="15111" max="15112" width="3.5703125" style="4" customWidth="1"/>
    <col min="15113" max="15113" width="2.42578125" style="4" customWidth="1"/>
    <col min="15114" max="15115" width="3.5703125" style="4" customWidth="1"/>
    <col min="15116" max="15116" width="2.42578125" style="4" customWidth="1"/>
    <col min="15117" max="15118" width="3.5703125" style="4" customWidth="1"/>
    <col min="15119" max="15119" width="2.42578125" style="4" customWidth="1"/>
    <col min="15120" max="15121" width="3.5703125" style="4" customWidth="1"/>
    <col min="15122" max="15122" width="2.42578125" style="4" customWidth="1"/>
    <col min="15123" max="15124" width="3.5703125" style="4" customWidth="1"/>
    <col min="15125" max="15125" width="2.42578125" style="4" customWidth="1"/>
    <col min="15126" max="15127" width="3.5703125" style="4" customWidth="1"/>
    <col min="15128" max="15128" width="2.42578125" style="4" customWidth="1"/>
    <col min="15129" max="15130" width="3.5703125" style="4" customWidth="1"/>
    <col min="15131" max="15131" width="2.42578125" style="4" customWidth="1"/>
    <col min="15132" max="15133" width="3.5703125" style="4" customWidth="1"/>
    <col min="15134" max="15134" width="2.42578125" style="4" customWidth="1"/>
    <col min="15135" max="15135" width="3.5703125" style="4" customWidth="1"/>
    <col min="15136" max="15136" width="9.5703125" style="4" customWidth="1"/>
    <col min="15137" max="15146" width="3.5703125" style="4" customWidth="1"/>
    <col min="15147" max="15147" width="11" style="4" customWidth="1"/>
    <col min="15148" max="15150" width="8.85546875" style="4"/>
    <col min="15151" max="15151" width="21" style="4" customWidth="1"/>
    <col min="15152" max="15152" width="24.42578125" style="4" customWidth="1"/>
    <col min="15153" max="15153" width="15.42578125" style="4" customWidth="1"/>
    <col min="15154" max="15154" width="10.42578125" style="4" customWidth="1"/>
    <col min="15155" max="15155" width="11.42578125" style="4" customWidth="1"/>
    <col min="15156" max="15156" width="25" style="4" customWidth="1"/>
    <col min="15157" max="15157" width="6" style="4" customWidth="1"/>
    <col min="15158" max="15361" width="8.85546875" style="4"/>
    <col min="15362" max="15362" width="3.5703125" style="4" customWidth="1"/>
    <col min="15363" max="15363" width="2.42578125" style="4" customWidth="1"/>
    <col min="15364" max="15365" width="3.5703125" style="4" customWidth="1"/>
    <col min="15366" max="15366" width="2.42578125" style="4" customWidth="1"/>
    <col min="15367" max="15368" width="3.5703125" style="4" customWidth="1"/>
    <col min="15369" max="15369" width="2.42578125" style="4" customWidth="1"/>
    <col min="15370" max="15371" width="3.5703125" style="4" customWidth="1"/>
    <col min="15372" max="15372" width="2.42578125" style="4" customWidth="1"/>
    <col min="15373" max="15374" width="3.5703125" style="4" customWidth="1"/>
    <col min="15375" max="15375" width="2.42578125" style="4" customWidth="1"/>
    <col min="15376" max="15377" width="3.5703125" style="4" customWidth="1"/>
    <col min="15378" max="15378" width="2.42578125" style="4" customWidth="1"/>
    <col min="15379" max="15380" width="3.5703125" style="4" customWidth="1"/>
    <col min="15381" max="15381" width="2.42578125" style="4" customWidth="1"/>
    <col min="15382" max="15383" width="3.5703125" style="4" customWidth="1"/>
    <col min="15384" max="15384" width="2.42578125" style="4" customWidth="1"/>
    <col min="15385" max="15386" width="3.5703125" style="4" customWidth="1"/>
    <col min="15387" max="15387" width="2.42578125" style="4" customWidth="1"/>
    <col min="15388" max="15389" width="3.5703125" style="4" customWidth="1"/>
    <col min="15390" max="15390" width="2.42578125" style="4" customWidth="1"/>
    <col min="15391" max="15391" width="3.5703125" style="4" customWidth="1"/>
    <col min="15392" max="15392" width="9.5703125" style="4" customWidth="1"/>
    <col min="15393" max="15402" width="3.5703125" style="4" customWidth="1"/>
    <col min="15403" max="15403" width="11" style="4" customWidth="1"/>
    <col min="15404" max="15406" width="8.85546875" style="4"/>
    <col min="15407" max="15407" width="21" style="4" customWidth="1"/>
    <col min="15408" max="15408" width="24.42578125" style="4" customWidth="1"/>
    <col min="15409" max="15409" width="15.42578125" style="4" customWidth="1"/>
    <col min="15410" max="15410" width="10.42578125" style="4" customWidth="1"/>
    <col min="15411" max="15411" width="11.42578125" style="4" customWidth="1"/>
    <col min="15412" max="15412" width="25" style="4" customWidth="1"/>
    <col min="15413" max="15413" width="6" style="4" customWidth="1"/>
    <col min="15414" max="15617" width="8.85546875" style="4"/>
    <col min="15618" max="15618" width="3.5703125" style="4" customWidth="1"/>
    <col min="15619" max="15619" width="2.42578125" style="4" customWidth="1"/>
    <col min="15620" max="15621" width="3.5703125" style="4" customWidth="1"/>
    <col min="15622" max="15622" width="2.42578125" style="4" customWidth="1"/>
    <col min="15623" max="15624" width="3.5703125" style="4" customWidth="1"/>
    <col min="15625" max="15625" width="2.42578125" style="4" customWidth="1"/>
    <col min="15626" max="15627" width="3.5703125" style="4" customWidth="1"/>
    <col min="15628" max="15628" width="2.42578125" style="4" customWidth="1"/>
    <col min="15629" max="15630" width="3.5703125" style="4" customWidth="1"/>
    <col min="15631" max="15631" width="2.42578125" style="4" customWidth="1"/>
    <col min="15632" max="15633" width="3.5703125" style="4" customWidth="1"/>
    <col min="15634" max="15634" width="2.42578125" style="4" customWidth="1"/>
    <col min="15635" max="15636" width="3.5703125" style="4" customWidth="1"/>
    <col min="15637" max="15637" width="2.42578125" style="4" customWidth="1"/>
    <col min="15638" max="15639" width="3.5703125" style="4" customWidth="1"/>
    <col min="15640" max="15640" width="2.42578125" style="4" customWidth="1"/>
    <col min="15641" max="15642" width="3.5703125" style="4" customWidth="1"/>
    <col min="15643" max="15643" width="2.42578125" style="4" customWidth="1"/>
    <col min="15644" max="15645" width="3.5703125" style="4" customWidth="1"/>
    <col min="15646" max="15646" width="2.42578125" style="4" customWidth="1"/>
    <col min="15647" max="15647" width="3.5703125" style="4" customWidth="1"/>
    <col min="15648" max="15648" width="9.5703125" style="4" customWidth="1"/>
    <col min="15649" max="15658" width="3.5703125" style="4" customWidth="1"/>
    <col min="15659" max="15659" width="11" style="4" customWidth="1"/>
    <col min="15660" max="15662" width="8.85546875" style="4"/>
    <col min="15663" max="15663" width="21" style="4" customWidth="1"/>
    <col min="15664" max="15664" width="24.42578125" style="4" customWidth="1"/>
    <col min="15665" max="15665" width="15.42578125" style="4" customWidth="1"/>
    <col min="15666" max="15666" width="10.42578125" style="4" customWidth="1"/>
    <col min="15667" max="15667" width="11.42578125" style="4" customWidth="1"/>
    <col min="15668" max="15668" width="25" style="4" customWidth="1"/>
    <col min="15669" max="15669" width="6" style="4" customWidth="1"/>
    <col min="15670" max="15873" width="8.85546875" style="4"/>
    <col min="15874" max="15874" width="3.5703125" style="4" customWidth="1"/>
    <col min="15875" max="15875" width="2.42578125" style="4" customWidth="1"/>
    <col min="15876" max="15877" width="3.5703125" style="4" customWidth="1"/>
    <col min="15878" max="15878" width="2.42578125" style="4" customWidth="1"/>
    <col min="15879" max="15880" width="3.5703125" style="4" customWidth="1"/>
    <col min="15881" max="15881" width="2.42578125" style="4" customWidth="1"/>
    <col min="15882" max="15883" width="3.5703125" style="4" customWidth="1"/>
    <col min="15884" max="15884" width="2.42578125" style="4" customWidth="1"/>
    <col min="15885" max="15886" width="3.5703125" style="4" customWidth="1"/>
    <col min="15887" max="15887" width="2.42578125" style="4" customWidth="1"/>
    <col min="15888" max="15889" width="3.5703125" style="4" customWidth="1"/>
    <col min="15890" max="15890" width="2.42578125" style="4" customWidth="1"/>
    <col min="15891" max="15892" width="3.5703125" style="4" customWidth="1"/>
    <col min="15893" max="15893" width="2.42578125" style="4" customWidth="1"/>
    <col min="15894" max="15895" width="3.5703125" style="4" customWidth="1"/>
    <col min="15896" max="15896" width="2.42578125" style="4" customWidth="1"/>
    <col min="15897" max="15898" width="3.5703125" style="4" customWidth="1"/>
    <col min="15899" max="15899" width="2.42578125" style="4" customWidth="1"/>
    <col min="15900" max="15901" width="3.5703125" style="4" customWidth="1"/>
    <col min="15902" max="15902" width="2.42578125" style="4" customWidth="1"/>
    <col min="15903" max="15903" width="3.5703125" style="4" customWidth="1"/>
    <col min="15904" max="15904" width="9.5703125" style="4" customWidth="1"/>
    <col min="15905" max="15914" width="3.5703125" style="4" customWidth="1"/>
    <col min="15915" max="15915" width="11" style="4" customWidth="1"/>
    <col min="15916" max="15918" width="8.85546875" style="4"/>
    <col min="15919" max="15919" width="21" style="4" customWidth="1"/>
    <col min="15920" max="15920" width="24.42578125" style="4" customWidth="1"/>
    <col min="15921" max="15921" width="15.42578125" style="4" customWidth="1"/>
    <col min="15922" max="15922" width="10.42578125" style="4" customWidth="1"/>
    <col min="15923" max="15923" width="11.42578125" style="4" customWidth="1"/>
    <col min="15924" max="15924" width="25" style="4" customWidth="1"/>
    <col min="15925" max="15925" width="6" style="4" customWidth="1"/>
    <col min="15926" max="16129" width="8.85546875" style="4"/>
    <col min="16130" max="16130" width="3.5703125" style="4" customWidth="1"/>
    <col min="16131" max="16131" width="2.42578125" style="4" customWidth="1"/>
    <col min="16132" max="16133" width="3.5703125" style="4" customWidth="1"/>
    <col min="16134" max="16134" width="2.42578125" style="4" customWidth="1"/>
    <col min="16135" max="16136" width="3.5703125" style="4" customWidth="1"/>
    <col min="16137" max="16137" width="2.42578125" style="4" customWidth="1"/>
    <col min="16138" max="16139" width="3.5703125" style="4" customWidth="1"/>
    <col min="16140" max="16140" width="2.42578125" style="4" customWidth="1"/>
    <col min="16141" max="16142" width="3.5703125" style="4" customWidth="1"/>
    <col min="16143" max="16143" width="2.42578125" style="4" customWidth="1"/>
    <col min="16144" max="16145" width="3.5703125" style="4" customWidth="1"/>
    <col min="16146" max="16146" width="2.42578125" style="4" customWidth="1"/>
    <col min="16147" max="16148" width="3.5703125" style="4" customWidth="1"/>
    <col min="16149" max="16149" width="2.42578125" style="4" customWidth="1"/>
    <col min="16150" max="16151" width="3.5703125" style="4" customWidth="1"/>
    <col min="16152" max="16152" width="2.42578125" style="4" customWidth="1"/>
    <col min="16153" max="16154" width="3.5703125" style="4" customWidth="1"/>
    <col min="16155" max="16155" width="2.42578125" style="4" customWidth="1"/>
    <col min="16156" max="16157" width="3.5703125" style="4" customWidth="1"/>
    <col min="16158" max="16158" width="2.42578125" style="4" customWidth="1"/>
    <col min="16159" max="16159" width="3.5703125" style="4" customWidth="1"/>
    <col min="16160" max="16160" width="9.5703125" style="4" customWidth="1"/>
    <col min="16161" max="16170" width="3.5703125" style="4" customWidth="1"/>
    <col min="16171" max="16171" width="11" style="4" customWidth="1"/>
    <col min="16172" max="16174" width="8.85546875" style="4"/>
    <col min="16175" max="16175" width="21" style="4" customWidth="1"/>
    <col min="16176" max="16176" width="24.42578125" style="4" customWidth="1"/>
    <col min="16177" max="16177" width="15.42578125" style="4" customWidth="1"/>
    <col min="16178" max="16178" width="10.42578125" style="4" customWidth="1"/>
    <col min="16179" max="16179" width="11.42578125" style="4" customWidth="1"/>
    <col min="16180" max="16180" width="25" style="4" customWidth="1"/>
    <col min="16181" max="16181" width="6" style="4" customWidth="1"/>
    <col min="16182" max="16384" width="8.85546875" style="4"/>
  </cols>
  <sheetData>
    <row r="1" spans="1:53" ht="13.5" thickBot="1" x14ac:dyDescent="0.25">
      <c r="A1" s="404" t="s">
        <v>0</v>
      </c>
      <c r="B1" s="404"/>
      <c r="C1" s="404"/>
      <c r="D1" s="404"/>
      <c r="E1" s="404"/>
      <c r="F1" s="404"/>
      <c r="G1" s="404"/>
      <c r="H1" s="404"/>
      <c r="I1" s="404"/>
      <c r="J1" s="404"/>
      <c r="K1" s="404"/>
      <c r="L1" s="404"/>
      <c r="M1" s="404"/>
      <c r="N1" s="404"/>
      <c r="O1" s="404"/>
      <c r="P1" s="404"/>
      <c r="Q1" s="404"/>
      <c r="R1" s="404"/>
      <c r="S1" s="404"/>
      <c r="T1" s="404"/>
      <c r="U1" s="404"/>
      <c r="V1" s="404"/>
      <c r="W1" s="404"/>
      <c r="X1" s="404"/>
      <c r="Y1" s="404"/>
      <c r="Z1" s="404"/>
      <c r="AA1" s="404"/>
      <c r="AB1" s="404"/>
      <c r="AC1" s="404"/>
      <c r="AD1" s="404"/>
      <c r="AE1" s="404"/>
      <c r="AF1" s="404"/>
      <c r="AG1" s="404"/>
      <c r="AH1" s="404"/>
      <c r="AI1" s="404"/>
      <c r="AJ1" s="1"/>
      <c r="AK1" s="1"/>
      <c r="AL1" s="1"/>
      <c r="AM1" s="1"/>
      <c r="AN1" s="1"/>
      <c r="AO1" s="1"/>
      <c r="AP1" s="1"/>
      <c r="AQ1" s="2" t="s">
        <v>1</v>
      </c>
      <c r="AR1" s="3"/>
      <c r="AT1" s="405" t="s">
        <v>2</v>
      </c>
      <c r="AU1" s="406"/>
      <c r="AV1" s="406"/>
      <c r="AW1" s="407"/>
      <c r="AX1" s="408" t="s">
        <v>3</v>
      </c>
      <c r="AY1" s="409"/>
      <c r="AZ1" s="6" t="s">
        <v>4</v>
      </c>
      <c r="BA1" s="7">
        <v>32</v>
      </c>
    </row>
    <row r="2" spans="1:53" ht="18.75" customHeight="1" thickBot="1" x14ac:dyDescent="0.3">
      <c r="A2" s="410" t="s">
        <v>5</v>
      </c>
      <c r="B2" s="411"/>
      <c r="C2" s="411"/>
      <c r="D2" s="411"/>
      <c r="E2" s="411"/>
      <c r="F2" s="411"/>
      <c r="G2" s="411"/>
      <c r="H2" s="411"/>
      <c r="I2" s="412"/>
      <c r="J2" s="413" t="s">
        <v>6</v>
      </c>
      <c r="K2" s="414"/>
      <c r="L2" s="414"/>
      <c r="M2" s="414"/>
      <c r="N2" s="414"/>
      <c r="O2" s="414"/>
      <c r="P2" s="414"/>
      <c r="Q2" s="414"/>
      <c r="R2" s="414"/>
      <c r="S2" s="414"/>
      <c r="T2" s="414"/>
      <c r="U2" s="414"/>
      <c r="V2" s="414"/>
      <c r="W2" s="414"/>
      <c r="X2" s="415"/>
      <c r="Y2" s="416" t="s">
        <v>7</v>
      </c>
      <c r="Z2" s="417"/>
      <c r="AA2" s="417"/>
      <c r="AB2" s="417"/>
      <c r="AC2" s="418"/>
      <c r="AD2" s="379" t="s">
        <v>8</v>
      </c>
      <c r="AE2" s="379"/>
      <c r="AF2" s="379"/>
      <c r="AG2" s="379"/>
      <c r="AH2" s="379"/>
      <c r="AI2" s="380"/>
      <c r="AJ2" s="8"/>
      <c r="AK2" s="8"/>
      <c r="AL2" s="8"/>
      <c r="AM2" s="8"/>
      <c r="AN2" s="8"/>
      <c r="AO2" s="8"/>
      <c r="AP2" s="8"/>
      <c r="AQ2" s="8"/>
      <c r="AR2" s="3"/>
      <c r="AT2" s="9" t="s">
        <v>9</v>
      </c>
      <c r="AU2" s="10" t="s">
        <v>10</v>
      </c>
      <c r="AV2" s="11" t="s">
        <v>11</v>
      </c>
      <c r="AW2" s="12" t="s">
        <v>12</v>
      </c>
      <c r="AX2" s="13" t="s">
        <v>13</v>
      </c>
      <c r="AY2" s="12" t="s">
        <v>14</v>
      </c>
      <c r="AZ2" s="6" t="s">
        <v>15</v>
      </c>
      <c r="BA2" s="7">
        <v>16</v>
      </c>
    </row>
    <row r="3" spans="1:53" ht="18.75" customHeight="1" thickBot="1" x14ac:dyDescent="0.3">
      <c r="A3" s="14" t="s">
        <v>16</v>
      </c>
      <c r="B3" s="384" t="s">
        <v>236</v>
      </c>
      <c r="C3" s="385"/>
      <c r="D3" s="385"/>
      <c r="E3" s="385"/>
      <c r="F3" s="385"/>
      <c r="G3" s="385"/>
      <c r="H3" s="385"/>
      <c r="I3" s="385"/>
      <c r="J3" s="385"/>
      <c r="K3" s="385"/>
      <c r="L3" s="385"/>
      <c r="M3" s="385"/>
      <c r="N3" s="385"/>
      <c r="O3" s="386"/>
      <c r="P3" s="387" t="s">
        <v>18</v>
      </c>
      <c r="Q3" s="388"/>
      <c r="R3" s="388"/>
      <c r="S3" s="389" t="s">
        <v>237</v>
      </c>
      <c r="T3" s="390"/>
      <c r="U3" s="390"/>
      <c r="V3" s="390"/>
      <c r="W3" s="390"/>
      <c r="X3" s="391"/>
      <c r="Y3" s="392" t="s">
        <v>19</v>
      </c>
      <c r="Z3" s="393"/>
      <c r="AA3" s="393"/>
      <c r="AB3" s="393"/>
      <c r="AC3" s="393"/>
      <c r="AD3" s="394"/>
      <c r="AE3" s="419" t="s">
        <v>20</v>
      </c>
      <c r="AF3" s="420"/>
      <c r="AG3" s="395" t="s">
        <v>21</v>
      </c>
      <c r="AH3" s="395"/>
      <c r="AI3" s="396"/>
      <c r="AJ3" s="8"/>
      <c r="AK3" s="8"/>
      <c r="AL3" s="8"/>
      <c r="AM3" s="8"/>
      <c r="AN3" s="8"/>
      <c r="AO3" s="8"/>
      <c r="AP3" s="8"/>
      <c r="AQ3" s="8"/>
      <c r="AR3" s="3"/>
      <c r="AT3" s="19">
        <v>1</v>
      </c>
      <c r="AU3" s="20" t="s">
        <v>238</v>
      </c>
      <c r="AV3" s="20" t="s">
        <v>239</v>
      </c>
      <c r="AW3" s="21">
        <f>VLOOKUP(AV3,Initial!G:K,5,FALSE)</f>
        <v>2646.8788938853718</v>
      </c>
      <c r="AX3" s="22">
        <f t="shared" ref="AX3:AX12" si="0">VLOOKUP(AU3,AT$79:AU$174,2,FALSE)</f>
        <v>2678.8837604353203</v>
      </c>
      <c r="AY3" s="23">
        <f t="shared" ref="AY3:AY12" si="1">IF(ISNA(VLOOKUP(AU3,AT$182:AU$234,2,FALSE)),AX3,VLOOKUP(AU3,AT$182:AU$234,2,FALSE))</f>
        <v>2667.1933549809742</v>
      </c>
    </row>
    <row r="4" spans="1:53" ht="24" customHeight="1" thickBot="1" x14ac:dyDescent="0.25">
      <c r="A4" s="397" t="s">
        <v>24</v>
      </c>
      <c r="B4" s="398"/>
      <c r="C4" s="398"/>
      <c r="D4" s="399"/>
      <c r="E4" s="400" t="s">
        <v>25</v>
      </c>
      <c r="F4" s="401"/>
      <c r="G4" s="401"/>
      <c r="H4" s="401"/>
      <c r="I4" s="401"/>
      <c r="J4" s="401"/>
      <c r="K4" s="401"/>
      <c r="L4" s="401"/>
      <c r="M4" s="402"/>
      <c r="N4" s="397" t="s">
        <v>26</v>
      </c>
      <c r="O4" s="398"/>
      <c r="P4" s="398"/>
      <c r="Q4" s="399"/>
      <c r="R4" s="403" t="s">
        <v>27</v>
      </c>
      <c r="S4" s="379"/>
      <c r="T4" s="379"/>
      <c r="U4" s="379"/>
      <c r="V4" s="379"/>
      <c r="W4" s="379"/>
      <c r="X4" s="379"/>
      <c r="Y4" s="379"/>
      <c r="Z4" s="379"/>
      <c r="AA4" s="380"/>
      <c r="AB4" s="397" t="s">
        <v>28</v>
      </c>
      <c r="AC4" s="398"/>
      <c r="AD4" s="398"/>
      <c r="AE4" s="399"/>
      <c r="AF4" s="378">
        <v>42775</v>
      </c>
      <c r="AG4" s="379"/>
      <c r="AH4" s="379"/>
      <c r="AI4" s="380"/>
      <c r="AJ4" s="8"/>
      <c r="AK4" s="8"/>
      <c r="AL4" s="8"/>
      <c r="AM4" s="8"/>
      <c r="AN4" s="8"/>
      <c r="AO4" s="8"/>
      <c r="AP4" s="8"/>
      <c r="AQ4" s="8"/>
      <c r="AR4" s="3"/>
      <c r="AT4" s="24">
        <v>2</v>
      </c>
      <c r="AU4" s="20" t="s">
        <v>240</v>
      </c>
      <c r="AV4" s="20" t="s">
        <v>241</v>
      </c>
      <c r="AW4" s="21">
        <f>VLOOKUP(AV4,Initial!G:K,5,FALSE)</f>
        <v>2624.0258612014063</v>
      </c>
      <c r="AX4" s="25">
        <f t="shared" si="0"/>
        <v>2635.6330001351084</v>
      </c>
      <c r="AY4" s="26">
        <f t="shared" si="1"/>
        <v>2628.6237730741791</v>
      </c>
    </row>
    <row r="5" spans="1:53" ht="15.75" thickBot="1" x14ac:dyDescent="0.25">
      <c r="A5" s="1" t="s">
        <v>31</v>
      </c>
      <c r="B5" s="381" t="s">
        <v>31</v>
      </c>
      <c r="C5" s="382"/>
      <c r="D5" s="382"/>
      <c r="E5" s="382"/>
      <c r="F5" s="382"/>
      <c r="G5" s="382"/>
      <c r="H5" s="382"/>
      <c r="I5" s="382"/>
      <c r="J5" s="382"/>
      <c r="K5" s="383" t="s">
        <v>31</v>
      </c>
      <c r="L5" s="383"/>
      <c r="M5" s="383"/>
      <c r="N5" s="383"/>
      <c r="O5" s="383"/>
      <c r="P5" s="383"/>
      <c r="Q5" s="383"/>
      <c r="R5" s="383"/>
      <c r="S5" s="383"/>
      <c r="T5" s="383"/>
      <c r="U5" s="383"/>
      <c r="V5" s="383"/>
      <c r="W5" s="383"/>
      <c r="X5" s="383"/>
      <c r="Y5" s="383"/>
      <c r="Z5" s="383"/>
      <c r="AA5" s="383"/>
      <c r="AB5" s="383"/>
      <c r="AC5" s="383"/>
      <c r="AD5" s="383"/>
      <c r="AE5" s="383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3"/>
      <c r="AT5" s="24">
        <v>3</v>
      </c>
      <c r="AU5" s="20" t="s">
        <v>242</v>
      </c>
      <c r="AV5" s="20" t="s">
        <v>243</v>
      </c>
      <c r="AW5" s="21">
        <f>VLOOKUP(AV5,Initial!G:K,5,FALSE)</f>
        <v>2622.3839182783236</v>
      </c>
      <c r="AX5" s="25">
        <f t="shared" si="0"/>
        <v>2599.1295252601681</v>
      </c>
      <c r="AY5" s="26">
        <f t="shared" si="1"/>
        <v>2590.2182334242057</v>
      </c>
    </row>
    <row r="6" spans="1:53" ht="24" customHeight="1" thickBot="1" x14ac:dyDescent="0.25">
      <c r="A6" s="27" t="s">
        <v>34</v>
      </c>
      <c r="B6" s="28" t="s">
        <v>35</v>
      </c>
      <c r="C6" s="353" t="s">
        <v>36</v>
      </c>
      <c r="D6" s="354"/>
      <c r="E6" s="354"/>
      <c r="F6" s="354"/>
      <c r="G6" s="354"/>
      <c r="H6" s="355"/>
      <c r="I6" s="356">
        <v>1</v>
      </c>
      <c r="J6" s="357"/>
      <c r="K6" s="358" t="str">
        <f>"Pool "&amp;B6&amp;" - Round 1 - Court "&amp;I6</f>
        <v>Pool A - Round 1 - Court 1</v>
      </c>
      <c r="L6" s="359"/>
      <c r="M6" s="359"/>
      <c r="N6" s="359"/>
      <c r="O6" s="359"/>
      <c r="P6" s="359"/>
      <c r="Q6" s="359"/>
      <c r="R6" s="359"/>
      <c r="S6" s="359"/>
      <c r="T6" s="359"/>
      <c r="U6" s="359"/>
      <c r="V6" s="359"/>
      <c r="W6" s="359"/>
      <c r="X6" s="359"/>
      <c r="Y6" s="359"/>
      <c r="Z6" s="359"/>
      <c r="AA6" s="359"/>
      <c r="AB6" s="359"/>
      <c r="AC6" s="359"/>
      <c r="AD6" s="359"/>
      <c r="AE6" s="359"/>
      <c r="AF6" s="359"/>
      <c r="AG6" s="359"/>
      <c r="AH6" s="359"/>
      <c r="AI6" s="360"/>
      <c r="AJ6" s="8"/>
      <c r="AK6" s="8"/>
      <c r="AL6" s="8"/>
      <c r="AM6" s="8"/>
      <c r="AN6" s="8"/>
      <c r="AO6" s="8"/>
      <c r="AP6" s="8"/>
      <c r="AQ6" s="8"/>
      <c r="AT6" s="24">
        <v>4</v>
      </c>
      <c r="AU6" s="20" t="s">
        <v>244</v>
      </c>
      <c r="AV6" s="20" t="s">
        <v>245</v>
      </c>
      <c r="AW6" s="21">
        <f>VLOOKUP(AV6,Initial!G:K,5,FALSE)</f>
        <v>2602.0670906930518</v>
      </c>
      <c r="AX6" s="25">
        <f t="shared" si="0"/>
        <v>2559.3800974918427</v>
      </c>
      <c r="AY6" s="26">
        <f t="shared" si="1"/>
        <v>2553.29021214473</v>
      </c>
    </row>
    <row r="7" spans="1:53" ht="27" customHeight="1" thickBot="1" x14ac:dyDescent="0.25">
      <c r="A7" s="29" t="s">
        <v>39</v>
      </c>
      <c r="B7" s="361" t="s">
        <v>10</v>
      </c>
      <c r="C7" s="362"/>
      <c r="D7" s="362"/>
      <c r="E7" s="362"/>
      <c r="F7" s="362"/>
      <c r="G7" s="362"/>
      <c r="H7" s="362"/>
      <c r="I7" s="362"/>
      <c r="J7" s="362"/>
      <c r="K7" s="362"/>
      <c r="L7" s="361" t="str">
        <f>IF($AK10=0,"Games Won","Matches Won")</f>
        <v>Games Won</v>
      </c>
      <c r="M7" s="362"/>
      <c r="N7" s="362"/>
      <c r="O7" s="362"/>
      <c r="P7" s="362"/>
      <c r="Q7" s="363"/>
      <c r="R7" s="361" t="str">
        <f>IF($AK10=0,"Games Lost","Matches Lost")</f>
        <v>Games Lost</v>
      </c>
      <c r="S7" s="364"/>
      <c r="T7" s="364"/>
      <c r="U7" s="364"/>
      <c r="V7" s="365"/>
      <c r="W7" s="366" t="s">
        <v>40</v>
      </c>
      <c r="X7" s="367"/>
      <c r="Y7" s="368"/>
      <c r="Z7" s="366" t="s">
        <v>41</v>
      </c>
      <c r="AA7" s="367"/>
      <c r="AB7" s="368"/>
      <c r="AC7" s="369" t="s">
        <v>42</v>
      </c>
      <c r="AD7" s="370"/>
      <c r="AE7" s="371"/>
      <c r="AF7" s="30" t="s">
        <v>43</v>
      </c>
      <c r="AG7" s="31" t="s">
        <v>9</v>
      </c>
      <c r="AH7" s="351" t="s">
        <v>44</v>
      </c>
      <c r="AI7" s="352"/>
      <c r="AJ7" s="32"/>
      <c r="AK7" s="33">
        <v>2</v>
      </c>
      <c r="AL7" s="34" t="s">
        <v>45</v>
      </c>
      <c r="AM7" s="34"/>
      <c r="AN7" s="34"/>
      <c r="AO7" s="34"/>
      <c r="AP7" s="34"/>
      <c r="AQ7" s="34"/>
      <c r="AR7" s="35"/>
      <c r="AT7" s="24">
        <v>5</v>
      </c>
      <c r="AU7" s="20" t="s">
        <v>246</v>
      </c>
      <c r="AV7" s="20" t="s">
        <v>247</v>
      </c>
      <c r="AW7" s="21">
        <f>VLOOKUP(AV7,Initial!G:K,5,FALSE)</f>
        <v>2566.2013148883184</v>
      </c>
      <c r="AX7" s="25">
        <f t="shared" si="0"/>
        <v>2489.3402214348453</v>
      </c>
      <c r="AY7" s="26">
        <f t="shared" si="1"/>
        <v>2489.3402214348453</v>
      </c>
    </row>
    <row r="8" spans="1:53" ht="18.75" customHeight="1" thickBot="1" x14ac:dyDescent="0.25">
      <c r="A8" s="320" t="str">
        <f>IF($AK9&gt;0,"1","")</f>
        <v>1</v>
      </c>
      <c r="B8" s="348" t="s">
        <v>10</v>
      </c>
      <c r="C8" s="349"/>
      <c r="D8" s="350"/>
      <c r="E8" s="324" t="str">
        <f>AU3</f>
        <v>Magnum Aiken 16 Green</v>
      </c>
      <c r="F8" s="325"/>
      <c r="G8" s="325"/>
      <c r="H8" s="325"/>
      <c r="I8" s="325"/>
      <c r="J8" s="325"/>
      <c r="K8" s="326"/>
      <c r="L8" s="327">
        <f>IF($AK10=0,AF64,AF46)</f>
        <v>6</v>
      </c>
      <c r="M8" s="328"/>
      <c r="N8" s="328"/>
      <c r="O8" s="328"/>
      <c r="P8" s="328"/>
      <c r="Q8" s="363"/>
      <c r="R8" s="327">
        <f>IF($AK10=0,AG64,AG46)</f>
        <v>2</v>
      </c>
      <c r="S8" s="328"/>
      <c r="T8" s="328"/>
      <c r="U8" s="328"/>
      <c r="V8" s="328"/>
      <c r="W8" s="327">
        <f>AQ24</f>
        <v>9</v>
      </c>
      <c r="X8" s="328"/>
      <c r="Y8" s="328"/>
      <c r="Z8" s="300">
        <f>IF(AF58&gt;0,(AQ24/AF58),0)</f>
        <v>4.4554455445544552E-2</v>
      </c>
      <c r="AA8" s="301"/>
      <c r="AB8" s="301"/>
      <c r="AC8" s="304">
        <f>IF(AF72=0,0,(AF64/AF72))</f>
        <v>0.75</v>
      </c>
      <c r="AD8" s="305"/>
      <c r="AE8" s="306"/>
      <c r="AF8" s="310">
        <v>1</v>
      </c>
      <c r="AG8" s="310">
        <v>1</v>
      </c>
      <c r="AH8" s="312"/>
      <c r="AI8" s="313"/>
      <c r="AJ8" s="32"/>
      <c r="AK8" s="33">
        <v>10</v>
      </c>
      <c r="AL8" s="34" t="s">
        <v>48</v>
      </c>
      <c r="AM8" s="34"/>
      <c r="AN8" s="34"/>
      <c r="AO8" s="34"/>
      <c r="AP8" s="34"/>
      <c r="AQ8" s="34"/>
      <c r="AR8" s="35"/>
      <c r="AT8" s="24">
        <v>6</v>
      </c>
      <c r="AU8" s="20" t="s">
        <v>248</v>
      </c>
      <c r="AV8" s="20" t="s">
        <v>249</v>
      </c>
      <c r="AW8" s="21">
        <f>VLOOKUP(AV8,Initial!G:K,5,FALSE)</f>
        <v>2557.9878915283052</v>
      </c>
      <c r="AX8" s="25">
        <f t="shared" si="0"/>
        <v>2481.3209735373598</v>
      </c>
      <c r="AY8" s="26">
        <f t="shared" si="1"/>
        <v>2481.3209735373598</v>
      </c>
    </row>
    <row r="9" spans="1:53" ht="18.75" customHeight="1" thickBot="1" x14ac:dyDescent="0.25">
      <c r="A9" s="321"/>
      <c r="B9" s="345" t="s">
        <v>11</v>
      </c>
      <c r="C9" s="346"/>
      <c r="D9" s="347"/>
      <c r="E9" s="341" t="str">
        <f>AV3</f>
        <v>fj6magnm2pm</v>
      </c>
      <c r="F9" s="342"/>
      <c r="G9" s="342"/>
      <c r="H9" s="342"/>
      <c r="I9" s="342"/>
      <c r="J9" s="342"/>
      <c r="K9" s="342"/>
      <c r="L9" s="343"/>
      <c r="M9" s="344"/>
      <c r="N9" s="344"/>
      <c r="O9" s="344"/>
      <c r="P9" s="344"/>
      <c r="Q9" s="363"/>
      <c r="R9" s="343"/>
      <c r="S9" s="344"/>
      <c r="T9" s="344"/>
      <c r="U9" s="344"/>
      <c r="V9" s="344"/>
      <c r="W9" s="343"/>
      <c r="X9" s="344"/>
      <c r="Y9" s="344"/>
      <c r="Z9" s="331"/>
      <c r="AA9" s="332"/>
      <c r="AB9" s="332"/>
      <c r="AC9" s="333"/>
      <c r="AD9" s="334"/>
      <c r="AE9" s="335"/>
      <c r="AF9" s="336"/>
      <c r="AG9" s="336"/>
      <c r="AH9" s="337"/>
      <c r="AI9" s="338"/>
      <c r="AJ9" s="32"/>
      <c r="AK9" s="33">
        <v>5</v>
      </c>
      <c r="AL9" s="34" t="s">
        <v>51</v>
      </c>
      <c r="AM9" s="32"/>
      <c r="AN9" s="32"/>
      <c r="AO9" s="32"/>
      <c r="AP9" s="32"/>
      <c r="AQ9" s="32"/>
      <c r="AR9" s="3"/>
      <c r="AT9" s="24">
        <v>7</v>
      </c>
      <c r="AU9" s="20" t="s">
        <v>250</v>
      </c>
      <c r="AV9" s="20" t="s">
        <v>251</v>
      </c>
      <c r="AW9" s="21">
        <f>VLOOKUP(AV9,Initial!G:K,5,FALSE)</f>
        <v>2554.3553976514154</v>
      </c>
      <c r="AX9" s="25">
        <f t="shared" si="0"/>
        <v>2619.3278714711464</v>
      </c>
      <c r="AY9" s="26">
        <f t="shared" si="1"/>
        <v>2645.4048474791375</v>
      </c>
    </row>
    <row r="10" spans="1:53" ht="18.75" customHeight="1" thickBot="1" x14ac:dyDescent="0.25">
      <c r="A10" s="320" t="str">
        <f>IF($AK9&gt;1,"2","")</f>
        <v>2</v>
      </c>
      <c r="B10" s="348" t="s">
        <v>10</v>
      </c>
      <c r="C10" s="349"/>
      <c r="D10" s="350"/>
      <c r="E10" s="324" t="str">
        <f>AU6</f>
        <v>Beaufort Sweet 16's</v>
      </c>
      <c r="F10" s="325"/>
      <c r="G10" s="325"/>
      <c r="H10" s="325"/>
      <c r="I10" s="325"/>
      <c r="J10" s="325"/>
      <c r="K10" s="326"/>
      <c r="L10" s="327">
        <f>IF($AK10=0,AF65,AF47)</f>
        <v>3</v>
      </c>
      <c r="M10" s="328"/>
      <c r="N10" s="328"/>
      <c r="O10" s="328"/>
      <c r="P10" s="328"/>
      <c r="Q10" s="363"/>
      <c r="R10" s="327">
        <f>IF($AK10=0,AG65,AG47)</f>
        <v>5</v>
      </c>
      <c r="S10" s="328"/>
      <c r="T10" s="328"/>
      <c r="U10" s="328"/>
      <c r="V10" s="328"/>
      <c r="W10" s="327">
        <f>AQ25</f>
        <v>-10</v>
      </c>
      <c r="X10" s="328"/>
      <c r="Y10" s="328"/>
      <c r="Z10" s="300">
        <f>IF(AF59&gt;0,(AQ25/AF59),0)</f>
        <v>-4.975124378109453E-2</v>
      </c>
      <c r="AA10" s="301"/>
      <c r="AB10" s="301"/>
      <c r="AC10" s="304">
        <f>IF(AF73=0,0,(AF65/AF73))</f>
        <v>0.375</v>
      </c>
      <c r="AD10" s="305"/>
      <c r="AE10" s="306"/>
      <c r="AF10" s="310">
        <v>4</v>
      </c>
      <c r="AG10" s="310">
        <v>1</v>
      </c>
      <c r="AH10" s="312"/>
      <c r="AI10" s="313"/>
      <c r="AJ10" s="32"/>
      <c r="AK10" s="33">
        <v>0</v>
      </c>
      <c r="AL10" s="34" t="s">
        <v>54</v>
      </c>
      <c r="AM10" s="34"/>
      <c r="AN10" s="34"/>
      <c r="AO10" s="34"/>
      <c r="AP10" s="34"/>
      <c r="AQ10" s="34"/>
      <c r="AR10" s="35"/>
      <c r="AT10" s="24">
        <v>8</v>
      </c>
      <c r="AU10" s="20" t="s">
        <v>252</v>
      </c>
      <c r="AV10" s="20" t="s">
        <v>253</v>
      </c>
      <c r="AW10" s="21">
        <f>VLOOKUP(AV10,Initial!G:K,5,FALSE)</f>
        <v>2551.571394209886</v>
      </c>
      <c r="AX10" s="25">
        <f t="shared" si="0"/>
        <v>2592.2314390834831</v>
      </c>
      <c r="AY10" s="26">
        <f t="shared" si="1"/>
        <v>2584.8540955907674</v>
      </c>
    </row>
    <row r="11" spans="1:53" ht="18.75" customHeight="1" thickBot="1" x14ac:dyDescent="0.25">
      <c r="A11" s="321"/>
      <c r="B11" s="339" t="s">
        <v>11</v>
      </c>
      <c r="C11" s="340"/>
      <c r="D11" s="340"/>
      <c r="E11" s="341" t="str">
        <f>AV6</f>
        <v>fj6beauf1pm</v>
      </c>
      <c r="F11" s="342"/>
      <c r="G11" s="342"/>
      <c r="H11" s="342"/>
      <c r="I11" s="342"/>
      <c r="J11" s="342"/>
      <c r="K11" s="342"/>
      <c r="L11" s="343"/>
      <c r="M11" s="344"/>
      <c r="N11" s="344"/>
      <c r="O11" s="344"/>
      <c r="P11" s="344"/>
      <c r="Q11" s="363"/>
      <c r="R11" s="343"/>
      <c r="S11" s="344"/>
      <c r="T11" s="344"/>
      <c r="U11" s="344"/>
      <c r="V11" s="344"/>
      <c r="W11" s="343"/>
      <c r="X11" s="344"/>
      <c r="Y11" s="344"/>
      <c r="Z11" s="331"/>
      <c r="AA11" s="332"/>
      <c r="AB11" s="332"/>
      <c r="AC11" s="333"/>
      <c r="AD11" s="334"/>
      <c r="AE11" s="335"/>
      <c r="AF11" s="336"/>
      <c r="AG11" s="336"/>
      <c r="AH11" s="337"/>
      <c r="AI11" s="338"/>
      <c r="AJ11" s="32"/>
      <c r="AK11" s="33">
        <v>1</v>
      </c>
      <c r="AL11" s="34" t="s">
        <v>56</v>
      </c>
      <c r="AM11" s="32"/>
      <c r="AN11" s="32"/>
      <c r="AO11" s="32"/>
      <c r="AP11" s="32"/>
      <c r="AQ11" s="32"/>
      <c r="AR11" s="3"/>
      <c r="AT11" s="24">
        <v>9</v>
      </c>
      <c r="AU11" s="20" t="s">
        <v>254</v>
      </c>
      <c r="AV11" s="20" t="s">
        <v>255</v>
      </c>
      <c r="AW11" s="21">
        <f>VLOOKUP(AV11,Initial!G:K,5,FALSE)</f>
        <v>2535.7339513621905</v>
      </c>
      <c r="AX11" s="25">
        <f t="shared" si="0"/>
        <v>2582.6171265933272</v>
      </c>
      <c r="AY11" s="26">
        <f t="shared" si="1"/>
        <v>2605.0099691087071</v>
      </c>
    </row>
    <row r="12" spans="1:53" ht="18.75" customHeight="1" thickBot="1" x14ac:dyDescent="0.25">
      <c r="A12" s="320" t="str">
        <f>IF($AK9&gt;2,"3","")</f>
        <v>3</v>
      </c>
      <c r="B12" s="322" t="s">
        <v>10</v>
      </c>
      <c r="C12" s="323"/>
      <c r="D12" s="323"/>
      <c r="E12" s="324" t="str">
        <f>AU7</f>
        <v>Intense 16 Elite Black RH</v>
      </c>
      <c r="F12" s="325"/>
      <c r="G12" s="325"/>
      <c r="H12" s="325"/>
      <c r="I12" s="325"/>
      <c r="J12" s="325"/>
      <c r="K12" s="326"/>
      <c r="L12" s="327">
        <f>IF($AK10=0,AF66,AF48)</f>
        <v>1</v>
      </c>
      <c r="M12" s="328"/>
      <c r="N12" s="328"/>
      <c r="O12" s="328"/>
      <c r="P12" s="328"/>
      <c r="Q12" s="363"/>
      <c r="R12" s="327">
        <f>IF($AK10=0,AG66,AG48)</f>
        <v>7</v>
      </c>
      <c r="S12" s="328"/>
      <c r="T12" s="328"/>
      <c r="U12" s="328"/>
      <c r="V12" s="328"/>
      <c r="W12" s="327">
        <f>AQ26</f>
        <v>-33</v>
      </c>
      <c r="X12" s="328"/>
      <c r="Y12" s="328"/>
      <c r="Z12" s="300">
        <f>IF(AF60&gt;0,(AQ26/AF60),0)</f>
        <v>-0.16500000000000001</v>
      </c>
      <c r="AA12" s="301"/>
      <c r="AB12" s="301"/>
      <c r="AC12" s="304">
        <f>IF(AF74=0,0,(AF66/AF74))</f>
        <v>0.125</v>
      </c>
      <c r="AD12" s="305"/>
      <c r="AE12" s="306"/>
      <c r="AF12" s="310">
        <v>5</v>
      </c>
      <c r="AG12" s="310">
        <v>1</v>
      </c>
      <c r="AH12" s="312"/>
      <c r="AI12" s="313"/>
      <c r="AJ12" s="43"/>
      <c r="AK12" s="33">
        <v>8</v>
      </c>
      <c r="AL12" s="44" t="s">
        <v>57</v>
      </c>
      <c r="AM12" s="34"/>
      <c r="AN12" s="34"/>
      <c r="AO12" s="34"/>
      <c r="AP12" s="34"/>
      <c r="AQ12" s="34"/>
      <c r="AR12" s="35"/>
      <c r="AT12" s="440">
        <v>10</v>
      </c>
      <c r="AU12" s="20" t="s">
        <v>256</v>
      </c>
      <c r="AV12" s="20" t="s">
        <v>257</v>
      </c>
      <c r="AW12" s="21">
        <f>VLOOKUP(AV12,Initial!G:K,5,FALSE)</f>
        <v>2532.8046893748628</v>
      </c>
      <c r="AX12" s="441">
        <f t="shared" si="0"/>
        <v>2556.1463876305306</v>
      </c>
      <c r="AY12" s="442">
        <f t="shared" si="1"/>
        <v>2548.7547222982257</v>
      </c>
    </row>
    <row r="13" spans="1:53" ht="18.75" customHeight="1" thickBot="1" x14ac:dyDescent="0.25">
      <c r="A13" s="321"/>
      <c r="B13" s="339" t="s">
        <v>11</v>
      </c>
      <c r="C13" s="340"/>
      <c r="D13" s="340"/>
      <c r="E13" s="341" t="str">
        <f>AV7</f>
        <v>fj6inten5pm</v>
      </c>
      <c r="F13" s="342"/>
      <c r="G13" s="342"/>
      <c r="H13" s="342"/>
      <c r="I13" s="342"/>
      <c r="J13" s="342"/>
      <c r="K13" s="342"/>
      <c r="L13" s="343"/>
      <c r="M13" s="344"/>
      <c r="N13" s="344"/>
      <c r="O13" s="344"/>
      <c r="P13" s="344"/>
      <c r="Q13" s="363"/>
      <c r="R13" s="343"/>
      <c r="S13" s="344"/>
      <c r="T13" s="344"/>
      <c r="U13" s="344"/>
      <c r="V13" s="344"/>
      <c r="W13" s="343"/>
      <c r="X13" s="344"/>
      <c r="Y13" s="344"/>
      <c r="Z13" s="331"/>
      <c r="AA13" s="332"/>
      <c r="AB13" s="332"/>
      <c r="AC13" s="333"/>
      <c r="AD13" s="334"/>
      <c r="AE13" s="335"/>
      <c r="AF13" s="336"/>
      <c r="AG13" s="336"/>
      <c r="AH13" s="337"/>
      <c r="AI13" s="338"/>
      <c r="AJ13" s="43"/>
      <c r="AK13" s="51"/>
      <c r="AL13" s="52"/>
      <c r="AM13" s="52"/>
      <c r="AN13" s="52"/>
      <c r="AO13" s="52"/>
      <c r="AP13" s="52"/>
      <c r="AQ13" s="32"/>
      <c r="AR13" s="3"/>
      <c r="AT13" s="372" t="s">
        <v>58</v>
      </c>
      <c r="AU13" s="373"/>
      <c r="AV13" s="373"/>
      <c r="AW13" s="373"/>
      <c r="AX13" s="373"/>
      <c r="AY13" s="374"/>
    </row>
    <row r="14" spans="1:53" ht="18.75" customHeight="1" thickBot="1" x14ac:dyDescent="0.25">
      <c r="A14" s="320" t="str">
        <f>IF($AK9&gt;3,"4","")</f>
        <v>4</v>
      </c>
      <c r="B14" s="322" t="s">
        <v>10</v>
      </c>
      <c r="C14" s="323"/>
      <c r="D14" s="323"/>
      <c r="E14" s="324" t="str">
        <f>AU10</f>
        <v>CSRA Heat 16 National</v>
      </c>
      <c r="F14" s="325"/>
      <c r="G14" s="325"/>
      <c r="H14" s="325"/>
      <c r="I14" s="325"/>
      <c r="J14" s="325"/>
      <c r="K14" s="326"/>
      <c r="L14" s="327">
        <f>IF($AK10=0,AF67,AF49)</f>
        <v>5</v>
      </c>
      <c r="M14" s="328"/>
      <c r="N14" s="328"/>
      <c r="O14" s="328"/>
      <c r="P14" s="328"/>
      <c r="Q14" s="363"/>
      <c r="R14" s="327">
        <f>IF($AK10=0,AG67,AG49)</f>
        <v>3</v>
      </c>
      <c r="S14" s="328"/>
      <c r="T14" s="328"/>
      <c r="U14" s="328"/>
      <c r="V14" s="328"/>
      <c r="W14" s="327">
        <f>AQ27</f>
        <v>18</v>
      </c>
      <c r="X14" s="328"/>
      <c r="Y14" s="328"/>
      <c r="Z14" s="300">
        <f>IF(AF61&gt;0,(AQ27/AF61),0)</f>
        <v>8.7804878048780483E-2</v>
      </c>
      <c r="AA14" s="301"/>
      <c r="AB14" s="301"/>
      <c r="AC14" s="304">
        <f>IF(AF75=0,0,(AF67/AF75))</f>
        <v>0.625</v>
      </c>
      <c r="AD14" s="305"/>
      <c r="AE14" s="306"/>
      <c r="AF14" s="310">
        <v>2</v>
      </c>
      <c r="AG14" s="310">
        <v>3</v>
      </c>
      <c r="AH14" s="312"/>
      <c r="AI14" s="313"/>
      <c r="AJ14" s="8"/>
      <c r="AK14" s="52"/>
      <c r="AL14" s="52"/>
      <c r="AM14" s="52"/>
      <c r="AN14" s="52"/>
      <c r="AO14" s="52"/>
      <c r="AP14" s="52"/>
      <c r="AQ14" s="34"/>
      <c r="AR14" s="35"/>
      <c r="AT14" s="375"/>
      <c r="AU14" s="376"/>
      <c r="AV14" s="376"/>
      <c r="AW14" s="376"/>
      <c r="AX14" s="376"/>
      <c r="AY14" s="377"/>
    </row>
    <row r="15" spans="1:53" ht="18.75" customHeight="1" thickBot="1" x14ac:dyDescent="0.25">
      <c r="A15" s="321"/>
      <c r="B15" s="339" t="s">
        <v>11</v>
      </c>
      <c r="C15" s="340"/>
      <c r="D15" s="340"/>
      <c r="E15" s="341" t="str">
        <f>AV10</f>
        <v>fj6csrah1pm</v>
      </c>
      <c r="F15" s="342"/>
      <c r="G15" s="342"/>
      <c r="H15" s="342"/>
      <c r="I15" s="342"/>
      <c r="J15" s="342"/>
      <c r="K15" s="342"/>
      <c r="L15" s="343"/>
      <c r="M15" s="344"/>
      <c r="N15" s="344"/>
      <c r="O15" s="344"/>
      <c r="P15" s="344"/>
      <c r="Q15" s="363"/>
      <c r="R15" s="343"/>
      <c r="S15" s="344"/>
      <c r="T15" s="344"/>
      <c r="U15" s="344"/>
      <c r="V15" s="344"/>
      <c r="W15" s="343"/>
      <c r="X15" s="344"/>
      <c r="Y15" s="344"/>
      <c r="Z15" s="331"/>
      <c r="AA15" s="332"/>
      <c r="AB15" s="332"/>
      <c r="AC15" s="333"/>
      <c r="AD15" s="334"/>
      <c r="AE15" s="335"/>
      <c r="AF15" s="336"/>
      <c r="AG15" s="336"/>
      <c r="AH15" s="337"/>
      <c r="AI15" s="338"/>
      <c r="AJ15" s="8"/>
      <c r="AK15" s="52"/>
      <c r="AL15" s="52"/>
      <c r="AM15" s="52"/>
      <c r="AN15" s="52"/>
      <c r="AO15" s="52"/>
      <c r="AP15" s="52"/>
      <c r="AQ15" s="8"/>
      <c r="AR15" s="3"/>
      <c r="AW15" s="117"/>
      <c r="AX15" s="117"/>
      <c r="AY15" s="117"/>
    </row>
    <row r="16" spans="1:53" ht="18.75" customHeight="1" x14ac:dyDescent="0.2">
      <c r="A16" s="320" t="str">
        <f>IF($AK9&gt;4,"5","")</f>
        <v>5</v>
      </c>
      <c r="B16" s="322" t="s">
        <v>10</v>
      </c>
      <c r="C16" s="323"/>
      <c r="D16" s="323"/>
      <c r="E16" s="324" t="str">
        <f>AU11</f>
        <v>SC Midlands 15 National</v>
      </c>
      <c r="F16" s="325"/>
      <c r="G16" s="325"/>
      <c r="H16" s="325"/>
      <c r="I16" s="325"/>
      <c r="J16" s="325"/>
      <c r="K16" s="326"/>
      <c r="L16" s="327">
        <f>IF($AK10=0,AF68,AF50)</f>
        <v>5</v>
      </c>
      <c r="M16" s="328"/>
      <c r="N16" s="328"/>
      <c r="O16" s="328"/>
      <c r="P16" s="328"/>
      <c r="Q16" s="363"/>
      <c r="R16" s="327">
        <f>IF($AK10=0,AG68,AG50)</f>
        <v>3</v>
      </c>
      <c r="S16" s="328"/>
      <c r="T16" s="328"/>
      <c r="U16" s="328"/>
      <c r="V16" s="328"/>
      <c r="W16" s="327">
        <f>AQ28</f>
        <v>16</v>
      </c>
      <c r="X16" s="328"/>
      <c r="Y16" s="328"/>
      <c r="Z16" s="300">
        <f>IF(AF62&gt;0,(AQ28/AF62),0)</f>
        <v>7.9207920792079209E-2</v>
      </c>
      <c r="AA16" s="301"/>
      <c r="AB16" s="301"/>
      <c r="AC16" s="304">
        <f>IF(AF76=0,0,(AF68/AF76))</f>
        <v>0.625</v>
      </c>
      <c r="AD16" s="305"/>
      <c r="AE16" s="306"/>
      <c r="AF16" s="310">
        <v>3</v>
      </c>
      <c r="AG16" s="310">
        <v>3</v>
      </c>
      <c r="AH16" s="312"/>
      <c r="AI16" s="313"/>
      <c r="AJ16" s="8"/>
      <c r="AK16" s="52"/>
      <c r="AL16" s="52"/>
      <c r="AM16" s="52"/>
      <c r="AN16" s="52"/>
      <c r="AO16" s="52"/>
      <c r="AP16" s="52"/>
      <c r="AQ16" s="8"/>
      <c r="AR16" s="3"/>
      <c r="AT16" s="53"/>
      <c r="AU16" s="117"/>
      <c r="AV16" s="117"/>
      <c r="AW16" s="117"/>
      <c r="AX16" s="117"/>
      <c r="AY16" s="117"/>
    </row>
    <row r="17" spans="1:51" ht="18.75" customHeight="1" thickBot="1" x14ac:dyDescent="0.25">
      <c r="A17" s="321"/>
      <c r="B17" s="316" t="s">
        <v>11</v>
      </c>
      <c r="C17" s="317"/>
      <c r="D17" s="317"/>
      <c r="E17" s="318" t="str">
        <f>AV11</f>
        <v>fj5scmid1pm</v>
      </c>
      <c r="F17" s="319"/>
      <c r="G17" s="319"/>
      <c r="H17" s="319"/>
      <c r="I17" s="319"/>
      <c r="J17" s="319"/>
      <c r="K17" s="319"/>
      <c r="L17" s="329"/>
      <c r="M17" s="330"/>
      <c r="N17" s="330"/>
      <c r="O17" s="330"/>
      <c r="P17" s="330"/>
      <c r="Q17" s="363"/>
      <c r="R17" s="329"/>
      <c r="S17" s="330"/>
      <c r="T17" s="330"/>
      <c r="U17" s="330"/>
      <c r="V17" s="330"/>
      <c r="W17" s="329"/>
      <c r="X17" s="330"/>
      <c r="Y17" s="330"/>
      <c r="Z17" s="302"/>
      <c r="AA17" s="303"/>
      <c r="AB17" s="303"/>
      <c r="AC17" s="307"/>
      <c r="AD17" s="308"/>
      <c r="AE17" s="309"/>
      <c r="AF17" s="311"/>
      <c r="AG17" s="311"/>
      <c r="AH17" s="314"/>
      <c r="AI17" s="315"/>
      <c r="AJ17" s="8"/>
      <c r="AK17" s="52"/>
      <c r="AL17" s="52"/>
      <c r="AM17" s="52"/>
      <c r="AN17" s="52"/>
      <c r="AO17" s="52"/>
      <c r="AP17" s="52"/>
      <c r="AQ17" s="8"/>
      <c r="AR17" s="3"/>
      <c r="AT17" s="53"/>
      <c r="AU17" s="117"/>
      <c r="AV17" s="117"/>
      <c r="AW17" s="117"/>
      <c r="AX17" s="117"/>
      <c r="AY17" s="117"/>
    </row>
    <row r="18" spans="1:51" ht="21" customHeight="1" thickTop="1" thickBot="1" x14ac:dyDescent="0.25">
      <c r="A18" s="55"/>
      <c r="B18" s="297" t="s">
        <v>195</v>
      </c>
      <c r="C18" s="298"/>
      <c r="D18" s="298"/>
      <c r="E18" s="298"/>
      <c r="F18" s="298"/>
      <c r="G18" s="298"/>
      <c r="H18" s="298"/>
      <c r="I18" s="298"/>
      <c r="J18" s="298"/>
      <c r="K18" s="298"/>
      <c r="L18" s="298"/>
      <c r="M18" s="298"/>
      <c r="N18" s="298"/>
      <c r="O18" s="298"/>
      <c r="P18" s="298"/>
      <c r="Q18" s="298"/>
      <c r="R18" s="298"/>
      <c r="S18" s="298"/>
      <c r="T18" s="298"/>
      <c r="U18" s="298"/>
      <c r="V18" s="298"/>
      <c r="W18" s="298"/>
      <c r="X18" s="298"/>
      <c r="Y18" s="298"/>
      <c r="Z18" s="298"/>
      <c r="AA18" s="298"/>
      <c r="AB18" s="298"/>
      <c r="AC18" s="298"/>
      <c r="AD18" s="298"/>
      <c r="AE18" s="298"/>
      <c r="AF18" s="298"/>
      <c r="AG18" s="298"/>
      <c r="AH18" s="298"/>
      <c r="AI18" s="299"/>
      <c r="AJ18" s="8"/>
      <c r="AK18" s="52"/>
      <c r="AL18" s="52"/>
      <c r="AM18" s="52"/>
      <c r="AN18" s="52"/>
      <c r="AO18" s="52"/>
      <c r="AP18" s="52"/>
      <c r="AQ18" s="8"/>
      <c r="AR18" s="3"/>
      <c r="AT18" s="53"/>
      <c r="AU18" s="117"/>
      <c r="AV18" s="117"/>
      <c r="AW18" s="4"/>
    </row>
    <row r="19" spans="1:51" ht="13.5" thickTop="1" x14ac:dyDescent="0.2">
      <c r="A19" s="4" t="s">
        <v>60</v>
      </c>
      <c r="B19" s="286">
        <v>0.35416666666666669</v>
      </c>
      <c r="C19" s="287"/>
      <c r="D19" s="288"/>
      <c r="E19" s="286">
        <v>0.38541666666666669</v>
      </c>
      <c r="F19" s="287"/>
      <c r="G19" s="288"/>
      <c r="H19" s="286">
        <v>0.41666666666666669</v>
      </c>
      <c r="I19" s="287"/>
      <c r="J19" s="288"/>
      <c r="K19" s="286">
        <v>0.44791666666666669</v>
      </c>
      <c r="L19" s="287"/>
      <c r="M19" s="288"/>
      <c r="N19" s="286">
        <v>0.47916666666666669</v>
      </c>
      <c r="O19" s="287"/>
      <c r="P19" s="288"/>
      <c r="Q19" s="286">
        <v>0.51041666666666663</v>
      </c>
      <c r="R19" s="287"/>
      <c r="S19" s="288"/>
      <c r="T19" s="286">
        <v>4.1666666666666664E-2</v>
      </c>
      <c r="U19" s="287"/>
      <c r="V19" s="288"/>
      <c r="W19" s="286">
        <v>7.2916666666666671E-2</v>
      </c>
      <c r="X19" s="287"/>
      <c r="Y19" s="288"/>
      <c r="Z19" s="286">
        <v>0.10416666666666667</v>
      </c>
      <c r="AA19" s="287"/>
      <c r="AB19" s="288"/>
      <c r="AC19" s="286">
        <v>0.13541666666666666</v>
      </c>
      <c r="AD19" s="287"/>
      <c r="AE19" s="288"/>
      <c r="AF19" s="289" t="s">
        <v>61</v>
      </c>
      <c r="AG19" s="290"/>
      <c r="AH19" s="290"/>
      <c r="AI19" s="290"/>
      <c r="AJ19" s="291"/>
      <c r="AK19" s="291"/>
      <c r="AL19" s="291"/>
      <c r="AM19" s="291"/>
      <c r="AN19" s="291"/>
      <c r="AO19" s="291"/>
      <c r="AP19" s="291"/>
      <c r="AQ19" s="292"/>
      <c r="AT19" s="53"/>
      <c r="AU19" s="117"/>
      <c r="AV19" s="117"/>
      <c r="AW19" s="4"/>
    </row>
    <row r="20" spans="1:51" x14ac:dyDescent="0.2">
      <c r="A20" s="56" t="s">
        <v>62</v>
      </c>
      <c r="B20" s="283"/>
      <c r="C20" s="284"/>
      <c r="D20" s="285"/>
      <c r="E20" s="283"/>
      <c r="F20" s="284"/>
      <c r="G20" s="285"/>
      <c r="H20" s="283"/>
      <c r="I20" s="284"/>
      <c r="J20" s="285"/>
      <c r="K20" s="283"/>
      <c r="L20" s="284"/>
      <c r="M20" s="285"/>
      <c r="N20" s="283"/>
      <c r="O20" s="284"/>
      <c r="P20" s="285"/>
      <c r="Q20" s="283"/>
      <c r="R20" s="284"/>
      <c r="S20" s="285"/>
      <c r="T20" s="283"/>
      <c r="U20" s="284"/>
      <c r="V20" s="285"/>
      <c r="W20" s="283"/>
      <c r="X20" s="284"/>
      <c r="Y20" s="285"/>
      <c r="Z20" s="283"/>
      <c r="AA20" s="284"/>
      <c r="AB20" s="285"/>
      <c r="AC20" s="283"/>
      <c r="AD20" s="284"/>
      <c r="AE20" s="285"/>
      <c r="AF20" s="289"/>
      <c r="AG20" s="290"/>
      <c r="AH20" s="290"/>
      <c r="AI20" s="290"/>
      <c r="AJ20" s="290"/>
      <c r="AK20" s="290"/>
      <c r="AL20" s="290"/>
      <c r="AM20" s="290"/>
      <c r="AN20" s="290"/>
      <c r="AO20" s="290"/>
      <c r="AP20" s="290"/>
      <c r="AQ20" s="293"/>
      <c r="AT20" s="53"/>
      <c r="AU20" s="117"/>
      <c r="AV20" s="117"/>
      <c r="AW20" s="4"/>
    </row>
    <row r="21" spans="1:51" x14ac:dyDescent="0.2">
      <c r="A21" s="56" t="s">
        <v>63</v>
      </c>
      <c r="B21" s="283"/>
      <c r="C21" s="284"/>
      <c r="D21" s="285"/>
      <c r="E21" s="283"/>
      <c r="F21" s="284"/>
      <c r="G21" s="285"/>
      <c r="H21" s="283"/>
      <c r="I21" s="284"/>
      <c r="J21" s="285"/>
      <c r="K21" s="283"/>
      <c r="L21" s="284"/>
      <c r="M21" s="285"/>
      <c r="N21" s="283"/>
      <c r="O21" s="284"/>
      <c r="P21" s="285"/>
      <c r="Q21" s="283"/>
      <c r="R21" s="284"/>
      <c r="S21" s="285"/>
      <c r="T21" s="283"/>
      <c r="U21" s="284"/>
      <c r="V21" s="285"/>
      <c r="W21" s="283"/>
      <c r="X21" s="284"/>
      <c r="Y21" s="285"/>
      <c r="Z21" s="283"/>
      <c r="AA21" s="284"/>
      <c r="AB21" s="285"/>
      <c r="AC21" s="283"/>
      <c r="AD21" s="284"/>
      <c r="AE21" s="285"/>
      <c r="AF21" s="289"/>
      <c r="AG21" s="290"/>
      <c r="AH21" s="290"/>
      <c r="AI21" s="290"/>
      <c r="AJ21" s="290"/>
      <c r="AK21" s="290"/>
      <c r="AL21" s="290"/>
      <c r="AM21" s="290"/>
      <c r="AN21" s="290"/>
      <c r="AO21" s="290"/>
      <c r="AP21" s="290"/>
      <c r="AQ21" s="293"/>
      <c r="AT21" s="7"/>
      <c r="AU21" s="7"/>
      <c r="AV21" s="7"/>
      <c r="AW21" s="4"/>
    </row>
    <row r="22" spans="1:51" ht="13.5" thickBot="1" x14ac:dyDescent="0.25">
      <c r="A22" s="8"/>
      <c r="B22" s="173" t="s">
        <v>64</v>
      </c>
      <c r="C22" s="174"/>
      <c r="D22" s="180"/>
      <c r="E22" s="173" t="str">
        <f>IF($AK8&gt;1,"Match 2","")</f>
        <v>Match 2</v>
      </c>
      <c r="F22" s="174"/>
      <c r="G22" s="180"/>
      <c r="H22" s="173" t="str">
        <f>IF($AK8&gt;2,"Match 3","")</f>
        <v>Match 3</v>
      </c>
      <c r="I22" s="174"/>
      <c r="J22" s="180"/>
      <c r="K22" s="173" t="str">
        <f>IF($AK8&gt;3,"Match 4","")</f>
        <v>Match 4</v>
      </c>
      <c r="L22" s="174"/>
      <c r="M22" s="180"/>
      <c r="N22" s="173" t="str">
        <f>IF($AK8&gt;4,"Match 5","")</f>
        <v>Match 5</v>
      </c>
      <c r="O22" s="174"/>
      <c r="P22" s="180"/>
      <c r="Q22" s="173" t="str">
        <f>IF($AK8&gt;5,"Match 6","")</f>
        <v>Match 6</v>
      </c>
      <c r="R22" s="174"/>
      <c r="S22" s="180"/>
      <c r="T22" s="173" t="str">
        <f>IF($AK8&gt;6,"Match 7","")</f>
        <v>Match 7</v>
      </c>
      <c r="U22" s="174"/>
      <c r="V22" s="180"/>
      <c r="W22" s="173" t="str">
        <f>IF($AK8&gt;7,"Match 8","")</f>
        <v>Match 8</v>
      </c>
      <c r="X22" s="174"/>
      <c r="Y22" s="180"/>
      <c r="Z22" s="173" t="str">
        <f>IF($AK8&gt;8,"Match 9","")</f>
        <v>Match 9</v>
      </c>
      <c r="AA22" s="174"/>
      <c r="AB22" s="180"/>
      <c r="AC22" s="173" t="str">
        <f>IF($AK8&gt;9,"Match 10","")</f>
        <v>Match 10</v>
      </c>
      <c r="AD22" s="174"/>
      <c r="AE22" s="180"/>
      <c r="AF22" s="294"/>
      <c r="AG22" s="295"/>
      <c r="AH22" s="295"/>
      <c r="AI22" s="295"/>
      <c r="AJ22" s="295"/>
      <c r="AK22" s="295"/>
      <c r="AL22" s="295"/>
      <c r="AM22" s="295"/>
      <c r="AN22" s="295"/>
      <c r="AO22" s="295"/>
      <c r="AP22" s="295"/>
      <c r="AQ22" s="296"/>
      <c r="AT22" s="53"/>
      <c r="AU22" s="117"/>
      <c r="AV22" s="117"/>
      <c r="AW22" s="4"/>
    </row>
    <row r="23" spans="1:51" ht="15.75" x14ac:dyDescent="0.25">
      <c r="A23" s="8"/>
      <c r="B23" s="277" t="s">
        <v>68</v>
      </c>
      <c r="C23" s="278"/>
      <c r="D23" s="279"/>
      <c r="E23" s="277" t="s">
        <v>67</v>
      </c>
      <c r="F23" s="278"/>
      <c r="G23" s="279"/>
      <c r="H23" s="277" t="s">
        <v>65</v>
      </c>
      <c r="I23" s="278"/>
      <c r="J23" s="279"/>
      <c r="K23" s="277" t="s">
        <v>204</v>
      </c>
      <c r="L23" s="278"/>
      <c r="M23" s="279"/>
      <c r="N23" s="277" t="s">
        <v>66</v>
      </c>
      <c r="O23" s="278"/>
      <c r="P23" s="279"/>
      <c r="Q23" s="277" t="s">
        <v>65</v>
      </c>
      <c r="R23" s="278"/>
      <c r="S23" s="279"/>
      <c r="T23" s="277" t="s">
        <v>68</v>
      </c>
      <c r="U23" s="278"/>
      <c r="V23" s="279"/>
      <c r="W23" s="277" t="s">
        <v>66</v>
      </c>
      <c r="X23" s="278"/>
      <c r="Y23" s="279"/>
      <c r="Z23" s="277" t="s">
        <v>204</v>
      </c>
      <c r="AA23" s="278"/>
      <c r="AB23" s="279"/>
      <c r="AC23" s="277" t="s">
        <v>67</v>
      </c>
      <c r="AD23" s="278"/>
      <c r="AE23" s="279"/>
      <c r="AF23" s="57" t="s">
        <v>70</v>
      </c>
      <c r="AG23" s="58">
        <v>1</v>
      </c>
      <c r="AH23" s="58">
        <v>2</v>
      </c>
      <c r="AI23" s="58">
        <v>3</v>
      </c>
      <c r="AJ23" s="58">
        <v>4</v>
      </c>
      <c r="AK23" s="58">
        <v>5</v>
      </c>
      <c r="AL23" s="58">
        <v>6</v>
      </c>
      <c r="AM23" s="58">
        <v>7</v>
      </c>
      <c r="AN23" s="58">
        <v>8</v>
      </c>
      <c r="AO23" s="58">
        <v>9</v>
      </c>
      <c r="AP23" s="58">
        <v>10</v>
      </c>
      <c r="AQ23" s="59" t="s">
        <v>71</v>
      </c>
      <c r="AT23" s="53"/>
      <c r="AU23" s="117"/>
      <c r="AV23" s="117"/>
      <c r="AW23" s="117"/>
      <c r="AX23" s="117"/>
      <c r="AY23" s="117"/>
    </row>
    <row r="24" spans="1:51" ht="15.75" x14ac:dyDescent="0.25">
      <c r="A24" s="8"/>
      <c r="B24" s="61">
        <v>2</v>
      </c>
      <c r="C24" s="62" t="s">
        <v>72</v>
      </c>
      <c r="D24" s="63">
        <v>5</v>
      </c>
      <c r="E24" s="61">
        <v>1</v>
      </c>
      <c r="F24" s="62" t="str">
        <f>IF($AK8&gt;1,"v","")</f>
        <v>v</v>
      </c>
      <c r="G24" s="63">
        <v>4</v>
      </c>
      <c r="H24" s="61">
        <v>3</v>
      </c>
      <c r="I24" s="62" t="str">
        <f>IF($AK8&gt;2,"v","")</f>
        <v>v</v>
      </c>
      <c r="J24" s="63">
        <v>5</v>
      </c>
      <c r="K24" s="61">
        <v>2</v>
      </c>
      <c r="L24" s="62" t="str">
        <f>IF($AK8&gt;3,"v","")</f>
        <v>v</v>
      </c>
      <c r="M24" s="63">
        <v>4</v>
      </c>
      <c r="N24" s="61">
        <v>1</v>
      </c>
      <c r="O24" s="62" t="str">
        <f>IF($AK8&gt;4,"v","")</f>
        <v>v</v>
      </c>
      <c r="P24" s="63">
        <v>3</v>
      </c>
      <c r="Q24" s="61">
        <v>4</v>
      </c>
      <c r="R24" s="62" t="str">
        <f>IF($AK8&gt;5,"v","")</f>
        <v>v</v>
      </c>
      <c r="S24" s="63">
        <v>5</v>
      </c>
      <c r="T24" s="61">
        <v>2</v>
      </c>
      <c r="U24" s="62" t="str">
        <f>IF($AK8&gt;6,"v","")</f>
        <v>v</v>
      </c>
      <c r="V24" s="63">
        <v>3</v>
      </c>
      <c r="W24" s="61">
        <v>1</v>
      </c>
      <c r="X24" s="62" t="str">
        <f>IF($AK8&gt;7,"v","")</f>
        <v>v</v>
      </c>
      <c r="Y24" s="63">
        <v>5</v>
      </c>
      <c r="Z24" s="61">
        <v>3</v>
      </c>
      <c r="AA24" s="62" t="str">
        <f>IF($AK8&gt;8,"v","")</f>
        <v>v</v>
      </c>
      <c r="AB24" s="63">
        <v>4</v>
      </c>
      <c r="AC24" s="61">
        <v>1</v>
      </c>
      <c r="AD24" s="62" t="str">
        <f>IF($AK8&gt;9,"v","")</f>
        <v>v</v>
      </c>
      <c r="AE24" s="63">
        <v>2</v>
      </c>
      <c r="AF24" s="57" t="str">
        <f>IF($AK9&gt;0,"Team 1","")</f>
        <v>Team 1</v>
      </c>
      <c r="AG24" s="64" t="str">
        <f>IF($AK9&lt;1,"",IF($AK8&lt;1,"",IF(B24=1,B30-D30,IF(D24=1,D30-B30,""))))</f>
        <v/>
      </c>
      <c r="AH24" s="64">
        <f>IF($AK9&lt;1,"",IF($AK8&lt;2,"",IF(E24=1,E30-G30,IF(G24=1,G30-E30,""))))</f>
        <v>1</v>
      </c>
      <c r="AI24" s="64" t="str">
        <f>IF($AK9&lt;1,"",IF($AK8&lt;3,"",IF(H24=1,H30-J30,IF(J24=1,J30-H30,""))))</f>
        <v/>
      </c>
      <c r="AJ24" s="64" t="str">
        <f>IF($AK9&lt;1,"",IF($AK8&lt;4,"",IF(K24=1,K30-M30,IF(M24=1,M30-K30,""))))</f>
        <v/>
      </c>
      <c r="AK24" s="64">
        <f>IF($AK9&lt;1,"",IF($AK8&lt;5,"",IF(N24=1,N30-P30,IF(P24=1,P30-N30,""))))</f>
        <v>8</v>
      </c>
      <c r="AL24" s="64" t="str">
        <f>IF($AK9&lt;1,"",IF($AK8&lt;6,"",IF(Q24=1,Q30-S30,IF(S24=1,S30-Q30,""))))</f>
        <v/>
      </c>
      <c r="AM24" s="64" t="str">
        <f>IF($AK9&lt;1,"",IF($AK8&lt;7,"",IF(T24=1,T30-V30,IF(V24=1,V30-T30,""))))</f>
        <v/>
      </c>
      <c r="AN24" s="64">
        <f>IF($AK9&lt;1,"",IF($AK8&lt;8,"",IF(W24=1,W30-Y30,IF(Y24=1,Y30-W30,""))))</f>
        <v>-11</v>
      </c>
      <c r="AO24" s="64" t="str">
        <f>IF($AK9&lt;1,"",IF($AK8&lt;9,"",IF(Z24=1,Z30-AB30,IF(AB24=1,AB30-Z30,""))))</f>
        <v/>
      </c>
      <c r="AP24" s="64">
        <f>IF($AK9&lt;1,"",IF($AK8&lt;10,"",IF(AC24=1,AC30-AE30,IF(AE24=1,AE30-AC30,""))))</f>
        <v>11</v>
      </c>
      <c r="AQ24" s="59">
        <f>SUM(AG24:AP24)</f>
        <v>9</v>
      </c>
      <c r="AT24" s="53"/>
      <c r="AU24" s="117"/>
      <c r="AV24" s="117"/>
      <c r="AW24" s="117"/>
      <c r="AX24" s="117"/>
      <c r="AY24" s="117"/>
    </row>
    <row r="25" spans="1:51" ht="15" x14ac:dyDescent="0.2">
      <c r="A25" s="4" t="s">
        <v>73</v>
      </c>
      <c r="B25" s="65">
        <v>25</v>
      </c>
      <c r="C25" s="66" t="s">
        <v>74</v>
      </c>
      <c r="D25" s="67">
        <v>21</v>
      </c>
      <c r="E25" s="65">
        <v>25</v>
      </c>
      <c r="F25" s="66" t="str">
        <f>IF($AK8&gt;1,"/","")</f>
        <v>/</v>
      </c>
      <c r="G25" s="67">
        <v>23</v>
      </c>
      <c r="H25" s="65">
        <v>18</v>
      </c>
      <c r="I25" s="66" t="str">
        <f>IF($AK8&gt;2,"/","")</f>
        <v>/</v>
      </c>
      <c r="J25" s="67">
        <v>25</v>
      </c>
      <c r="K25" s="65">
        <v>26</v>
      </c>
      <c r="L25" s="66" t="str">
        <f>IF($AK8&gt;3,"/","")</f>
        <v>/</v>
      </c>
      <c r="M25" s="67">
        <v>24</v>
      </c>
      <c r="N25" s="65">
        <v>25</v>
      </c>
      <c r="O25" s="66" t="str">
        <f>IF($AK8&gt;4,"/","")</f>
        <v>/</v>
      </c>
      <c r="P25" s="67">
        <v>20</v>
      </c>
      <c r="Q25" s="65">
        <v>25</v>
      </c>
      <c r="R25" s="66" t="str">
        <f>IF($AK8&gt;5,"/","")</f>
        <v>/</v>
      </c>
      <c r="S25" s="67">
        <v>27</v>
      </c>
      <c r="T25" s="65">
        <v>21</v>
      </c>
      <c r="U25" s="66" t="str">
        <f>IF($AK8&gt;6,"/","")</f>
        <v>/</v>
      </c>
      <c r="V25" s="67">
        <v>25</v>
      </c>
      <c r="W25" s="65">
        <v>25</v>
      </c>
      <c r="X25" s="66" t="str">
        <f>IF($AK8&gt;7,"/","")</f>
        <v>/</v>
      </c>
      <c r="Y25" s="67">
        <v>23</v>
      </c>
      <c r="Z25" s="65">
        <v>18</v>
      </c>
      <c r="AA25" s="66" t="str">
        <f>IF($AK8&gt;8,"/","")</f>
        <v>/</v>
      </c>
      <c r="AB25" s="67">
        <v>25</v>
      </c>
      <c r="AC25" s="65">
        <v>25</v>
      </c>
      <c r="AD25" s="66" t="str">
        <f>IF($AK8&gt;9,"/","")</f>
        <v>/</v>
      </c>
      <c r="AE25" s="67">
        <v>17</v>
      </c>
      <c r="AF25" s="57" t="str">
        <f>IF($AK9&gt;1,"Team 2","")</f>
        <v>Team 2</v>
      </c>
      <c r="AG25" s="64">
        <f>IF($AK9&lt;2,"",IF($AK8&lt;1,"",IF(B24=2,B30-D30,IF(D24=2,D30-B30,""))))</f>
        <v>1</v>
      </c>
      <c r="AH25" s="64" t="str">
        <f>IF($AK9&lt;2,"",IF($AK8&lt;2,"",IF(E24=2,E30-G30,IF(G24=2,G30-E30,""))))</f>
        <v/>
      </c>
      <c r="AI25" s="64" t="str">
        <f>IF($AK9&lt;2,"",IF($AK8&lt;3,"",IF(H24=2,H30-J30,IF(J24=2,J30-H30,""))))</f>
        <v/>
      </c>
      <c r="AJ25" s="64">
        <f>IF($AK9&lt;2,"",IF($AK8&lt;4,"",IF(K24=2,K30-M30,IF(M24=2,M30-K30,""))))</f>
        <v>-5</v>
      </c>
      <c r="AK25" s="64" t="str">
        <f>IF($AK9&lt;2,"",IF($AK8&lt;5,"",IF(N24=2,N30-P30,IF(P24=2,P30-N30,""))))</f>
        <v/>
      </c>
      <c r="AL25" s="64" t="str">
        <f>IF($AK9&lt;2,"",IF($AK8&lt;6,"",IF(Q24=2,Q30-S30,IF(S24=2,S30-Q30,""))))</f>
        <v/>
      </c>
      <c r="AM25" s="64">
        <f>IF($AK9&lt;2,"",IF($AK8&lt;7,"",IF(T24=2,T30-V30,IF(V24=2,V30-T30,""))))</f>
        <v>5</v>
      </c>
      <c r="AN25" s="64" t="str">
        <f>IF($AK9&lt;2,"",IF($AK8&lt;8,"",IF(W24=2,W30-Y30,IF(Y24=2,Y30-W30,""))))</f>
        <v/>
      </c>
      <c r="AO25" s="64" t="str">
        <f>IF($AK9&lt;2,"",IF($AK8&lt;9,"",IF(Z24=2,Z30-AB30,IF(AB24=2,AB30-Z30,""))))</f>
        <v/>
      </c>
      <c r="AP25" s="64">
        <f>IF($AK9&lt;2,"",IF($AK8&lt;10,"",IF(AC24=2,AC30-AE30,IF(AE24=2,AE30-AC30,""))))</f>
        <v>-11</v>
      </c>
      <c r="AQ25" s="59">
        <f>SUM(AG25:AP25)</f>
        <v>-10</v>
      </c>
      <c r="AW25" s="4"/>
    </row>
    <row r="26" spans="1:51" ht="15" x14ac:dyDescent="0.2">
      <c r="A26" s="3" t="str">
        <f>IF($AK7&gt;1,"Game 2","")</f>
        <v>Game 2</v>
      </c>
      <c r="B26" s="65">
        <v>22</v>
      </c>
      <c r="C26" s="66" t="s">
        <v>74</v>
      </c>
      <c r="D26" s="67">
        <v>25</v>
      </c>
      <c r="E26" s="65">
        <v>26</v>
      </c>
      <c r="F26" s="66" t="str">
        <f>IF($AK8&gt;1,IF($AK7&gt;1,"/",""),"")</f>
        <v>/</v>
      </c>
      <c r="G26" s="67">
        <v>27</v>
      </c>
      <c r="H26" s="65">
        <v>23</v>
      </c>
      <c r="I26" s="66" t="str">
        <f>IF($AK8&gt;2,IF($AK7&gt;1,"/",""),"")</f>
        <v>/</v>
      </c>
      <c r="J26" s="67">
        <v>25</v>
      </c>
      <c r="K26" s="65">
        <v>18</v>
      </c>
      <c r="L26" s="66" t="str">
        <f>IF($AK8&gt;3,IF($AK7&gt;1,"/",""),"")</f>
        <v>/</v>
      </c>
      <c r="M26" s="67">
        <v>25</v>
      </c>
      <c r="N26" s="65">
        <v>25</v>
      </c>
      <c r="O26" s="66" t="str">
        <f>IF($AK8&gt;4,IF($AK7&gt;1,"/",""),"")</f>
        <v>/</v>
      </c>
      <c r="P26" s="67">
        <v>22</v>
      </c>
      <c r="Q26" s="65">
        <v>25</v>
      </c>
      <c r="R26" s="66" t="str">
        <f>IF($AK8&gt;5,IF($AK7&gt;1,"/",""),"")</f>
        <v>/</v>
      </c>
      <c r="S26" s="67">
        <v>20</v>
      </c>
      <c r="T26" s="65">
        <v>25</v>
      </c>
      <c r="U26" s="66" t="str">
        <f>IF($AK8&gt;6,IF($AK7&gt;1,"/",""),"")</f>
        <v>/</v>
      </c>
      <c r="V26" s="67">
        <v>16</v>
      </c>
      <c r="W26" s="65">
        <v>12</v>
      </c>
      <c r="X26" s="66" t="str">
        <f>IF($AK8&gt;7,IF($AK7&gt;1,"/",""),"")</f>
        <v>/</v>
      </c>
      <c r="Y26" s="67">
        <v>25</v>
      </c>
      <c r="Z26" s="65">
        <v>21</v>
      </c>
      <c r="AA26" s="66" t="str">
        <f>IF($AK8&gt;8,IF($AK7&gt;1,"/",""),"")</f>
        <v>/</v>
      </c>
      <c r="AB26" s="67">
        <v>25</v>
      </c>
      <c r="AC26" s="65">
        <v>25</v>
      </c>
      <c r="AD26" s="66" t="str">
        <f>IF($AK8&gt;9,IF($AK7&gt;1,"/",""),"")</f>
        <v>/</v>
      </c>
      <c r="AE26" s="67">
        <v>22</v>
      </c>
      <c r="AF26" s="57" t="str">
        <f>IF($AK9&gt;2,"Team 3","")</f>
        <v>Team 3</v>
      </c>
      <c r="AG26" s="64" t="str">
        <f>IF($AK9&lt;3,"",IF($AK8&lt;1,"",IF(B24=3,B30-D30,IF(D24=3,D30-B30,""))))</f>
        <v/>
      </c>
      <c r="AH26" s="64" t="str">
        <f>IF($AK9&lt;3,"",IF($AK8&lt;2,"",IF(E24=3,E30-G30,IF(G24=3,G30-E30,""))))</f>
        <v/>
      </c>
      <c r="AI26" s="64">
        <f>IF($AK9&lt;3,"",IF($AK8&lt;3,"",IF(H24=3,H30-J30,IF(J24=3,J30-H30,""))))</f>
        <v>-9</v>
      </c>
      <c r="AJ26" s="64" t="str">
        <f>IF($AK9&lt;3,"",IF($AK8&lt;4,"",IF(K24=3,K30-M30,IF(M24=3,M30-K30,""))))</f>
        <v/>
      </c>
      <c r="AK26" s="64">
        <f>IF($AK9&lt;3,"",IF($AK8&lt;5,"",IF(N24=3,N30-P30,IF(P24=3,P30-N30,""))))</f>
        <v>-8</v>
      </c>
      <c r="AL26" s="64" t="str">
        <f>IF($AK9&lt;3,"",IF($AK8&lt;6,"",IF(Q24=3,Q30-S30,IF(S24=3,S30-Q30,""))))</f>
        <v/>
      </c>
      <c r="AM26" s="64">
        <f>IF($AK9&lt;3,"",IF($AK8&lt;7,"",IF(T24=3,T30-V30,IF(V24=3,V30-T30,""))))</f>
        <v>-5</v>
      </c>
      <c r="AN26" s="64" t="str">
        <f>IF($AK9&lt;3,"",IF($AK8&lt;8,"",IF(W24=3,W30-Y30,IF(Y24=3,Y30-W30,""))))</f>
        <v/>
      </c>
      <c r="AO26" s="64">
        <f>IF($AK9&lt;3,"",IF($AK8&lt;9,"",IF(Z24=3,Z30-AB30,IF(AB24=3,AB30-Z30,""))))</f>
        <v>-11</v>
      </c>
      <c r="AP26" s="64" t="str">
        <f>IF($AK9&lt;3,"",IF($AK8&lt;9,"",IF(AC24=3,AC30-AE30,IF(AE24=3,AE30-AC30,""))))</f>
        <v/>
      </c>
      <c r="AQ26" s="59">
        <f>SUM(AG26:AP26)</f>
        <v>-33</v>
      </c>
      <c r="AW26" s="4"/>
    </row>
    <row r="27" spans="1:51" ht="15" x14ac:dyDescent="0.2">
      <c r="A27" s="3" t="str">
        <f>IF($AK7&gt;2,"Game 3","")</f>
        <v/>
      </c>
      <c r="B27" s="65"/>
      <c r="C27" s="66" t="s">
        <v>74</v>
      </c>
      <c r="D27" s="67"/>
      <c r="E27" s="65"/>
      <c r="F27" s="66" t="str">
        <f>IF($AK8&gt;1,IF($AK7&gt;2,"/",""),"")</f>
        <v/>
      </c>
      <c r="G27" s="67"/>
      <c r="H27" s="65"/>
      <c r="I27" s="66" t="str">
        <f>IF($AK8&gt;2,IF($AK7&gt;2,"/",""),"")</f>
        <v/>
      </c>
      <c r="J27" s="67"/>
      <c r="K27" s="65"/>
      <c r="L27" s="66" t="str">
        <f>IF($AK8&gt;3,IF($AK7&gt;2,"/",""),"")</f>
        <v/>
      </c>
      <c r="M27" s="67"/>
      <c r="N27" s="65"/>
      <c r="O27" s="66" t="str">
        <f>IF($AK8&gt;4,IF($AK7&gt;2,"/",""),"")</f>
        <v/>
      </c>
      <c r="P27" s="67"/>
      <c r="Q27" s="65"/>
      <c r="R27" s="66" t="str">
        <f>IF($AK8&gt;5,IF($AK7&gt;2,"/",""),"")</f>
        <v/>
      </c>
      <c r="S27" s="67"/>
      <c r="T27" s="65"/>
      <c r="U27" s="66" t="str">
        <f>IF($AK8&gt;6,IF($AK7&gt;2,"/",""),"")</f>
        <v/>
      </c>
      <c r="V27" s="67"/>
      <c r="W27" s="65"/>
      <c r="X27" s="66" t="str">
        <f>IF($AK8&gt;7,IF($AK7&gt;2,"/",""),"")</f>
        <v/>
      </c>
      <c r="Y27" s="67"/>
      <c r="Z27" s="65"/>
      <c r="AA27" s="66" t="str">
        <f>IF($AK8&gt;8,IF($AK7&gt;2,"/",""),"")</f>
        <v/>
      </c>
      <c r="AB27" s="67"/>
      <c r="AC27" s="65"/>
      <c r="AD27" s="66" t="str">
        <f>IF($AK8&gt;9,IF($AK7&gt;2,"/",""),"")</f>
        <v/>
      </c>
      <c r="AE27" s="67"/>
      <c r="AF27" s="57" t="str">
        <f>IF($AK9&gt;3,"Team 4","")</f>
        <v>Team 4</v>
      </c>
      <c r="AG27" s="64" t="str">
        <f>IF($AK9&lt;4,"",IF($AK8&lt;1,"",IF(B24=4,B30-D30,IF(D24=4,D30-B30,""))))</f>
        <v/>
      </c>
      <c r="AH27" s="64">
        <f>IF($AK9&lt;4,"",IF($AK8&lt;2,"",IF(E24=4,E30-G30,IF(G24=4,G30-E30,""))))</f>
        <v>-1</v>
      </c>
      <c r="AI27" s="64" t="str">
        <f>IF($AK9&lt;4,"",IF($AK8&lt;3,"",IF(H24=4,H30-J30,IF(J24=4,J30-H30,""))))</f>
        <v/>
      </c>
      <c r="AJ27" s="64">
        <f>IF($AK9&lt;4,"",IF($AK8&lt;4,"",IF(K24=4,K30-M30,IF(M24=4,M30-K30,""))))</f>
        <v>5</v>
      </c>
      <c r="AK27" s="64" t="str">
        <f>IF($AK9&lt;4,"",IF($AK8&lt;5,"",IF(N24=4,N30-P30,IF(P24=4,P30-N30,""))))</f>
        <v/>
      </c>
      <c r="AL27" s="64">
        <f>IF($AK9&lt;4,"",IF($AK8&lt;6,"",IF(Q24=4,Q30-S30,IF(S24=4,S30-Q30,""))))</f>
        <v>3</v>
      </c>
      <c r="AM27" s="64" t="str">
        <f>IF($AK9&lt;4,"",IF($AK8&lt;7,"",IF(T24=4,T30-V30,IF(V24=4,V30-T30,""))))</f>
        <v/>
      </c>
      <c r="AN27" s="64" t="str">
        <f>IF($AK9&lt;4,"",IF($AK8&lt;8,"",IF(W24=4,W30-Y30,IF(Y24=4,Y30-W30,""))))</f>
        <v/>
      </c>
      <c r="AO27" s="64">
        <f>IF($AK9&lt;4,"",IF($AK8&lt;9,"",IF(Z24=4,Z30-AB30,IF(AB24=4,AB30-Z30,""))))</f>
        <v>11</v>
      </c>
      <c r="AP27" s="64" t="str">
        <f>IF($AK9&lt;4,"",IF($AK8&lt;10,"",IF(AC24=4,AC30-AE30,IF(AE24=4,AE30-AC30,""))))</f>
        <v/>
      </c>
      <c r="AQ27" s="59">
        <f>SUM(AG27:AP27)</f>
        <v>18</v>
      </c>
      <c r="AW27" s="4"/>
    </row>
    <row r="28" spans="1:51" ht="15" x14ac:dyDescent="0.2">
      <c r="A28" s="3" t="str">
        <f>IF($AK7&gt;3,"Game 4","")</f>
        <v/>
      </c>
      <c r="B28" s="65"/>
      <c r="C28" s="66" t="s">
        <v>74</v>
      </c>
      <c r="D28" s="67"/>
      <c r="E28" s="65"/>
      <c r="F28" s="66" t="str">
        <f>IF($AK8&gt;1,IF($AK7&gt;3,"/",""),"")</f>
        <v/>
      </c>
      <c r="G28" s="67"/>
      <c r="H28" s="65"/>
      <c r="I28" s="66" t="str">
        <f>IF($AK8&gt;2,IF($AK7&gt;3,"/",""),"")</f>
        <v/>
      </c>
      <c r="J28" s="67"/>
      <c r="K28" s="65"/>
      <c r="L28" s="66" t="str">
        <f>IF($AK8&gt;3,IF($AK7&gt;3,"/",""),"")</f>
        <v/>
      </c>
      <c r="M28" s="67"/>
      <c r="N28" s="65"/>
      <c r="O28" s="66" t="str">
        <f>IF($AK8&gt;4,IF($AK7&gt;3,"/",""),"")</f>
        <v/>
      </c>
      <c r="P28" s="67"/>
      <c r="Q28" s="65"/>
      <c r="R28" s="66" t="str">
        <f>IF($AK8&gt;5,IF($AK7&gt;3,"/",""),"")</f>
        <v/>
      </c>
      <c r="S28" s="67"/>
      <c r="T28" s="65"/>
      <c r="U28" s="66" t="str">
        <f>IF($AK8&gt;6,IF($AK7&gt;3,"/",""),"")</f>
        <v/>
      </c>
      <c r="V28" s="67"/>
      <c r="W28" s="65"/>
      <c r="X28" s="66" t="str">
        <f>IF($AK8&gt;7,IF($AK7&gt;3,"/",""),"")</f>
        <v/>
      </c>
      <c r="Y28" s="67"/>
      <c r="Z28" s="65"/>
      <c r="AA28" s="66" t="str">
        <f>IF($AK8&gt;8,IF($AK7&gt;3,"/",""),"")</f>
        <v/>
      </c>
      <c r="AB28" s="67"/>
      <c r="AC28" s="65"/>
      <c r="AD28" s="66" t="str">
        <f>IF($AK8&gt;9,IF($AK7&gt;3,"/",""),"")</f>
        <v/>
      </c>
      <c r="AE28" s="67"/>
      <c r="AF28" s="57" t="str">
        <f>IF($AK9&gt;4,"Team 5","")</f>
        <v>Team 5</v>
      </c>
      <c r="AG28" s="68">
        <f>IF($AK9&lt;5,"",IF($AK8&lt;1,"",IF(B24=5,B30-D30,IF(D24=5,D30-B30,""))))</f>
        <v>-1</v>
      </c>
      <c r="AH28" s="64" t="str">
        <f>IF($AK9&lt;5,"",IF($AK8&lt;2,"",IF(E24=5,E30-G30,IF(G24=5,G30-E30,""))))</f>
        <v/>
      </c>
      <c r="AI28" s="64">
        <f>IF($AK9&lt;5,"",IF($AK8&lt;3,"",IF(H24=5,H30-J30,IF(J24=5,J30-H30,""))))</f>
        <v>9</v>
      </c>
      <c r="AJ28" s="64" t="str">
        <f>IF($AK9&lt;5,"",IF($AK8&lt;4,"",IF(K24=5,K30-M30,IF(M24=5,M30-K30,""))))</f>
        <v/>
      </c>
      <c r="AK28" s="64" t="str">
        <f>IF($AK9&lt;5,"",IF($AK8&lt;5,"",IF(N24=5,N30-P30,IF(P24=5,P30-N30,""))))</f>
        <v/>
      </c>
      <c r="AL28" s="64">
        <f>IF($AK9&lt;5,"",IF($AK8&lt;6,"",IF(Q24=5,Q30-S30,IF(S24=5,S30-Q30,""))))</f>
        <v>-3</v>
      </c>
      <c r="AM28" s="64" t="str">
        <f>IF($AK9&lt;5,"",IF($AK8&lt;7,"",IF(T24=5,T30-V30,IF(V24=5,V30-T30,""))))</f>
        <v/>
      </c>
      <c r="AN28" s="64">
        <f>IF($AK9&lt;5,"",IF($AK8&lt;8,"",IF(W24=5,W30-Y30,IF(Y24=5,Y30-W30,""))))</f>
        <v>11</v>
      </c>
      <c r="AO28" s="64" t="str">
        <f>IF($AK9&lt;5,"",IF($AK8&lt;9,"",IF(Z24=5,Z30-AB30,IF(AB24=5,AB30-Z30,""))))</f>
        <v/>
      </c>
      <c r="AP28" s="64" t="str">
        <f>IF($AK9&lt;5,"",IF($AK8&lt;10,"",IF(AC24=5,AC30-AE30,IF(AE24=5,AE30-AC30,""))))</f>
        <v/>
      </c>
      <c r="AQ28" s="59">
        <f>SUM(AG28:AP28)</f>
        <v>16</v>
      </c>
      <c r="AW28" s="7"/>
      <c r="AX28" s="7"/>
      <c r="AY28" s="7"/>
    </row>
    <row r="29" spans="1:51" ht="15" x14ac:dyDescent="0.2">
      <c r="A29" s="3" t="str">
        <f>IF($AK7&gt;4,"Game 5","")</f>
        <v/>
      </c>
      <c r="B29" s="65"/>
      <c r="C29" s="66" t="s">
        <v>74</v>
      </c>
      <c r="D29" s="67"/>
      <c r="E29" s="65"/>
      <c r="F29" s="66" t="str">
        <f>IF($AK8&gt;1,IF($AK7&gt;4,"/",""),"")</f>
        <v/>
      </c>
      <c r="G29" s="67"/>
      <c r="H29" s="65"/>
      <c r="I29" s="66" t="str">
        <f>IF($AK8&gt;2,IF($AK7&gt;4,"/",""),"")</f>
        <v/>
      </c>
      <c r="J29" s="67"/>
      <c r="K29" s="65"/>
      <c r="L29" s="66" t="str">
        <f>IF($AK8&gt;3,IF($AK7&gt;4,"/",""),"")</f>
        <v/>
      </c>
      <c r="M29" s="67"/>
      <c r="N29" s="65"/>
      <c r="O29" s="66" t="str">
        <f>IF($AK8&gt;4,IF($AK7&gt;4,"/",""),"")</f>
        <v/>
      </c>
      <c r="P29" s="67"/>
      <c r="Q29" s="65"/>
      <c r="R29" s="66" t="str">
        <f>IF($AK8&gt;5,IF($AK7&gt;4,"/",""),"")</f>
        <v/>
      </c>
      <c r="S29" s="67"/>
      <c r="T29" s="65"/>
      <c r="U29" s="66" t="str">
        <f>IF($AK8&gt;6,IF($AK7&gt;4,"/",""),"")</f>
        <v/>
      </c>
      <c r="V29" s="67"/>
      <c r="W29" s="65"/>
      <c r="X29" s="66" t="str">
        <f>IF($AK8&gt;7,IF($AK7&gt;4,"/",""),"")</f>
        <v/>
      </c>
      <c r="Y29" s="67"/>
      <c r="Z29" s="65"/>
      <c r="AA29" s="66" t="str">
        <f>IF($AK8&gt;8,IF($AK7&gt;4,"/",""),"")</f>
        <v/>
      </c>
      <c r="AB29" s="67"/>
      <c r="AC29" s="65"/>
      <c r="AD29" s="66" t="str">
        <f>IF($AK8&gt;9,IF($AK7&gt;4,"/",""),"")</f>
        <v/>
      </c>
      <c r="AE29" s="67"/>
      <c r="AF29" s="8"/>
      <c r="AG29" s="8"/>
      <c r="AH29" s="8"/>
      <c r="AI29" s="8"/>
      <c r="AJ29" s="8"/>
      <c r="AK29" s="8"/>
      <c r="AL29" s="8"/>
      <c r="AM29" s="8"/>
      <c r="AN29" s="8"/>
      <c r="AO29" s="8"/>
      <c r="AP29" s="8"/>
      <c r="AQ29" s="8"/>
      <c r="AW29" s="7"/>
      <c r="AX29" s="7"/>
      <c r="AY29" s="7"/>
    </row>
    <row r="30" spans="1:51" hidden="1" x14ac:dyDescent="0.2">
      <c r="A30" s="69"/>
      <c r="B30" s="69">
        <f>IF($AK7=5,SUM(B25:B29),IF($AK7=4,SUM(B25:B28),IF($AK7=3,SUM(B25:B27),IF($AK7=2,SUM(B25:B26),B25))))</f>
        <v>47</v>
      </c>
      <c r="C30" s="69"/>
      <c r="D30" s="69">
        <f>IF($AK7=5,SUM(D25:D29),IF($AK7=4,SUM(D25:D28),IF($AK7=3,SUM(D25:D27),IF($AK7=2,SUM(D25:D26),D25))))</f>
        <v>46</v>
      </c>
      <c r="E30" s="69">
        <f>IF($AK7=5,SUM(E25:E29),IF($AK7=4,SUM(E25:E28),IF($AK7=3,SUM(E25:E27),IF($AK7=2,SUM(E25:E26),E25))))</f>
        <v>51</v>
      </c>
      <c r="F30" s="69"/>
      <c r="G30" s="69">
        <f>IF($AK7=5,SUM(G25:G29),IF($AK7=4,SUM(G25:G28),IF($AK7=3,SUM(G25:G27),IF($AK7=2,SUM(G25:G26),G25))))</f>
        <v>50</v>
      </c>
      <c r="H30" s="69">
        <f>IF($AK7=5,SUM(H25:H29),IF($AK7=4,SUM(H25:H28),IF($AK7=3,SUM(H25:H27),IF($AK7=2,SUM(H25:H26),H25))))</f>
        <v>41</v>
      </c>
      <c r="I30" s="69"/>
      <c r="J30" s="69">
        <f>IF($AK7=5,SUM(J25:J29),IF($AK7=4,SUM(J25:J28),IF($AK7=3,SUM(J25:J27),IF($AK7=2,SUM(J25:J26),J25))))</f>
        <v>50</v>
      </c>
      <c r="K30" s="69">
        <f>IF($AK7=5,SUM(K25:K29),IF($AK7=4,SUM(K25:K28),IF($AK7=3,SUM(K25:K27),IF($AK7=2,SUM(K25:K26),K25))))</f>
        <v>44</v>
      </c>
      <c r="L30" s="69"/>
      <c r="M30" s="69">
        <f>IF($AK7=5,SUM(M25:M29),IF($AK7=4,SUM(M25:M28),IF($AK7=3,SUM(M25:M27),IF($AK7=2,SUM(M25:M26),M25))))</f>
        <v>49</v>
      </c>
      <c r="N30" s="69">
        <f>IF($AK7=5,SUM(N25:N29),IF($AK7=4,SUM(N25:N28),IF($AK7=3,SUM(N25:N27),IF($AK7=2,SUM(N25:N26),N25))))</f>
        <v>50</v>
      </c>
      <c r="O30" s="69"/>
      <c r="P30" s="69">
        <f>IF($AK7=5,SUM(P25:P29),IF($AK7=4,SUM(P25:P28),IF($AK7=3,SUM(P25:P27),IF($AK7=2,SUM(P25:P26),P25))))</f>
        <v>42</v>
      </c>
      <c r="Q30" s="69">
        <f>IF($AK7=5,SUM(Q25:Q29),IF($AK7=4,SUM(Q25:Q28),IF($AK7=3,SUM(Q25:Q27),IF($AK7=2,SUM(Q25:Q26),Q25))))</f>
        <v>50</v>
      </c>
      <c r="R30" s="69"/>
      <c r="S30" s="69">
        <f>IF($AK7=5,SUM(S25:S29),IF($AK7=4,SUM(S25:S28),IF($AK7=3,SUM(S25:S27),IF($AK7=2,SUM(S25:S26),S25))))</f>
        <v>47</v>
      </c>
      <c r="T30" s="69">
        <f>IF($AK7=5,SUM(T25:T29),IF($AK7=4,SUM(T25:T28),IF($AK7=3,SUM(T25:T27),IF($AK7=2,SUM(T25:T26),T25))))</f>
        <v>46</v>
      </c>
      <c r="U30" s="69"/>
      <c r="V30" s="69">
        <f>IF($AK7=5,SUM(V25:V29),IF($AK7=4,SUM(V25:V28),IF($AK7=3,SUM(V25:V27),IF($AK7=2,SUM(V25:V26),V25))))</f>
        <v>41</v>
      </c>
      <c r="W30" s="69">
        <f>IF($AK7=5,SUM(W25:W29),IF($AK7=4,SUM(W25:W28),IF($AK7=3,SUM(W25:W27),IF($AK7=2,SUM(W25:W26),W25))))</f>
        <v>37</v>
      </c>
      <c r="X30" s="69"/>
      <c r="Y30" s="69">
        <f>IF($AK7=5,SUM(Y25:Y29),IF($AK7=4,SUM(Y25:Y28),IF($AK7=3,SUM(Y25:Y27),IF($AK7=2,SUM(Y25:Y26),Y25))))</f>
        <v>48</v>
      </c>
      <c r="Z30" s="69">
        <f>IF($AK7=5,SUM(Z25:Z29),IF($AK7=4,SUM(Z25:Z28),IF($AK7=3,SUM(Z25:Z27),IF($AK7=2,SUM(Z25:Z26),Z25))))</f>
        <v>39</v>
      </c>
      <c r="AA30" s="69"/>
      <c r="AB30" s="69">
        <f>IF($AK7=5,SUM(AB25:AB29),IF($AK7=4,SUM(AB25:AB28),IF($AK7=3,SUM(AB25:AB27),IF($AK7=2,SUM(AB25:AB26),AB25))))</f>
        <v>50</v>
      </c>
      <c r="AC30" s="69">
        <f>IF($AK7=5,SUM(AC25:AC29),IF($AK7=4,SUM(AC25:AC28),IF($AK7=3,SUM(AC25:AC27),IF($AK7=2,SUM(AC25:AC26),AC25))))</f>
        <v>50</v>
      </c>
      <c r="AD30" s="69"/>
      <c r="AE30" s="69">
        <f>IF($AK7=5,SUM(AE25:AE29),IF($AK7=4,SUM(AE25:AE28),IF($AK7=3,SUM(AE25:AE27),IF($AK7=2,SUM(AE25:AE26),AE25))))</f>
        <v>39</v>
      </c>
      <c r="AF30" s="8"/>
      <c r="AG30" s="8"/>
      <c r="AH30" s="8"/>
      <c r="AI30" s="8"/>
      <c r="AJ30" s="8"/>
      <c r="AK30" s="8"/>
      <c r="AL30" s="8"/>
      <c r="AM30" s="8"/>
      <c r="AN30" s="8"/>
      <c r="AO30" s="8"/>
      <c r="AP30" s="8"/>
      <c r="AQ30" s="8"/>
    </row>
    <row r="31" spans="1:51" s="70" customFormat="1" ht="12.75" hidden="1" customHeight="1" x14ac:dyDescent="0.2">
      <c r="A31" s="70" t="s">
        <v>75</v>
      </c>
      <c r="B31" s="71">
        <f>IF(AND(B25&gt;D25,$AK8&gt;0,ISNUMBER(B25),ISNUMBER(D25)),1,0)</f>
        <v>1</v>
      </c>
      <c r="C31" s="71"/>
      <c r="D31" s="72">
        <f>IF(AND(D25&gt;B25,$AK8&gt;0,ISNUMBER(B25),ISNUMBER(D25)),1,0)</f>
        <v>0</v>
      </c>
      <c r="E31" s="71">
        <f>IF(AND(E25&gt;G25,$AK8&gt;1,ISNUMBER(E25),ISNUMBER(G25)),1,0)</f>
        <v>1</v>
      </c>
      <c r="F31" s="71"/>
      <c r="G31" s="72">
        <f>IF(AND(G25&gt;E25,$AK8&gt;1,ISNUMBER(E25),ISNUMBER(G25)),1,0)</f>
        <v>0</v>
      </c>
      <c r="H31" s="71">
        <f>IF(AND(H25&gt;J25,$AK8&gt;2,ISNUMBER(H25),ISNUMBER(J25)),1,0)</f>
        <v>0</v>
      </c>
      <c r="I31" s="71"/>
      <c r="J31" s="72">
        <f>IF(AND(J25&gt;H25,$AK8&gt;2,ISNUMBER(H25),ISNUMBER(J25)),1,0)</f>
        <v>1</v>
      </c>
      <c r="K31" s="71">
        <f>IF(AND(K25&gt;M25,$AK8&gt;3,ISNUMBER(K25),ISNUMBER(M25)),1,0)</f>
        <v>1</v>
      </c>
      <c r="L31" s="71"/>
      <c r="M31" s="72">
        <f>IF(AND(M25&gt;K25,$AK8&gt;3,ISNUMBER(K25),ISNUMBER(M25)),1,0)</f>
        <v>0</v>
      </c>
      <c r="N31" s="71">
        <f>IF(AND(N25&gt;P25,$AK8&gt;4,ISNUMBER(N25),ISNUMBER(P25)),1,0)</f>
        <v>1</v>
      </c>
      <c r="O31" s="71"/>
      <c r="P31" s="72">
        <f>IF(AND(P25&gt;N25,$AK8&gt;4,ISNUMBER(N25),ISNUMBER(P25)),1,0)</f>
        <v>0</v>
      </c>
      <c r="Q31" s="71">
        <f>IF(AND(Q25&gt;S25,$AK8&gt;5,ISNUMBER(Q25),ISNUMBER(S25)),1,0)</f>
        <v>0</v>
      </c>
      <c r="R31" s="71"/>
      <c r="S31" s="72">
        <f>IF(AND(S25&gt;Q25,$AK8&gt;5,ISNUMBER(Q25),ISNUMBER(S25)),1,0)</f>
        <v>1</v>
      </c>
      <c r="T31" s="71">
        <f>IF(AND(T25&gt;V25,$AK8&gt;6,ISNUMBER(T25),ISNUMBER(V25)),1,0)</f>
        <v>0</v>
      </c>
      <c r="U31" s="71"/>
      <c r="V31" s="72">
        <f>IF(AND(V25&gt;T25,$AK8&gt;6,ISNUMBER(T25),ISNUMBER(V25)),1,0)</f>
        <v>1</v>
      </c>
      <c r="W31" s="71">
        <f>IF(AND(W25&gt;Y25,$AK8&gt;7,ISNUMBER(W25),ISNUMBER(Y25)),1,0)</f>
        <v>1</v>
      </c>
      <c r="X31" s="71"/>
      <c r="Y31" s="72">
        <f>IF(AND(Y25&gt;W25,$AK8&gt;7,ISNUMBER(W25),ISNUMBER(Y25)),1,0)</f>
        <v>0</v>
      </c>
      <c r="Z31" s="71">
        <f>IF(AND(Z25&gt;AB25,$AK8&gt;8,ISNUMBER(Z25),ISNUMBER(AB25)),1,0)</f>
        <v>0</v>
      </c>
      <c r="AA31" s="71"/>
      <c r="AB31" s="72">
        <f>IF(AND(AB25&gt;Z25,$AK8&gt;8,ISNUMBER(Z25),ISNUMBER(AB25)),1,0)</f>
        <v>1</v>
      </c>
      <c r="AC31" s="71">
        <f>IF(AND(AC25&gt;AE25,$AK8&gt;9,ISNUMBER(AC25),ISNUMBER(AE25)),1,0)</f>
        <v>1</v>
      </c>
      <c r="AD31" s="71"/>
      <c r="AE31" s="72">
        <f>IF(AND(AE25&gt;AC25,$AK8&gt;9,ISNUMBER(AC25),ISNUMBER(AE25)),1,0)</f>
        <v>0</v>
      </c>
      <c r="AW31" s="154"/>
    </row>
    <row r="32" spans="1:51" s="70" customFormat="1" ht="12.75" hidden="1" customHeight="1" x14ac:dyDescent="0.2">
      <c r="A32" s="70" t="s">
        <v>76</v>
      </c>
      <c r="B32" s="71">
        <f>IF(AND(B26&gt;D26,$AK8&gt;0,$AK7&gt;1,ISNUMBER(B26),ISNUMBER(D26)),1,0)</f>
        <v>0</v>
      </c>
      <c r="C32" s="71"/>
      <c r="D32" s="72">
        <f>IF(AND(D26&gt;B26,$AK8&gt;0,$AK7&gt;1,ISNUMBER(B26),ISNUMBER(D26)),1,0)</f>
        <v>1</v>
      </c>
      <c r="E32" s="71">
        <f>IF(AND(E26&gt;G26,$AK8&gt;1,$AK7&gt;1,ISNUMBER(E26),ISNUMBER(G26)),1,0)</f>
        <v>0</v>
      </c>
      <c r="F32" s="71"/>
      <c r="G32" s="72">
        <f>IF(AND(G26&gt;E26,$AK8&gt;1,$AK7&gt;1,ISNUMBER(E26),ISNUMBER(G26)),1,0)</f>
        <v>1</v>
      </c>
      <c r="H32" s="71">
        <f>IF(AND(H26&gt;J26,$AK8&gt;2,$AK7&gt;1,ISNUMBER(H26),ISNUMBER(J26)),1,0)</f>
        <v>0</v>
      </c>
      <c r="I32" s="71"/>
      <c r="J32" s="72">
        <f>IF(AND(J26&gt;H26,$AK8&gt;2,$AK7&gt;1,ISNUMBER(H26),ISNUMBER(J26)),1,0)</f>
        <v>1</v>
      </c>
      <c r="K32" s="71">
        <f>IF(AND(K26&gt;M26,$AK8&gt;3,$AK7&gt;1,ISNUMBER(K26),ISNUMBER(M26)),1,0)</f>
        <v>0</v>
      </c>
      <c r="L32" s="71"/>
      <c r="M32" s="72">
        <f>IF(AND(M26&gt;K26,$AK8&gt;3,$AK7&gt;1,ISNUMBER(K26),ISNUMBER(M26)),1,0)</f>
        <v>1</v>
      </c>
      <c r="N32" s="71">
        <f>IF(AND(N26&gt;P26,$AK8&gt;4,$AK7&gt;1,ISNUMBER(N26),ISNUMBER(P26)),1,0)</f>
        <v>1</v>
      </c>
      <c r="O32" s="71"/>
      <c r="P32" s="72">
        <f>IF(AND(P26&gt;N26,$AK8&gt;4,$AK7&gt;1,ISNUMBER(N26),ISNUMBER(P26)),1,0)</f>
        <v>0</v>
      </c>
      <c r="Q32" s="71">
        <f>IF(AND(Q26&gt;S26,$AK8&gt;5,$AK7&gt;1,ISNUMBER(Q26),ISNUMBER(S26)),1,0)</f>
        <v>1</v>
      </c>
      <c r="R32" s="71"/>
      <c r="S32" s="72">
        <f>IF(AND(S26&gt;Q26,$AK8&gt;5,$AK7&gt;1,ISNUMBER(Q26),ISNUMBER(S26)),1,0)</f>
        <v>0</v>
      </c>
      <c r="T32" s="71">
        <f>IF(AND(T26&gt;V26,$AK8&gt;6,$AK7&gt;1,ISNUMBER(T26),ISNUMBER(V26)),1,0)</f>
        <v>1</v>
      </c>
      <c r="U32" s="71"/>
      <c r="V32" s="72">
        <f>IF(AND(V26&gt;T26,$AK8&gt;6,$AK7&gt;1,ISNUMBER(T26),ISNUMBER(V26)),1,0)</f>
        <v>0</v>
      </c>
      <c r="W32" s="71">
        <f>IF(AND(W26&gt;Y26,$AK8&gt;7,$AK7&gt;1,ISNUMBER(W26),ISNUMBER(Y26)),1,0)</f>
        <v>0</v>
      </c>
      <c r="X32" s="71"/>
      <c r="Y32" s="72">
        <f>IF(AND(Y26&gt;W26,$AK8&gt;7,$AK7&gt;1,ISNUMBER(W26),ISNUMBER(Y26)),1,0)</f>
        <v>1</v>
      </c>
      <c r="Z32" s="71">
        <f>IF(AND(Z26&gt;AB26,$AK8&gt;8,$AK7&gt;1,ISNUMBER(Z26),ISNUMBER(AB26)),1,0)</f>
        <v>0</v>
      </c>
      <c r="AA32" s="71"/>
      <c r="AB32" s="72">
        <f>IF(AND(AB26&gt;Z26,$AK8&gt;8,$AK7&gt;1,ISNUMBER(Z26),ISNUMBER(AB26)),1,0)</f>
        <v>1</v>
      </c>
      <c r="AC32" s="71">
        <f>IF(AND(AC26&gt;AE26,$AK8&gt;9,$AK7&gt;1,ISNUMBER(AC26),ISNUMBER(AE26)),1,0)</f>
        <v>1</v>
      </c>
      <c r="AD32" s="71"/>
      <c r="AE32" s="72">
        <f>IF(AND(AE26&gt;AC26,$AK8&gt;9,$AK7&gt;1,ISNUMBER(AC26),ISNUMBER(AE26)),1,0)</f>
        <v>0</v>
      </c>
      <c r="AW32" s="154"/>
    </row>
    <row r="33" spans="1:49" s="70" customFormat="1" ht="12.75" hidden="1" customHeight="1" x14ac:dyDescent="0.2">
      <c r="A33" s="70" t="s">
        <v>77</v>
      </c>
      <c r="B33" s="71">
        <f>IF(AND(B27&gt;D27,$AK8&gt;0,$AK7&gt;2,ISNUMBER(B27),ISNUMBER(D27)),1,0)</f>
        <v>0</v>
      </c>
      <c r="C33" s="71"/>
      <c r="D33" s="72">
        <f>IF(AND(D27&gt;B27,$AK8&gt;0,$AK7&gt;2,ISNUMBER(B27),ISNUMBER(D27)),1,0)</f>
        <v>0</v>
      </c>
      <c r="E33" s="71">
        <f>IF(AND(E27&gt;G27,$AK8&gt;1,$AK7&gt;2,ISNUMBER(E27),ISNUMBER(G27)),1,0)</f>
        <v>0</v>
      </c>
      <c r="F33" s="71"/>
      <c r="G33" s="72">
        <f>IF(AND(G27&gt;E27,$AK8&gt;1,$AK7&gt;2,ISNUMBER(E27),ISNUMBER(G27)),1,0)</f>
        <v>0</v>
      </c>
      <c r="H33" s="71">
        <f>IF(AND(H27&gt;J27,$AK8&gt;2,$AK7&gt;2,ISNUMBER(H27),ISNUMBER(J27)),1,0)</f>
        <v>0</v>
      </c>
      <c r="I33" s="71"/>
      <c r="J33" s="72">
        <f>IF(AND(J27&gt;H27,$AK8&gt;2,$AK7&gt;2,ISNUMBER(H27),ISNUMBER(J27)),1,0)</f>
        <v>0</v>
      </c>
      <c r="K33" s="71">
        <f>IF(AND(K27&gt;M27,$AK8&gt;3,$AK7&gt;2,ISNUMBER(K27),ISNUMBER(M27)),1,0)</f>
        <v>0</v>
      </c>
      <c r="L33" s="71"/>
      <c r="M33" s="72">
        <f>IF(AND(M27&gt;K27,$AK8&gt;3,$AK7&gt;2,ISNUMBER(K27),ISNUMBER(M27)),1,0)</f>
        <v>0</v>
      </c>
      <c r="N33" s="71">
        <f>IF(AND(N27&gt;P27,$AK8&gt;4,$AK7&gt;2,ISNUMBER(N27),ISNUMBER(P27)),1,0)</f>
        <v>0</v>
      </c>
      <c r="O33" s="71"/>
      <c r="P33" s="72">
        <f>IF(AND(P27&gt;N27,$AK8&gt;4,$AK7&gt;2,ISNUMBER(N27),ISNUMBER(P27)),1,0)</f>
        <v>0</v>
      </c>
      <c r="Q33" s="71">
        <f>IF(AND(Q27&gt;S27,$AK8&gt;5,$AK7&gt;2,ISNUMBER(Q27),ISNUMBER(S27)),1,0)</f>
        <v>0</v>
      </c>
      <c r="R33" s="71"/>
      <c r="S33" s="72">
        <f>IF(AND(S27&gt;Q27,$AK8&gt;5,$AK7&gt;2,ISNUMBER(Q27),ISNUMBER(S27)),1,0)</f>
        <v>0</v>
      </c>
      <c r="T33" s="71">
        <f>IF(AND(T27&gt;V27,$AK8&gt;6,$AK7&gt;2,ISNUMBER(T27),ISNUMBER(V27)),1,0)</f>
        <v>0</v>
      </c>
      <c r="U33" s="71"/>
      <c r="V33" s="72">
        <f>IF(AND(V27&gt;T27,$AK8&gt;6,$AK7&gt;2,ISNUMBER(T27),ISNUMBER(V27)),1,0)</f>
        <v>0</v>
      </c>
      <c r="W33" s="71">
        <f>IF(AND(W27&gt;Y27,$AK8&gt;7,$AK7&gt;2,ISNUMBER(W27),ISNUMBER(Y27)),1,0)</f>
        <v>0</v>
      </c>
      <c r="X33" s="71"/>
      <c r="Y33" s="72">
        <f>IF(AND(Y27&gt;W27,$AK8&gt;7,$AK7&gt;2,ISNUMBER(W27),ISNUMBER(Y27)),1,0)</f>
        <v>0</v>
      </c>
      <c r="Z33" s="71">
        <f>IF(AND(Z27&gt;AB27,$AK8&gt;8,$AK7&gt;2,ISNUMBER(Z27),ISNUMBER(AB27)),1,0)</f>
        <v>0</v>
      </c>
      <c r="AA33" s="71"/>
      <c r="AB33" s="72">
        <f>IF(AND(AB27&gt;Z27,$AK8&gt;8,$AK7&gt;2,ISNUMBER(Z27),ISNUMBER(AB27)),1,0)</f>
        <v>0</v>
      </c>
      <c r="AC33" s="71">
        <f>IF(AND(AC27&gt;AE27,$AK8&gt;9,$AK7&gt;2,ISNUMBER(AC27),ISNUMBER(AE27)),1,0)</f>
        <v>0</v>
      </c>
      <c r="AD33" s="71"/>
      <c r="AE33" s="72">
        <f>IF(AND(AE27&gt;AC27,$AK8&gt;9,$AK7&gt;2,ISNUMBER(AC27),ISNUMBER(AE27)),1,0)</f>
        <v>0</v>
      </c>
      <c r="AW33" s="154"/>
    </row>
    <row r="34" spans="1:49" s="70" customFormat="1" ht="12.75" hidden="1" customHeight="1" x14ac:dyDescent="0.2">
      <c r="A34" s="70" t="s">
        <v>78</v>
      </c>
      <c r="B34" s="71">
        <f>IF(AND(B28&gt;D28,$AK8&gt;0,$AK7&gt;3,ISNUMBER(B28),ISNUMBER(D28)),1,0)</f>
        <v>0</v>
      </c>
      <c r="C34" s="71"/>
      <c r="D34" s="72">
        <f>IF(AND(D28&gt;B28,$AK8&gt;0,$AK7&gt;3,ISNUMBER(B28),ISNUMBER(D28)),1,0)</f>
        <v>0</v>
      </c>
      <c r="E34" s="71">
        <f>IF(AND(E28&gt;G28,$AK8&gt;1,$AK7&gt;3,ISNUMBER(E28),ISNUMBER(G28)),1,0)</f>
        <v>0</v>
      </c>
      <c r="F34" s="71"/>
      <c r="G34" s="72">
        <f>IF(AND(G28&gt;E28,$AK8&gt;1,$AK7&gt;3,ISNUMBER(E28),ISNUMBER(G28)),1,0)</f>
        <v>0</v>
      </c>
      <c r="H34" s="71">
        <f>IF(AND(H28&gt;J28,$AK8&gt;2,$AK7&gt;3,ISNUMBER(H28),ISNUMBER(J28)),1,0)</f>
        <v>0</v>
      </c>
      <c r="I34" s="71"/>
      <c r="J34" s="72">
        <f>IF(AND(J28&gt;H28,$AK8&gt;2,$AK7&gt;3,ISNUMBER(H28),ISNUMBER(J28)),1,0)</f>
        <v>0</v>
      </c>
      <c r="K34" s="71">
        <f>IF(AND(K28&gt;M28,$AK8&gt;3,$AK7&gt;3,ISNUMBER(K28),ISNUMBER(M28)),1,0)</f>
        <v>0</v>
      </c>
      <c r="L34" s="71"/>
      <c r="M34" s="72">
        <f>IF(AND(M28&gt;K28,$AK8&gt;3,$AK7&gt;3,ISNUMBER(K28),ISNUMBER(M28)),1,0)</f>
        <v>0</v>
      </c>
      <c r="N34" s="71">
        <f>IF(AND(N28&gt;P28,$AK8&gt;4,$AK7&gt;3,ISNUMBER(N28),ISNUMBER(P28)),1,0)</f>
        <v>0</v>
      </c>
      <c r="O34" s="71"/>
      <c r="P34" s="72">
        <f>IF(AND(P28&gt;N28,$AK8&gt;4,$AK7&gt;3,ISNUMBER(N28),ISNUMBER(P28)),1,0)</f>
        <v>0</v>
      </c>
      <c r="Q34" s="71">
        <f>IF(AND(Q28&gt;S28,$AK8&gt;5,$AK7&gt;3,ISNUMBER(Q28),ISNUMBER(S28)),1,0)</f>
        <v>0</v>
      </c>
      <c r="R34" s="71"/>
      <c r="S34" s="72">
        <f>IF(AND(S28&gt;Q28,$AK8&gt;5,$AK7&gt;3,ISNUMBER(Q28),ISNUMBER(S28)),1,0)</f>
        <v>0</v>
      </c>
      <c r="T34" s="71">
        <f>IF(AND(T28&gt;V28,$AK8&gt;6,$AK7&gt;3,ISNUMBER(T28),ISNUMBER(V28)),1,0)</f>
        <v>0</v>
      </c>
      <c r="U34" s="71"/>
      <c r="V34" s="72">
        <f>IF(AND(V28&gt;T28,$AK8&gt;6,$AK7&gt;3,ISNUMBER(T28),ISNUMBER(V28)),1,0)</f>
        <v>0</v>
      </c>
      <c r="W34" s="71">
        <f>IF(AND(W28&gt;Y28,$AK8&gt;7,$AK7&gt;3,ISNUMBER(W28),ISNUMBER(Y28)),1,0)</f>
        <v>0</v>
      </c>
      <c r="X34" s="71"/>
      <c r="Y34" s="72">
        <f>IF(AND(Y28&gt;W28,$AK8&gt;7,$AK7&gt;3,ISNUMBER(W28),ISNUMBER(Y28)),1,0)</f>
        <v>0</v>
      </c>
      <c r="Z34" s="71">
        <f>IF(AND(Z28&gt;AB28,$AK8&gt;8,$AK7&gt;3,ISNUMBER(Z28),ISNUMBER(AB28)),1,0)</f>
        <v>0</v>
      </c>
      <c r="AA34" s="71"/>
      <c r="AB34" s="72">
        <f>IF(AND(AB28&gt;Z28,$AK8&gt;8,$AK7&gt;3,ISNUMBER(Z28),ISNUMBER(AB28)),1,0)</f>
        <v>0</v>
      </c>
      <c r="AC34" s="71">
        <f>IF(AND(AC28&gt;AE28,$AK8&gt;9,$AK7&gt;3,ISNUMBER(AC28),ISNUMBER(AE28)),1,0)</f>
        <v>0</v>
      </c>
      <c r="AD34" s="71"/>
      <c r="AE34" s="72">
        <f>IF(AND(AE28&gt;AC28,$AK8&gt;9,$AK7&gt;3,ISNUMBER(AC28),ISNUMBER(AE28)),1,0)</f>
        <v>0</v>
      </c>
      <c r="AW34" s="154"/>
    </row>
    <row r="35" spans="1:49" s="70" customFormat="1" ht="12.75" hidden="1" customHeight="1" x14ac:dyDescent="0.2">
      <c r="A35" s="70" t="s">
        <v>79</v>
      </c>
      <c r="B35" s="71">
        <f>IF(AND(B29&gt;D29,$AK8&gt;0,$AK7&gt;4,ISNUMBER(B29),ISNUMBER(D29)),1,0)</f>
        <v>0</v>
      </c>
      <c r="C35" s="71"/>
      <c r="D35" s="72">
        <f>IF(AND(D29&gt;B29,$AK8&gt;0,$AK7&gt;4,ISNUMBER(B29),ISNUMBER(D29)),1,0)</f>
        <v>0</v>
      </c>
      <c r="E35" s="71">
        <f>IF(AND(E29&gt;G29,$AK8&gt;1,$AK7&gt;4,ISNUMBER(E29),ISNUMBER(G29)),1,0)</f>
        <v>0</v>
      </c>
      <c r="F35" s="71"/>
      <c r="G35" s="72">
        <f>IF(AND(G29&gt;E29,$AK8&gt;1,$AK7&gt;4,ISNUMBER(E29),ISNUMBER(G29)),1,0)</f>
        <v>0</v>
      </c>
      <c r="H35" s="71">
        <f>IF(AND(H29&gt;J29,$AK8&gt;2,$AK7&gt;4,ISNUMBER(H29),ISNUMBER(J29)),1,0)</f>
        <v>0</v>
      </c>
      <c r="I35" s="71"/>
      <c r="J35" s="72">
        <f>IF(AND(J29&gt;H29,$AK8&gt;2,$AK7&gt;4,ISNUMBER(H29),ISNUMBER(J29)),1,0)</f>
        <v>0</v>
      </c>
      <c r="K35" s="71">
        <f>IF(AND(K29&gt;M29,$AK8&gt;3,$AK7&gt;4,ISNUMBER(K29),ISNUMBER(M29)),1,0)</f>
        <v>0</v>
      </c>
      <c r="L35" s="71"/>
      <c r="M35" s="72">
        <f>IF(AND(M29&gt;K29,$AK8&gt;3,$AK7&gt;4,ISNUMBER(K29),ISNUMBER(M29)),1,0)</f>
        <v>0</v>
      </c>
      <c r="N35" s="71">
        <f>IF(AND(N29&gt;P29,$AK8&gt;4,$AK7&gt;4,ISNUMBER(N29),ISNUMBER(P29)),1,0)</f>
        <v>0</v>
      </c>
      <c r="O35" s="71"/>
      <c r="P35" s="72">
        <f>IF(AND(P29&gt;N29,$AK8&gt;4,$AK7&gt;4,ISNUMBER(N29),ISNUMBER(P29)),1,0)</f>
        <v>0</v>
      </c>
      <c r="Q35" s="71">
        <f>IF(AND(Q29&gt;S29,$AK8&gt;5,$AK7&gt;4,ISNUMBER(Q29),ISNUMBER(S29)),1,0)</f>
        <v>0</v>
      </c>
      <c r="R35" s="71"/>
      <c r="S35" s="72">
        <f>IF(AND(S29&gt;Q29,$AK8&gt;5,$AK7&gt;4,ISNUMBER(Q29),ISNUMBER(S29)),1,0)</f>
        <v>0</v>
      </c>
      <c r="T35" s="71">
        <f>IF(AND(T29&gt;V29,$AK8&gt;6,$AK7&gt;4,ISNUMBER(T29),ISNUMBER(V29)),1,0)</f>
        <v>0</v>
      </c>
      <c r="U35" s="71"/>
      <c r="V35" s="72">
        <f>IF(AND(V29&gt;T29,$AK8&gt;6,$AK7&gt;4,ISNUMBER(T29),ISNUMBER(V29)),1,0)</f>
        <v>0</v>
      </c>
      <c r="W35" s="71">
        <f>IF(AND(W29&gt;Y29,$AK8&gt;7,$AK7&gt;4,ISNUMBER(W29),ISNUMBER(Y29)),1,0)</f>
        <v>0</v>
      </c>
      <c r="X35" s="71"/>
      <c r="Y35" s="72">
        <f>IF(AND(Y29&gt;W29,$AK8&gt;7,$AK7&gt;4,ISNUMBER(W29),ISNUMBER(Y29)),1,0)</f>
        <v>0</v>
      </c>
      <c r="Z35" s="71">
        <f>IF(AND(Z29&gt;AB29,$AK8&gt;8,$AK7&gt;4,ISNUMBER(Z29),ISNUMBER(AB29)),1,0)</f>
        <v>0</v>
      </c>
      <c r="AA35" s="71"/>
      <c r="AB35" s="72">
        <f>IF(AND(AB29&gt;Z29,$AK8&gt;8,$AK7&gt;4,ISNUMBER(Z29),ISNUMBER(AB29)),1,0)</f>
        <v>0</v>
      </c>
      <c r="AC35" s="71">
        <f>IF(AND(AC29&gt;AE29,$AK8&gt;9,$AK7&gt;4,ISNUMBER(AC29),ISNUMBER(AE29)),1,0)</f>
        <v>0</v>
      </c>
      <c r="AD35" s="71"/>
      <c r="AE35" s="72">
        <f>IF(AND(AE29&gt;AC29,$AK8&gt;9,$AK7&gt;4,ISNUMBER(AC29),ISNUMBER(AE29)),1,0)</f>
        <v>0</v>
      </c>
      <c r="AW35" s="154"/>
    </row>
    <row r="36" spans="1:49" s="70" customFormat="1" ht="38.25" hidden="1" customHeight="1" x14ac:dyDescent="0.2">
      <c r="A36" s="73" t="s">
        <v>80</v>
      </c>
      <c r="B36" s="70">
        <f>SUM(B31:B35)</f>
        <v>1</v>
      </c>
      <c r="D36" s="74">
        <f>SUM(D31:D35)</f>
        <v>1</v>
      </c>
      <c r="E36" s="70">
        <f>SUM(E31:E35)</f>
        <v>1</v>
      </c>
      <c r="G36" s="74">
        <f>SUM(G31:G35)</f>
        <v>1</v>
      </c>
      <c r="H36" s="70">
        <f>SUM(H31:H35)</f>
        <v>0</v>
      </c>
      <c r="J36" s="74">
        <f>SUM(J31:J35)</f>
        <v>2</v>
      </c>
      <c r="K36" s="70">
        <f>SUM(K31:K35)</f>
        <v>1</v>
      </c>
      <c r="M36" s="74">
        <f>SUM(M31:M35)</f>
        <v>1</v>
      </c>
      <c r="N36" s="70">
        <f>SUM(N31:N35)</f>
        <v>2</v>
      </c>
      <c r="P36" s="74">
        <f>SUM(P31:P35)</f>
        <v>0</v>
      </c>
      <c r="Q36" s="70">
        <f>SUM(Q31:Q35)</f>
        <v>1</v>
      </c>
      <c r="S36" s="74">
        <f>SUM(S31:S35)</f>
        <v>1</v>
      </c>
      <c r="T36" s="70">
        <f>SUM(T31:T35)</f>
        <v>1</v>
      </c>
      <c r="V36" s="74">
        <f>SUM(V31:V35)</f>
        <v>1</v>
      </c>
      <c r="W36" s="70">
        <f>SUM(W31:W35)</f>
        <v>1</v>
      </c>
      <c r="Y36" s="74">
        <f>SUM(Y31:Y35)</f>
        <v>1</v>
      </c>
      <c r="Z36" s="70">
        <f>SUM(Z31:Z35)</f>
        <v>0</v>
      </c>
      <c r="AB36" s="74">
        <f>SUM(AB31:AB35)</f>
        <v>2</v>
      </c>
      <c r="AC36" s="70">
        <f>SUM(AC31:AC35)</f>
        <v>2</v>
      </c>
      <c r="AE36" s="74">
        <f>SUM(AE31:AE35)</f>
        <v>0</v>
      </c>
      <c r="AW36" s="154"/>
    </row>
    <row r="37" spans="1:49" s="70" customFormat="1" ht="25.5" hidden="1" customHeight="1" x14ac:dyDescent="0.2">
      <c r="A37" s="73" t="s">
        <v>81</v>
      </c>
      <c r="B37" s="70">
        <f>IF(B36&gt;D36,IF(C71=AK7,1,IF(C71=AK7-1,1,0)),0)</f>
        <v>0</v>
      </c>
      <c r="C37" s="70">
        <f>B37+D37</f>
        <v>0</v>
      </c>
      <c r="D37" s="74">
        <f>IF(D36&gt;B36,IF(C71=AK7,1,IF(C71=AK7-1,1,0)),0)</f>
        <v>0</v>
      </c>
      <c r="E37" s="70">
        <f>IF(E36&gt;G36,IF(F71=AK7,1,IF(F71=AK7-1,1,0)),0)</f>
        <v>0</v>
      </c>
      <c r="F37" s="70">
        <f>E37+G37</f>
        <v>0</v>
      </c>
      <c r="G37" s="74">
        <f>IF(G36&gt;E36,IF(F71=AK7,1,IF(F71=AK7-1,1,0)),0)</f>
        <v>0</v>
      </c>
      <c r="H37" s="70">
        <f>IF(H36&gt;J36,IF(I71=AK7,1,IF(I71=AK7-1,1,0)),0)</f>
        <v>0</v>
      </c>
      <c r="I37" s="70">
        <f>H37+J37</f>
        <v>1</v>
      </c>
      <c r="J37" s="74">
        <f>IF(J36&gt;H36,IF(I71=AK7,1,IF(I71=AK7-1,1,0)),0)</f>
        <v>1</v>
      </c>
      <c r="K37" s="70">
        <f>IF(K36&gt;M36,IF(L71=AK7,1,IF(L71=AK7-1,1,0)),0)</f>
        <v>0</v>
      </c>
      <c r="L37" s="70">
        <f>K37+M37</f>
        <v>0</v>
      </c>
      <c r="M37" s="74">
        <f>IF(M36&gt;K36,IF(L71=AK7,1,IF(L71=AK7-1,1,0)),0)</f>
        <v>0</v>
      </c>
      <c r="N37" s="70">
        <f>IF(N36&gt;P36,IF(O71=AK7,1,IF(O71=AK7-1,1,0)),0)</f>
        <v>1</v>
      </c>
      <c r="O37" s="70">
        <f>N37+P37</f>
        <v>1</v>
      </c>
      <c r="P37" s="74">
        <f>IF(P36&gt;N36,IF(O71=AK7,1,IF(O71=AK7-1,1,0)),0)</f>
        <v>0</v>
      </c>
      <c r="Q37" s="70">
        <f>IF(Q36&gt;S36,IF(R71=AK7,1,IF(R71=AK7-1,1,0)),0)</f>
        <v>0</v>
      </c>
      <c r="R37" s="70">
        <f>Q37+S37</f>
        <v>0</v>
      </c>
      <c r="S37" s="74">
        <f>IF(S36&gt;Q36,IF(R71=AK7,1,IF(R71=AK7-1,1,0)),0)</f>
        <v>0</v>
      </c>
      <c r="T37" s="70">
        <f>IF(T36&gt;V36,IF(U71=AK7,1,IF(U71=AK7-1,1,0)),0)</f>
        <v>0</v>
      </c>
      <c r="U37" s="70">
        <f>T37+V37</f>
        <v>0</v>
      </c>
      <c r="V37" s="74">
        <f>IF(V36&gt;T36,IF(U71=AK7,1,IF(U71=AK7-1,1,0)),0)</f>
        <v>0</v>
      </c>
      <c r="W37" s="70">
        <f>IF(W36&gt;Y36,IF(X71=AK7,1,IF(X71=AK7-1,1,0)),0)</f>
        <v>0</v>
      </c>
      <c r="X37" s="70">
        <f>W37+Y37</f>
        <v>0</v>
      </c>
      <c r="Y37" s="74">
        <f>IF(Y36&gt;W36,IF(X71=AK7,1,IF(X71=AK7-1,1,0)),0)</f>
        <v>0</v>
      </c>
      <c r="Z37" s="70">
        <f>IF(Z36&gt;AB36,IF(AA71=AK7,1,IF(AA71=AK7-1,1,0)),0)</f>
        <v>0</v>
      </c>
      <c r="AA37" s="70">
        <f>Z37+AB37</f>
        <v>1</v>
      </c>
      <c r="AB37" s="74">
        <f>IF(AB36&gt;Z36,IF(AA71=AK7,1,IF(AA71=AK7-1,1,0)),0)</f>
        <v>1</v>
      </c>
      <c r="AC37" s="70">
        <f>IF(AC36&gt;AE36,IF(AD71=AK7,1,IF(AD71=AK7-1,1,0)),0)</f>
        <v>1</v>
      </c>
      <c r="AD37" s="70">
        <f>AC37+AE37</f>
        <v>1</v>
      </c>
      <c r="AE37" s="74">
        <f>IF(AE36&gt;AC36,IF(AD71=AK7,1,IF(AD71=AK7-1,1,0)),0)</f>
        <v>0</v>
      </c>
      <c r="AW37" s="154"/>
    </row>
    <row r="38" spans="1:49" s="70" customFormat="1" ht="25.5" hidden="1" customHeight="1" x14ac:dyDescent="0.2">
      <c r="A38" s="73"/>
      <c r="D38" s="74"/>
      <c r="G38" s="74"/>
      <c r="J38" s="74"/>
      <c r="M38" s="74"/>
      <c r="P38" s="74"/>
      <c r="S38" s="74"/>
      <c r="V38" s="74"/>
      <c r="Y38" s="74"/>
      <c r="AB38" s="74"/>
      <c r="AE38" s="74"/>
      <c r="AW38" s="154"/>
    </row>
    <row r="39" spans="1:49" s="70" customFormat="1" ht="12.75" hidden="1" customHeight="1" x14ac:dyDescent="0.2">
      <c r="A39" s="70" t="s">
        <v>82</v>
      </c>
      <c r="B39" s="70">
        <f>IF(B31=1,B25,0)</f>
        <v>25</v>
      </c>
      <c r="D39" s="74">
        <f t="shared" ref="D39:E43" si="2">IF(D31=1,D25,0)</f>
        <v>0</v>
      </c>
      <c r="E39" s="70">
        <f t="shared" si="2"/>
        <v>25</v>
      </c>
      <c r="G39" s="74">
        <f t="shared" ref="G39:H43" si="3">IF(G31=1,G25,0)</f>
        <v>0</v>
      </c>
      <c r="H39" s="70">
        <f t="shared" si="3"/>
        <v>0</v>
      </c>
      <c r="J39" s="74">
        <f t="shared" ref="J39:K43" si="4">IF(J31=1,J25,0)</f>
        <v>25</v>
      </c>
      <c r="K39" s="70">
        <f t="shared" si="4"/>
        <v>26</v>
      </c>
      <c r="M39" s="74">
        <f t="shared" ref="M39:N43" si="5">IF(M31=1,M25,0)</f>
        <v>0</v>
      </c>
      <c r="N39" s="70">
        <f t="shared" si="5"/>
        <v>25</v>
      </c>
      <c r="P39" s="74">
        <f t="shared" ref="P39:Q43" si="6">IF(P31=1,P25,0)</f>
        <v>0</v>
      </c>
      <c r="Q39" s="70">
        <f t="shared" si="6"/>
        <v>0</v>
      </c>
      <c r="S39" s="74">
        <f t="shared" ref="S39:T43" si="7">IF(S31=1,S25,0)</f>
        <v>27</v>
      </c>
      <c r="T39" s="70">
        <f t="shared" si="7"/>
        <v>0</v>
      </c>
      <c r="V39" s="74">
        <f t="shared" ref="V39:W43" si="8">IF(V31=1,V25,0)</f>
        <v>25</v>
      </c>
      <c r="W39" s="70">
        <f t="shared" si="8"/>
        <v>25</v>
      </c>
      <c r="Y39" s="74">
        <f t="shared" ref="Y39:Z43" si="9">IF(Y31=1,Y25,0)</f>
        <v>0</v>
      </c>
      <c r="Z39" s="70">
        <f t="shared" si="9"/>
        <v>0</v>
      </c>
      <c r="AB39" s="74">
        <f t="shared" ref="AB39:AC43" si="10">IF(AB31=1,AB25,0)</f>
        <v>25</v>
      </c>
      <c r="AC39" s="70">
        <f t="shared" si="10"/>
        <v>25</v>
      </c>
      <c r="AE39" s="74">
        <f>IF(AE31=1,AE25,0)</f>
        <v>0</v>
      </c>
      <c r="AW39" s="154"/>
    </row>
    <row r="40" spans="1:49" s="70" customFormat="1" ht="12.75" hidden="1" customHeight="1" x14ac:dyDescent="0.2">
      <c r="A40" s="70" t="s">
        <v>83</v>
      </c>
      <c r="B40" s="70">
        <f>IF(B32=1,B26,0)</f>
        <v>0</v>
      </c>
      <c r="D40" s="74">
        <f t="shared" si="2"/>
        <v>25</v>
      </c>
      <c r="E40" s="70">
        <f t="shared" si="2"/>
        <v>0</v>
      </c>
      <c r="G40" s="74">
        <f t="shared" si="3"/>
        <v>27</v>
      </c>
      <c r="H40" s="70">
        <f t="shared" si="3"/>
        <v>0</v>
      </c>
      <c r="J40" s="74">
        <f t="shared" si="4"/>
        <v>25</v>
      </c>
      <c r="K40" s="70">
        <f t="shared" si="4"/>
        <v>0</v>
      </c>
      <c r="M40" s="74">
        <f t="shared" si="5"/>
        <v>25</v>
      </c>
      <c r="N40" s="70">
        <f t="shared" si="5"/>
        <v>25</v>
      </c>
      <c r="P40" s="74">
        <f t="shared" si="6"/>
        <v>0</v>
      </c>
      <c r="Q40" s="70">
        <f t="shared" si="6"/>
        <v>25</v>
      </c>
      <c r="S40" s="74">
        <f t="shared" si="7"/>
        <v>0</v>
      </c>
      <c r="T40" s="70">
        <f t="shared" si="7"/>
        <v>25</v>
      </c>
      <c r="V40" s="74">
        <f t="shared" si="8"/>
        <v>0</v>
      </c>
      <c r="W40" s="70">
        <f t="shared" si="8"/>
        <v>0</v>
      </c>
      <c r="Y40" s="74">
        <f t="shared" si="9"/>
        <v>25</v>
      </c>
      <c r="Z40" s="70">
        <f t="shared" si="9"/>
        <v>0</v>
      </c>
      <c r="AB40" s="74">
        <f t="shared" si="10"/>
        <v>25</v>
      </c>
      <c r="AC40" s="70">
        <f t="shared" si="10"/>
        <v>25</v>
      </c>
      <c r="AE40" s="74">
        <f>IF(AE32=1,AE26,0)</f>
        <v>0</v>
      </c>
      <c r="AW40" s="154"/>
    </row>
    <row r="41" spans="1:49" s="70" customFormat="1" ht="12.75" hidden="1" customHeight="1" x14ac:dyDescent="0.2">
      <c r="A41" s="70" t="s">
        <v>84</v>
      </c>
      <c r="B41" s="70">
        <f>IF(B33=1,B27,0)</f>
        <v>0</v>
      </c>
      <c r="D41" s="74">
        <f t="shared" si="2"/>
        <v>0</v>
      </c>
      <c r="E41" s="70">
        <f t="shared" si="2"/>
        <v>0</v>
      </c>
      <c r="G41" s="74">
        <f t="shared" si="3"/>
        <v>0</v>
      </c>
      <c r="H41" s="70">
        <f t="shared" si="3"/>
        <v>0</v>
      </c>
      <c r="J41" s="74">
        <f t="shared" si="4"/>
        <v>0</v>
      </c>
      <c r="K41" s="70">
        <f t="shared" si="4"/>
        <v>0</v>
      </c>
      <c r="M41" s="74">
        <f t="shared" si="5"/>
        <v>0</v>
      </c>
      <c r="N41" s="70">
        <f t="shared" si="5"/>
        <v>0</v>
      </c>
      <c r="P41" s="74">
        <f t="shared" si="6"/>
        <v>0</v>
      </c>
      <c r="Q41" s="70">
        <f t="shared" si="6"/>
        <v>0</v>
      </c>
      <c r="S41" s="74">
        <f t="shared" si="7"/>
        <v>0</v>
      </c>
      <c r="T41" s="70">
        <f t="shared" si="7"/>
        <v>0</v>
      </c>
      <c r="V41" s="74">
        <f t="shared" si="8"/>
        <v>0</v>
      </c>
      <c r="W41" s="70">
        <f t="shared" si="8"/>
        <v>0</v>
      </c>
      <c r="Y41" s="74">
        <f t="shared" si="9"/>
        <v>0</v>
      </c>
      <c r="Z41" s="70">
        <f t="shared" si="9"/>
        <v>0</v>
      </c>
      <c r="AB41" s="74">
        <f t="shared" si="10"/>
        <v>0</v>
      </c>
      <c r="AC41" s="70">
        <f t="shared" si="10"/>
        <v>0</v>
      </c>
      <c r="AE41" s="74">
        <f>IF(AE33=1,AE27,0)</f>
        <v>0</v>
      </c>
      <c r="AW41" s="154"/>
    </row>
    <row r="42" spans="1:49" s="70" customFormat="1" ht="12.75" hidden="1" customHeight="1" x14ac:dyDescent="0.2">
      <c r="A42" s="70" t="s">
        <v>85</v>
      </c>
      <c r="B42" s="70">
        <f>IF(B34=1,B28,0)</f>
        <v>0</v>
      </c>
      <c r="D42" s="74">
        <f t="shared" si="2"/>
        <v>0</v>
      </c>
      <c r="E42" s="70">
        <f t="shared" si="2"/>
        <v>0</v>
      </c>
      <c r="G42" s="74">
        <f t="shared" si="3"/>
        <v>0</v>
      </c>
      <c r="H42" s="70">
        <f t="shared" si="3"/>
        <v>0</v>
      </c>
      <c r="J42" s="74">
        <f t="shared" si="4"/>
        <v>0</v>
      </c>
      <c r="K42" s="70">
        <f t="shared" si="4"/>
        <v>0</v>
      </c>
      <c r="M42" s="74">
        <f t="shared" si="5"/>
        <v>0</v>
      </c>
      <c r="N42" s="70">
        <f t="shared" si="5"/>
        <v>0</v>
      </c>
      <c r="P42" s="74">
        <f t="shared" si="6"/>
        <v>0</v>
      </c>
      <c r="Q42" s="70">
        <f t="shared" si="6"/>
        <v>0</v>
      </c>
      <c r="S42" s="74">
        <f t="shared" si="7"/>
        <v>0</v>
      </c>
      <c r="T42" s="70">
        <f t="shared" si="7"/>
        <v>0</v>
      </c>
      <c r="V42" s="74">
        <f t="shared" si="8"/>
        <v>0</v>
      </c>
      <c r="W42" s="70">
        <f t="shared" si="8"/>
        <v>0</v>
      </c>
      <c r="Y42" s="74">
        <f t="shared" si="9"/>
        <v>0</v>
      </c>
      <c r="Z42" s="70">
        <f t="shared" si="9"/>
        <v>0</v>
      </c>
      <c r="AB42" s="74">
        <f t="shared" si="10"/>
        <v>0</v>
      </c>
      <c r="AC42" s="70">
        <f t="shared" si="10"/>
        <v>0</v>
      </c>
      <c r="AE42" s="74">
        <f>IF(AE34=1,AE28,0)</f>
        <v>0</v>
      </c>
      <c r="AW42" s="154"/>
    </row>
    <row r="43" spans="1:49" s="70" customFormat="1" ht="12.75" hidden="1" customHeight="1" x14ac:dyDescent="0.2">
      <c r="A43" s="70" t="s">
        <v>86</v>
      </c>
      <c r="B43" s="70">
        <f>IF(B35=1,B29,0)</f>
        <v>0</v>
      </c>
      <c r="D43" s="74">
        <f t="shared" si="2"/>
        <v>0</v>
      </c>
      <c r="E43" s="70">
        <f t="shared" si="2"/>
        <v>0</v>
      </c>
      <c r="G43" s="74">
        <f t="shared" si="3"/>
        <v>0</v>
      </c>
      <c r="H43" s="70">
        <f t="shared" si="3"/>
        <v>0</v>
      </c>
      <c r="J43" s="74">
        <f t="shared" si="4"/>
        <v>0</v>
      </c>
      <c r="K43" s="70">
        <f t="shared" si="4"/>
        <v>0</v>
      </c>
      <c r="M43" s="74">
        <f t="shared" si="5"/>
        <v>0</v>
      </c>
      <c r="N43" s="70">
        <f t="shared" si="5"/>
        <v>0</v>
      </c>
      <c r="P43" s="74">
        <f t="shared" si="6"/>
        <v>0</v>
      </c>
      <c r="Q43" s="70">
        <f t="shared" si="6"/>
        <v>0</v>
      </c>
      <c r="S43" s="74">
        <f t="shared" si="7"/>
        <v>0</v>
      </c>
      <c r="T43" s="70">
        <f t="shared" si="7"/>
        <v>0</v>
      </c>
      <c r="V43" s="74">
        <f t="shared" si="8"/>
        <v>0</v>
      </c>
      <c r="W43" s="70">
        <f t="shared" si="8"/>
        <v>0</v>
      </c>
      <c r="Y43" s="74">
        <f t="shared" si="9"/>
        <v>0</v>
      </c>
      <c r="Z43" s="70">
        <f t="shared" si="9"/>
        <v>0</v>
      </c>
      <c r="AB43" s="74">
        <f t="shared" si="10"/>
        <v>0</v>
      </c>
      <c r="AC43" s="70">
        <f t="shared" si="10"/>
        <v>0</v>
      </c>
      <c r="AE43" s="74">
        <f>IF(AE35=1,AE29,0)</f>
        <v>0</v>
      </c>
      <c r="AW43" s="154"/>
    </row>
    <row r="44" spans="1:49" s="70" customFormat="1" ht="38.25" hidden="1" customHeight="1" x14ac:dyDescent="0.2">
      <c r="A44" s="73" t="s">
        <v>87</v>
      </c>
      <c r="B44" s="70">
        <f>SUM(B39:D43)</f>
        <v>50</v>
      </c>
      <c r="D44" s="74"/>
      <c r="E44" s="70">
        <f>SUM(E39:G43)</f>
        <v>52</v>
      </c>
      <c r="G44" s="74"/>
      <c r="H44" s="70">
        <f>SUM(H39:J43)</f>
        <v>50</v>
      </c>
      <c r="J44" s="74"/>
      <c r="K44" s="70">
        <f>SUM(K39:M43)</f>
        <v>51</v>
      </c>
      <c r="M44" s="74"/>
      <c r="N44" s="70">
        <f>SUM(N39:P43)</f>
        <v>50</v>
      </c>
      <c r="P44" s="74"/>
      <c r="Q44" s="70">
        <f>SUM(Q39:S43)</f>
        <v>52</v>
      </c>
      <c r="S44" s="74"/>
      <c r="T44" s="70">
        <f>SUM(T39:V43)</f>
        <v>50</v>
      </c>
      <c r="V44" s="74"/>
      <c r="W44" s="70">
        <f>SUM(W39:Y43)</f>
        <v>50</v>
      </c>
      <c r="Y44" s="74"/>
      <c r="Z44" s="70">
        <f>SUM(Z39:AB43)</f>
        <v>50</v>
      </c>
      <c r="AB44" s="74"/>
      <c r="AC44" s="70">
        <f>SUM(AC39:AE43)</f>
        <v>50</v>
      </c>
      <c r="AE44" s="74"/>
      <c r="AW44" s="154"/>
    </row>
    <row r="45" spans="1:49" s="70" customFormat="1" ht="38.25" hidden="1" customHeight="1" x14ac:dyDescent="0.2">
      <c r="A45" s="70" t="s">
        <v>88</v>
      </c>
      <c r="D45" s="74"/>
      <c r="G45" s="74"/>
      <c r="J45" s="74"/>
      <c r="M45" s="74"/>
      <c r="P45" s="74"/>
      <c r="S45" s="74"/>
      <c r="V45" s="74"/>
      <c r="Y45" s="74"/>
      <c r="AB45" s="74"/>
      <c r="AE45" s="74"/>
      <c r="AF45" s="73" t="s">
        <v>89</v>
      </c>
      <c r="AG45" s="70" t="s">
        <v>90</v>
      </c>
      <c r="AW45" s="154"/>
    </row>
    <row r="46" spans="1:49" s="70" customFormat="1" ht="12.75" hidden="1" customHeight="1" x14ac:dyDescent="0.2">
      <c r="A46" s="70" t="s">
        <v>91</v>
      </c>
      <c r="B46" s="70">
        <f>IF(B24=1,IF(B37=1,1,0),0)</f>
        <v>0</v>
      </c>
      <c r="D46" s="74">
        <f>IF(D24=1,IF(D37=1,1,0),0)</f>
        <v>0</v>
      </c>
      <c r="E46" s="70">
        <f>IF(E24=1,IF(E37=1,1,0),0)</f>
        <v>0</v>
      </c>
      <c r="G46" s="74">
        <f>IF(G24=1,IF(G37=1,1,0),0)</f>
        <v>0</v>
      </c>
      <c r="H46" s="70">
        <f>IF(H24=1,IF(H37=1,1,0),0)</f>
        <v>0</v>
      </c>
      <c r="J46" s="74">
        <f>IF(J24=1,IF(J37=1,1,0),0)</f>
        <v>0</v>
      </c>
      <c r="K46" s="70">
        <f>IF(K24=1,IF(K37=1,1,0),0)</f>
        <v>0</v>
      </c>
      <c r="M46" s="74">
        <f>IF(M24=1,IF(M37=1,1,0),0)</f>
        <v>0</v>
      </c>
      <c r="N46" s="70">
        <f>IF(N24=1,IF(N37=1,1,0),0)</f>
        <v>1</v>
      </c>
      <c r="P46" s="74">
        <f>IF(P24=1,IF(P37=1,1,0),0)</f>
        <v>0</v>
      </c>
      <c r="Q46" s="70">
        <f>IF(Q24=1,IF(Q37=1,1,0),0)</f>
        <v>0</v>
      </c>
      <c r="S46" s="74">
        <f>IF(S24=1,IF(S37=1,1,0),0)</f>
        <v>0</v>
      </c>
      <c r="T46" s="70">
        <f>IF(T24=1,IF(T37=1,1,0),0)</f>
        <v>0</v>
      </c>
      <c r="V46" s="74">
        <f>IF(V24=1,IF(V37=1,1,0),0)</f>
        <v>0</v>
      </c>
      <c r="W46" s="70">
        <f>IF(W24=1,IF(W37=1,1,0),0)</f>
        <v>0</v>
      </c>
      <c r="Y46" s="74">
        <f>IF(Y24=1,IF(Y37=1,1,0),0)</f>
        <v>0</v>
      </c>
      <c r="Z46" s="70">
        <f>IF(Z24=1,IF(Z37=1,1,0),0)</f>
        <v>0</v>
      </c>
      <c r="AB46" s="74">
        <f>IF(AB24=1,IF(AB37=1,1,0),0)</f>
        <v>0</v>
      </c>
      <c r="AC46" s="70">
        <f>IF(AC24=1,IF(AC37=1,1,0),0)</f>
        <v>1</v>
      </c>
      <c r="AE46" s="74">
        <f>IF(AE24=1,IF(AE37=1,1,0),0)</f>
        <v>0</v>
      </c>
      <c r="AF46" s="70">
        <f>SUM(B46:AE46)</f>
        <v>2</v>
      </c>
      <c r="AG46" s="70">
        <f>AF52-AF46</f>
        <v>0</v>
      </c>
      <c r="AW46" s="154"/>
    </row>
    <row r="47" spans="1:49" s="70" customFormat="1" ht="12.75" hidden="1" customHeight="1" x14ac:dyDescent="0.2">
      <c r="A47" s="70" t="s">
        <v>92</v>
      </c>
      <c r="B47" s="70">
        <f>IF(B24=2,IF(B37=1,1,0),0)</f>
        <v>0</v>
      </c>
      <c r="D47" s="74">
        <f>IF(D24=2,IF(D37=1,1,0),0)</f>
        <v>0</v>
      </c>
      <c r="E47" s="70">
        <f>IF(E24=2,IF(E37=1,1,0),0)</f>
        <v>0</v>
      </c>
      <c r="G47" s="74">
        <f>IF(G24=2,IF(G37=1,1,0),0)</f>
        <v>0</v>
      </c>
      <c r="H47" s="70">
        <f>IF(H24=2,IF(H37=1,1,0),0)</f>
        <v>0</v>
      </c>
      <c r="J47" s="74">
        <f>IF(J24=2,IF(J37=1,1,0),0)</f>
        <v>0</v>
      </c>
      <c r="K47" s="70">
        <f>IF(K24=2,IF(K37=1,1,0),0)</f>
        <v>0</v>
      </c>
      <c r="M47" s="74">
        <f>IF(M24=2,IF(M37=1,1,0),0)</f>
        <v>0</v>
      </c>
      <c r="N47" s="70">
        <f>IF(N24=2,IF(N37=1,1,0),0)</f>
        <v>0</v>
      </c>
      <c r="P47" s="74">
        <f>IF(P24=2,IF(P37=1,1,0),0)</f>
        <v>0</v>
      </c>
      <c r="Q47" s="70">
        <f>IF(Q24=2,IF(Q37=1,1,0),0)</f>
        <v>0</v>
      </c>
      <c r="S47" s="74">
        <f>IF(S24=2,IF(S37=1,1,0),0)</f>
        <v>0</v>
      </c>
      <c r="T47" s="70">
        <f>IF(T24=2,IF(T37=1,1,0),0)</f>
        <v>0</v>
      </c>
      <c r="V47" s="74">
        <f>IF(V24=2,IF(V37=1,1,0),0)</f>
        <v>0</v>
      </c>
      <c r="W47" s="70">
        <f>IF(W24=2,IF(W37=1,1,0),0)</f>
        <v>0</v>
      </c>
      <c r="Y47" s="74">
        <f>IF(Y24=2,IF(Y37=1,1,0),0)</f>
        <v>0</v>
      </c>
      <c r="Z47" s="70">
        <f>IF(Z24=2,IF(Z37=1,1,0),0)</f>
        <v>0</v>
      </c>
      <c r="AB47" s="74">
        <f>IF(AB24=2,IF(AB37=1,1,0),0)</f>
        <v>0</v>
      </c>
      <c r="AC47" s="70">
        <f>IF(AC24=2,IF(AC37=1,1,0),0)</f>
        <v>0</v>
      </c>
      <c r="AE47" s="74">
        <f>IF(AE24=2,IF(AE37=1,1,0),0)</f>
        <v>0</v>
      </c>
      <c r="AF47" s="70">
        <f>SUM(B47:AE47)</f>
        <v>0</v>
      </c>
      <c r="AG47" s="70">
        <f>AF53-AF47</f>
        <v>1</v>
      </c>
      <c r="AW47" s="154"/>
    </row>
    <row r="48" spans="1:49" s="70" customFormat="1" ht="12.75" hidden="1" customHeight="1" x14ac:dyDescent="0.2">
      <c r="A48" s="70" t="s">
        <v>93</v>
      </c>
      <c r="B48" s="70">
        <f>IF(B24=3,IF(B37=1,1,0),0)</f>
        <v>0</v>
      </c>
      <c r="D48" s="74">
        <f>IF(D24=3,IF(D37=1,1,0),0)</f>
        <v>0</v>
      </c>
      <c r="E48" s="70">
        <f>IF(E24=3,IF(E37=1,1,0),0)</f>
        <v>0</v>
      </c>
      <c r="G48" s="74">
        <f>IF(G24=3,IF(G37=1,1,0),0)</f>
        <v>0</v>
      </c>
      <c r="H48" s="70">
        <f>IF(H24=3,IF(H37=1,1,0),0)</f>
        <v>0</v>
      </c>
      <c r="J48" s="74">
        <f>IF(J24=3,IF(J37=1,1,0),0)</f>
        <v>0</v>
      </c>
      <c r="K48" s="70">
        <f>IF(K24=3,IF(K37=1,1,0),0)</f>
        <v>0</v>
      </c>
      <c r="M48" s="74">
        <f>IF(M24=3,IF(M37=1,1,0),0)</f>
        <v>0</v>
      </c>
      <c r="N48" s="70">
        <f>IF(N24=3,IF(N37=1,1,0),0)</f>
        <v>0</v>
      </c>
      <c r="P48" s="74">
        <f>IF(P24=3,IF(P37=1,1,0),0)</f>
        <v>0</v>
      </c>
      <c r="Q48" s="70">
        <f>IF(Q24=3,IF(Q37=1,1,0),0)</f>
        <v>0</v>
      </c>
      <c r="S48" s="74">
        <f>IF(S24=3,IF(S37=1,1,0),0)</f>
        <v>0</v>
      </c>
      <c r="T48" s="70">
        <f>IF(T24=3,IF(T37=1,1,0),0)</f>
        <v>0</v>
      </c>
      <c r="V48" s="74">
        <f>IF(V24=3,IF(V37=1,1,0),0)</f>
        <v>0</v>
      </c>
      <c r="W48" s="70">
        <f>IF(W24=3,IF(W37=1,1,0),0)</f>
        <v>0</v>
      </c>
      <c r="Y48" s="74">
        <f>IF(Y24=3,IF(Y37=1,1,0),0)</f>
        <v>0</v>
      </c>
      <c r="Z48" s="70">
        <f>IF(Z24=3,IF(Z37=1,1,0),0)</f>
        <v>0</v>
      </c>
      <c r="AB48" s="74">
        <f>IF(AB24=3,IF(AB37=1,1,0),0)</f>
        <v>0</v>
      </c>
      <c r="AC48" s="70">
        <f>IF(AC24=3,IF(AC37=1,1,0),0)</f>
        <v>0</v>
      </c>
      <c r="AE48" s="74">
        <f>IF(AE24=3,IF(AE37=1,1,0),0)</f>
        <v>0</v>
      </c>
      <c r="AF48" s="70">
        <f>SUM(B48:AE48)</f>
        <v>0</v>
      </c>
      <c r="AG48" s="70">
        <f>AF54-AF48</f>
        <v>3</v>
      </c>
      <c r="AW48" s="154"/>
    </row>
    <row r="49" spans="1:49" s="70" customFormat="1" ht="12.75" hidden="1" customHeight="1" x14ac:dyDescent="0.2">
      <c r="A49" s="70" t="s">
        <v>94</v>
      </c>
      <c r="B49" s="70">
        <f>IF(B24=4,IF(B37=1,1,0),0)</f>
        <v>0</v>
      </c>
      <c r="D49" s="74">
        <f>IF(D24=4,IF(D37=1,1,0),0)</f>
        <v>0</v>
      </c>
      <c r="E49" s="70">
        <f>IF(E24=4,IF(E37=1,1,0),0)</f>
        <v>0</v>
      </c>
      <c r="G49" s="74">
        <f>IF(G24=4,IF(G37=1,1,0),0)</f>
        <v>0</v>
      </c>
      <c r="H49" s="70">
        <f>IF(H24=4,IF(H37=1,1,0),0)</f>
        <v>0</v>
      </c>
      <c r="J49" s="74">
        <f>IF(J24=4,IF(J37=1,1,0),0)</f>
        <v>0</v>
      </c>
      <c r="K49" s="70">
        <f>IF(K24=4,IF(K37=1,1,0),0)</f>
        <v>0</v>
      </c>
      <c r="M49" s="74">
        <f>IF(M24=4,IF(M37=1,1,0),0)</f>
        <v>0</v>
      </c>
      <c r="N49" s="70">
        <f>IF(N24=4,IF(N37=1,1,0),0)</f>
        <v>0</v>
      </c>
      <c r="P49" s="74">
        <f>IF(P24=4,IF(P37=1,1,0),0)</f>
        <v>0</v>
      </c>
      <c r="Q49" s="70">
        <f>IF(Q24=4,IF(Q37=1,1,0),0)</f>
        <v>0</v>
      </c>
      <c r="S49" s="74">
        <f>IF(S24=4,IF(S37=1,1,0),0)</f>
        <v>0</v>
      </c>
      <c r="T49" s="70">
        <f>IF(T24=4,IF(T37=1,1,0),0)</f>
        <v>0</v>
      </c>
      <c r="V49" s="74">
        <f>IF(V24=4,IF(V37=1,1,0),0)</f>
        <v>0</v>
      </c>
      <c r="W49" s="70">
        <f>IF(W24=4,IF(W37=1,1,0),0)</f>
        <v>0</v>
      </c>
      <c r="Y49" s="74">
        <f>IF(Y24=4,IF(Y37=1,1,0),0)</f>
        <v>0</v>
      </c>
      <c r="Z49" s="70">
        <f>IF(Z24=4,IF(Z37=1,1,0),0)</f>
        <v>0</v>
      </c>
      <c r="AB49" s="74">
        <f>IF(AB24=4,IF(AB37=1,1,0),0)</f>
        <v>1</v>
      </c>
      <c r="AC49" s="70">
        <f>IF(AC24=4,IF(AC37=1,1,0),0)</f>
        <v>0</v>
      </c>
      <c r="AE49" s="74">
        <f>IF(AE24=4,IF(AE37=1,1,0),0)</f>
        <v>0</v>
      </c>
      <c r="AF49" s="70">
        <f>SUM(B49:AE49)</f>
        <v>1</v>
      </c>
      <c r="AG49" s="70">
        <f>AF55-AF49</f>
        <v>0</v>
      </c>
      <c r="AW49" s="154"/>
    </row>
    <row r="50" spans="1:49" s="70" customFormat="1" ht="12.75" hidden="1" customHeight="1" x14ac:dyDescent="0.2">
      <c r="A50" s="70" t="s">
        <v>95</v>
      </c>
      <c r="B50" s="70">
        <f>IF(B24=5,IF(B37=1,1,0),0)</f>
        <v>0</v>
      </c>
      <c r="D50" s="74">
        <f>IF(D24=5,IF(D37=1,1,0),0)</f>
        <v>0</v>
      </c>
      <c r="E50" s="70">
        <f>IF(E24=5,IF(E37=1,1,0),0)</f>
        <v>0</v>
      </c>
      <c r="G50" s="74">
        <f>IF(G24=5,IF(G37=1,1,0),0)</f>
        <v>0</v>
      </c>
      <c r="H50" s="70">
        <f>IF(H24=5,IF(H37=1,1,0),0)</f>
        <v>0</v>
      </c>
      <c r="J50" s="74">
        <f>IF(J24=5,IF(J37=1,1,0),0)</f>
        <v>1</v>
      </c>
      <c r="K50" s="70">
        <f>IF(K24=5,IF(K37=1,1,0),0)</f>
        <v>0</v>
      </c>
      <c r="M50" s="74">
        <f>IF(M24=5,IF(M37=1,1,0),0)</f>
        <v>0</v>
      </c>
      <c r="N50" s="70">
        <f>IF(N24=5,IF(N37=1,1,0),0)</f>
        <v>0</v>
      </c>
      <c r="P50" s="74">
        <f>IF(P24=5,IF(P37=1,1,0),0)</f>
        <v>0</v>
      </c>
      <c r="Q50" s="70">
        <f>IF(Q24=5,IF(Q37=1,1,0),0)</f>
        <v>0</v>
      </c>
      <c r="S50" s="74">
        <f>IF(S24=5,IF(S37=1,1,0),0)</f>
        <v>0</v>
      </c>
      <c r="T50" s="70">
        <f>IF(T24=5,IF(T37=1,1,0),0)</f>
        <v>0</v>
      </c>
      <c r="V50" s="74">
        <f>IF(V24=5,IF(V37=1,1,0),0)</f>
        <v>0</v>
      </c>
      <c r="W50" s="70">
        <f>IF(W24=5,IF(W37=1,1,0),0)</f>
        <v>0</v>
      </c>
      <c r="Y50" s="74">
        <f>IF(Y24=5,IF(Y37=1,1,0),0)</f>
        <v>0</v>
      </c>
      <c r="Z50" s="70">
        <f>IF(Z24=5,IF(Z37=1,1,0),0)</f>
        <v>0</v>
      </c>
      <c r="AB50" s="74">
        <f>IF(AB24=5,IF(AB37=1,1,0),0)</f>
        <v>0</v>
      </c>
      <c r="AC50" s="70">
        <f>IF(AC24=5,IF(AC37=1,1,0),0)</f>
        <v>0</v>
      </c>
      <c r="AE50" s="74">
        <f>IF(AE24=5,IF(AE37=1,1,0),0)</f>
        <v>0</v>
      </c>
      <c r="AF50" s="70">
        <f>SUM(B50:AE50)</f>
        <v>1</v>
      </c>
      <c r="AG50" s="70">
        <f>AF56-AF50</f>
        <v>0</v>
      </c>
      <c r="AW50" s="154"/>
    </row>
    <row r="51" spans="1:49" s="70" customFormat="1" ht="38.25" hidden="1" customHeight="1" x14ac:dyDescent="0.2">
      <c r="A51" s="73"/>
      <c r="D51" s="74"/>
      <c r="G51" s="74"/>
      <c r="J51" s="74"/>
      <c r="M51" s="74"/>
      <c r="P51" s="74"/>
      <c r="S51" s="74"/>
      <c r="V51" s="74"/>
      <c r="Y51" s="74"/>
      <c r="AB51" s="74"/>
      <c r="AE51" s="74"/>
      <c r="AF51" s="73" t="s">
        <v>96</v>
      </c>
      <c r="AW51" s="154"/>
    </row>
    <row r="52" spans="1:49" s="70" customFormat="1" ht="12.75" hidden="1" customHeight="1" x14ac:dyDescent="0.2">
      <c r="A52" s="70" t="s">
        <v>97</v>
      </c>
      <c r="B52" s="70">
        <f>IF(B24=1,IF(C37=1,1,0),0)</f>
        <v>0</v>
      </c>
      <c r="D52" s="74">
        <f>IF(D24=1,IF(C37=1,1,0),0)</f>
        <v>0</v>
      </c>
      <c r="E52" s="70">
        <f>IF(E24=1,IF(F37=1,1,0),0)</f>
        <v>0</v>
      </c>
      <c r="G52" s="74">
        <f>IF(G24=1,IF(F37=1,1,0),0)</f>
        <v>0</v>
      </c>
      <c r="H52" s="70">
        <f>IF(H24=1,IF(I37=1,1,0),0)</f>
        <v>0</v>
      </c>
      <c r="J52" s="74">
        <f>IF(J24=1,IF(I37=1,1,0),0)</f>
        <v>0</v>
      </c>
      <c r="K52" s="70">
        <f>IF(K24=1,IF(L37=1,1,0),0)</f>
        <v>0</v>
      </c>
      <c r="M52" s="74">
        <f>IF(M24=1,IF(L37=1,1,0),0)</f>
        <v>0</v>
      </c>
      <c r="N52" s="70">
        <f>IF(N24=1,IF(O37=1,1,0),0)</f>
        <v>1</v>
      </c>
      <c r="P52" s="74">
        <f>IF(P24=1,IF(O37=1,1,0),0)</f>
        <v>0</v>
      </c>
      <c r="Q52" s="70">
        <f>IF(Q24=1,IF(R37=1,1,0),0)</f>
        <v>0</v>
      </c>
      <c r="S52" s="74">
        <f>IF(S24=1,IF(R37=1,1,0),0)</f>
        <v>0</v>
      </c>
      <c r="T52" s="70">
        <f>IF(T24=1,IF(U37=1,1,0),0)</f>
        <v>0</v>
      </c>
      <c r="V52" s="74">
        <f>IF(V24=1,IF(U37=1,1,0),0)</f>
        <v>0</v>
      </c>
      <c r="W52" s="70">
        <f>IF(W24=1,IF(X37=1,1,0),0)</f>
        <v>0</v>
      </c>
      <c r="Y52" s="74">
        <f>IF(Y24=1,IF(X37=1,1,0),0)</f>
        <v>0</v>
      </c>
      <c r="Z52" s="70">
        <f>IF(Z24=1,IF(AA37=1,1,0),0)</f>
        <v>0</v>
      </c>
      <c r="AB52" s="74">
        <f>IF(AB24=1,IF(AA37=1,1,0),0)</f>
        <v>0</v>
      </c>
      <c r="AC52" s="70">
        <f>IF(AC24=1,IF(AD37=1,1,0),0)</f>
        <v>1</v>
      </c>
      <c r="AE52" s="74">
        <f>IF(AE24=1,IF(AD37=1,1,0),0)</f>
        <v>0</v>
      </c>
      <c r="AF52" s="70">
        <f>SUM(B52:AE52)</f>
        <v>2</v>
      </c>
      <c r="AW52" s="154"/>
    </row>
    <row r="53" spans="1:49" s="70" customFormat="1" ht="12.75" hidden="1" customHeight="1" x14ac:dyDescent="0.2">
      <c r="A53" s="70" t="s">
        <v>98</v>
      </c>
      <c r="B53" s="70">
        <f>IF(B24=2,IF(C37=1,1,0),0)</f>
        <v>0</v>
      </c>
      <c r="D53" s="74">
        <f>IF(D24=2,IF(C37=1,1,0),0)</f>
        <v>0</v>
      </c>
      <c r="E53" s="70">
        <f>IF(E24=2,IF(F37=1,1,0),0)</f>
        <v>0</v>
      </c>
      <c r="G53" s="74">
        <f>IF(G24=2,IF(F37=1,1,0),0)</f>
        <v>0</v>
      </c>
      <c r="H53" s="70">
        <f>IF(H24=2,IF(I37=1,1,0),0)</f>
        <v>0</v>
      </c>
      <c r="J53" s="74">
        <f>IF(J24=2,IF(I37=1,1,0),0)</f>
        <v>0</v>
      </c>
      <c r="K53" s="70">
        <f>IF(K24=2,IF(L37=1,1,0),0)</f>
        <v>0</v>
      </c>
      <c r="M53" s="74">
        <f>IF(M24=2,IF(L37=1,1,0),0)</f>
        <v>0</v>
      </c>
      <c r="N53" s="70">
        <f>IF(N24=2,IF(O37=1,1,0),0)</f>
        <v>0</v>
      </c>
      <c r="P53" s="74">
        <f>IF(P24=2,IF(O37=1,1,0),0)</f>
        <v>0</v>
      </c>
      <c r="Q53" s="70">
        <f>IF(Q24=2,IF(R37=1,1,0),0)</f>
        <v>0</v>
      </c>
      <c r="S53" s="74">
        <f>IF(S24=2,IF(R37=1,1,0),0)</f>
        <v>0</v>
      </c>
      <c r="T53" s="70">
        <f>IF(T24=2,IF(U37=1,1,0),0)</f>
        <v>0</v>
      </c>
      <c r="V53" s="74">
        <f>IF(V24=2,IF(U37=1,1,0),0)</f>
        <v>0</v>
      </c>
      <c r="W53" s="70">
        <f>IF(W24=2,IF(X37=1,1,0),0)</f>
        <v>0</v>
      </c>
      <c r="Y53" s="74">
        <f>IF(Y24=2,IF(X37=1,1,0),0)</f>
        <v>0</v>
      </c>
      <c r="Z53" s="70">
        <f>IF(Z24=2,IF(AA37=1,1,0),0)</f>
        <v>0</v>
      </c>
      <c r="AB53" s="74">
        <f>IF(AB24=2,IF(AA37=1,1,0),0)</f>
        <v>0</v>
      </c>
      <c r="AC53" s="70">
        <f>IF(AC24=2,IF(AD37=1,1,0),0)</f>
        <v>0</v>
      </c>
      <c r="AE53" s="74">
        <f>IF(AE24=2,IF(AD37=1,1,0),0)</f>
        <v>1</v>
      </c>
      <c r="AF53" s="70">
        <f>SUM(B53:AE53)</f>
        <v>1</v>
      </c>
      <c r="AW53" s="154"/>
    </row>
    <row r="54" spans="1:49" s="70" customFormat="1" ht="12.75" hidden="1" customHeight="1" x14ac:dyDescent="0.2">
      <c r="A54" s="70" t="s">
        <v>99</v>
      </c>
      <c r="B54" s="70">
        <f>IF(B24=3,IF(C37=1,1,0),0)</f>
        <v>0</v>
      </c>
      <c r="D54" s="74">
        <f>IF(D24=3,IF(C37=1,1,0),0)</f>
        <v>0</v>
      </c>
      <c r="E54" s="70">
        <f>IF(E24=3,IF(F37=1,1,0),0)</f>
        <v>0</v>
      </c>
      <c r="G54" s="74">
        <f>IF(G24=3,IF(F37=1,1,0),0)</f>
        <v>0</v>
      </c>
      <c r="H54" s="70">
        <f>IF(H24=3,IF(I37=1,1,0),0)</f>
        <v>1</v>
      </c>
      <c r="J54" s="74">
        <f>IF(J24=3,IF(I37=1,1,0),0)</f>
        <v>0</v>
      </c>
      <c r="K54" s="70">
        <f>IF(K24=3,IF(L37=1,1,0),0)</f>
        <v>0</v>
      </c>
      <c r="M54" s="74">
        <f>IF(M24=3,IF(L37=1,1,0),0)</f>
        <v>0</v>
      </c>
      <c r="N54" s="70">
        <f>IF(N24=3,IF(O37=1,1,0),0)</f>
        <v>0</v>
      </c>
      <c r="P54" s="74">
        <f>IF(P24=3,IF(O37=1,1,0),0)</f>
        <v>1</v>
      </c>
      <c r="Q54" s="70">
        <f>IF(Q24=3,IF(R37=1,1,0),0)</f>
        <v>0</v>
      </c>
      <c r="S54" s="74">
        <f>IF(S24=3,IF(R37=1,1,0),0)</f>
        <v>0</v>
      </c>
      <c r="T54" s="70">
        <f>IF(T24=3,IF(U37=1,1,0),0)</f>
        <v>0</v>
      </c>
      <c r="V54" s="74">
        <f>IF(V24=3,IF(U37=1,1,0),0)</f>
        <v>0</v>
      </c>
      <c r="W54" s="70">
        <f>IF(W24=3,IF(X37=1,1,0),0)</f>
        <v>0</v>
      </c>
      <c r="Y54" s="74">
        <f>IF(Y24=3,IF(X37=1,1,0),0)</f>
        <v>0</v>
      </c>
      <c r="Z54" s="70">
        <f>IF(Z24=3,IF(AA37=1,1,0),0)</f>
        <v>1</v>
      </c>
      <c r="AB54" s="74">
        <f>IF(AB24=3,IF(AA37=1,1,0),0)</f>
        <v>0</v>
      </c>
      <c r="AC54" s="70">
        <f>IF(AC24=3,IF(AD37=1,1,0),0)</f>
        <v>0</v>
      </c>
      <c r="AE54" s="74">
        <f>IF(AE24=3,IF(AD37=1,1,0),0)</f>
        <v>0</v>
      </c>
      <c r="AF54" s="70">
        <f>SUM(B54:AE54)</f>
        <v>3</v>
      </c>
      <c r="AW54" s="154"/>
    </row>
    <row r="55" spans="1:49" s="70" customFormat="1" ht="12.75" hidden="1" customHeight="1" x14ac:dyDescent="0.2">
      <c r="A55" s="70" t="s">
        <v>100</v>
      </c>
      <c r="B55" s="70">
        <f>IF(B24=4,IF(C37=1,1,0),0)</f>
        <v>0</v>
      </c>
      <c r="D55" s="74">
        <f>IF(D24=4,IF(C37=1,1,0),0)</f>
        <v>0</v>
      </c>
      <c r="E55" s="70">
        <f>IF(E24=4,IF(F37=1,1,0),0)</f>
        <v>0</v>
      </c>
      <c r="G55" s="74">
        <f>IF(G24=4,IF(F37=1,1,0),0)</f>
        <v>0</v>
      </c>
      <c r="H55" s="70">
        <f>IF(H24=4,IF(I37=1,1,0),0)</f>
        <v>0</v>
      </c>
      <c r="J55" s="74">
        <f>IF(J24=4,IF(I37=1,1,0),0)</f>
        <v>0</v>
      </c>
      <c r="K55" s="70">
        <f>IF(K24=4,IF(L37=1,1,0),0)</f>
        <v>0</v>
      </c>
      <c r="M55" s="74">
        <f>IF(M24=4,IF(L37=1,1,0),0)</f>
        <v>0</v>
      </c>
      <c r="N55" s="70">
        <f>IF(N24=4,IF(O37=1,1,0),0)</f>
        <v>0</v>
      </c>
      <c r="P55" s="74">
        <f>IF(P24=4,IF(O37=1,1,0),0)</f>
        <v>0</v>
      </c>
      <c r="Q55" s="70">
        <f>IF(Q24=4,IF(R37=1,1,0),0)</f>
        <v>0</v>
      </c>
      <c r="S55" s="74">
        <f>IF(S24=4,IF(R37=1,1,0),0)</f>
        <v>0</v>
      </c>
      <c r="T55" s="70">
        <f>IF(T24=4,IF(U37=1,1,0),0)</f>
        <v>0</v>
      </c>
      <c r="V55" s="74">
        <f>IF(V24=4,IF(U37=1,1,0),0)</f>
        <v>0</v>
      </c>
      <c r="W55" s="70">
        <f>IF(W24=4,IF(X37=1,1,0),0)</f>
        <v>0</v>
      </c>
      <c r="Y55" s="74">
        <f>IF(Y24=4,IF(X37=1,1,0),0)</f>
        <v>0</v>
      </c>
      <c r="Z55" s="70">
        <f>IF(Z24=4,IF(AA37=1,1,0),0)</f>
        <v>0</v>
      </c>
      <c r="AB55" s="74">
        <f>IF(AB24=4,IF(AA37=1,1,0),0)</f>
        <v>1</v>
      </c>
      <c r="AC55" s="70">
        <f>IF(AC24=4,IF(AD37=1,1,0),0)</f>
        <v>0</v>
      </c>
      <c r="AE55" s="74">
        <f>IF(AE24=4,IF(AD37=1,1,0),0)</f>
        <v>0</v>
      </c>
      <c r="AF55" s="70">
        <f>SUM(B55:AE55)</f>
        <v>1</v>
      </c>
      <c r="AW55" s="154"/>
    </row>
    <row r="56" spans="1:49" s="70" customFormat="1" ht="12.75" hidden="1" customHeight="1" x14ac:dyDescent="0.2">
      <c r="A56" s="70" t="s">
        <v>101</v>
      </c>
      <c r="B56" s="70">
        <f>IF(B24=5,IF(C37=1,1,0),0)</f>
        <v>0</v>
      </c>
      <c r="D56" s="74">
        <f>IF(D24=5,IF(C37=1,1,0),0)</f>
        <v>0</v>
      </c>
      <c r="E56" s="70">
        <f>IF(E24=5,IF(F37=1,1,0),0)</f>
        <v>0</v>
      </c>
      <c r="G56" s="74">
        <f>IF(G24=5,IF(F37=1,1,0),0)</f>
        <v>0</v>
      </c>
      <c r="H56" s="70">
        <f>IF(H24=5,IF(I37=1,1,0),0)</f>
        <v>0</v>
      </c>
      <c r="J56" s="74">
        <f>IF(J24=5,IF(I37=1,1,0),0)</f>
        <v>1</v>
      </c>
      <c r="K56" s="70">
        <f>IF(K24=5,IF(L37=1,1,0),0)</f>
        <v>0</v>
      </c>
      <c r="M56" s="74">
        <f>IF(M24=5,IF(L37=1,1,0),0)</f>
        <v>0</v>
      </c>
      <c r="N56" s="70">
        <f>IF(N24=5,IF(O37=1,1,0),0)</f>
        <v>0</v>
      </c>
      <c r="P56" s="74">
        <f>IF(P24=5,IF(O37=1,1,0),0)</f>
        <v>0</v>
      </c>
      <c r="Q56" s="70">
        <f>IF(Q24=5,IF(R37=1,1,0),0)</f>
        <v>0</v>
      </c>
      <c r="S56" s="74">
        <f>IF(S24=5,IF(R37=1,1,0),0)</f>
        <v>0</v>
      </c>
      <c r="T56" s="70">
        <f>IF(T24=5,IF(U37=1,1,0),0)</f>
        <v>0</v>
      </c>
      <c r="V56" s="74">
        <f>IF(V24=5,IF(U37=1,1,0),0)</f>
        <v>0</v>
      </c>
      <c r="W56" s="70">
        <f>IF(W24=5,IF(X37=1,1,0),0)</f>
        <v>0</v>
      </c>
      <c r="Y56" s="74">
        <f>IF(Y24=5,IF(X37=1,1,0),0)</f>
        <v>0</v>
      </c>
      <c r="Z56" s="70">
        <f>IF(Z24=5,IF(AA37=1,1,0),0)</f>
        <v>0</v>
      </c>
      <c r="AB56" s="74">
        <f>IF(AB24=5,IF(AA37=1,1,0),0)</f>
        <v>0</v>
      </c>
      <c r="AC56" s="70">
        <f>IF(AC24=5,IF(AD37=1,1,0),0)</f>
        <v>0</v>
      </c>
      <c r="AE56" s="74">
        <f>IF(AE24=5,IF(AD37=1,1,0),0)</f>
        <v>0</v>
      </c>
      <c r="AF56" s="70">
        <f>SUM(B56:AE56)</f>
        <v>1</v>
      </c>
      <c r="AW56" s="154"/>
    </row>
    <row r="57" spans="1:49" s="70" customFormat="1" ht="38.25" hidden="1" customHeight="1" x14ac:dyDescent="0.2">
      <c r="A57" s="73"/>
      <c r="D57" s="74"/>
      <c r="G57" s="74"/>
      <c r="J57" s="74"/>
      <c r="M57" s="74"/>
      <c r="P57" s="74"/>
      <c r="S57" s="74"/>
      <c r="V57" s="74"/>
      <c r="Y57" s="74"/>
      <c r="AB57" s="74"/>
      <c r="AE57" s="74"/>
      <c r="AF57" s="73" t="s">
        <v>102</v>
      </c>
      <c r="AG57" s="280"/>
      <c r="AH57" s="280"/>
      <c r="AI57" s="280"/>
      <c r="AJ57" s="280"/>
      <c r="AK57" s="280"/>
      <c r="AW57" s="154"/>
    </row>
    <row r="58" spans="1:49" s="70" customFormat="1" ht="12.75" hidden="1" customHeight="1" x14ac:dyDescent="0.2">
      <c r="A58" s="70" t="s">
        <v>97</v>
      </c>
      <c r="B58" s="70">
        <f>IF(B24=1,B44,0)</f>
        <v>0</v>
      </c>
      <c r="D58" s="74">
        <f>IF(D24=1,B44,0)</f>
        <v>0</v>
      </c>
      <c r="E58" s="70">
        <f>IF(E24=1,E44,0)</f>
        <v>52</v>
      </c>
      <c r="G58" s="74">
        <f>IF(G24=1,E44,0)</f>
        <v>0</v>
      </c>
      <c r="H58" s="70">
        <f>IF(H24=1,H44,0)</f>
        <v>0</v>
      </c>
      <c r="J58" s="74">
        <f>IF(J24=1,H44,0)</f>
        <v>0</v>
      </c>
      <c r="K58" s="70">
        <f>IF(K24=1,K44,0)</f>
        <v>0</v>
      </c>
      <c r="M58" s="74">
        <f>IF(M24=1,K44,0)</f>
        <v>0</v>
      </c>
      <c r="N58" s="70">
        <f>IF(N24=1,N44,0)</f>
        <v>50</v>
      </c>
      <c r="P58" s="74">
        <f>IF(P24=1,N44,0)</f>
        <v>0</v>
      </c>
      <c r="Q58" s="70">
        <f>IF(Q24=1,Q44,0)</f>
        <v>0</v>
      </c>
      <c r="S58" s="74">
        <f>IF(S24=1,Q44,0)</f>
        <v>0</v>
      </c>
      <c r="T58" s="70">
        <f>IF(T24=1,T44,0)</f>
        <v>0</v>
      </c>
      <c r="V58" s="74">
        <f>IF(V24=1,T44,0)</f>
        <v>0</v>
      </c>
      <c r="W58" s="70">
        <f>IF(W24=1,W44,0)</f>
        <v>50</v>
      </c>
      <c r="Y58" s="74">
        <f>IF(Y24=1,W44,0)</f>
        <v>0</v>
      </c>
      <c r="Z58" s="70">
        <f>IF(Z24=1,Z44,0)</f>
        <v>0</v>
      </c>
      <c r="AB58" s="74">
        <f>IF(AB24=1,Z44,0)</f>
        <v>0</v>
      </c>
      <c r="AC58" s="70">
        <f>IF(AC24=1,AC44,0)</f>
        <v>50</v>
      </c>
      <c r="AE58" s="74">
        <f>IF(AE24=1,AC44,0)</f>
        <v>0</v>
      </c>
      <c r="AF58" s="70">
        <f>SUM(B58:AE58)</f>
        <v>202</v>
      </c>
      <c r="AW58" s="154"/>
    </row>
    <row r="59" spans="1:49" s="70" customFormat="1" ht="12.75" hidden="1" customHeight="1" x14ac:dyDescent="0.2">
      <c r="A59" s="70" t="s">
        <v>98</v>
      </c>
      <c r="B59" s="70">
        <f>IF(B24=2,B44,0)</f>
        <v>50</v>
      </c>
      <c r="D59" s="74">
        <f>IF(D24=2,B44,0)</f>
        <v>0</v>
      </c>
      <c r="E59" s="70">
        <f>IF(E24=2,E44,0)</f>
        <v>0</v>
      </c>
      <c r="G59" s="74">
        <f>IF(G24=2,E44,0)</f>
        <v>0</v>
      </c>
      <c r="H59" s="70">
        <f>IF(H24=2,H44,0)</f>
        <v>0</v>
      </c>
      <c r="J59" s="74">
        <f>IF(J24=2,H44,0)</f>
        <v>0</v>
      </c>
      <c r="K59" s="70">
        <f>IF(K24=2,K44,0)</f>
        <v>51</v>
      </c>
      <c r="M59" s="74">
        <f>IF(M24=2,K44,0)</f>
        <v>0</v>
      </c>
      <c r="N59" s="70">
        <f>IF(N24=2,N44,0)</f>
        <v>0</v>
      </c>
      <c r="P59" s="74">
        <f>IF(P24=2,N44,0)</f>
        <v>0</v>
      </c>
      <c r="Q59" s="70">
        <f>IF(Q24=2,Q44,0)</f>
        <v>0</v>
      </c>
      <c r="S59" s="74">
        <f>IF(S24=2,Q44,0)</f>
        <v>0</v>
      </c>
      <c r="T59" s="70">
        <f>IF(T24=2,T44,0)</f>
        <v>50</v>
      </c>
      <c r="V59" s="74">
        <f>IF(V24=2,T44,0)</f>
        <v>0</v>
      </c>
      <c r="W59" s="70">
        <f>IF(W24=2,W44,0)</f>
        <v>0</v>
      </c>
      <c r="Y59" s="74">
        <f>IF(Y24=2,W44,0)</f>
        <v>0</v>
      </c>
      <c r="Z59" s="70">
        <f>IF(Z24=2,Z44,0)</f>
        <v>0</v>
      </c>
      <c r="AB59" s="74">
        <f>IF(AB24=2,Z44,0)</f>
        <v>0</v>
      </c>
      <c r="AC59" s="70">
        <f>IF(AC24=2,AC44,0)</f>
        <v>0</v>
      </c>
      <c r="AE59" s="74">
        <f>IF(AE24=2,AC44,0)</f>
        <v>50</v>
      </c>
      <c r="AF59" s="70">
        <f>SUM(B59:AE59)</f>
        <v>201</v>
      </c>
      <c r="AW59" s="154"/>
    </row>
    <row r="60" spans="1:49" s="70" customFormat="1" ht="12.75" hidden="1" customHeight="1" x14ac:dyDescent="0.2">
      <c r="A60" s="70" t="s">
        <v>99</v>
      </c>
      <c r="B60" s="70">
        <f>IF(B24=3,B44,0)</f>
        <v>0</v>
      </c>
      <c r="D60" s="74">
        <f>IF(D24=3,B44,0)</f>
        <v>0</v>
      </c>
      <c r="E60" s="70">
        <f>IF(E24=3,E44,0)</f>
        <v>0</v>
      </c>
      <c r="G60" s="74">
        <f>IF(G24=3,E44,0)</f>
        <v>0</v>
      </c>
      <c r="H60" s="70">
        <f>IF(H24=3,H44,0)</f>
        <v>50</v>
      </c>
      <c r="J60" s="74">
        <f>IF(J24=3,H44,0)</f>
        <v>0</v>
      </c>
      <c r="K60" s="70">
        <f>IF(K24=3,K44,0)</f>
        <v>0</v>
      </c>
      <c r="M60" s="74">
        <f>IF(M24=3,K44,0)</f>
        <v>0</v>
      </c>
      <c r="N60" s="70">
        <f>IF(N24=3,N44,0)</f>
        <v>0</v>
      </c>
      <c r="P60" s="74">
        <f>IF(P24=3,N44,0)</f>
        <v>50</v>
      </c>
      <c r="Q60" s="70">
        <f>IF(Q24=3,Q44,0)</f>
        <v>0</v>
      </c>
      <c r="S60" s="74">
        <f>IF(S24=3,Q44,0)</f>
        <v>0</v>
      </c>
      <c r="T60" s="70">
        <f>IF(T24=3,T44,0)</f>
        <v>0</v>
      </c>
      <c r="V60" s="74">
        <f>IF(V24=3,T44,0)</f>
        <v>50</v>
      </c>
      <c r="W60" s="70">
        <f>IF(W24=3,W44,0)</f>
        <v>0</v>
      </c>
      <c r="Y60" s="74">
        <f>IF(Y24=3,W44,0)</f>
        <v>0</v>
      </c>
      <c r="Z60" s="70">
        <f>IF(Z24=3,Z44,0)</f>
        <v>50</v>
      </c>
      <c r="AB60" s="74">
        <f>IF(AB24=3,Z44,0)</f>
        <v>0</v>
      </c>
      <c r="AC60" s="70">
        <f>IF(AC24=3,AC44,0)</f>
        <v>0</v>
      </c>
      <c r="AE60" s="74">
        <f>IF(AE24=3,AC44,0)</f>
        <v>0</v>
      </c>
      <c r="AF60" s="70">
        <f>SUM(B60:AE60)</f>
        <v>200</v>
      </c>
      <c r="AW60" s="154"/>
    </row>
    <row r="61" spans="1:49" s="70" customFormat="1" ht="12.75" hidden="1" customHeight="1" x14ac:dyDescent="0.2">
      <c r="A61" s="70" t="s">
        <v>100</v>
      </c>
      <c r="B61" s="70">
        <f>IF(B24=4,B44,0)</f>
        <v>0</v>
      </c>
      <c r="D61" s="74">
        <f>IF(D24=4,B44,0)</f>
        <v>0</v>
      </c>
      <c r="E61" s="70">
        <f>IF(E24=4,E44,0)</f>
        <v>0</v>
      </c>
      <c r="G61" s="74">
        <f>IF(G24=4,E44,0)</f>
        <v>52</v>
      </c>
      <c r="H61" s="70">
        <f>IF(H24=4,H44,0)</f>
        <v>0</v>
      </c>
      <c r="J61" s="74">
        <f>IF(J24=4,H44,0)</f>
        <v>0</v>
      </c>
      <c r="K61" s="70">
        <f>IF(K24=4,K44,0)</f>
        <v>0</v>
      </c>
      <c r="M61" s="74">
        <f>IF(M24=4,K44,0)</f>
        <v>51</v>
      </c>
      <c r="N61" s="70">
        <f>IF(N24=4,N44,0)</f>
        <v>0</v>
      </c>
      <c r="P61" s="74">
        <f>IF(P24=4,N44,0)</f>
        <v>0</v>
      </c>
      <c r="Q61" s="70">
        <f>IF(Q24=4,Q44,0)</f>
        <v>52</v>
      </c>
      <c r="S61" s="74">
        <f>IF(S24=4,Q44,0)</f>
        <v>0</v>
      </c>
      <c r="T61" s="70">
        <f>IF(T24=4,T44,0)</f>
        <v>0</v>
      </c>
      <c r="V61" s="74">
        <f>IF(V24=4,T44,0)</f>
        <v>0</v>
      </c>
      <c r="W61" s="70">
        <f>IF(W24=4,W44,0)</f>
        <v>0</v>
      </c>
      <c r="Y61" s="74">
        <f>IF(Y24=4,W44,0)</f>
        <v>0</v>
      </c>
      <c r="Z61" s="70">
        <f>IF(Z24=4,Z44,0)</f>
        <v>0</v>
      </c>
      <c r="AB61" s="74">
        <f>IF(AB24=4,Z44,0)</f>
        <v>50</v>
      </c>
      <c r="AC61" s="70">
        <f>IF(AC24=4,AC44,0)</f>
        <v>0</v>
      </c>
      <c r="AE61" s="74">
        <f>IF(AE24=4,AC44,0)</f>
        <v>0</v>
      </c>
      <c r="AF61" s="70">
        <f>SUM(B61:AE61)</f>
        <v>205</v>
      </c>
      <c r="AW61" s="154"/>
    </row>
    <row r="62" spans="1:49" s="70" customFormat="1" ht="12.75" hidden="1" customHeight="1" x14ac:dyDescent="0.2">
      <c r="A62" s="70" t="s">
        <v>101</v>
      </c>
      <c r="B62" s="70">
        <f>IF(B24=5,B44,0)</f>
        <v>0</v>
      </c>
      <c r="D62" s="74">
        <f>IF(D24=5,B44,0)</f>
        <v>50</v>
      </c>
      <c r="E62" s="70">
        <f>IF(E24=5,E44,0)</f>
        <v>0</v>
      </c>
      <c r="G62" s="74">
        <f>IF(G24=5,E44,0)</f>
        <v>0</v>
      </c>
      <c r="H62" s="70">
        <f>IF(H24=5,H44,0)</f>
        <v>0</v>
      </c>
      <c r="J62" s="74">
        <f>IF(J24=5,H44,0)</f>
        <v>50</v>
      </c>
      <c r="K62" s="70">
        <f>IF(K24=5,K44,0)</f>
        <v>0</v>
      </c>
      <c r="M62" s="74">
        <f>IF(M24=5,K44,0)</f>
        <v>0</v>
      </c>
      <c r="N62" s="70">
        <f>IF(N24=5,N44,0)</f>
        <v>0</v>
      </c>
      <c r="P62" s="74">
        <f>IF(P24=5,N44,0)</f>
        <v>0</v>
      </c>
      <c r="Q62" s="70">
        <f>IF(Q24=5,Q44,0)</f>
        <v>0</v>
      </c>
      <c r="S62" s="74">
        <f>IF(S24=5,Q44,0)</f>
        <v>52</v>
      </c>
      <c r="T62" s="70">
        <f>IF(T24=5,T44,0)</f>
        <v>0</v>
      </c>
      <c r="V62" s="74">
        <f>IF(V24=5,T44,0)</f>
        <v>0</v>
      </c>
      <c r="W62" s="70">
        <f>IF(W24=5,W44,0)</f>
        <v>0</v>
      </c>
      <c r="Y62" s="74">
        <f>IF(Y24=5,W44,0)</f>
        <v>50</v>
      </c>
      <c r="Z62" s="70">
        <f>IF(Z24=5,Z44,0)</f>
        <v>0</v>
      </c>
      <c r="AB62" s="74">
        <f>IF(AB24=5,Z44,0)</f>
        <v>0</v>
      </c>
      <c r="AC62" s="70">
        <f>IF(AC24=5,AC44,0)</f>
        <v>0</v>
      </c>
      <c r="AE62" s="74">
        <f>IF(AE24=5,AC44,0)</f>
        <v>0</v>
      </c>
      <c r="AF62" s="70">
        <f>SUM(B62:AE62)</f>
        <v>202</v>
      </c>
      <c r="AW62" s="154"/>
    </row>
    <row r="63" spans="1:49" s="70" customFormat="1" ht="38.25" hidden="1" customHeight="1" x14ac:dyDescent="0.2">
      <c r="A63" s="70" t="s">
        <v>103</v>
      </c>
      <c r="D63" s="74"/>
      <c r="G63" s="74"/>
      <c r="J63" s="74"/>
      <c r="M63" s="74"/>
      <c r="P63" s="74"/>
      <c r="S63" s="74"/>
      <c r="V63" s="74"/>
      <c r="Y63" s="74"/>
      <c r="AB63" s="74"/>
      <c r="AE63" s="74"/>
      <c r="AF63" s="73" t="s">
        <v>104</v>
      </c>
      <c r="AG63" s="70" t="s">
        <v>105</v>
      </c>
      <c r="AW63" s="154"/>
    </row>
    <row r="64" spans="1:49" s="70" customFormat="1" ht="12.75" hidden="1" customHeight="1" x14ac:dyDescent="0.2">
      <c r="A64" s="70" t="s">
        <v>91</v>
      </c>
      <c r="B64" s="70">
        <f>IF(B24=1,SUMIF(B31:B35,"&gt;0"),0)</f>
        <v>0</v>
      </c>
      <c r="D64" s="74">
        <f>IF(D24=1,SUMIF(D31:D35,"&gt;0"),0)</f>
        <v>0</v>
      </c>
      <c r="E64" s="70">
        <f>IF(E24=1,SUMIF(E31:E35,"&gt;0"),0)</f>
        <v>1</v>
      </c>
      <c r="G64" s="74">
        <f>IF(G24=1,SUMIF(G31:G35,"&gt;0"),0)</f>
        <v>0</v>
      </c>
      <c r="H64" s="70">
        <f>IF(H24=1,SUMIF(H31:H35,"&gt;0"),0)</f>
        <v>0</v>
      </c>
      <c r="J64" s="74">
        <f>IF(J24=1,SUMIF(J31:J35,"&gt;0"),0)</f>
        <v>0</v>
      </c>
      <c r="K64" s="70">
        <f>IF(K24=1,SUMIF(K31:K35,"&gt;0"),0)</f>
        <v>0</v>
      </c>
      <c r="M64" s="74">
        <f>IF(M24=1,SUMIF(M31:M35,"&gt;0"),0)</f>
        <v>0</v>
      </c>
      <c r="N64" s="70">
        <f>IF(N24=1,SUMIF(N31:N35,"&gt;0"),0)</f>
        <v>2</v>
      </c>
      <c r="P64" s="74">
        <f>IF(P24=1,SUMIF(P31:P35,"&gt;0"),0)</f>
        <v>0</v>
      </c>
      <c r="Q64" s="70">
        <f>IF(Q24=1,SUMIF(Q31:Q35,"&gt;0"),0)</f>
        <v>0</v>
      </c>
      <c r="S64" s="74">
        <f>IF(S24=1,SUMIF(S31:S35,"&gt;0"),0)</f>
        <v>0</v>
      </c>
      <c r="T64" s="70">
        <f>IF(T24=1,SUMIF(T31:T35,"&gt;0"),0)</f>
        <v>0</v>
      </c>
      <c r="V64" s="74">
        <f>IF(V24=1,SUMIF(V31:V35,"&gt;0"),0)</f>
        <v>0</v>
      </c>
      <c r="W64" s="70">
        <f>IF(W24=1,SUMIF(W31:W35,"&gt;0"),0)</f>
        <v>1</v>
      </c>
      <c r="Y64" s="74">
        <f>IF(Y24=1,SUMIF(Y31:Y35,"&gt;0"),0)</f>
        <v>0</v>
      </c>
      <c r="Z64" s="70">
        <f>IF(Z24=1,SUMIF(Z31:Z35,"&gt;0"),0)</f>
        <v>0</v>
      </c>
      <c r="AB64" s="74">
        <f>IF(AB24=1,SUMIF(AB31:AB35,"&gt;0"),0)</f>
        <v>0</v>
      </c>
      <c r="AC64" s="70">
        <f>IF(AC24=1,SUMIF(AC31:AC35,"&gt;0"),0)</f>
        <v>2</v>
      </c>
      <c r="AE64" s="74">
        <f>IF(AE24=1,SUMIF(AE31:AE35,"&gt;0"),0)</f>
        <v>0</v>
      </c>
      <c r="AF64" s="70">
        <f>SUM(B64:AE64)</f>
        <v>6</v>
      </c>
      <c r="AG64" s="70">
        <f>AF72-AF64</f>
        <v>2</v>
      </c>
      <c r="AW64" s="154"/>
    </row>
    <row r="65" spans="1:54" s="70" customFormat="1" ht="12.75" hidden="1" customHeight="1" x14ac:dyDescent="0.2">
      <c r="A65" s="70" t="s">
        <v>92</v>
      </c>
      <c r="B65" s="70">
        <f>IF(B24=2,SUMIF(B31:B35,"&gt;0"),0)</f>
        <v>1</v>
      </c>
      <c r="D65" s="74">
        <f>IF(D24=2,SUMIF(D31:D35,"&gt;0"),0)</f>
        <v>0</v>
      </c>
      <c r="E65" s="70">
        <f>IF(E24=2,SUMIF(E31:E35,"&gt;0"),0)</f>
        <v>0</v>
      </c>
      <c r="G65" s="74">
        <f>IF(G24=2,SUMIF(G31:G35,"&gt;0"),0)</f>
        <v>0</v>
      </c>
      <c r="H65" s="70">
        <f>IF(H24=2,SUMIF(H31:H35,"&gt;0"),0)</f>
        <v>0</v>
      </c>
      <c r="J65" s="74">
        <f>IF(J24=2,SUMIF(J31:J35,"&gt;0"),0)</f>
        <v>0</v>
      </c>
      <c r="K65" s="70">
        <f>IF(K24=2,SUMIF(K31:K35,"&gt;0"),0)</f>
        <v>1</v>
      </c>
      <c r="M65" s="74">
        <f>IF(M24=2,SUMIF(M31:M35,"&gt;0"),0)</f>
        <v>0</v>
      </c>
      <c r="N65" s="70">
        <f>IF(N24=2,SUMIF(N31:N35,"&gt;0"),0)</f>
        <v>0</v>
      </c>
      <c r="P65" s="74">
        <f>IF(P24=2,SUMIF(P31:P35,"&gt;0"),0)</f>
        <v>0</v>
      </c>
      <c r="Q65" s="70">
        <f>IF(Q24=2,SUMIF(Q31:Q35,"&gt;0"),0)</f>
        <v>0</v>
      </c>
      <c r="S65" s="74">
        <f>IF(S24=2,SUMIF(S31:S35,"&gt;0"),0)</f>
        <v>0</v>
      </c>
      <c r="T65" s="70">
        <f>IF(T24=2,SUMIF(T31:T35,"&gt;0"),0)</f>
        <v>1</v>
      </c>
      <c r="V65" s="74">
        <f>IF(V24=2,SUMIF(V31:V35,"&gt;0"),0)</f>
        <v>0</v>
      </c>
      <c r="W65" s="70">
        <f>IF(W24=2,SUMIF(W31:W35,"&gt;0"),0)</f>
        <v>0</v>
      </c>
      <c r="Y65" s="74">
        <f>IF(Y24=2,SUMIF(Y31:Y35,"&gt;0"),0)</f>
        <v>0</v>
      </c>
      <c r="Z65" s="70">
        <f>IF(Z24=2,SUMIF(Z31:Z35,"&gt;0"),0)</f>
        <v>0</v>
      </c>
      <c r="AB65" s="74">
        <f>IF(AB24=2,SUMIF(AB31:AB35,"&gt;0"),0)</f>
        <v>0</v>
      </c>
      <c r="AC65" s="70">
        <f>IF(AC24=2,SUMIF(AC31:AC35,"&gt;0"),0)</f>
        <v>0</v>
      </c>
      <c r="AE65" s="74">
        <f>IF(AE24=2,SUMIF(AE31:AE35,"&gt;0"),0)</f>
        <v>0</v>
      </c>
      <c r="AF65" s="70">
        <f>SUM(B65:AE65)</f>
        <v>3</v>
      </c>
      <c r="AG65" s="70">
        <f>AF73-AF65</f>
        <v>5</v>
      </c>
      <c r="AW65" s="154"/>
    </row>
    <row r="66" spans="1:54" s="70" customFormat="1" ht="12.75" hidden="1" customHeight="1" x14ac:dyDescent="0.2">
      <c r="A66" s="70" t="s">
        <v>93</v>
      </c>
      <c r="B66" s="70">
        <f>IF(B24=3,SUMIF(B31:B35,"&gt;0"),0)</f>
        <v>0</v>
      </c>
      <c r="D66" s="74">
        <f>IF(D24=3,SUMIF(D31:D35,"&gt;0"),0)</f>
        <v>0</v>
      </c>
      <c r="E66" s="70">
        <f>IF(E24=3,SUMIF(E31:E35,"&gt;0"),0)</f>
        <v>0</v>
      </c>
      <c r="G66" s="74">
        <f>IF(G24=3,SUMIF(G31:G35,"&gt;0"),0)</f>
        <v>0</v>
      </c>
      <c r="H66" s="70">
        <f>IF(H24=3,SUMIF(H31:H35,"&gt;0"),0)</f>
        <v>0</v>
      </c>
      <c r="J66" s="74">
        <f>IF(J24=3,SUMIF(J31:J35,"&gt;0"),0)</f>
        <v>0</v>
      </c>
      <c r="K66" s="70">
        <f>IF(K24=3,SUMIF(K31:K35,"&gt;0"),0)</f>
        <v>0</v>
      </c>
      <c r="M66" s="74">
        <f>IF(M24=3,SUMIF(M31:M35,"&gt;0"),0)</f>
        <v>0</v>
      </c>
      <c r="N66" s="70">
        <f>IF(N24=3,SUMIF(N31:N35,"&gt;0"),0)</f>
        <v>0</v>
      </c>
      <c r="P66" s="74">
        <f>IF(P24=3,SUMIF(P31:P35,"&gt;0"),0)</f>
        <v>0</v>
      </c>
      <c r="Q66" s="70">
        <f>IF(Q24=3,SUMIF(Q31:Q35,"&gt;0"),0)</f>
        <v>0</v>
      </c>
      <c r="S66" s="74">
        <f>IF(S24=3,SUMIF(S31:S35,"&gt;0"),0)</f>
        <v>0</v>
      </c>
      <c r="T66" s="70">
        <f>IF(T24=3,SUMIF(T31:T35,"&gt;0"),0)</f>
        <v>0</v>
      </c>
      <c r="V66" s="74">
        <f>IF(V24=3,SUMIF(V31:V35,"&gt;0"),0)</f>
        <v>1</v>
      </c>
      <c r="W66" s="70">
        <f>IF(W24=3,SUMIF(W31:W35,"&gt;0"),0)</f>
        <v>0</v>
      </c>
      <c r="Y66" s="74">
        <f>IF(Y24=3,SUMIF(Y31:Y35,"&gt;0"),0)</f>
        <v>0</v>
      </c>
      <c r="Z66" s="70">
        <f>IF(Z24=3,SUMIF(Z31:Z35,"&gt;0"),0)</f>
        <v>0</v>
      </c>
      <c r="AB66" s="74">
        <f>IF(AB24=3,SUMIF(AB31:AB35,"&gt;0"),0)</f>
        <v>0</v>
      </c>
      <c r="AC66" s="70">
        <f>IF(AC24=3,SUMIF(AC31:AC35,"&gt;0"),0)</f>
        <v>0</v>
      </c>
      <c r="AE66" s="74">
        <f>IF(AE24=3,SUMIF(AE31:AE35,"&gt;0"),0)</f>
        <v>0</v>
      </c>
      <c r="AF66" s="70">
        <f>SUM(B66:AE66)</f>
        <v>1</v>
      </c>
      <c r="AG66" s="70">
        <f>AF74-AF66</f>
        <v>7</v>
      </c>
      <c r="AW66" s="154"/>
    </row>
    <row r="67" spans="1:54" s="70" customFormat="1" ht="12.75" hidden="1" customHeight="1" x14ac:dyDescent="0.2">
      <c r="A67" s="70" t="s">
        <v>94</v>
      </c>
      <c r="B67" s="70">
        <f>IF(B24=4,SUMIF(B31:B35,"&gt;0"),0)</f>
        <v>0</v>
      </c>
      <c r="D67" s="74">
        <f>IF(D24=4,SUMIF(D31:D35,"&gt;0"),0)</f>
        <v>0</v>
      </c>
      <c r="E67" s="70">
        <f>IF(E24=4,SUMIF(E31:E35,"&gt;0"),0)</f>
        <v>0</v>
      </c>
      <c r="G67" s="74">
        <f>IF(G24=4,SUMIF(G31:G35,"&gt;0"),0)</f>
        <v>1</v>
      </c>
      <c r="H67" s="70">
        <f>IF(H24=4,SUMIF(H31:H35,"&gt;0"),0)</f>
        <v>0</v>
      </c>
      <c r="J67" s="74">
        <f>IF(J24=4,SUMIF(J31:J35,"&gt;0"),0)</f>
        <v>0</v>
      </c>
      <c r="K67" s="70">
        <f>IF(K24=4,SUMIF(K31:K35,"&gt;0"),0)</f>
        <v>0</v>
      </c>
      <c r="M67" s="74">
        <f>IF(M24=4,SUMIF(M31:M35,"&gt;0"),0)</f>
        <v>1</v>
      </c>
      <c r="N67" s="70">
        <f>IF(N24=4,SUMIF(N31:N35,"&gt;0"),0)</f>
        <v>0</v>
      </c>
      <c r="P67" s="74">
        <f>IF(P24=4,SUMIF(P31:P35,"&gt;0"),0)</f>
        <v>0</v>
      </c>
      <c r="Q67" s="70">
        <f>IF(Q24=4,SUMIF(Q31:Q35,"&gt;0"),0)</f>
        <v>1</v>
      </c>
      <c r="S67" s="74">
        <f>IF(S24=4,SUMIF(S31:S35,"&gt;0"),0)</f>
        <v>0</v>
      </c>
      <c r="T67" s="70">
        <f>IF(T24=4,SUMIF(T31:T35,"&gt;0"),0)</f>
        <v>0</v>
      </c>
      <c r="V67" s="74">
        <f>IF(V24=4,SUMIF(V31:V35,"&gt;0"),0)</f>
        <v>0</v>
      </c>
      <c r="W67" s="70">
        <f>IF(W24=4,SUMIF(W31:W35,"&gt;0"),0)</f>
        <v>0</v>
      </c>
      <c r="Y67" s="74">
        <f>IF(Y24=4,SUMIF(Y31:Y35,"&gt;0"),0)</f>
        <v>0</v>
      </c>
      <c r="Z67" s="70">
        <f>IF(Z24=4,SUMIF(Z31:Z35,"&gt;0"),0)</f>
        <v>0</v>
      </c>
      <c r="AB67" s="74">
        <f>IF(AB24=4,SUMIF(AB31:AB35,"&gt;0"),0)</f>
        <v>2</v>
      </c>
      <c r="AC67" s="70">
        <f>IF(AC24=4,SUMIF(AC31:AC35,"&gt;0"),0)</f>
        <v>0</v>
      </c>
      <c r="AE67" s="74">
        <f>IF(AE24=4,SUMIF(AE31:AE35,"&gt;0"),0)</f>
        <v>0</v>
      </c>
      <c r="AF67" s="70">
        <f>SUM(B67:AE67)</f>
        <v>5</v>
      </c>
      <c r="AG67" s="70">
        <f>AF75-AF67</f>
        <v>3</v>
      </c>
      <c r="AW67" s="154"/>
    </row>
    <row r="68" spans="1:54" s="70" customFormat="1" ht="12.75" hidden="1" customHeight="1" x14ac:dyDescent="0.2">
      <c r="A68" s="70" t="s">
        <v>95</v>
      </c>
      <c r="B68" s="70">
        <f>IF(B24=5,SUMIF(B31:B35,"&gt;0"),0)</f>
        <v>0</v>
      </c>
      <c r="D68" s="74">
        <f>IF(D24=5,SUMIF(D31:D35,"&gt;0"),0)</f>
        <v>1</v>
      </c>
      <c r="E68" s="70">
        <f>IF(E24=5,SUMIF(E31:E35,"&gt;0"),0)</f>
        <v>0</v>
      </c>
      <c r="G68" s="74">
        <f>IF(G24=5,SUMIF(G31:G35,"&gt;0"),0)</f>
        <v>0</v>
      </c>
      <c r="H68" s="70">
        <f>IF(H24=5,SUMIF(H31:H35,"&gt;0"),0)</f>
        <v>0</v>
      </c>
      <c r="J68" s="74">
        <f>IF(J24=5,SUMIF(J31:J35,"&gt;0"),0)</f>
        <v>2</v>
      </c>
      <c r="K68" s="70">
        <f>IF(K24=5,SUMIF(K31:K35,"&gt;0"),0)</f>
        <v>0</v>
      </c>
      <c r="M68" s="74">
        <f>IF(M24=5,SUMIF(M31:M35,"&gt;0"),0)</f>
        <v>0</v>
      </c>
      <c r="N68" s="70">
        <f>IF(N24=5,SUMIF(N31:N35,"&gt;0"),0)</f>
        <v>0</v>
      </c>
      <c r="P68" s="74">
        <f>IF(P24=5,SUMIF(P31:P35,"&gt;0"),0)</f>
        <v>0</v>
      </c>
      <c r="Q68" s="70">
        <f>IF(Q24=5,SUMIF(Q31:Q35,"&gt;0"),0)</f>
        <v>0</v>
      </c>
      <c r="S68" s="74">
        <f>IF(S24=5,SUMIF(S31:S35,"&gt;0"),0)</f>
        <v>1</v>
      </c>
      <c r="T68" s="70">
        <f>IF(T24=5,SUMIF(T31:T35,"&gt;0"),0)</f>
        <v>0</v>
      </c>
      <c r="V68" s="74">
        <f>IF(V24=5,SUMIF(V31:V35,"&gt;0"),0)</f>
        <v>0</v>
      </c>
      <c r="W68" s="70">
        <f>IF(W24=5,SUMIF(W31:W35,"&gt;0"),0)</f>
        <v>0</v>
      </c>
      <c r="Y68" s="74">
        <f>IF(Y24=5,SUMIF(Y31:Y35,"&gt;0"),0)</f>
        <v>1</v>
      </c>
      <c r="Z68" s="70">
        <f>IF(Z24=5,SUMIF(Z31:Z35,"&gt;0"),0)</f>
        <v>0</v>
      </c>
      <c r="AB68" s="74">
        <f>IF(AB24=5,SUMIF(AB31:AB35,"&gt;0"),0)</f>
        <v>0</v>
      </c>
      <c r="AC68" s="70">
        <f>IF(AC24=5,SUMIF(AC31:AC35,"&gt;0"),0)</f>
        <v>0</v>
      </c>
      <c r="AE68" s="74">
        <f>IF(AE24=5,SUMIF(AE31:AE35,"&gt;0"),0)</f>
        <v>0</v>
      </c>
      <c r="AF68" s="70">
        <f>SUM(B68:AE68)</f>
        <v>5</v>
      </c>
      <c r="AG68" s="70">
        <f>AF76-AF68</f>
        <v>3</v>
      </c>
      <c r="AW68" s="154"/>
    </row>
    <row r="69" spans="1:54" s="70" customFormat="1" ht="12.75" hidden="1" customHeight="1" x14ac:dyDescent="0.2">
      <c r="D69" s="74"/>
      <c r="G69" s="74"/>
      <c r="J69" s="74"/>
      <c r="M69" s="74"/>
      <c r="P69" s="74"/>
      <c r="S69" s="74"/>
      <c r="V69" s="74"/>
      <c r="Y69" s="74"/>
      <c r="AB69" s="74"/>
      <c r="AE69" s="74"/>
      <c r="AW69" s="154"/>
    </row>
    <row r="70" spans="1:54" s="70" customFormat="1" ht="12.75" hidden="1" customHeight="1" x14ac:dyDescent="0.2">
      <c r="D70" s="74"/>
      <c r="G70" s="74"/>
      <c r="J70" s="74"/>
      <c r="M70" s="74"/>
      <c r="P70" s="74"/>
      <c r="S70" s="74"/>
      <c r="V70" s="74"/>
      <c r="Y70" s="74"/>
      <c r="AB70" s="74"/>
      <c r="AE70" s="74"/>
      <c r="AW70" s="154"/>
    </row>
    <row r="71" spans="1:54" s="70" customFormat="1" ht="51" hidden="1" customHeight="1" x14ac:dyDescent="0.2">
      <c r="A71" s="73" t="s">
        <v>106</v>
      </c>
      <c r="C71" s="70">
        <f>SUMIF(B64:D68,"&gt;0")</f>
        <v>2</v>
      </c>
      <c r="D71" s="74"/>
      <c r="F71" s="70">
        <f>SUMIF(E64:G68,"&gt;0")</f>
        <v>2</v>
      </c>
      <c r="G71" s="74"/>
      <c r="I71" s="70">
        <f>SUMIF(H64:J68,"&gt;0")</f>
        <v>2</v>
      </c>
      <c r="J71" s="74"/>
      <c r="L71" s="70">
        <f>SUMIF(K64:M68,"&gt;0")</f>
        <v>2</v>
      </c>
      <c r="M71" s="74"/>
      <c r="O71" s="70">
        <f>SUMIF(N64:P68,"&gt;0")</f>
        <v>2</v>
      </c>
      <c r="P71" s="74"/>
      <c r="R71" s="70">
        <f>SUMIF(Q64:S68,"&gt;0")</f>
        <v>2</v>
      </c>
      <c r="S71" s="74"/>
      <c r="U71" s="70">
        <f>SUMIF(T64:V68,"&gt;0")</f>
        <v>2</v>
      </c>
      <c r="V71" s="74"/>
      <c r="X71" s="70">
        <f>SUMIF(W64:Y68,"&gt;0")</f>
        <v>2</v>
      </c>
      <c r="Y71" s="74"/>
      <c r="AA71" s="70">
        <f>SUMIF(Z64:AB68,"&gt;0")</f>
        <v>2</v>
      </c>
      <c r="AB71" s="74"/>
      <c r="AD71" s="70">
        <f>SUMIF(AC64:AE68,"&gt;0")</f>
        <v>2</v>
      </c>
      <c r="AE71" s="74"/>
      <c r="AF71" s="73" t="s">
        <v>107</v>
      </c>
      <c r="AW71" s="154"/>
    </row>
    <row r="72" spans="1:54" s="70" customFormat="1" ht="12.75" hidden="1" customHeight="1" x14ac:dyDescent="0.2">
      <c r="A72" s="70" t="s">
        <v>97</v>
      </c>
      <c r="B72" s="70">
        <f>IF(B24=1,C71,0)</f>
        <v>0</v>
      </c>
      <c r="D72" s="74">
        <f>IF(D24=1,C71,0)</f>
        <v>0</v>
      </c>
      <c r="E72" s="70">
        <f>IF(E24=1,F71,0)</f>
        <v>2</v>
      </c>
      <c r="G72" s="74">
        <f>IF(G24=1,F71,0)</f>
        <v>0</v>
      </c>
      <c r="H72" s="70">
        <f>IF(H24=1,I71,0)</f>
        <v>0</v>
      </c>
      <c r="J72" s="74">
        <f>IF(J24=1,I71,0)</f>
        <v>0</v>
      </c>
      <c r="K72" s="70">
        <f>IF(K24=1,L71,0)</f>
        <v>0</v>
      </c>
      <c r="M72" s="74">
        <f>IF(M24=1,L71,0)</f>
        <v>0</v>
      </c>
      <c r="N72" s="70">
        <f>IF(N24=1,O71,0)</f>
        <v>2</v>
      </c>
      <c r="P72" s="74">
        <f>IF(P24=1,O71,0)</f>
        <v>0</v>
      </c>
      <c r="Q72" s="70">
        <f>IF(Q24=1,R71,0)</f>
        <v>0</v>
      </c>
      <c r="S72" s="74">
        <f>IF(S24=1,R71,0)</f>
        <v>0</v>
      </c>
      <c r="T72" s="70">
        <f>IF(T24=1,U71,0)</f>
        <v>0</v>
      </c>
      <c r="V72" s="74">
        <f>IF(V24=1,U71,0)</f>
        <v>0</v>
      </c>
      <c r="W72" s="70">
        <f>IF(W24=1,X71,0)</f>
        <v>2</v>
      </c>
      <c r="Y72" s="74">
        <f>IF(Y24=1,X71,0)</f>
        <v>0</v>
      </c>
      <c r="Z72" s="70">
        <f>IF(Z24=1,AA71,0)</f>
        <v>0</v>
      </c>
      <c r="AB72" s="74">
        <f>IF(AB24=1,AA71,0)</f>
        <v>0</v>
      </c>
      <c r="AC72" s="70">
        <f>IF(AC24=1,AD71,0)</f>
        <v>2</v>
      </c>
      <c r="AE72" s="74">
        <f>IF(AE24=1,AD71,0)</f>
        <v>0</v>
      </c>
      <c r="AF72" s="70">
        <f>SUM(B72:AE72)</f>
        <v>8</v>
      </c>
      <c r="AW72" s="154"/>
    </row>
    <row r="73" spans="1:54" s="70" customFormat="1" ht="12.75" hidden="1" customHeight="1" x14ac:dyDescent="0.2">
      <c r="A73" s="70" t="s">
        <v>98</v>
      </c>
      <c r="B73" s="70">
        <f>IF(B24=2,C71,0)</f>
        <v>2</v>
      </c>
      <c r="D73" s="74">
        <f>IF(D24=2,C71,0)</f>
        <v>0</v>
      </c>
      <c r="E73" s="70">
        <f>IF(E24=2,F71,0)</f>
        <v>0</v>
      </c>
      <c r="G73" s="74">
        <f>IF(G24=2,F71,0)</f>
        <v>0</v>
      </c>
      <c r="H73" s="70">
        <f>IF(H24=2,I71,0)</f>
        <v>0</v>
      </c>
      <c r="J73" s="74">
        <f>IF(J24=2,I71,0)</f>
        <v>0</v>
      </c>
      <c r="K73" s="70">
        <f>IF(K24=2,L71,0)</f>
        <v>2</v>
      </c>
      <c r="M73" s="74">
        <f>IF(M24=2,L71,0)</f>
        <v>0</v>
      </c>
      <c r="N73" s="70">
        <f>IF(N24=2,O71,0)</f>
        <v>0</v>
      </c>
      <c r="P73" s="74">
        <f>IF(P24=2,O71,0)</f>
        <v>0</v>
      </c>
      <c r="Q73" s="70">
        <f>IF(Q24=2,R71,0)</f>
        <v>0</v>
      </c>
      <c r="S73" s="74">
        <f>IF(S24=2,R71,0)</f>
        <v>0</v>
      </c>
      <c r="T73" s="70">
        <f>IF(T24=2,U71,0)</f>
        <v>2</v>
      </c>
      <c r="V73" s="74">
        <f>IF(V24=2,U71,0)</f>
        <v>0</v>
      </c>
      <c r="W73" s="70">
        <f>IF(W24=2,X71,0)</f>
        <v>0</v>
      </c>
      <c r="Y73" s="74">
        <f>IF(Y24=2,X71,0)</f>
        <v>0</v>
      </c>
      <c r="Z73" s="70">
        <f>IF(Z24=2,AA71,0)</f>
        <v>0</v>
      </c>
      <c r="AB73" s="74">
        <f>IF(AB24=2,AA71,0)</f>
        <v>0</v>
      </c>
      <c r="AC73" s="70">
        <f>IF(AC24=2,AD71,0)</f>
        <v>0</v>
      </c>
      <c r="AE73" s="74">
        <f>IF(AE24=2,AD71,0)</f>
        <v>2</v>
      </c>
      <c r="AF73" s="70">
        <f>SUM(B73:AE73)</f>
        <v>8</v>
      </c>
      <c r="AW73" s="154"/>
    </row>
    <row r="74" spans="1:54" s="70" customFormat="1" ht="12.75" hidden="1" customHeight="1" x14ac:dyDescent="0.2">
      <c r="A74" s="70" t="s">
        <v>99</v>
      </c>
      <c r="B74" s="70">
        <f>IF(B24=3,C71,0)</f>
        <v>0</v>
      </c>
      <c r="D74" s="74">
        <f>IF(D24=3,C71,0)</f>
        <v>0</v>
      </c>
      <c r="E74" s="70">
        <f>IF(E24=3,F71,0)</f>
        <v>0</v>
      </c>
      <c r="G74" s="74">
        <f>IF(G24=3,F71,0)</f>
        <v>0</v>
      </c>
      <c r="H74" s="70">
        <f>IF(H24=3,I71,0)</f>
        <v>2</v>
      </c>
      <c r="J74" s="74">
        <f>IF(J24=3,I71,0)</f>
        <v>0</v>
      </c>
      <c r="K74" s="70">
        <f>IF(K24=3,L71,0)</f>
        <v>0</v>
      </c>
      <c r="M74" s="74">
        <f>IF(M24=3,L71,0)</f>
        <v>0</v>
      </c>
      <c r="N74" s="70">
        <f>IF(N24=3,O71,0)</f>
        <v>0</v>
      </c>
      <c r="P74" s="74">
        <f>IF(P24=3,O71,0)</f>
        <v>2</v>
      </c>
      <c r="Q74" s="70">
        <f>IF(Q24=3,R71,0)</f>
        <v>0</v>
      </c>
      <c r="S74" s="74">
        <f>IF(S24=3,R71,0)</f>
        <v>0</v>
      </c>
      <c r="T74" s="70">
        <f>IF(T24=3,U71,0)</f>
        <v>0</v>
      </c>
      <c r="V74" s="74">
        <f>IF(V24=3,U71,0)</f>
        <v>2</v>
      </c>
      <c r="W74" s="70">
        <f>IF(W24=3,X71,0)</f>
        <v>0</v>
      </c>
      <c r="Y74" s="74">
        <f>IF(Y24=3,X71,0)</f>
        <v>0</v>
      </c>
      <c r="Z74" s="70">
        <f>IF(Z24=3,AA71,0)</f>
        <v>2</v>
      </c>
      <c r="AB74" s="74">
        <f>IF(AB24=3,AA71,0)</f>
        <v>0</v>
      </c>
      <c r="AC74" s="70">
        <f>IF(AC24=3,AD71,0)</f>
        <v>0</v>
      </c>
      <c r="AE74" s="74">
        <f>IF(AE24=3,AD71,0)</f>
        <v>0</v>
      </c>
      <c r="AF74" s="70">
        <f>SUM(B74:AE74)</f>
        <v>8</v>
      </c>
      <c r="AW74" s="154"/>
    </row>
    <row r="75" spans="1:54" s="70" customFormat="1" ht="12.75" hidden="1" customHeight="1" x14ac:dyDescent="0.2">
      <c r="A75" s="70" t="s">
        <v>100</v>
      </c>
      <c r="B75" s="70">
        <f>IF(B24=4,C71,0)</f>
        <v>0</v>
      </c>
      <c r="D75" s="74">
        <f>IF(D24=4,C71,0)</f>
        <v>0</v>
      </c>
      <c r="E75" s="70">
        <f>IF(E24=4,F71,0)</f>
        <v>0</v>
      </c>
      <c r="G75" s="74">
        <f>IF(G24=4,F71,0)</f>
        <v>2</v>
      </c>
      <c r="H75" s="70">
        <f>IF(H24=4,I71,0)</f>
        <v>0</v>
      </c>
      <c r="J75" s="74">
        <f>IF(J24=4,I71,0)</f>
        <v>0</v>
      </c>
      <c r="K75" s="70">
        <f>IF(K24=4,L71,0)</f>
        <v>0</v>
      </c>
      <c r="M75" s="74">
        <f>IF(M24=4,L71,0)</f>
        <v>2</v>
      </c>
      <c r="N75" s="70">
        <f>IF(N24=4,O71,0)</f>
        <v>0</v>
      </c>
      <c r="P75" s="74">
        <f>IF(P24=4,O71,0)</f>
        <v>0</v>
      </c>
      <c r="Q75" s="70">
        <f>IF(Q24=4,R71,0)</f>
        <v>2</v>
      </c>
      <c r="S75" s="74">
        <f>IF(S24=4,R71,0)</f>
        <v>0</v>
      </c>
      <c r="T75" s="70">
        <f>IF(T24=4,U71,0)</f>
        <v>0</v>
      </c>
      <c r="V75" s="74">
        <f>IF(V24=4,U71,0)</f>
        <v>0</v>
      </c>
      <c r="W75" s="70">
        <f>IF(W24=4,X71,0)</f>
        <v>0</v>
      </c>
      <c r="Y75" s="74">
        <f>IF(Y24=4,X71,0)</f>
        <v>0</v>
      </c>
      <c r="Z75" s="70">
        <f>IF(Z24=4,AA71,0)</f>
        <v>0</v>
      </c>
      <c r="AB75" s="74">
        <f>IF(AB24=4,AA71,0)</f>
        <v>2</v>
      </c>
      <c r="AC75" s="70">
        <f>IF(AC24=4,AD71,0)</f>
        <v>0</v>
      </c>
      <c r="AE75" s="74">
        <f>IF(AE24=4,AD71,0)</f>
        <v>0</v>
      </c>
      <c r="AF75" s="70">
        <f>SUM(B75:AE75)</f>
        <v>8</v>
      </c>
      <c r="AW75" s="154"/>
    </row>
    <row r="76" spans="1:54" s="70" customFormat="1" ht="12.75" hidden="1" customHeight="1" x14ac:dyDescent="0.2">
      <c r="A76" s="70" t="s">
        <v>101</v>
      </c>
      <c r="B76" s="70">
        <f>IF(B24=5,C71,0)</f>
        <v>0</v>
      </c>
      <c r="D76" s="74">
        <f>IF(D24=5,C71,0)</f>
        <v>2</v>
      </c>
      <c r="E76" s="70">
        <f>IF(E24=5,F71,0)</f>
        <v>0</v>
      </c>
      <c r="G76" s="74">
        <f>IF(G24=5,F71,0)</f>
        <v>0</v>
      </c>
      <c r="H76" s="70">
        <f>IF(H24=5,I71,0)</f>
        <v>0</v>
      </c>
      <c r="J76" s="74">
        <f>IF(J24=5,I71,0)</f>
        <v>2</v>
      </c>
      <c r="K76" s="70">
        <f>IF(K24=5,L71,0)</f>
        <v>0</v>
      </c>
      <c r="M76" s="74">
        <f>IF(M24=5,L71,0)</f>
        <v>0</v>
      </c>
      <c r="N76" s="70">
        <f>IF(N24=5,O71,0)</f>
        <v>0</v>
      </c>
      <c r="P76" s="74">
        <f>IF(P24=5,O71,0)</f>
        <v>0</v>
      </c>
      <c r="Q76" s="70">
        <f>IF(Q24=5,R71,0)</f>
        <v>0</v>
      </c>
      <c r="S76" s="74">
        <f>IF(S24=5,R71,0)</f>
        <v>2</v>
      </c>
      <c r="T76" s="70">
        <f>IF(T24=5,U71,0)</f>
        <v>0</v>
      </c>
      <c r="V76" s="74">
        <f>IF(V24=5,U71,0)</f>
        <v>0</v>
      </c>
      <c r="W76" s="70">
        <f>IF(W24=5,X71,0)</f>
        <v>0</v>
      </c>
      <c r="Y76" s="74">
        <f>IF(Y24=5,X71,0)</f>
        <v>2</v>
      </c>
      <c r="Z76" s="70">
        <f>IF(Z24=5,AA71,0)</f>
        <v>0</v>
      </c>
      <c r="AB76" s="74">
        <f>IF(AB24=5,AA71,0)</f>
        <v>0</v>
      </c>
      <c r="AC76" s="70">
        <f>IF(AC24=5,AD71,0)</f>
        <v>0</v>
      </c>
      <c r="AE76" s="74">
        <f>IF(AE24=5,AD71,0)</f>
        <v>0</v>
      </c>
      <c r="AF76" s="70">
        <f>SUM(B76:AE76)</f>
        <v>8</v>
      </c>
      <c r="AW76" s="154"/>
    </row>
    <row r="77" spans="1:54" hidden="1" x14ac:dyDescent="0.2">
      <c r="A77" s="95"/>
      <c r="B77" s="95"/>
      <c r="C77" s="95"/>
      <c r="D77" s="95"/>
      <c r="E77" s="95"/>
      <c r="F77" s="95"/>
      <c r="G77" s="95"/>
      <c r="H77" s="95"/>
      <c r="I77" s="95"/>
      <c r="J77" s="95"/>
      <c r="K77" s="95"/>
      <c r="L77" s="95"/>
      <c r="M77" s="95"/>
      <c r="N77" s="95"/>
      <c r="O77" s="95"/>
      <c r="P77" s="95"/>
      <c r="Q77" s="95"/>
      <c r="R77" s="95"/>
      <c r="S77" s="95"/>
      <c r="T77" s="95"/>
      <c r="U77" s="95"/>
      <c r="V77" s="95"/>
      <c r="W77" s="95"/>
      <c r="X77" s="95"/>
      <c r="Y77" s="95"/>
      <c r="Z77" s="95"/>
      <c r="AA77" s="95"/>
      <c r="AB77" s="95"/>
      <c r="AC77" s="95"/>
      <c r="AD77" s="95"/>
      <c r="AE77" s="95"/>
      <c r="AF77" s="95"/>
      <c r="AG77" s="95"/>
      <c r="AH77" s="95"/>
      <c r="AI77" s="95"/>
      <c r="AJ77" s="95"/>
      <c r="AK77" s="95"/>
      <c r="AL77" s="95"/>
      <c r="AM77" s="95"/>
      <c r="AN77" s="96"/>
      <c r="AO77" s="96"/>
      <c r="AP77" s="96"/>
      <c r="AQ77" s="96"/>
      <c r="AR77" s="77"/>
      <c r="AS77" s="77"/>
      <c r="AT77" s="77"/>
      <c r="AU77" s="77"/>
      <c r="AV77" s="77"/>
      <c r="BB77" s="156"/>
    </row>
    <row r="78" spans="1:54" s="77" customFormat="1" hidden="1" x14ac:dyDescent="0.2">
      <c r="A78" s="79"/>
      <c r="B78" s="79"/>
      <c r="C78" s="79" t="s">
        <v>108</v>
      </c>
      <c r="D78" s="79">
        <v>1</v>
      </c>
      <c r="E78" s="79"/>
      <c r="F78" s="79"/>
      <c r="G78" s="79">
        <v>2</v>
      </c>
      <c r="H78" s="79"/>
      <c r="I78" s="79"/>
      <c r="J78" s="79">
        <v>3</v>
      </c>
      <c r="K78" s="79"/>
      <c r="L78" s="79"/>
      <c r="M78" s="79">
        <v>4</v>
      </c>
      <c r="N78" s="79"/>
      <c r="O78" s="79"/>
      <c r="P78" s="79">
        <v>5</v>
      </c>
      <c r="Q78" s="79"/>
      <c r="R78" s="79"/>
      <c r="S78" s="79">
        <v>6</v>
      </c>
      <c r="T78" s="79"/>
      <c r="U78" s="79"/>
      <c r="V78" s="79">
        <v>7</v>
      </c>
      <c r="W78" s="79"/>
      <c r="X78" s="79"/>
      <c r="Y78" s="79">
        <v>8</v>
      </c>
      <c r="Z78" s="79"/>
      <c r="AA78" s="79"/>
      <c r="AB78" s="79">
        <v>9</v>
      </c>
      <c r="AC78" s="79"/>
      <c r="AD78" s="79"/>
      <c r="AE78" s="79">
        <v>10</v>
      </c>
      <c r="AF78" s="4"/>
      <c r="AG78" s="79"/>
      <c r="AI78" s="80"/>
      <c r="AJ78" s="4"/>
      <c r="AK78" s="4"/>
      <c r="AL78" s="4"/>
      <c r="AM78" s="4"/>
      <c r="AN78" s="4"/>
      <c r="AO78" s="4"/>
      <c r="AT78" s="80" t="s">
        <v>109</v>
      </c>
      <c r="AW78" s="81"/>
      <c r="BB78" s="81"/>
    </row>
    <row r="79" spans="1:54" s="77" customFormat="1" hidden="1" x14ac:dyDescent="0.2">
      <c r="A79" s="82">
        <v>1</v>
      </c>
      <c r="B79" s="82" t="str">
        <f>E8</f>
        <v>Magnum Aiken 16 Green</v>
      </c>
      <c r="C79" s="82">
        <f>VLOOKUP(B79,AU$3:AY$12,3,FALSE)</f>
        <v>2646.8788938853718</v>
      </c>
      <c r="D79" s="82">
        <f>IF(B72,B87,IF(D72,D87,C79))</f>
        <v>2646.8788938853718</v>
      </c>
      <c r="E79" s="82"/>
      <c r="F79" s="82"/>
      <c r="G79" s="82">
        <f>IF(E72,E87,IF(G72,G87,D79))</f>
        <v>2638.3145017709548</v>
      </c>
      <c r="H79" s="82"/>
      <c r="I79" s="82"/>
      <c r="J79" s="82">
        <f>IF(H72,H87,IF(J72,J87,G79))</f>
        <v>2638.3145017709548</v>
      </c>
      <c r="K79" s="82"/>
      <c r="L79" s="82"/>
      <c r="M79" s="82">
        <f>IF(K72,K87,IF(M72,M87,J79))</f>
        <v>2638.3145017709548</v>
      </c>
      <c r="N79" s="82"/>
      <c r="O79" s="82"/>
      <c r="P79" s="82">
        <f>IF(N72,N87,IF(P72,P87,M79))</f>
        <v>2660.8133734942958</v>
      </c>
      <c r="Q79" s="82"/>
      <c r="R79" s="82"/>
      <c r="S79" s="82">
        <f>IF(Q72,Q87,IF(S72,S87,P79))</f>
        <v>2660.8133734942958</v>
      </c>
      <c r="T79" s="82"/>
      <c r="U79" s="82"/>
      <c r="V79" s="82">
        <f>IF(T72,T87,IF(V72,V87,S79))</f>
        <v>2660.8133734942958</v>
      </c>
      <c r="W79" s="82"/>
      <c r="X79" s="82"/>
      <c r="Y79" s="82">
        <f>IF(W72,W87,IF(Y72,Y87,V79))</f>
        <v>2653.0542521480211</v>
      </c>
      <c r="Z79" s="82"/>
      <c r="AA79" s="82"/>
      <c r="AB79" s="82">
        <f>IF(Z72,Z87,IF(AB72,AB87,Y79))</f>
        <v>2653.0542521480211</v>
      </c>
      <c r="AC79" s="82"/>
      <c r="AD79" s="82"/>
      <c r="AE79" s="82">
        <f>IF(AC72,AC87,IF(AE72,AE87,AB79))</f>
        <v>2678.8837604353203</v>
      </c>
      <c r="AF79" s="4"/>
      <c r="AG79" s="4"/>
      <c r="AJ79" s="4"/>
      <c r="AK79" s="4"/>
      <c r="AL79" s="4"/>
      <c r="AM79" s="4"/>
      <c r="AN79" s="4"/>
      <c r="AO79" s="4"/>
      <c r="AT79" s="77" t="str">
        <f>B79</f>
        <v>Magnum Aiken 16 Green</v>
      </c>
      <c r="AU79" s="77">
        <f>AE79</f>
        <v>2678.8837604353203</v>
      </c>
      <c r="AW79" s="81"/>
      <c r="BB79" s="81"/>
    </row>
    <row r="80" spans="1:54" s="77" customFormat="1" hidden="1" x14ac:dyDescent="0.2">
      <c r="A80" s="82">
        <v>2</v>
      </c>
      <c r="B80" s="82" t="str">
        <f>E10</f>
        <v>Beaufort Sweet 16's</v>
      </c>
      <c r="C80" s="82">
        <f>VLOOKUP(B80,AU$3:AY$12,3,FALSE)</f>
        <v>2602.0670906930518</v>
      </c>
      <c r="D80" s="82">
        <f>IF(B73,B87,IF(D73,D87,C80))</f>
        <v>2596.0307492428715</v>
      </c>
      <c r="E80" s="82"/>
      <c r="F80" s="82"/>
      <c r="G80" s="82">
        <f>IF(E73,E87,IF(G73,G87,D80))</f>
        <v>2596.0307492428715</v>
      </c>
      <c r="H80" s="82"/>
      <c r="I80" s="82"/>
      <c r="J80" s="82">
        <f>IF(H73,H87,IF(J73,J87,G80))</f>
        <v>2596.0307492428715</v>
      </c>
      <c r="K80" s="82"/>
      <c r="L80" s="82"/>
      <c r="M80" s="82">
        <f>IF(K73,K87,IF(M73,M87,J80))</f>
        <v>2592.7364136587712</v>
      </c>
      <c r="N80" s="82"/>
      <c r="O80" s="82"/>
      <c r="P80" s="82">
        <f>IF(N73,N87,IF(P73,P87,M80))</f>
        <v>2592.7364136587712</v>
      </c>
      <c r="Q80" s="82"/>
      <c r="R80" s="82"/>
      <c r="S80" s="82">
        <f>IF(Q73,Q87,IF(S73,S87,P80))</f>
        <v>2592.7364136587712</v>
      </c>
      <c r="T80" s="82"/>
      <c r="U80" s="82"/>
      <c r="V80" s="82">
        <f>IF(T73,T87,IF(V73,V87,S80))</f>
        <v>2585.2096057791418</v>
      </c>
      <c r="W80" s="82"/>
      <c r="X80" s="82"/>
      <c r="Y80" s="82">
        <f>IF(W73,W87,IF(Y73,Y87,V80))</f>
        <v>2585.2096057791418</v>
      </c>
      <c r="Z80" s="82"/>
      <c r="AA80" s="82"/>
      <c r="AB80" s="82">
        <f>IF(Z73,Z87,IF(AB73,AB87,Y80))</f>
        <v>2585.2096057791418</v>
      </c>
      <c r="AC80" s="82"/>
      <c r="AD80" s="82"/>
      <c r="AE80" s="82">
        <f>IF(AC73,AC87,IF(AE73,AE87,AB80))</f>
        <v>2559.3800974918427</v>
      </c>
      <c r="AF80" s="4"/>
      <c r="AG80" s="4"/>
      <c r="AJ80" s="4"/>
      <c r="AL80" s="4"/>
      <c r="AM80" s="4"/>
      <c r="AN80" s="4"/>
      <c r="AO80" s="4"/>
      <c r="AT80" s="77" t="str">
        <f>B80</f>
        <v>Beaufort Sweet 16's</v>
      </c>
      <c r="AU80" s="77">
        <f>AE80</f>
        <v>2559.3800974918427</v>
      </c>
      <c r="AW80" s="81"/>
      <c r="BB80" s="81"/>
    </row>
    <row r="81" spans="1:54" s="77" customFormat="1" hidden="1" x14ac:dyDescent="0.2">
      <c r="A81" s="82">
        <v>3</v>
      </c>
      <c r="B81" s="82" t="str">
        <f>E12</f>
        <v>Intense 16 Elite Black RH</v>
      </c>
      <c r="C81" s="82">
        <f>VLOOKUP(B81,AU$3:AY$12,3,FALSE)</f>
        <v>2566.2013148883184</v>
      </c>
      <c r="D81" s="82">
        <f>IF(B74,B87,IF(D74,D87,C81))</f>
        <v>2566.2013148883184</v>
      </c>
      <c r="E81" s="82"/>
      <c r="F81" s="82"/>
      <c r="G81" s="82">
        <f>IF(E74,E87,IF(G74,G87,D81))</f>
        <v>2566.2013148883184</v>
      </c>
      <c r="H81" s="82"/>
      <c r="I81" s="82"/>
      <c r="J81" s="82">
        <f>IF(H74,H87,IF(J74,J87,G81))</f>
        <v>2531.9548360551335</v>
      </c>
      <c r="K81" s="82"/>
      <c r="L81" s="82"/>
      <c r="M81" s="82">
        <f>IF(K74,K87,IF(M74,M87,J81))</f>
        <v>2531.9548360551335</v>
      </c>
      <c r="N81" s="82"/>
      <c r="O81" s="82"/>
      <c r="P81" s="82">
        <f>IF(N74,N87,IF(P74,P87,M81))</f>
        <v>2509.4559643317925</v>
      </c>
      <c r="Q81" s="82"/>
      <c r="R81" s="82"/>
      <c r="S81" s="82">
        <f>IF(Q74,Q87,IF(S74,S87,P81))</f>
        <v>2509.4559643317925</v>
      </c>
      <c r="T81" s="82"/>
      <c r="U81" s="82"/>
      <c r="V81" s="82">
        <f>IF(T74,T87,IF(V74,V87,S81))</f>
        <v>2516.9827722114219</v>
      </c>
      <c r="W81" s="82"/>
      <c r="X81" s="82"/>
      <c r="Y81" s="82">
        <f>IF(W74,W87,IF(Y74,Y87,V81))</f>
        <v>2516.9827722114219</v>
      </c>
      <c r="Z81" s="82"/>
      <c r="AA81" s="82"/>
      <c r="AB81" s="82">
        <f>IF(Z74,Z87,IF(AB74,AB87,Y81))</f>
        <v>2489.3402214348453</v>
      </c>
      <c r="AC81" s="82"/>
      <c r="AD81" s="82"/>
      <c r="AE81" s="82">
        <f>IF(AC74,AC87,IF(AE74,AE87,AB81))</f>
        <v>2489.3402214348453</v>
      </c>
      <c r="AF81" s="4"/>
      <c r="AG81" s="4"/>
      <c r="AJ81" s="4"/>
      <c r="AL81" s="4"/>
      <c r="AM81" s="4"/>
      <c r="AN81" s="4"/>
      <c r="AO81" s="4"/>
      <c r="AT81" s="77" t="str">
        <f>B81</f>
        <v>Intense 16 Elite Black RH</v>
      </c>
      <c r="AU81" s="77">
        <f>AE81</f>
        <v>2489.3402214348453</v>
      </c>
      <c r="AW81" s="81"/>
      <c r="BB81" s="81"/>
    </row>
    <row r="82" spans="1:54" s="77" customFormat="1" hidden="1" x14ac:dyDescent="0.2">
      <c r="A82" s="82">
        <v>4</v>
      </c>
      <c r="B82" s="82" t="str">
        <f>E14</f>
        <v>CSRA Heat 16 National</v>
      </c>
      <c r="C82" s="82">
        <f>VLOOKUP(B82,AU$3:AY$12,3,FALSE)</f>
        <v>2551.571394209886</v>
      </c>
      <c r="D82" s="82">
        <f>IF(B75,B87,IF(D75,D87,C82))</f>
        <v>2551.571394209886</v>
      </c>
      <c r="E82" s="82"/>
      <c r="F82" s="82"/>
      <c r="G82" s="82">
        <f>IF(E75,E87,IF(G75,G87,D82))</f>
        <v>2560.1357863243029</v>
      </c>
      <c r="H82" s="82"/>
      <c r="I82" s="82"/>
      <c r="J82" s="82">
        <f>IF(H75,H87,IF(J75,J87,G82))</f>
        <v>2560.1357863243029</v>
      </c>
      <c r="K82" s="82"/>
      <c r="L82" s="82"/>
      <c r="M82" s="82">
        <f>IF(K75,K87,IF(M75,M87,J82))</f>
        <v>2563.4301219084032</v>
      </c>
      <c r="N82" s="82"/>
      <c r="O82" s="82"/>
      <c r="P82" s="82">
        <f>IF(N75,N87,IF(P75,P87,M82))</f>
        <v>2563.4301219084032</v>
      </c>
      <c r="Q82" s="82"/>
      <c r="R82" s="82"/>
      <c r="S82" s="82">
        <f>IF(Q75,Q87,IF(S75,S87,P82))</f>
        <v>2564.5888883069065</v>
      </c>
      <c r="T82" s="82"/>
      <c r="U82" s="82"/>
      <c r="V82" s="82">
        <f>IF(T75,T87,IF(V75,V87,S82))</f>
        <v>2564.5888883069065</v>
      </c>
      <c r="W82" s="82"/>
      <c r="X82" s="82"/>
      <c r="Y82" s="82">
        <f>IF(W75,W87,IF(Y75,Y87,V82))</f>
        <v>2564.5888883069065</v>
      </c>
      <c r="Z82" s="82"/>
      <c r="AA82" s="82"/>
      <c r="AB82" s="82">
        <f>IF(Z75,Z87,IF(AB75,AB87,Y82))</f>
        <v>2592.2314390834831</v>
      </c>
      <c r="AC82" s="82"/>
      <c r="AD82" s="82"/>
      <c r="AE82" s="82">
        <f>IF(AC75,AC87,IF(AE75,AE87,AB82))</f>
        <v>2592.2314390834831</v>
      </c>
      <c r="AF82" s="4"/>
      <c r="AG82" s="4"/>
      <c r="AJ82" s="4"/>
      <c r="AL82" s="4"/>
      <c r="AM82" s="4"/>
      <c r="AN82" s="4"/>
      <c r="AO82" s="4"/>
      <c r="AT82" s="77" t="str">
        <f>B82</f>
        <v>CSRA Heat 16 National</v>
      </c>
      <c r="AU82" s="77">
        <f>AE82</f>
        <v>2592.2314390834831</v>
      </c>
      <c r="AW82" s="81"/>
      <c r="BB82" s="81"/>
    </row>
    <row r="83" spans="1:54" s="77" customFormat="1" hidden="1" x14ac:dyDescent="0.2">
      <c r="A83" s="82">
        <v>5</v>
      </c>
      <c r="B83" s="82" t="str">
        <f>E16</f>
        <v>SC Midlands 15 National</v>
      </c>
      <c r="C83" s="82">
        <f>VLOOKUP(B83,AU$3:AY$12,3,FALSE)</f>
        <v>2535.7339513621905</v>
      </c>
      <c r="D83" s="82">
        <f>IF(B76,B87,IF(D76,D87,C83))</f>
        <v>2541.7702928123708</v>
      </c>
      <c r="E83" s="82"/>
      <c r="F83" s="82"/>
      <c r="G83" s="82">
        <f>IF(E76,E87,IF(G76,G87,D83))</f>
        <v>2541.7702928123708</v>
      </c>
      <c r="H83" s="82"/>
      <c r="I83" s="82"/>
      <c r="J83" s="82">
        <f>IF(H76,H87,IF(J76,J87,G83))</f>
        <v>2576.0167716455558</v>
      </c>
      <c r="K83" s="82"/>
      <c r="L83" s="82"/>
      <c r="M83" s="82">
        <f>IF(K76,K87,IF(M76,M87,J83))</f>
        <v>2576.0167716455558</v>
      </c>
      <c r="N83" s="82"/>
      <c r="O83" s="82"/>
      <c r="P83" s="82">
        <f>IF(N76,N87,IF(P76,P87,M83))</f>
        <v>2576.0167716455558</v>
      </c>
      <c r="Q83" s="82"/>
      <c r="R83" s="82"/>
      <c r="S83" s="82">
        <f>IF(Q76,Q87,IF(S76,S87,P83))</f>
        <v>2574.8580052470525</v>
      </c>
      <c r="T83" s="82"/>
      <c r="U83" s="82"/>
      <c r="V83" s="82">
        <f>IF(T76,T87,IF(V76,V87,S83))</f>
        <v>2574.8580052470525</v>
      </c>
      <c r="W83" s="82"/>
      <c r="X83" s="82"/>
      <c r="Y83" s="82">
        <f>IF(W76,W87,IF(Y76,Y87,V83))</f>
        <v>2582.6171265933272</v>
      </c>
      <c r="Z83" s="82"/>
      <c r="AA83" s="82"/>
      <c r="AB83" s="82">
        <f>IF(Z76,Z87,IF(AB76,AB87,Y83))</f>
        <v>2582.6171265933272</v>
      </c>
      <c r="AC83" s="82"/>
      <c r="AD83" s="82"/>
      <c r="AE83" s="82">
        <f>IF(AC76,AC87,IF(AE76,AE87,AB83))</f>
        <v>2582.6171265933272</v>
      </c>
      <c r="AF83" s="4"/>
      <c r="AG83" s="4"/>
      <c r="AJ83" s="4"/>
      <c r="AL83" s="4"/>
      <c r="AM83" s="4"/>
      <c r="AN83" s="4"/>
      <c r="AO83" s="4"/>
      <c r="AT83" s="77" t="str">
        <f>B83</f>
        <v>SC Midlands 15 National</v>
      </c>
      <c r="AU83" s="77">
        <f>AE83</f>
        <v>2582.6171265933272</v>
      </c>
      <c r="AW83" s="81"/>
      <c r="BB83" s="81"/>
    </row>
    <row r="84" spans="1:54" s="77" customFormat="1" hidden="1" x14ac:dyDescent="0.2">
      <c r="A84" s="82"/>
      <c r="B84" s="82"/>
      <c r="C84" s="82"/>
      <c r="D84" s="82"/>
      <c r="E84" s="82"/>
      <c r="F84" s="82"/>
      <c r="G84" s="82"/>
      <c r="H84" s="82"/>
      <c r="I84" s="82"/>
      <c r="J84" s="82"/>
      <c r="K84" s="82"/>
      <c r="L84" s="82"/>
      <c r="M84" s="82"/>
      <c r="N84" s="82"/>
      <c r="O84" s="82"/>
      <c r="P84" s="82"/>
      <c r="Q84" s="82"/>
      <c r="R84" s="82"/>
      <c r="S84" s="82"/>
      <c r="T84" s="82"/>
      <c r="U84" s="82"/>
      <c r="V84" s="82"/>
      <c r="W84" s="82"/>
      <c r="X84" s="82"/>
      <c r="Y84" s="82"/>
      <c r="Z84" s="82"/>
      <c r="AA84" s="82"/>
      <c r="AB84" s="82"/>
      <c r="AC84" s="82"/>
      <c r="AD84" s="82"/>
      <c r="AE84" s="82"/>
      <c r="AF84" s="4"/>
      <c r="AG84" s="4"/>
      <c r="AJ84" s="4"/>
      <c r="AL84" s="4"/>
      <c r="AM84" s="4"/>
      <c r="AN84" s="4"/>
      <c r="AO84" s="4"/>
      <c r="AW84" s="81"/>
      <c r="BB84" s="81"/>
    </row>
    <row r="85" spans="1:54" s="77" customFormat="1" hidden="1" x14ac:dyDescent="0.2">
      <c r="A85" s="82" t="s">
        <v>110</v>
      </c>
      <c r="B85" s="82">
        <f>VLOOKUP(B24,$A79:$AE83,3,FALSE)</f>
        <v>2602.0670906930518</v>
      </c>
      <c r="C85" s="82">
        <v>1</v>
      </c>
      <c r="D85" s="82">
        <f>VLOOKUP(D24,$A79:$AE83,3,FALSE)</f>
        <v>2535.7339513621905</v>
      </c>
      <c r="E85" s="82">
        <f>VLOOKUP(E24,$A79:$AE83,4,FALSE)</f>
        <v>2646.8788938853718</v>
      </c>
      <c r="F85" s="82">
        <v>2</v>
      </c>
      <c r="G85" s="82">
        <f>VLOOKUP(G24,$A79:$AE83,4,FALSE)</f>
        <v>2551.571394209886</v>
      </c>
      <c r="H85" s="82">
        <f>VLOOKUP(H24,$A79:$AE83,7,FALSE)</f>
        <v>2566.2013148883184</v>
      </c>
      <c r="I85" s="82">
        <v>3</v>
      </c>
      <c r="J85" s="82">
        <f>VLOOKUP(J24,$A79:$AE83,7,FALSE)</f>
        <v>2541.7702928123708</v>
      </c>
      <c r="K85" s="82">
        <f>VLOOKUP(K24,$A79:$AE83,10,FALSE)</f>
        <v>2596.0307492428715</v>
      </c>
      <c r="L85" s="82">
        <v>4</v>
      </c>
      <c r="M85" s="82">
        <f>VLOOKUP(M24,$A79:$AE83,10,FALSE)</f>
        <v>2560.1357863243029</v>
      </c>
      <c r="N85" s="82">
        <f>VLOOKUP(N24,$A79:$AE83,13,FALSE)</f>
        <v>2638.3145017709548</v>
      </c>
      <c r="O85" s="82">
        <v>5</v>
      </c>
      <c r="P85" s="82">
        <f>VLOOKUP(P24,$A79:$AE83,13,FALSE)</f>
        <v>2531.9548360551335</v>
      </c>
      <c r="Q85" s="82">
        <f>VLOOKUP(Q24,$A79:$AE83,16,FALSE)</f>
        <v>2563.4301219084032</v>
      </c>
      <c r="R85" s="82">
        <v>6</v>
      </c>
      <c r="S85" s="82">
        <f>VLOOKUP(S24,$A79:$AE83,16,FALSE)</f>
        <v>2576.0167716455558</v>
      </c>
      <c r="T85" s="82">
        <f>VLOOKUP(T24,$A79:$AE83,19,FALSE)</f>
        <v>2592.7364136587712</v>
      </c>
      <c r="U85" s="82">
        <v>7</v>
      </c>
      <c r="V85" s="82">
        <f>VLOOKUP(V24,$A79:$AE83,19,FALSE)</f>
        <v>2509.4559643317925</v>
      </c>
      <c r="W85" s="82">
        <f>VLOOKUP(W24,$A79:$AE83,22,FALSE)</f>
        <v>2660.8133734942958</v>
      </c>
      <c r="X85" s="82">
        <v>8</v>
      </c>
      <c r="Y85" s="82">
        <f>VLOOKUP(Y24,$A79:$AE83,22,FALSE)</f>
        <v>2574.8580052470525</v>
      </c>
      <c r="Z85" s="82">
        <f>VLOOKUP(Z24,$A79:$AE83,25,FALSE)</f>
        <v>2516.9827722114219</v>
      </c>
      <c r="AA85" s="82">
        <v>9</v>
      </c>
      <c r="AB85" s="82">
        <f>VLOOKUP(AB24,$A79:$AE83,25,FALSE)</f>
        <v>2564.5888883069065</v>
      </c>
      <c r="AC85" s="82">
        <f>VLOOKUP(AC24,$A79:$AE83,28,FALSE)</f>
        <v>2653.0542521480211</v>
      </c>
      <c r="AD85" s="82">
        <v>10</v>
      </c>
      <c r="AE85" s="82">
        <f>VLOOKUP(AE24,$A79:$AE83,28,FALSE)</f>
        <v>2585.2096057791418</v>
      </c>
      <c r="AF85" s="4"/>
      <c r="AG85" s="95"/>
      <c r="AH85" s="95"/>
      <c r="AI85" s="95"/>
      <c r="AJ85" s="95"/>
      <c r="AK85" s="95"/>
      <c r="AL85" s="95"/>
      <c r="AM85" s="95"/>
      <c r="AN85" s="96"/>
      <c r="AO85" s="96"/>
      <c r="AP85" s="96"/>
      <c r="AQ85" s="96"/>
      <c r="AW85" s="81"/>
      <c r="BB85" s="81"/>
    </row>
    <row r="86" spans="1:54" s="87" customFormat="1" hidden="1" x14ac:dyDescent="0.2">
      <c r="A86" s="83" t="s">
        <v>111</v>
      </c>
      <c r="B86" s="83">
        <f>1/(1+(10^-((B85-D85)/400)))*(B36+D36)</f>
        <v>1.1886356703181287</v>
      </c>
      <c r="C86" s="83"/>
      <c r="D86" s="83">
        <f>1/(1+(10^-((D85-B85)/400)))*(B36+D36)</f>
        <v>0.81136432968187144</v>
      </c>
      <c r="E86" s="83">
        <f>1/(1+(10^-((E85-G85)/400)))*(E36+G36)</f>
        <v>1.2676372535755245</v>
      </c>
      <c r="F86" s="83"/>
      <c r="G86" s="83">
        <f>1/(1+(10^-((G85-E85)/400)))*(E36+G36)</f>
        <v>0.73236274642447563</v>
      </c>
      <c r="H86" s="83">
        <f>1/(1+(10^-((H85-J85)/400)))*(H36+J36)</f>
        <v>1.0702024635370326</v>
      </c>
      <c r="I86" s="83"/>
      <c r="J86" s="83">
        <f>1/(1+(10^-((J85-H85)/400)))*(H36+J36)</f>
        <v>0.92979753646296737</v>
      </c>
      <c r="K86" s="83">
        <f>1/(1+(10^-((K85-M85)/400)))*(K36+M36)</f>
        <v>1.1029479870031398</v>
      </c>
      <c r="L86" s="83"/>
      <c r="M86" s="83">
        <f>1/(1+(10^-((M85-K85)/400)))*(K36+M36)</f>
        <v>0.89705201299686022</v>
      </c>
      <c r="N86" s="83">
        <f>1/(1+(10^-((N85-P85)/400)))*(N36+P36)</f>
        <v>1.2969102586455923</v>
      </c>
      <c r="O86" s="83"/>
      <c r="P86" s="83">
        <f>1/(1+(10^-((P85-N85)/400)))*(N36+P36)</f>
        <v>0.70308974135440794</v>
      </c>
      <c r="Q86" s="83">
        <f>1/(1+(10^-((Q85-S85)/400)))*(Q36+S36)</f>
        <v>0.96378855004677044</v>
      </c>
      <c r="R86" s="83"/>
      <c r="S86" s="83">
        <f>1/(1+(10^-((S85-Q85)/400)))*(Q36+S36)</f>
        <v>1.0362114499532296</v>
      </c>
      <c r="T86" s="83">
        <f>1/(1+(10^-((T85-V85)/400)))*(T36+V36)</f>
        <v>1.2352127462384117</v>
      </c>
      <c r="U86" s="83"/>
      <c r="V86" s="83">
        <f>1/(1+(10^-((V85-T85)/400)))*(T36+V36)</f>
        <v>0.76478725376158818</v>
      </c>
      <c r="W86" s="83">
        <f>1/(1+(10^-((W85-Y85)/400)))*(W36+Y36)</f>
        <v>1.2424725420710847</v>
      </c>
      <c r="X86" s="83"/>
      <c r="Y86" s="83">
        <f>1/(1+(10^-((Y85-W85)/400)))*(W36+Y36)</f>
        <v>0.75752745792891529</v>
      </c>
      <c r="Z86" s="83">
        <f>1/(1+(10^-((Z85-AB85)/400)))*(Z36+AB36)</f>
        <v>0.86382971176801859</v>
      </c>
      <c r="AA86" s="83"/>
      <c r="AB86" s="83">
        <f>1/(1+(10^-((AB85-Z85)/400)))*(Z36+AB36)</f>
        <v>1.1361702882319815</v>
      </c>
      <c r="AC86" s="83">
        <f>1/(1+(10^-((AC85-AE85)/400)))*(AC36+AE36)</f>
        <v>1.1928278660218987</v>
      </c>
      <c r="AD86" s="83"/>
      <c r="AE86" s="83">
        <f>1/(1+(10^-((AE85-AC85)/400)))*(AC36+AE36)</f>
        <v>0.80717213397810128</v>
      </c>
      <c r="AF86" s="84"/>
      <c r="AG86" s="85"/>
      <c r="AH86" s="85"/>
      <c r="AI86" s="85"/>
      <c r="AJ86" s="85"/>
      <c r="AK86" s="85"/>
      <c r="AL86" s="85"/>
      <c r="AM86" s="85"/>
      <c r="AN86" s="86"/>
      <c r="AO86" s="86"/>
      <c r="AP86" s="86"/>
      <c r="AQ86" s="86"/>
      <c r="AW86" s="88"/>
      <c r="BB86" s="88"/>
    </row>
    <row r="87" spans="1:54" s="93" customFormat="1" hidden="1" x14ac:dyDescent="0.2">
      <c r="A87" s="89" t="s">
        <v>112</v>
      </c>
      <c r="B87" s="89">
        <f>B85+(B36-B86)*$BA$1</f>
        <v>2596.0307492428715</v>
      </c>
      <c r="C87" s="89"/>
      <c r="D87" s="89">
        <f>D85+(D36-D86)*$BA$1</f>
        <v>2541.7702928123708</v>
      </c>
      <c r="E87" s="89">
        <f>E85+(E36-E86)*$BA$1</f>
        <v>2638.3145017709548</v>
      </c>
      <c r="F87" s="89"/>
      <c r="G87" s="89">
        <f>G85+(G36-G86)*$BA$1</f>
        <v>2560.1357863243029</v>
      </c>
      <c r="H87" s="89">
        <f>H85+(H36-H86)*$BA$1</f>
        <v>2531.9548360551335</v>
      </c>
      <c r="I87" s="89"/>
      <c r="J87" s="89">
        <f>J85+(J36-J86)*$BA$1</f>
        <v>2576.0167716455558</v>
      </c>
      <c r="K87" s="89">
        <f>K85+(K36-K86)*$BA$1</f>
        <v>2592.7364136587712</v>
      </c>
      <c r="L87" s="89"/>
      <c r="M87" s="89">
        <f>M85+(M36-M86)*$BA$1</f>
        <v>2563.4301219084032</v>
      </c>
      <c r="N87" s="89">
        <f>N85+(N36-N86)*$BA$1</f>
        <v>2660.8133734942958</v>
      </c>
      <c r="O87" s="89"/>
      <c r="P87" s="89">
        <f>P85+(P36-P86)*$BA$1</f>
        <v>2509.4559643317925</v>
      </c>
      <c r="Q87" s="89">
        <f>Q85+(Q36-Q86)*$BA$1</f>
        <v>2564.5888883069065</v>
      </c>
      <c r="R87" s="89"/>
      <c r="S87" s="89">
        <f>S85+(S36-S86)*$BA$1</f>
        <v>2574.8580052470525</v>
      </c>
      <c r="T87" s="89">
        <f>T85+(T36-T86)*$BA$1</f>
        <v>2585.2096057791418</v>
      </c>
      <c r="U87" s="89"/>
      <c r="V87" s="89">
        <f>V85+(V36-V86)*$BA$1</f>
        <v>2516.9827722114219</v>
      </c>
      <c r="W87" s="89">
        <f>W85+(W36-W86)*$BA$1</f>
        <v>2653.0542521480211</v>
      </c>
      <c r="X87" s="89"/>
      <c r="Y87" s="89">
        <f>Y85+(Y36-Y86)*$BA$1</f>
        <v>2582.6171265933272</v>
      </c>
      <c r="Z87" s="89">
        <f>Z85+(Z36-Z86)*$BA$1</f>
        <v>2489.3402214348453</v>
      </c>
      <c r="AA87" s="89"/>
      <c r="AB87" s="89">
        <f>AB85+(AB36-AB86)*$BA$1</f>
        <v>2592.2314390834831</v>
      </c>
      <c r="AC87" s="89">
        <f>AC85+(AC36-AC86)*$BA$1</f>
        <v>2678.8837604353203</v>
      </c>
      <c r="AD87" s="89"/>
      <c r="AE87" s="89">
        <f>AE85+(AE36-AE86)*$BA$1</f>
        <v>2559.3800974918427</v>
      </c>
      <c r="AF87" s="90"/>
      <c r="AG87" s="91"/>
      <c r="AH87" s="91"/>
      <c r="AI87" s="91"/>
      <c r="AJ87" s="91"/>
      <c r="AK87" s="91"/>
      <c r="AL87" s="91"/>
      <c r="AM87" s="91"/>
      <c r="AN87" s="92"/>
      <c r="AO87" s="92"/>
      <c r="AP87" s="92"/>
      <c r="AQ87" s="92"/>
      <c r="AW87" s="94"/>
      <c r="BB87" s="94"/>
    </row>
    <row r="88" spans="1:54" s="93" customFormat="1" hidden="1" x14ac:dyDescent="0.2">
      <c r="A88" s="89"/>
      <c r="B88" s="89"/>
      <c r="C88" s="89"/>
      <c r="D88" s="89"/>
      <c r="E88" s="89"/>
      <c r="F88" s="89"/>
      <c r="G88" s="89"/>
      <c r="H88" s="89"/>
      <c r="I88" s="89"/>
      <c r="J88" s="89"/>
      <c r="K88" s="89"/>
      <c r="L88" s="89"/>
      <c r="M88" s="89"/>
      <c r="N88" s="89"/>
      <c r="O88" s="89"/>
      <c r="P88" s="89"/>
      <c r="Q88" s="89"/>
      <c r="R88" s="89"/>
      <c r="S88" s="89"/>
      <c r="T88" s="89"/>
      <c r="U88" s="89"/>
      <c r="V88" s="89"/>
      <c r="W88" s="89"/>
      <c r="X88" s="89"/>
      <c r="Y88" s="89"/>
      <c r="Z88" s="89"/>
      <c r="AA88" s="89"/>
      <c r="AB88" s="89"/>
      <c r="AC88" s="89"/>
      <c r="AD88" s="89"/>
      <c r="AE88" s="89"/>
      <c r="AF88" s="90"/>
      <c r="AG88" s="91"/>
      <c r="AH88" s="91"/>
      <c r="AI88" s="91"/>
      <c r="AJ88" s="91"/>
      <c r="AK88" s="91"/>
      <c r="AL88" s="91"/>
      <c r="AM88" s="91"/>
      <c r="AN88" s="92"/>
      <c r="AO88" s="92"/>
      <c r="AP88" s="92"/>
      <c r="AQ88" s="92"/>
      <c r="AW88" s="94"/>
      <c r="BB88" s="94"/>
    </row>
    <row r="89" spans="1:54" s="77" customFormat="1" x14ac:dyDescent="0.2">
      <c r="A89" s="281" t="str">
        <f>IF($AK10=1,"Pool Tiereaker : 1) Matches Won vs Lost (if 3 way tie then #4)  2) Head to Head  3) Game Win %  4) Total Pool Net Points  5) Flip a Coin","Pool Tiebreaker : 1) Games Won vs Lost (if 3 way tie then #5)  2) Head to Head  3) Head to Head Net Points  4) Game Win %  5) Total Pool Net Points  6) Flip a Coin")</f>
        <v>Pool Tiebreaker : 1) Games Won vs Lost (if 3 way tie then #5)  2) Head to Head  3) Head to Head Net Points  4) Game Win %  5) Total Pool Net Points  6) Flip a Coin</v>
      </c>
      <c r="B89" s="281"/>
      <c r="C89" s="281"/>
      <c r="D89" s="281"/>
      <c r="E89" s="281"/>
      <c r="F89" s="281"/>
      <c r="G89" s="281"/>
      <c r="H89" s="281"/>
      <c r="I89" s="281"/>
      <c r="J89" s="281"/>
      <c r="K89" s="281"/>
      <c r="L89" s="281"/>
      <c r="M89" s="281"/>
      <c r="N89" s="281"/>
      <c r="O89" s="281"/>
      <c r="P89" s="281"/>
      <c r="Q89" s="281"/>
      <c r="R89" s="281"/>
      <c r="S89" s="281"/>
      <c r="T89" s="281"/>
      <c r="U89" s="281"/>
      <c r="V89" s="281"/>
      <c r="W89" s="281"/>
      <c r="X89" s="281"/>
      <c r="Y89" s="281"/>
      <c r="Z89" s="281"/>
      <c r="AA89" s="281"/>
      <c r="AB89" s="281"/>
      <c r="AC89" s="281"/>
      <c r="AD89" s="281"/>
      <c r="AE89" s="281"/>
      <c r="AF89" s="281"/>
      <c r="AG89" s="281"/>
      <c r="AH89" s="281"/>
      <c r="AI89" s="281"/>
      <c r="AJ89" s="281"/>
      <c r="AK89" s="281"/>
      <c r="AL89" s="281"/>
      <c r="AM89" s="281"/>
      <c r="AN89" s="259"/>
      <c r="AO89" s="259"/>
      <c r="AP89" s="259"/>
      <c r="AQ89" s="259"/>
      <c r="AW89" s="81"/>
    </row>
    <row r="90" spans="1:54" s="77" customFormat="1" ht="13.5" thickBot="1" x14ac:dyDescent="0.25">
      <c r="A90" s="282"/>
      <c r="B90" s="282"/>
      <c r="C90" s="282"/>
      <c r="D90" s="282"/>
      <c r="E90" s="282"/>
      <c r="F90" s="282"/>
      <c r="G90" s="282"/>
      <c r="H90" s="282"/>
      <c r="I90" s="282"/>
      <c r="J90" s="282"/>
      <c r="K90" s="282"/>
      <c r="L90" s="282"/>
      <c r="M90" s="282"/>
      <c r="N90" s="282"/>
      <c r="O90" s="282"/>
      <c r="P90" s="282"/>
      <c r="Q90" s="282"/>
      <c r="R90" s="282"/>
      <c r="S90" s="282"/>
      <c r="T90" s="282"/>
      <c r="U90" s="282"/>
      <c r="V90" s="282"/>
      <c r="W90" s="282"/>
      <c r="X90" s="282"/>
      <c r="Y90" s="282"/>
      <c r="Z90" s="282"/>
      <c r="AA90" s="282"/>
      <c r="AB90" s="282"/>
      <c r="AC90" s="282"/>
      <c r="AD90" s="282"/>
      <c r="AE90" s="282"/>
      <c r="AF90" s="282"/>
      <c r="AG90" s="282"/>
      <c r="AH90" s="282"/>
      <c r="AI90" s="282"/>
      <c r="AJ90" s="282"/>
      <c r="AK90" s="282"/>
      <c r="AL90" s="282"/>
      <c r="AM90" s="282"/>
      <c r="AN90" s="282"/>
      <c r="AO90" s="282"/>
      <c r="AP90" s="282"/>
      <c r="AQ90" s="282"/>
      <c r="AW90" s="81"/>
    </row>
    <row r="91" spans="1:54" ht="24" customHeight="1" thickBot="1" x14ac:dyDescent="0.25">
      <c r="A91" s="27" t="s">
        <v>34</v>
      </c>
      <c r="B91" s="28" t="s">
        <v>113</v>
      </c>
      <c r="C91" s="353" t="s">
        <v>36</v>
      </c>
      <c r="D91" s="354"/>
      <c r="E91" s="354"/>
      <c r="F91" s="354"/>
      <c r="G91" s="354"/>
      <c r="H91" s="355"/>
      <c r="I91" s="356">
        <v>2</v>
      </c>
      <c r="J91" s="357"/>
      <c r="K91" s="358" t="str">
        <f>"Pool "&amp;B91&amp;" - Round 1 - Court "&amp;I91</f>
        <v>Pool B - Round 1 - Court 2</v>
      </c>
      <c r="L91" s="359"/>
      <c r="M91" s="359"/>
      <c r="N91" s="359"/>
      <c r="O91" s="359"/>
      <c r="P91" s="359"/>
      <c r="Q91" s="359"/>
      <c r="R91" s="359"/>
      <c r="S91" s="359"/>
      <c r="T91" s="359"/>
      <c r="U91" s="359"/>
      <c r="V91" s="359"/>
      <c r="W91" s="359"/>
      <c r="X91" s="359"/>
      <c r="Y91" s="359"/>
      <c r="Z91" s="359"/>
      <c r="AA91" s="359"/>
      <c r="AB91" s="359"/>
      <c r="AC91" s="359"/>
      <c r="AD91" s="359"/>
      <c r="AE91" s="359"/>
      <c r="AF91" s="359"/>
      <c r="AG91" s="359"/>
      <c r="AH91" s="359"/>
      <c r="AI91" s="360"/>
      <c r="AJ91" s="8"/>
      <c r="AK91" s="8"/>
      <c r="AL91" s="8"/>
      <c r="AM91" s="8"/>
      <c r="AN91" s="8"/>
      <c r="AO91" s="8"/>
      <c r="AP91" s="8"/>
      <c r="AQ91" s="8"/>
    </row>
    <row r="92" spans="1:54" ht="27" customHeight="1" thickBot="1" x14ac:dyDescent="0.25">
      <c r="A92" s="29" t="s">
        <v>39</v>
      </c>
      <c r="B92" s="361" t="s">
        <v>10</v>
      </c>
      <c r="C92" s="362"/>
      <c r="D92" s="362"/>
      <c r="E92" s="362"/>
      <c r="F92" s="362"/>
      <c r="G92" s="362"/>
      <c r="H92" s="362"/>
      <c r="I92" s="362"/>
      <c r="J92" s="362"/>
      <c r="K92" s="362"/>
      <c r="L92" s="361" t="str">
        <f>IF($AK95=0,"Games Won","Matches Won")</f>
        <v>Games Won</v>
      </c>
      <c r="M92" s="362"/>
      <c r="N92" s="362"/>
      <c r="O92" s="362"/>
      <c r="P92" s="362"/>
      <c r="Q92" s="363"/>
      <c r="R92" s="361" t="str">
        <f>IF($AK95=0,"Games Lost","Matches Lost")</f>
        <v>Games Lost</v>
      </c>
      <c r="S92" s="364"/>
      <c r="T92" s="364"/>
      <c r="U92" s="364"/>
      <c r="V92" s="365"/>
      <c r="W92" s="366" t="s">
        <v>40</v>
      </c>
      <c r="X92" s="367"/>
      <c r="Y92" s="368"/>
      <c r="Z92" s="366" t="s">
        <v>41</v>
      </c>
      <c r="AA92" s="367"/>
      <c r="AB92" s="368"/>
      <c r="AC92" s="369" t="s">
        <v>42</v>
      </c>
      <c r="AD92" s="370"/>
      <c r="AE92" s="371"/>
      <c r="AF92" s="30" t="s">
        <v>43</v>
      </c>
      <c r="AG92" s="31" t="s">
        <v>9</v>
      </c>
      <c r="AH92" s="351" t="s">
        <v>44</v>
      </c>
      <c r="AI92" s="352"/>
      <c r="AJ92" s="32"/>
      <c r="AK92" s="33">
        <v>2</v>
      </c>
      <c r="AL92" s="34" t="s">
        <v>45</v>
      </c>
      <c r="AM92" s="34"/>
      <c r="AN92" s="34"/>
      <c r="AO92" s="34"/>
      <c r="AP92" s="34"/>
      <c r="AQ92" s="34"/>
      <c r="AR92" s="35"/>
    </row>
    <row r="93" spans="1:54" ht="18.75" customHeight="1" x14ac:dyDescent="0.2">
      <c r="A93" s="320" t="str">
        <f>IF($AK94&gt;0,"1","")</f>
        <v>1</v>
      </c>
      <c r="B93" s="348" t="s">
        <v>10</v>
      </c>
      <c r="C93" s="349"/>
      <c r="D93" s="350"/>
      <c r="E93" s="324" t="str">
        <f>AU4</f>
        <v>Intense 16 Elite Orange R</v>
      </c>
      <c r="F93" s="325"/>
      <c r="G93" s="325"/>
      <c r="H93" s="325"/>
      <c r="I93" s="325"/>
      <c r="J93" s="325"/>
      <c r="K93" s="326"/>
      <c r="L93" s="327">
        <f>IF($AK95=0,AF149,AF131)</f>
        <v>5</v>
      </c>
      <c r="M93" s="328"/>
      <c r="N93" s="328"/>
      <c r="O93" s="328"/>
      <c r="P93" s="328"/>
      <c r="Q93" s="363"/>
      <c r="R93" s="327">
        <f>IF($AK95=0,AG149,AG131)</f>
        <v>3</v>
      </c>
      <c r="S93" s="328"/>
      <c r="T93" s="328"/>
      <c r="U93" s="328"/>
      <c r="V93" s="328"/>
      <c r="W93" s="327">
        <f>AQ109</f>
        <v>11</v>
      </c>
      <c r="X93" s="328"/>
      <c r="Y93" s="328"/>
      <c r="Z93" s="300">
        <f>IF(AF143&gt;0,(AQ109/AF143),0)</f>
        <v>5.4455445544554455E-2</v>
      </c>
      <c r="AA93" s="301"/>
      <c r="AB93" s="301"/>
      <c r="AC93" s="304">
        <f>IF(AF157=0,0,(AF149/AF157))</f>
        <v>0.625</v>
      </c>
      <c r="AD93" s="305"/>
      <c r="AE93" s="306"/>
      <c r="AF93" s="310">
        <v>2</v>
      </c>
      <c r="AG93" s="310">
        <v>1</v>
      </c>
      <c r="AH93" s="312"/>
      <c r="AI93" s="313"/>
      <c r="AJ93" s="32"/>
      <c r="AK93" s="33">
        <v>10</v>
      </c>
      <c r="AL93" s="34" t="s">
        <v>48</v>
      </c>
      <c r="AM93" s="34"/>
      <c r="AN93" s="34"/>
      <c r="AO93" s="34"/>
      <c r="AP93" s="34"/>
      <c r="AQ93" s="34"/>
      <c r="AR93" s="35"/>
    </row>
    <row r="94" spans="1:54" ht="18.75" customHeight="1" thickBot="1" x14ac:dyDescent="0.25">
      <c r="A94" s="321"/>
      <c r="B94" s="345" t="s">
        <v>11</v>
      </c>
      <c r="C94" s="346"/>
      <c r="D94" s="347"/>
      <c r="E94" s="341" t="str">
        <f>AV4</f>
        <v>fj6inten6pm</v>
      </c>
      <c r="F94" s="342"/>
      <c r="G94" s="342"/>
      <c r="H94" s="342"/>
      <c r="I94" s="342"/>
      <c r="J94" s="342"/>
      <c r="K94" s="342"/>
      <c r="L94" s="343"/>
      <c r="M94" s="344"/>
      <c r="N94" s="344"/>
      <c r="O94" s="344"/>
      <c r="P94" s="344"/>
      <c r="Q94" s="363"/>
      <c r="R94" s="343"/>
      <c r="S94" s="344"/>
      <c r="T94" s="344"/>
      <c r="U94" s="344"/>
      <c r="V94" s="344"/>
      <c r="W94" s="343"/>
      <c r="X94" s="344"/>
      <c r="Y94" s="344"/>
      <c r="Z94" s="331"/>
      <c r="AA94" s="332"/>
      <c r="AB94" s="332"/>
      <c r="AC94" s="333"/>
      <c r="AD94" s="334"/>
      <c r="AE94" s="335"/>
      <c r="AF94" s="336"/>
      <c r="AG94" s="336"/>
      <c r="AH94" s="337"/>
      <c r="AI94" s="338"/>
      <c r="AJ94" s="32"/>
      <c r="AK94" s="33">
        <v>5</v>
      </c>
      <c r="AL94" s="34" t="s">
        <v>51</v>
      </c>
      <c r="AM94" s="32"/>
      <c r="AN94" s="32"/>
      <c r="AO94" s="32"/>
      <c r="AP94" s="32"/>
      <c r="AQ94" s="32"/>
      <c r="AR94" s="3"/>
    </row>
    <row r="95" spans="1:54" ht="18.75" customHeight="1" x14ac:dyDescent="0.2">
      <c r="A95" s="320" t="str">
        <f>IF($AK94&gt;1,"2","")</f>
        <v>2</v>
      </c>
      <c r="B95" s="348" t="s">
        <v>10</v>
      </c>
      <c r="C95" s="349"/>
      <c r="D95" s="350"/>
      <c r="E95" s="324" t="str">
        <f>AU5</f>
        <v>Lake Murray 16 Red</v>
      </c>
      <c r="F95" s="325"/>
      <c r="G95" s="325"/>
      <c r="H95" s="325"/>
      <c r="I95" s="325"/>
      <c r="J95" s="325"/>
      <c r="K95" s="326"/>
      <c r="L95" s="327">
        <f>IF($AK95=0,AF150,AF132)</f>
        <v>4</v>
      </c>
      <c r="M95" s="328"/>
      <c r="N95" s="328"/>
      <c r="O95" s="328"/>
      <c r="P95" s="328"/>
      <c r="Q95" s="363"/>
      <c r="R95" s="327">
        <f>IF($AK95=0,AG150,AG132)</f>
        <v>4</v>
      </c>
      <c r="S95" s="328"/>
      <c r="T95" s="328"/>
      <c r="U95" s="328"/>
      <c r="V95" s="328"/>
      <c r="W95" s="327">
        <f>AQ110</f>
        <v>-4</v>
      </c>
      <c r="X95" s="328"/>
      <c r="Y95" s="328"/>
      <c r="Z95" s="300">
        <f>IF(AF144&gt;0,(AQ110/AF144),0)</f>
        <v>-1.9801980198019802E-2</v>
      </c>
      <c r="AA95" s="301"/>
      <c r="AB95" s="301"/>
      <c r="AC95" s="304">
        <f>IF(AF158=0,0,(AF150/AF158))</f>
        <v>0.5</v>
      </c>
      <c r="AD95" s="305"/>
      <c r="AE95" s="306"/>
      <c r="AF95" s="310">
        <v>3</v>
      </c>
      <c r="AG95" s="310">
        <v>3</v>
      </c>
      <c r="AH95" s="312"/>
      <c r="AI95" s="313"/>
      <c r="AJ95" s="32"/>
      <c r="AK95" s="33">
        <v>0</v>
      </c>
      <c r="AL95" s="34" t="s">
        <v>54</v>
      </c>
      <c r="AM95" s="34"/>
      <c r="AN95" s="34"/>
      <c r="AO95" s="34"/>
      <c r="AP95" s="34"/>
      <c r="AQ95" s="34"/>
      <c r="AR95" s="35"/>
    </row>
    <row r="96" spans="1:54" ht="18.75" customHeight="1" thickBot="1" x14ac:dyDescent="0.25">
      <c r="A96" s="321"/>
      <c r="B96" s="339" t="s">
        <v>11</v>
      </c>
      <c r="C96" s="340"/>
      <c r="D96" s="340"/>
      <c r="E96" s="341" t="str">
        <f>AV5</f>
        <v>fj6lakem1pm</v>
      </c>
      <c r="F96" s="342"/>
      <c r="G96" s="342"/>
      <c r="H96" s="342"/>
      <c r="I96" s="342"/>
      <c r="J96" s="342"/>
      <c r="K96" s="342"/>
      <c r="L96" s="343"/>
      <c r="M96" s="344"/>
      <c r="N96" s="344"/>
      <c r="O96" s="344"/>
      <c r="P96" s="344"/>
      <c r="Q96" s="363"/>
      <c r="R96" s="343"/>
      <c r="S96" s="344"/>
      <c r="T96" s="344"/>
      <c r="U96" s="344"/>
      <c r="V96" s="344"/>
      <c r="W96" s="343"/>
      <c r="X96" s="344"/>
      <c r="Y96" s="344"/>
      <c r="Z96" s="331"/>
      <c r="AA96" s="332"/>
      <c r="AB96" s="332"/>
      <c r="AC96" s="333"/>
      <c r="AD96" s="334"/>
      <c r="AE96" s="335"/>
      <c r="AF96" s="336"/>
      <c r="AG96" s="336"/>
      <c r="AH96" s="337"/>
      <c r="AI96" s="338"/>
      <c r="AJ96" s="32"/>
      <c r="AK96" s="33">
        <v>1</v>
      </c>
      <c r="AL96" s="34" t="s">
        <v>56</v>
      </c>
      <c r="AM96" s="32"/>
      <c r="AN96" s="32"/>
      <c r="AO96" s="32"/>
      <c r="AP96" s="32"/>
      <c r="AQ96" s="32"/>
      <c r="AR96" s="3"/>
    </row>
    <row r="97" spans="1:44" ht="18.75" customHeight="1" x14ac:dyDescent="0.2">
      <c r="A97" s="320" t="str">
        <f>IF($AK94&gt;2,"3","")</f>
        <v>3</v>
      </c>
      <c r="B97" s="322" t="s">
        <v>10</v>
      </c>
      <c r="C97" s="323"/>
      <c r="D97" s="323"/>
      <c r="E97" s="324" t="str">
        <f>AU8</f>
        <v>Kershaw 16 Black</v>
      </c>
      <c r="F97" s="325"/>
      <c r="G97" s="325"/>
      <c r="H97" s="325"/>
      <c r="I97" s="325"/>
      <c r="J97" s="325"/>
      <c r="K97" s="326"/>
      <c r="L97" s="327">
        <f>IF($AK95=0,AF151,AF133)</f>
        <v>1</v>
      </c>
      <c r="M97" s="328"/>
      <c r="N97" s="328"/>
      <c r="O97" s="328"/>
      <c r="P97" s="328"/>
      <c r="Q97" s="363"/>
      <c r="R97" s="327">
        <f>IF($AK95=0,AG151,AG133)</f>
        <v>7</v>
      </c>
      <c r="S97" s="328"/>
      <c r="T97" s="328"/>
      <c r="U97" s="328"/>
      <c r="V97" s="328"/>
      <c r="W97" s="327">
        <f>AQ111</f>
        <v>-36</v>
      </c>
      <c r="X97" s="328"/>
      <c r="Y97" s="328"/>
      <c r="Z97" s="300">
        <f>IF(AF145&gt;0,(AQ111/AF145),0)</f>
        <v>-0.17821782178217821</v>
      </c>
      <c r="AA97" s="301"/>
      <c r="AB97" s="301"/>
      <c r="AC97" s="304">
        <f>IF(AF159=0,0,(AF151/AF159))</f>
        <v>0.125</v>
      </c>
      <c r="AD97" s="305"/>
      <c r="AE97" s="306"/>
      <c r="AF97" s="310">
        <v>5</v>
      </c>
      <c r="AG97" s="310">
        <v>1</v>
      </c>
      <c r="AH97" s="312"/>
      <c r="AI97" s="313"/>
      <c r="AJ97" s="43"/>
      <c r="AK97" s="33">
        <v>8</v>
      </c>
      <c r="AL97" s="44" t="s">
        <v>57</v>
      </c>
      <c r="AM97" s="34"/>
      <c r="AN97" s="34"/>
      <c r="AO97" s="34"/>
      <c r="AP97" s="34"/>
      <c r="AQ97" s="34"/>
      <c r="AR97" s="35"/>
    </row>
    <row r="98" spans="1:44" ht="18.75" customHeight="1" thickBot="1" x14ac:dyDescent="0.25">
      <c r="A98" s="321"/>
      <c r="B98" s="339" t="s">
        <v>11</v>
      </c>
      <c r="C98" s="340"/>
      <c r="D98" s="340"/>
      <c r="E98" s="341" t="str">
        <f>AV8</f>
        <v>fj6kersh1pm</v>
      </c>
      <c r="F98" s="342"/>
      <c r="G98" s="342"/>
      <c r="H98" s="342"/>
      <c r="I98" s="342"/>
      <c r="J98" s="342"/>
      <c r="K98" s="342"/>
      <c r="L98" s="343"/>
      <c r="M98" s="344"/>
      <c r="N98" s="344"/>
      <c r="O98" s="344"/>
      <c r="P98" s="344"/>
      <c r="Q98" s="363"/>
      <c r="R98" s="343"/>
      <c r="S98" s="344"/>
      <c r="T98" s="344"/>
      <c r="U98" s="344"/>
      <c r="V98" s="344"/>
      <c r="W98" s="343"/>
      <c r="X98" s="344"/>
      <c r="Y98" s="344"/>
      <c r="Z98" s="331"/>
      <c r="AA98" s="332"/>
      <c r="AB98" s="332"/>
      <c r="AC98" s="333"/>
      <c r="AD98" s="334"/>
      <c r="AE98" s="335"/>
      <c r="AF98" s="336"/>
      <c r="AG98" s="336"/>
      <c r="AH98" s="337"/>
      <c r="AI98" s="338"/>
      <c r="AJ98" s="43"/>
      <c r="AK98" s="51"/>
      <c r="AL98" s="52"/>
      <c r="AM98" s="52"/>
      <c r="AN98" s="52"/>
      <c r="AO98" s="52"/>
      <c r="AP98" s="52"/>
      <c r="AQ98" s="32"/>
      <c r="AR98" s="3"/>
    </row>
    <row r="99" spans="1:44" ht="18.75" customHeight="1" x14ac:dyDescent="0.2">
      <c r="A99" s="320" t="str">
        <f>IF($AK94&gt;3,"4","")</f>
        <v>4</v>
      </c>
      <c r="B99" s="322" t="s">
        <v>10</v>
      </c>
      <c r="C99" s="323"/>
      <c r="D99" s="323"/>
      <c r="E99" s="324" t="str">
        <f>AU9</f>
        <v>SC Midlands 16 National</v>
      </c>
      <c r="F99" s="325"/>
      <c r="G99" s="325"/>
      <c r="H99" s="325"/>
      <c r="I99" s="325"/>
      <c r="J99" s="325"/>
      <c r="K99" s="326"/>
      <c r="L99" s="327">
        <f>IF($AK95=0,AF152,AF134)</f>
        <v>6</v>
      </c>
      <c r="M99" s="328"/>
      <c r="N99" s="328"/>
      <c r="O99" s="328"/>
      <c r="P99" s="328"/>
      <c r="Q99" s="363"/>
      <c r="R99" s="327">
        <f>IF($AK95=0,AG152,AG134)</f>
        <v>2</v>
      </c>
      <c r="S99" s="328"/>
      <c r="T99" s="328"/>
      <c r="U99" s="328"/>
      <c r="V99" s="328"/>
      <c r="W99" s="327">
        <f>AQ112</f>
        <v>38</v>
      </c>
      <c r="X99" s="328"/>
      <c r="Y99" s="328"/>
      <c r="Z99" s="300">
        <f>IF(AF146&gt;0,(AQ112/AF146),0)</f>
        <v>0.18811881188118812</v>
      </c>
      <c r="AA99" s="301"/>
      <c r="AB99" s="301"/>
      <c r="AC99" s="304">
        <f>IF(AF160=0,0,(AF152/AF160))</f>
        <v>0.75</v>
      </c>
      <c r="AD99" s="305"/>
      <c r="AE99" s="306"/>
      <c r="AF99" s="310">
        <v>1</v>
      </c>
      <c r="AG99" s="310">
        <v>1</v>
      </c>
      <c r="AH99" s="312"/>
      <c r="AI99" s="313"/>
      <c r="AJ99" s="8"/>
      <c r="AK99" s="52"/>
      <c r="AL99" s="52"/>
      <c r="AM99" s="52"/>
      <c r="AN99" s="52"/>
      <c r="AO99" s="52"/>
      <c r="AP99" s="52"/>
      <c r="AQ99" s="34"/>
      <c r="AR99" s="35"/>
    </row>
    <row r="100" spans="1:44" ht="18.75" customHeight="1" thickBot="1" x14ac:dyDescent="0.25">
      <c r="A100" s="321"/>
      <c r="B100" s="339" t="s">
        <v>11</v>
      </c>
      <c r="C100" s="340"/>
      <c r="D100" s="340"/>
      <c r="E100" s="341" t="str">
        <f>AV9</f>
        <v>fj6scmid1pm</v>
      </c>
      <c r="F100" s="342"/>
      <c r="G100" s="342"/>
      <c r="H100" s="342"/>
      <c r="I100" s="342"/>
      <c r="J100" s="342"/>
      <c r="K100" s="342"/>
      <c r="L100" s="343"/>
      <c r="M100" s="344"/>
      <c r="N100" s="344"/>
      <c r="O100" s="344"/>
      <c r="P100" s="344"/>
      <c r="Q100" s="363"/>
      <c r="R100" s="343"/>
      <c r="S100" s="344"/>
      <c r="T100" s="344"/>
      <c r="U100" s="344"/>
      <c r="V100" s="344"/>
      <c r="W100" s="343"/>
      <c r="X100" s="344"/>
      <c r="Y100" s="344"/>
      <c r="Z100" s="331"/>
      <c r="AA100" s="332"/>
      <c r="AB100" s="332"/>
      <c r="AC100" s="333"/>
      <c r="AD100" s="334"/>
      <c r="AE100" s="335"/>
      <c r="AF100" s="336"/>
      <c r="AG100" s="336"/>
      <c r="AH100" s="337"/>
      <c r="AI100" s="338"/>
      <c r="AJ100" s="8"/>
      <c r="AK100" s="52"/>
      <c r="AL100" s="52"/>
      <c r="AM100" s="52"/>
      <c r="AN100" s="52"/>
      <c r="AO100" s="52"/>
      <c r="AP100" s="52"/>
      <c r="AQ100" s="8"/>
      <c r="AR100" s="3"/>
    </row>
    <row r="101" spans="1:44" ht="18.75" customHeight="1" x14ac:dyDescent="0.2">
      <c r="A101" s="320" t="str">
        <f>IF($AK94&gt;4,"5","")</f>
        <v>5</v>
      </c>
      <c r="B101" s="322" t="s">
        <v>10</v>
      </c>
      <c r="C101" s="323"/>
      <c r="D101" s="323"/>
      <c r="E101" s="324" t="str">
        <f>AU12</f>
        <v>Intense 15 Hyper Elite</v>
      </c>
      <c r="F101" s="325"/>
      <c r="G101" s="325"/>
      <c r="H101" s="325"/>
      <c r="I101" s="325"/>
      <c r="J101" s="325"/>
      <c r="K101" s="326"/>
      <c r="L101" s="327">
        <f>IF($AK95=0,AF153,AF135)</f>
        <v>4</v>
      </c>
      <c r="M101" s="328"/>
      <c r="N101" s="328"/>
      <c r="O101" s="328"/>
      <c r="P101" s="328"/>
      <c r="Q101" s="363"/>
      <c r="R101" s="327">
        <f>IF($AK95=0,AG153,AG135)</f>
        <v>4</v>
      </c>
      <c r="S101" s="328"/>
      <c r="T101" s="328"/>
      <c r="U101" s="328"/>
      <c r="V101" s="328"/>
      <c r="W101" s="327">
        <f>AQ113</f>
        <v>-9</v>
      </c>
      <c r="X101" s="328"/>
      <c r="Y101" s="328"/>
      <c r="Z101" s="300">
        <f>IF(AF147&gt;0,(AQ113/AF147),0)</f>
        <v>-4.4999999999999998E-2</v>
      </c>
      <c r="AA101" s="301"/>
      <c r="AB101" s="301"/>
      <c r="AC101" s="304">
        <f>IF(AF161=0,0,(AF153/AF161))</f>
        <v>0.5</v>
      </c>
      <c r="AD101" s="305"/>
      <c r="AE101" s="306"/>
      <c r="AF101" s="310">
        <v>4</v>
      </c>
      <c r="AG101" s="310">
        <v>3</v>
      </c>
      <c r="AH101" s="312"/>
      <c r="AI101" s="313"/>
      <c r="AJ101" s="8"/>
      <c r="AK101" s="52"/>
      <c r="AL101" s="52"/>
      <c r="AM101" s="52"/>
      <c r="AN101" s="52"/>
      <c r="AO101" s="52"/>
      <c r="AP101" s="52"/>
      <c r="AQ101" s="8"/>
      <c r="AR101" s="3"/>
    </row>
    <row r="102" spans="1:44" ht="18.75" customHeight="1" thickBot="1" x14ac:dyDescent="0.25">
      <c r="A102" s="321"/>
      <c r="B102" s="316" t="s">
        <v>11</v>
      </c>
      <c r="C102" s="317"/>
      <c r="D102" s="317"/>
      <c r="E102" s="318" t="str">
        <f>AV12</f>
        <v>fj5inten1pm</v>
      </c>
      <c r="F102" s="319"/>
      <c r="G102" s="319"/>
      <c r="H102" s="319"/>
      <c r="I102" s="319"/>
      <c r="J102" s="319"/>
      <c r="K102" s="319"/>
      <c r="L102" s="329"/>
      <c r="M102" s="330"/>
      <c r="N102" s="330"/>
      <c r="O102" s="330"/>
      <c r="P102" s="330"/>
      <c r="Q102" s="363"/>
      <c r="R102" s="329"/>
      <c r="S102" s="330"/>
      <c r="T102" s="330"/>
      <c r="U102" s="330"/>
      <c r="V102" s="330"/>
      <c r="W102" s="329"/>
      <c r="X102" s="330"/>
      <c r="Y102" s="330"/>
      <c r="Z102" s="302"/>
      <c r="AA102" s="303"/>
      <c r="AB102" s="303"/>
      <c r="AC102" s="307"/>
      <c r="AD102" s="308"/>
      <c r="AE102" s="309"/>
      <c r="AF102" s="311"/>
      <c r="AG102" s="311"/>
      <c r="AH102" s="314"/>
      <c r="AI102" s="315"/>
      <c r="AJ102" s="8"/>
      <c r="AK102" s="52"/>
      <c r="AL102" s="52"/>
      <c r="AM102" s="52"/>
      <c r="AN102" s="52"/>
      <c r="AO102" s="52"/>
      <c r="AP102" s="52"/>
      <c r="AQ102" s="8"/>
      <c r="AR102" s="3"/>
    </row>
    <row r="103" spans="1:44" ht="21" customHeight="1" thickTop="1" thickBot="1" x14ac:dyDescent="0.25">
      <c r="A103" s="55"/>
      <c r="B103" s="297" t="s">
        <v>195</v>
      </c>
      <c r="C103" s="298"/>
      <c r="D103" s="298"/>
      <c r="E103" s="298"/>
      <c r="F103" s="298"/>
      <c r="G103" s="298"/>
      <c r="H103" s="298"/>
      <c r="I103" s="298"/>
      <c r="J103" s="298"/>
      <c r="K103" s="298"/>
      <c r="L103" s="298"/>
      <c r="M103" s="298"/>
      <c r="N103" s="298"/>
      <c r="O103" s="298"/>
      <c r="P103" s="298"/>
      <c r="Q103" s="298"/>
      <c r="R103" s="298"/>
      <c r="S103" s="298"/>
      <c r="T103" s="298"/>
      <c r="U103" s="298"/>
      <c r="V103" s="298"/>
      <c r="W103" s="298"/>
      <c r="X103" s="298"/>
      <c r="Y103" s="298"/>
      <c r="Z103" s="298"/>
      <c r="AA103" s="298"/>
      <c r="AB103" s="298"/>
      <c r="AC103" s="298"/>
      <c r="AD103" s="298"/>
      <c r="AE103" s="298"/>
      <c r="AF103" s="298"/>
      <c r="AG103" s="298"/>
      <c r="AH103" s="298"/>
      <c r="AI103" s="299"/>
      <c r="AJ103" s="8"/>
      <c r="AK103" s="52"/>
      <c r="AL103" s="52"/>
      <c r="AM103" s="52"/>
      <c r="AN103" s="52"/>
      <c r="AO103" s="52"/>
      <c r="AP103" s="52"/>
      <c r="AQ103" s="8"/>
      <c r="AR103" s="3"/>
    </row>
    <row r="104" spans="1:44" ht="13.5" thickTop="1" x14ac:dyDescent="0.2">
      <c r="A104" s="4" t="s">
        <v>60</v>
      </c>
      <c r="B104" s="286">
        <v>0.35416666666666669</v>
      </c>
      <c r="C104" s="287"/>
      <c r="D104" s="288"/>
      <c r="E104" s="286">
        <v>0.38541666666666669</v>
      </c>
      <c r="F104" s="287"/>
      <c r="G104" s="288"/>
      <c r="H104" s="286">
        <v>0.41666666666666669</v>
      </c>
      <c r="I104" s="287"/>
      <c r="J104" s="288"/>
      <c r="K104" s="286">
        <v>0.44791666666666669</v>
      </c>
      <c r="L104" s="287"/>
      <c r="M104" s="288"/>
      <c r="N104" s="286">
        <v>0.47916666666666669</v>
      </c>
      <c r="O104" s="287"/>
      <c r="P104" s="288"/>
      <c r="Q104" s="286">
        <v>0.51041666666666663</v>
      </c>
      <c r="R104" s="287"/>
      <c r="S104" s="288"/>
      <c r="T104" s="286">
        <v>4.1666666666666664E-2</v>
      </c>
      <c r="U104" s="287"/>
      <c r="V104" s="288"/>
      <c r="W104" s="286">
        <v>7.2916666666666671E-2</v>
      </c>
      <c r="X104" s="287"/>
      <c r="Y104" s="288"/>
      <c r="Z104" s="286">
        <v>0.10416666666666667</v>
      </c>
      <c r="AA104" s="287"/>
      <c r="AB104" s="288"/>
      <c r="AC104" s="286">
        <v>0.13541666666666666</v>
      </c>
      <c r="AD104" s="287"/>
      <c r="AE104" s="288"/>
      <c r="AF104" s="289" t="s">
        <v>61</v>
      </c>
      <c r="AG104" s="290"/>
      <c r="AH104" s="290"/>
      <c r="AI104" s="290"/>
      <c r="AJ104" s="291"/>
      <c r="AK104" s="291"/>
      <c r="AL104" s="291"/>
      <c r="AM104" s="291"/>
      <c r="AN104" s="291"/>
      <c r="AO104" s="291"/>
      <c r="AP104" s="291"/>
      <c r="AQ104" s="292"/>
    </row>
    <row r="105" spans="1:44" x14ac:dyDescent="0.2">
      <c r="A105" s="56" t="s">
        <v>62</v>
      </c>
      <c r="B105" s="283"/>
      <c r="C105" s="284"/>
      <c r="D105" s="285"/>
      <c r="E105" s="283"/>
      <c r="F105" s="284"/>
      <c r="G105" s="285"/>
      <c r="H105" s="283"/>
      <c r="I105" s="284"/>
      <c r="J105" s="285"/>
      <c r="K105" s="283"/>
      <c r="L105" s="284"/>
      <c r="M105" s="285"/>
      <c r="N105" s="283"/>
      <c r="O105" s="284"/>
      <c r="P105" s="285"/>
      <c r="Q105" s="283"/>
      <c r="R105" s="284"/>
      <c r="S105" s="285"/>
      <c r="T105" s="283"/>
      <c r="U105" s="284"/>
      <c r="V105" s="285"/>
      <c r="W105" s="283"/>
      <c r="X105" s="284"/>
      <c r="Y105" s="285"/>
      <c r="Z105" s="283"/>
      <c r="AA105" s="284"/>
      <c r="AB105" s="285"/>
      <c r="AC105" s="283"/>
      <c r="AD105" s="284"/>
      <c r="AE105" s="285"/>
      <c r="AF105" s="289"/>
      <c r="AG105" s="290"/>
      <c r="AH105" s="290"/>
      <c r="AI105" s="290"/>
      <c r="AJ105" s="290"/>
      <c r="AK105" s="290"/>
      <c r="AL105" s="290"/>
      <c r="AM105" s="290"/>
      <c r="AN105" s="290"/>
      <c r="AO105" s="290"/>
      <c r="AP105" s="290"/>
      <c r="AQ105" s="293"/>
    </row>
    <row r="106" spans="1:44" x14ac:dyDescent="0.2">
      <c r="A106" s="56" t="s">
        <v>63</v>
      </c>
      <c r="B106" s="283"/>
      <c r="C106" s="284"/>
      <c r="D106" s="285"/>
      <c r="E106" s="283"/>
      <c r="F106" s="284"/>
      <c r="G106" s="285"/>
      <c r="H106" s="283"/>
      <c r="I106" s="284"/>
      <c r="J106" s="285"/>
      <c r="K106" s="283"/>
      <c r="L106" s="284"/>
      <c r="M106" s="285"/>
      <c r="N106" s="283"/>
      <c r="O106" s="284"/>
      <c r="P106" s="285"/>
      <c r="Q106" s="283"/>
      <c r="R106" s="284"/>
      <c r="S106" s="285"/>
      <c r="T106" s="283"/>
      <c r="U106" s="284"/>
      <c r="V106" s="285"/>
      <c r="W106" s="283"/>
      <c r="X106" s="284"/>
      <c r="Y106" s="285"/>
      <c r="Z106" s="283"/>
      <c r="AA106" s="284"/>
      <c r="AB106" s="285"/>
      <c r="AC106" s="283"/>
      <c r="AD106" s="284"/>
      <c r="AE106" s="285"/>
      <c r="AF106" s="289"/>
      <c r="AG106" s="290"/>
      <c r="AH106" s="290"/>
      <c r="AI106" s="290"/>
      <c r="AJ106" s="290"/>
      <c r="AK106" s="290"/>
      <c r="AL106" s="290"/>
      <c r="AM106" s="290"/>
      <c r="AN106" s="290"/>
      <c r="AO106" s="290"/>
      <c r="AP106" s="290"/>
      <c r="AQ106" s="293"/>
    </row>
    <row r="107" spans="1:44" ht="13.5" thickBot="1" x14ac:dyDescent="0.25">
      <c r="A107" s="8"/>
      <c r="B107" s="173" t="s">
        <v>64</v>
      </c>
      <c r="C107" s="174"/>
      <c r="D107" s="180"/>
      <c r="E107" s="173" t="str">
        <f>IF(AK93&gt;1,"Match 2","")</f>
        <v>Match 2</v>
      </c>
      <c r="F107" s="174"/>
      <c r="G107" s="180"/>
      <c r="H107" s="173" t="str">
        <f>IF(AK93&gt;2,"Match 3","")</f>
        <v>Match 3</v>
      </c>
      <c r="I107" s="174"/>
      <c r="J107" s="180"/>
      <c r="K107" s="173" t="str">
        <f>IF(AK93&gt;3,"Match 4","")</f>
        <v>Match 4</v>
      </c>
      <c r="L107" s="174"/>
      <c r="M107" s="180"/>
      <c r="N107" s="173" t="str">
        <f>IF(AK93&gt;4,"Match 5","")</f>
        <v>Match 5</v>
      </c>
      <c r="O107" s="174"/>
      <c r="P107" s="180"/>
      <c r="Q107" s="173" t="str">
        <f>IF(AK93&gt;5,"Match 6","")</f>
        <v>Match 6</v>
      </c>
      <c r="R107" s="174"/>
      <c r="S107" s="180"/>
      <c r="T107" s="173" t="str">
        <f>IF(AK93&gt;6,"Match 7","")</f>
        <v>Match 7</v>
      </c>
      <c r="U107" s="174"/>
      <c r="V107" s="180"/>
      <c r="W107" s="173" t="str">
        <f>IF(AK93&gt;7,"Match 8","")</f>
        <v>Match 8</v>
      </c>
      <c r="X107" s="174"/>
      <c r="Y107" s="180"/>
      <c r="Z107" s="173" t="str">
        <f>IF(AK93&gt;8,"Match 9","")</f>
        <v>Match 9</v>
      </c>
      <c r="AA107" s="174"/>
      <c r="AB107" s="180"/>
      <c r="AC107" s="173" t="str">
        <f>IF(AK93&gt;9,"Match 10","")</f>
        <v>Match 10</v>
      </c>
      <c r="AD107" s="174"/>
      <c r="AE107" s="180"/>
      <c r="AF107" s="294"/>
      <c r="AG107" s="295"/>
      <c r="AH107" s="295"/>
      <c r="AI107" s="295"/>
      <c r="AJ107" s="295"/>
      <c r="AK107" s="295"/>
      <c r="AL107" s="295"/>
      <c r="AM107" s="295"/>
      <c r="AN107" s="295"/>
      <c r="AO107" s="295"/>
      <c r="AP107" s="295"/>
      <c r="AQ107" s="296"/>
    </row>
    <row r="108" spans="1:44" ht="15.75" x14ac:dyDescent="0.25">
      <c r="A108" s="8"/>
      <c r="B108" s="277" t="s">
        <v>68</v>
      </c>
      <c r="C108" s="278"/>
      <c r="D108" s="279"/>
      <c r="E108" s="277" t="s">
        <v>67</v>
      </c>
      <c r="F108" s="278"/>
      <c r="G108" s="279"/>
      <c r="H108" s="277" t="s">
        <v>65</v>
      </c>
      <c r="I108" s="278"/>
      <c r="J108" s="279"/>
      <c r="K108" s="277" t="s">
        <v>204</v>
      </c>
      <c r="L108" s="278"/>
      <c r="M108" s="279"/>
      <c r="N108" s="277" t="s">
        <v>66</v>
      </c>
      <c r="O108" s="278"/>
      <c r="P108" s="279"/>
      <c r="Q108" s="277" t="s">
        <v>65</v>
      </c>
      <c r="R108" s="278"/>
      <c r="S108" s="279"/>
      <c r="T108" s="277" t="s">
        <v>68</v>
      </c>
      <c r="U108" s="278"/>
      <c r="V108" s="279"/>
      <c r="W108" s="277" t="s">
        <v>66</v>
      </c>
      <c r="X108" s="278"/>
      <c r="Y108" s="279"/>
      <c r="Z108" s="277" t="s">
        <v>204</v>
      </c>
      <c r="AA108" s="278"/>
      <c r="AB108" s="279"/>
      <c r="AC108" s="277" t="s">
        <v>67</v>
      </c>
      <c r="AD108" s="278"/>
      <c r="AE108" s="279"/>
      <c r="AF108" s="57" t="s">
        <v>70</v>
      </c>
      <c r="AG108" s="58">
        <v>1</v>
      </c>
      <c r="AH108" s="58">
        <v>2</v>
      </c>
      <c r="AI108" s="58">
        <v>3</v>
      </c>
      <c r="AJ108" s="58">
        <v>4</v>
      </c>
      <c r="AK108" s="58">
        <v>5</v>
      </c>
      <c r="AL108" s="58">
        <v>6</v>
      </c>
      <c r="AM108" s="58">
        <v>7</v>
      </c>
      <c r="AN108" s="58">
        <v>8</v>
      </c>
      <c r="AO108" s="58">
        <v>9</v>
      </c>
      <c r="AP108" s="58">
        <v>10</v>
      </c>
      <c r="AQ108" s="59" t="s">
        <v>71</v>
      </c>
    </row>
    <row r="109" spans="1:44" ht="15.75" x14ac:dyDescent="0.25">
      <c r="A109" s="8"/>
      <c r="B109" s="61">
        <v>2</v>
      </c>
      <c r="C109" s="62" t="s">
        <v>72</v>
      </c>
      <c r="D109" s="63">
        <v>5</v>
      </c>
      <c r="E109" s="61">
        <v>1</v>
      </c>
      <c r="F109" s="62" t="str">
        <f>IF(AK93&gt;1,"v","")</f>
        <v>v</v>
      </c>
      <c r="G109" s="63">
        <v>4</v>
      </c>
      <c r="H109" s="61">
        <v>3</v>
      </c>
      <c r="I109" s="62" t="str">
        <f>IF(AK93&gt;2,"v","")</f>
        <v>v</v>
      </c>
      <c r="J109" s="63">
        <v>5</v>
      </c>
      <c r="K109" s="61">
        <v>2</v>
      </c>
      <c r="L109" s="62" t="str">
        <f>IF(AK93&gt;3,"v","")</f>
        <v>v</v>
      </c>
      <c r="M109" s="63">
        <v>4</v>
      </c>
      <c r="N109" s="61">
        <v>1</v>
      </c>
      <c r="O109" s="62" t="str">
        <f>IF(AK93&gt;4,"v","")</f>
        <v>v</v>
      </c>
      <c r="P109" s="63">
        <v>3</v>
      </c>
      <c r="Q109" s="61">
        <v>4</v>
      </c>
      <c r="R109" s="62" t="str">
        <f>IF(AK93&gt;5,"v","")</f>
        <v>v</v>
      </c>
      <c r="S109" s="63">
        <v>5</v>
      </c>
      <c r="T109" s="61">
        <v>2</v>
      </c>
      <c r="U109" s="62" t="str">
        <f>IF(AK93&gt;6,"v","")</f>
        <v>v</v>
      </c>
      <c r="V109" s="63">
        <v>3</v>
      </c>
      <c r="W109" s="61">
        <v>1</v>
      </c>
      <c r="X109" s="62" t="str">
        <f>IF(AK93&gt;7,"v","")</f>
        <v>v</v>
      </c>
      <c r="Y109" s="63">
        <v>5</v>
      </c>
      <c r="Z109" s="61">
        <v>3</v>
      </c>
      <c r="AA109" s="62" t="str">
        <f>IF(AK93&gt;8,"v","")</f>
        <v>v</v>
      </c>
      <c r="AB109" s="63">
        <v>4</v>
      </c>
      <c r="AC109" s="61">
        <v>1</v>
      </c>
      <c r="AD109" s="62" t="str">
        <f>IF(AK93&gt;9,"v","")</f>
        <v>v</v>
      </c>
      <c r="AE109" s="63">
        <v>2</v>
      </c>
      <c r="AF109" s="57" t="str">
        <f>IF(AK94&gt;0,"Team 1","")</f>
        <v>Team 1</v>
      </c>
      <c r="AG109" s="64" t="str">
        <f>IF(AK94&lt;1,"",IF(AK93&lt;1,"",IF(B109=1,B115-D115,IF(D109=1,D115-B115,""))))</f>
        <v/>
      </c>
      <c r="AH109" s="64">
        <f>IF(AK94&lt;1,"",IF(AK93&lt;2,"",IF(E109=1,E115-G115,IF(G109=1,G115-E115,""))))</f>
        <v>0</v>
      </c>
      <c r="AI109" s="64" t="str">
        <f>IF(AK94&lt;1,"",IF(AK93&lt;3,"",IF(H109=1,H115-J115,IF(J109=1,J115-H115,""))))</f>
        <v/>
      </c>
      <c r="AJ109" s="64" t="str">
        <f>IF(AK94&lt;1,"",IF(AK93&lt;4,"",IF(K109=1,K115-M115,IF(M109=1,M115-K115,""))))</f>
        <v/>
      </c>
      <c r="AK109" s="64">
        <f>IF(AK94&lt;1,"",IF(AK93&lt;5,"",IF(N109=1,N115-P115,IF(P109=1,P115-N115,""))))</f>
        <v>9</v>
      </c>
      <c r="AL109" s="64" t="str">
        <f>IF(AK94&lt;1,"",IF(AK93&lt;6,"",IF(Q109=1,Q115-S115,IF(S109=1,S115-Q115,""))))</f>
        <v/>
      </c>
      <c r="AM109" s="64" t="str">
        <f>IF(AK94&lt;1,"",IF(AK93&lt;7,"",IF(T109=1,T115-V115,IF(V109=1,V115-T115,""))))</f>
        <v/>
      </c>
      <c r="AN109" s="64">
        <f>IF(AK94&lt;1,"",IF(AK93&lt;8,"",IF(W109=1,W115-Y115,IF(Y109=1,Y115-W115,""))))</f>
        <v>-10</v>
      </c>
      <c r="AO109" s="64" t="str">
        <f>IF(AK94&lt;1,"",IF(AK93&lt;9,"",IF(Z109=1,Z115-AB115,IF(AB109=1,AB115-Z115,""))))</f>
        <v/>
      </c>
      <c r="AP109" s="64">
        <f>IF(AK94&lt;1,"",IF(AK93&lt;10,"",IF(AC109=1,AC115-AE115,IF(AE109=1,AE115-AC115,""))))</f>
        <v>12</v>
      </c>
      <c r="AQ109" s="59">
        <f>SUM(AG109:AP109)</f>
        <v>11</v>
      </c>
    </row>
    <row r="110" spans="1:44" ht="15" x14ac:dyDescent="0.2">
      <c r="A110" s="4" t="s">
        <v>73</v>
      </c>
      <c r="B110" s="65">
        <v>19</v>
      </c>
      <c r="C110" s="66" t="s">
        <v>74</v>
      </c>
      <c r="D110" s="67">
        <v>25</v>
      </c>
      <c r="E110" s="65">
        <v>25</v>
      </c>
      <c r="F110" s="66" t="str">
        <f>IF(AK93&gt;1,"/","")</f>
        <v>/</v>
      </c>
      <c r="G110" s="67">
        <v>22</v>
      </c>
      <c r="H110" s="65">
        <v>25</v>
      </c>
      <c r="I110" s="66" t="str">
        <f>IF(AK93&gt;2,"/","")</f>
        <v>/</v>
      </c>
      <c r="J110" s="67">
        <v>19</v>
      </c>
      <c r="K110" s="65">
        <v>27</v>
      </c>
      <c r="L110" s="66" t="str">
        <f>IF(AK93&gt;3,"/","")</f>
        <v>/</v>
      </c>
      <c r="M110" s="67">
        <v>26</v>
      </c>
      <c r="N110" s="65">
        <v>25</v>
      </c>
      <c r="O110" s="66" t="str">
        <f>IF(AK93&gt;4,"/","")</f>
        <v>/</v>
      </c>
      <c r="P110" s="67">
        <v>18</v>
      </c>
      <c r="Q110" s="65">
        <v>25</v>
      </c>
      <c r="R110" s="66" t="str">
        <f>IF(AK93&gt;5,"/","")</f>
        <v>/</v>
      </c>
      <c r="S110" s="67">
        <v>19</v>
      </c>
      <c r="T110" s="65">
        <v>25</v>
      </c>
      <c r="U110" s="66" t="str">
        <f>IF(AK93&gt;6,"/","")</f>
        <v>/</v>
      </c>
      <c r="V110" s="67">
        <v>23</v>
      </c>
      <c r="W110" s="65">
        <v>19</v>
      </c>
      <c r="X110" s="66" t="str">
        <f>IF(AK93&gt;7,"/","")</f>
        <v>/</v>
      </c>
      <c r="Y110" s="67">
        <v>25</v>
      </c>
      <c r="Z110" s="65">
        <v>15</v>
      </c>
      <c r="AA110" s="66" t="str">
        <f>IF(AK93&gt;8,"/","")</f>
        <v>/</v>
      </c>
      <c r="AB110" s="67">
        <v>25</v>
      </c>
      <c r="AC110" s="65">
        <v>25</v>
      </c>
      <c r="AD110" s="66" t="str">
        <f>IF(AK93&gt;9,"/","")</f>
        <v>/</v>
      </c>
      <c r="AE110" s="67">
        <v>20</v>
      </c>
      <c r="AF110" s="57" t="str">
        <f>IF(AK94&gt;1,"Team 2","")</f>
        <v>Team 2</v>
      </c>
      <c r="AG110" s="64">
        <f>IF(AK94&lt;2,"",IF(AK93&lt;1,"",IF(B109=2,B115-D115,IF(D109=2,D115-B115,""))))</f>
        <v>1</v>
      </c>
      <c r="AH110" s="64" t="str">
        <f>IF(AK94&lt;2,"",IF(AK93&lt;2,"",IF(E109=2,E115-G115,IF(G109=2,G115-E115,""))))</f>
        <v/>
      </c>
      <c r="AI110" s="64" t="str">
        <f>IF(AK94&lt;2,"",IF(AK93&lt;3,"",IF(H109=2,H115-J115,IF(J109=2,J115-H115,""))))</f>
        <v/>
      </c>
      <c r="AJ110" s="64">
        <f>IF(AK94&lt;2,"",IF(AK93&lt;4,"",IF(K109=2,K115-M115,IF(M109=2,M115-K115,""))))</f>
        <v>-2</v>
      </c>
      <c r="AK110" s="64" t="str">
        <f>IF(AK94&lt;2,"",IF(AK93&lt;5,"",IF(N109=2,N115-P115,IF(P109=2,P115-N115,""))))</f>
        <v/>
      </c>
      <c r="AL110" s="64" t="str">
        <f>IF(AK94&lt;2,"",IF(AK93&lt;6,"",IF(Q109=2,Q115-S115,IF(S109=2,S115-Q115,""))))</f>
        <v/>
      </c>
      <c r="AM110" s="64">
        <f>IF(AK94&lt;2,"",IF(AK93&lt;7,"",IF(T109=2,T115-V115,IF(V109=2,V115-T115,""))))</f>
        <v>9</v>
      </c>
      <c r="AN110" s="64" t="str">
        <f>IF(AK94&lt;2,"",IF(AK93&lt;8,"",IF(W109=2,W115-Y115,IF(Y109=2,Y115-W115,""))))</f>
        <v/>
      </c>
      <c r="AO110" s="64" t="str">
        <f>IF(AK94&lt;2,"",IF(AK93&lt;9,"",IF(Z109=2,Z115-AB115,IF(AB109=2,AB115-Z115,""))))</f>
        <v/>
      </c>
      <c r="AP110" s="64">
        <f>IF(AK94&lt;2,"",IF(AK93&lt;10,"",IF(AC109=2,AC115-AE115,IF(AE109=2,AE115-AC115,""))))</f>
        <v>-12</v>
      </c>
      <c r="AQ110" s="59">
        <f>SUM(AG110:AP110)</f>
        <v>-4</v>
      </c>
    </row>
    <row r="111" spans="1:44" ht="15" x14ac:dyDescent="0.2">
      <c r="A111" s="3" t="str">
        <f>IF(AK92&gt;1,"Game 2","")</f>
        <v>Game 2</v>
      </c>
      <c r="B111" s="65">
        <v>25</v>
      </c>
      <c r="C111" s="66" t="s">
        <v>74</v>
      </c>
      <c r="D111" s="67">
        <v>18</v>
      </c>
      <c r="E111" s="65">
        <v>22</v>
      </c>
      <c r="F111" s="66" t="str">
        <f>IF(AK93&gt;1,IF(AK92&gt;1,"/",""),"")</f>
        <v>/</v>
      </c>
      <c r="G111" s="67">
        <v>25</v>
      </c>
      <c r="H111" s="65">
        <v>20</v>
      </c>
      <c r="I111" s="66" t="str">
        <f>IF(AK93&gt;2,IF(AK92&gt;1,"/",""),"")</f>
        <v>/</v>
      </c>
      <c r="J111" s="67">
        <v>25</v>
      </c>
      <c r="K111" s="65">
        <v>22</v>
      </c>
      <c r="L111" s="66" t="str">
        <f>IF(AK93&gt;3,IF(AK92&gt;1,"/",""),"")</f>
        <v>/</v>
      </c>
      <c r="M111" s="67">
        <v>25</v>
      </c>
      <c r="N111" s="65">
        <v>27</v>
      </c>
      <c r="O111" s="66" t="str">
        <f>IF(AK93&gt;4,IF(AK92&gt;1,"/",""),"")</f>
        <v>/</v>
      </c>
      <c r="P111" s="67">
        <v>25</v>
      </c>
      <c r="Q111" s="65">
        <v>25</v>
      </c>
      <c r="R111" s="66" t="str">
        <f>IF(AK93&gt;5,IF(AK92&gt;1,"/",""),"")</f>
        <v>/</v>
      </c>
      <c r="S111" s="67">
        <v>14</v>
      </c>
      <c r="T111" s="65">
        <v>25</v>
      </c>
      <c r="U111" s="66" t="str">
        <f>IF(AK93&gt;6,IF(AK92&gt;1,"/",""),"")</f>
        <v>/</v>
      </c>
      <c r="V111" s="67">
        <v>18</v>
      </c>
      <c r="W111" s="65">
        <v>21</v>
      </c>
      <c r="X111" s="66" t="str">
        <f>IF(AK93&gt;7,IF(AK92&gt;1,"/",""),"")</f>
        <v>/</v>
      </c>
      <c r="Y111" s="67">
        <v>25</v>
      </c>
      <c r="Z111" s="65">
        <v>16</v>
      </c>
      <c r="AA111" s="66" t="str">
        <f>IF(AK93&gt;8,IF(AK92&gt;1,"/",""),"")</f>
        <v>/</v>
      </c>
      <c r="AB111" s="67">
        <v>25</v>
      </c>
      <c r="AC111" s="65">
        <v>25</v>
      </c>
      <c r="AD111" s="66" t="str">
        <f>IF(AK93&gt;9,IF(AK92&gt;1,"/",""),"")</f>
        <v>/</v>
      </c>
      <c r="AE111" s="67">
        <v>18</v>
      </c>
      <c r="AF111" s="57" t="str">
        <f>IF(AK94&gt;2,"Team 3","")</f>
        <v>Team 3</v>
      </c>
      <c r="AG111" s="64" t="str">
        <f>IF(AK94&lt;3,"",IF(AK93&lt;1,"",IF(B109=3,B115-D115,IF(D109=3,D115-B115,""))))</f>
        <v/>
      </c>
      <c r="AH111" s="64" t="str">
        <f>IF(AK94&lt;3,"",IF(AK93&lt;2,"",IF(E109=3,E115-G115,IF(G109=3,G115-E115,""))))</f>
        <v/>
      </c>
      <c r="AI111" s="64">
        <f>IF(AK94&lt;3,"",IF(AK93&lt;3,"",IF(H109=3,H115-J115,IF(J109=3,J115-H115,""))))</f>
        <v>1</v>
      </c>
      <c r="AJ111" s="64" t="str">
        <f>IF(AK94&lt;3,"",IF(AK93&lt;4,"",IF(K109=3,K115-M115,IF(M109=3,M115-K115,""))))</f>
        <v/>
      </c>
      <c r="AK111" s="64">
        <f>IF(AK94&lt;3,"",IF(AK93&lt;5,"",IF(N109=3,N115-P115,IF(P109=3,P115-N115,""))))</f>
        <v>-9</v>
      </c>
      <c r="AL111" s="64" t="str">
        <f>IF(AK94&lt;3,"",IF(AK93&lt;6,"",IF(Q109=3,Q115-S115,IF(S109=3,S115-Q115,""))))</f>
        <v/>
      </c>
      <c r="AM111" s="64">
        <f>IF(AK94&lt;3,"",IF(AK93&lt;7,"",IF(T109=3,T115-V115,IF(V109=3,V115-T115,""))))</f>
        <v>-9</v>
      </c>
      <c r="AN111" s="64" t="str">
        <f>IF(AK94&lt;3,"",IF(AK93&lt;8,"",IF(W109=3,W115-Y115,IF(Y109=3,Y115-W115,""))))</f>
        <v/>
      </c>
      <c r="AO111" s="64">
        <f>IF(AK94&lt;3,"",IF(AK93&lt;9,"",IF(Z109=3,Z115-AB115,IF(AB109=3,AB115-Z115,""))))</f>
        <v>-19</v>
      </c>
      <c r="AP111" s="64" t="str">
        <f>IF(AK94&lt;3,"",IF(AK93&lt;9,"",IF(AC109=3,AC115-AE115,IF(AE109=3,AE115-AC115,""))))</f>
        <v/>
      </c>
      <c r="AQ111" s="59">
        <f>SUM(AG111:AP111)</f>
        <v>-36</v>
      </c>
    </row>
    <row r="112" spans="1:44" ht="15" x14ac:dyDescent="0.2">
      <c r="A112" s="3" t="str">
        <f>IF(AK92&gt;2,"Game 3","")</f>
        <v/>
      </c>
      <c r="B112" s="65"/>
      <c r="C112" s="66" t="s">
        <v>74</v>
      </c>
      <c r="D112" s="67"/>
      <c r="E112" s="65"/>
      <c r="F112" s="66" t="str">
        <f>IF(AK93&gt;1,IF(AK92&gt;2,"/",""),"")</f>
        <v/>
      </c>
      <c r="G112" s="67"/>
      <c r="H112" s="65"/>
      <c r="I112" s="66" t="str">
        <f>IF(AK93&gt;2,IF(AK92&gt;2,"/",""),"")</f>
        <v/>
      </c>
      <c r="J112" s="67"/>
      <c r="K112" s="65"/>
      <c r="L112" s="66" t="str">
        <f>IF(AK93&gt;3,IF(AK92&gt;2,"/",""),"")</f>
        <v/>
      </c>
      <c r="M112" s="67"/>
      <c r="N112" s="65"/>
      <c r="O112" s="66" t="str">
        <f>IF(AK93&gt;4,IF(AK92&gt;2,"/",""),"")</f>
        <v/>
      </c>
      <c r="P112" s="67"/>
      <c r="Q112" s="65"/>
      <c r="R112" s="66" t="str">
        <f>IF(AK93&gt;5,IF(AK92&gt;2,"/",""),"")</f>
        <v/>
      </c>
      <c r="S112" s="67"/>
      <c r="T112" s="65"/>
      <c r="U112" s="66" t="str">
        <f>IF(AK93&gt;6,IF(AK92&gt;2,"/",""),"")</f>
        <v/>
      </c>
      <c r="V112" s="67"/>
      <c r="W112" s="65"/>
      <c r="X112" s="66" t="str">
        <f>IF(AK93&gt;7,IF(AK92&gt;2,"/",""),"")</f>
        <v/>
      </c>
      <c r="Y112" s="67"/>
      <c r="Z112" s="65"/>
      <c r="AA112" s="66" t="str">
        <f>IF(AK93&gt;8,IF(AK92&gt;2,"/",""),"")</f>
        <v/>
      </c>
      <c r="AB112" s="67"/>
      <c r="AC112" s="65"/>
      <c r="AD112" s="66" t="str">
        <f>IF(AK93&gt;9,IF(AK92&gt;2,"/",""),"")</f>
        <v/>
      </c>
      <c r="AE112" s="67"/>
      <c r="AF112" s="57" t="str">
        <f>IF(AK94&gt;3,"Team 4","")</f>
        <v>Team 4</v>
      </c>
      <c r="AG112" s="64" t="str">
        <f>IF(AK94&lt;4,"",IF(AK93&lt;1,"",IF(B109=4,B115-D115,IF(D109=4,D115-B115,""))))</f>
        <v/>
      </c>
      <c r="AH112" s="64">
        <f>IF(AK94&lt;4,"",IF(AK93&lt;2,"",IF(E109=4,E115-G115,IF(G109=4,G115-E115,""))))</f>
        <v>0</v>
      </c>
      <c r="AI112" s="64" t="str">
        <f>IF(AK94&lt;4,"",IF(AK93&lt;3,"",IF(H109=4,H115-J115,IF(J109=4,J115-H115,""))))</f>
        <v/>
      </c>
      <c r="AJ112" s="64">
        <f>IF(AK94&lt;4,"",IF(AK93&lt;4,"",IF(K109=4,K115-M115,IF(M109=4,M115-K115,""))))</f>
        <v>2</v>
      </c>
      <c r="AK112" s="64" t="str">
        <f>IF(AK94&lt;4,"",IF(AK93&lt;5,"",IF(N109=4,N115-P115,IF(P109=4,P115-N115,""))))</f>
        <v/>
      </c>
      <c r="AL112" s="64">
        <f>IF(AK94&lt;4,"",IF(AK93&lt;6,"",IF(Q109=4,Q115-S115,IF(S109=4,S115-Q115,""))))</f>
        <v>17</v>
      </c>
      <c r="AM112" s="64" t="str">
        <f>IF(AK94&lt;4,"",IF(AK93&lt;7,"",IF(T109=4,T115-V115,IF(V109=4,V115-T115,""))))</f>
        <v/>
      </c>
      <c r="AN112" s="64" t="str">
        <f>IF(AK94&lt;4,"",IF(AK93&lt;8,"",IF(W109=4,W115-Y115,IF(Y109=4,Y115-W115,""))))</f>
        <v/>
      </c>
      <c r="AO112" s="64">
        <f>IF(AK94&lt;4,"",IF(AK93&lt;9,"",IF(Z109=4,Z115-AB115,IF(AB109=4,AB115-Z115,""))))</f>
        <v>19</v>
      </c>
      <c r="AP112" s="64" t="str">
        <f>IF(AK94&lt;4,"",IF(AK93&lt;10,"",IF(AC109=4,AC115-AE115,IF(AE109=4,AE115-AC115,""))))</f>
        <v/>
      </c>
      <c r="AQ112" s="59">
        <f>SUM(AG112:AP112)</f>
        <v>38</v>
      </c>
    </row>
    <row r="113" spans="1:49" ht="15" x14ac:dyDescent="0.2">
      <c r="A113" s="3" t="str">
        <f>IF(AK92&gt;3,"Game 4","")</f>
        <v/>
      </c>
      <c r="B113" s="65"/>
      <c r="C113" s="66" t="s">
        <v>74</v>
      </c>
      <c r="D113" s="67"/>
      <c r="E113" s="65"/>
      <c r="F113" s="66" t="str">
        <f>IF(AK93&gt;1,IF(AK92&gt;3,"/",""),"")</f>
        <v/>
      </c>
      <c r="G113" s="67"/>
      <c r="H113" s="65"/>
      <c r="I113" s="66" t="str">
        <f>IF(AK93&gt;2,IF(AK92&gt;3,"/",""),"")</f>
        <v/>
      </c>
      <c r="J113" s="67"/>
      <c r="K113" s="65"/>
      <c r="L113" s="66" t="str">
        <f>IF(AK93&gt;3,IF(AK92&gt;3,"/",""),"")</f>
        <v/>
      </c>
      <c r="M113" s="67"/>
      <c r="N113" s="65"/>
      <c r="O113" s="66" t="str">
        <f>IF(AK93&gt;4,IF(AK92&gt;3,"/",""),"")</f>
        <v/>
      </c>
      <c r="P113" s="67"/>
      <c r="Q113" s="65"/>
      <c r="R113" s="66" t="str">
        <f>IF(AK93&gt;5,IF(AK92&gt;3,"/",""),"")</f>
        <v/>
      </c>
      <c r="S113" s="67"/>
      <c r="T113" s="65"/>
      <c r="U113" s="66" t="str">
        <f>IF(AK93&gt;6,IF(AK92&gt;3,"/",""),"")</f>
        <v/>
      </c>
      <c r="V113" s="67"/>
      <c r="W113" s="65"/>
      <c r="X113" s="66" t="str">
        <f>IF(AK93&gt;7,IF(AK92&gt;3,"/",""),"")</f>
        <v/>
      </c>
      <c r="Y113" s="67"/>
      <c r="Z113" s="65"/>
      <c r="AA113" s="66" t="str">
        <f>IF(AK93&gt;8,IF(AK92&gt;3,"/",""),"")</f>
        <v/>
      </c>
      <c r="AB113" s="67"/>
      <c r="AC113" s="65"/>
      <c r="AD113" s="66" t="str">
        <f>IF(AK93&gt;9,IF(AK92&gt;3,"/",""),"")</f>
        <v/>
      </c>
      <c r="AE113" s="67"/>
      <c r="AF113" s="57" t="str">
        <f>IF(AK94&gt;4,"Team 5","")</f>
        <v>Team 5</v>
      </c>
      <c r="AG113" s="68">
        <f>IF(AK94&lt;5,"",IF(AK93&lt;1,"",IF(B109=5,B115-D115,IF(D109=5,D115-B115,""))))</f>
        <v>-1</v>
      </c>
      <c r="AH113" s="64" t="str">
        <f>IF(AK94&lt;5,"",IF(AK93&lt;2,"",IF(E109=5,E115-G115,IF(G109=5,G115-E115,""))))</f>
        <v/>
      </c>
      <c r="AI113" s="64">
        <f>IF(AK94&lt;5,"",IF(AK93&lt;3,"",IF(H109=5,H115-J115,IF(J109=5,J115-H115,""))))</f>
        <v>-1</v>
      </c>
      <c r="AJ113" s="64" t="str">
        <f>IF(AK94&lt;5,"",IF(AK93&lt;4,"",IF(K109=5,K115-M115,IF(M109=5,M115-K115,""))))</f>
        <v/>
      </c>
      <c r="AK113" s="64" t="str">
        <f>IF(AK94&lt;5,"",IF(AK93&lt;5,"",IF(N109=5,N115-P115,IF(P109=5,P115-N115,""))))</f>
        <v/>
      </c>
      <c r="AL113" s="64">
        <f>IF(AK94&lt;5,"",IF(AK93&lt;6,"",IF(Q109=5,Q115-S115,IF(S109=5,S115-Q115,""))))</f>
        <v>-17</v>
      </c>
      <c r="AM113" s="64" t="str">
        <f>IF(AK94&lt;5,"",IF(AK93&lt;7,"",IF(T109=5,T115-V115,IF(V109=5,V115-T115,""))))</f>
        <v/>
      </c>
      <c r="AN113" s="64">
        <f>IF(AK94&lt;5,"",IF(AK93&lt;8,"",IF(W109=5,W115-Y115,IF(Y109=5,Y115-W115,""))))</f>
        <v>10</v>
      </c>
      <c r="AO113" s="64" t="str">
        <f>IF(AK94&lt;5,"",IF(AK93&lt;9,"",IF(Z109=5,Z115-AB115,IF(AB109=5,AB115-Z115,""))))</f>
        <v/>
      </c>
      <c r="AP113" s="64" t="str">
        <f>IF(AK94&lt;5,"",IF(AK93&lt;10,"",IF(AC109=5,AC115-AE115,IF(AE109=5,AE115-AC115,""))))</f>
        <v/>
      </c>
      <c r="AQ113" s="59">
        <f>SUM(AG113:AP113)</f>
        <v>-9</v>
      </c>
    </row>
    <row r="114" spans="1:49" ht="15" x14ac:dyDescent="0.2">
      <c r="A114" s="3" t="str">
        <f>IF(AK92&gt;4,"Game 5","")</f>
        <v/>
      </c>
      <c r="B114" s="65"/>
      <c r="C114" s="66" t="s">
        <v>74</v>
      </c>
      <c r="D114" s="67"/>
      <c r="E114" s="65"/>
      <c r="F114" s="66" t="str">
        <f>IF(AK93&gt;1,IF(AK92&gt;4,"/",""),"")</f>
        <v/>
      </c>
      <c r="G114" s="67"/>
      <c r="H114" s="65"/>
      <c r="I114" s="66" t="str">
        <f>IF(AK93&gt;2,IF(AK92&gt;4,"/",""),"")</f>
        <v/>
      </c>
      <c r="J114" s="67"/>
      <c r="K114" s="65"/>
      <c r="L114" s="66" t="str">
        <f>IF(AK93&gt;3,IF(AK92&gt;4,"/",""),"")</f>
        <v/>
      </c>
      <c r="M114" s="67"/>
      <c r="N114" s="65"/>
      <c r="O114" s="66" t="str">
        <f>IF(AK93&gt;4,IF(AK92&gt;4,"/",""),"")</f>
        <v/>
      </c>
      <c r="P114" s="67"/>
      <c r="Q114" s="65"/>
      <c r="R114" s="66" t="str">
        <f>IF(AK93&gt;5,IF(AK92&gt;4,"/",""),"")</f>
        <v/>
      </c>
      <c r="S114" s="67"/>
      <c r="T114" s="65"/>
      <c r="U114" s="66" t="str">
        <f>IF(AK93&gt;6,IF(AK92&gt;4,"/",""),"")</f>
        <v/>
      </c>
      <c r="V114" s="67"/>
      <c r="W114" s="65"/>
      <c r="X114" s="66" t="str">
        <f>IF(AK93&gt;7,IF(AK92&gt;4,"/",""),"")</f>
        <v/>
      </c>
      <c r="Y114" s="67"/>
      <c r="Z114" s="65"/>
      <c r="AA114" s="66" t="str">
        <f>IF(AK93&gt;8,IF(AK92&gt;4,"/",""),"")</f>
        <v/>
      </c>
      <c r="AB114" s="67"/>
      <c r="AC114" s="65"/>
      <c r="AD114" s="66" t="str">
        <f>IF(AK93&gt;9,IF(AK92&gt;4,"/",""),"")</f>
        <v/>
      </c>
      <c r="AE114" s="67"/>
      <c r="AF114" s="8"/>
      <c r="AG114" s="8"/>
      <c r="AH114" s="8"/>
      <c r="AI114" s="8"/>
      <c r="AJ114" s="8"/>
      <c r="AK114" s="8"/>
      <c r="AL114" s="8"/>
      <c r="AM114" s="8"/>
      <c r="AN114" s="8"/>
      <c r="AO114" s="8"/>
      <c r="AP114" s="8"/>
      <c r="AQ114" s="8"/>
    </row>
    <row r="115" spans="1:49" hidden="1" x14ac:dyDescent="0.2">
      <c r="A115" s="69"/>
      <c r="B115" s="69">
        <f>IF($AK92=5,SUM(B110:B114),IF($AK92=4,SUM(B110:B113),IF($AK92=3,SUM(B110:B112),IF($AK92=2,SUM(B110:B111),B110))))</f>
        <v>44</v>
      </c>
      <c r="C115" s="69"/>
      <c r="D115" s="69">
        <f>IF($AK92=5,SUM(D110:D114),IF($AK92=4,SUM(D110:D113),IF($AK92=3,SUM(D110:D112),IF($AK92=2,SUM(D110:D111),D110))))</f>
        <v>43</v>
      </c>
      <c r="E115" s="69">
        <f>IF($AK92=5,SUM(E110:E114),IF($AK92=4,SUM(E110:E113),IF($AK92=3,SUM(E110:E112),IF($AK92=2,SUM(E110:E111),E110))))</f>
        <v>47</v>
      </c>
      <c r="F115" s="69"/>
      <c r="G115" s="69">
        <f>IF($AK92=5,SUM(G110:G114),IF($AK92=4,SUM(G110:G113),IF($AK92=3,SUM(G110:G112),IF($AK92=2,SUM(G110:G111),G110))))</f>
        <v>47</v>
      </c>
      <c r="H115" s="69">
        <f>IF($AK92=5,SUM(H110:H114),IF($AK92=4,SUM(H110:H113),IF($AK92=3,SUM(H110:H112),IF($AK92=2,SUM(H110:H111),H110))))</f>
        <v>45</v>
      </c>
      <c r="I115" s="69"/>
      <c r="J115" s="69">
        <f>IF($AK92=5,SUM(J110:J114),IF($AK92=4,SUM(J110:J113),IF($AK92=3,SUM(J110:J112),IF($AK92=2,SUM(J110:J111),J110))))</f>
        <v>44</v>
      </c>
      <c r="K115" s="69">
        <f>IF($AK92=5,SUM(K110:K114),IF($AK92=4,SUM(K110:K113),IF($AK92=3,SUM(K110:K112),IF($AK92=2,SUM(K110:K111),K110))))</f>
        <v>49</v>
      </c>
      <c r="L115" s="69"/>
      <c r="M115" s="69">
        <f>IF($AK92=5,SUM(M110:M114),IF($AK92=4,SUM(M110:M113),IF($AK92=3,SUM(M110:M112),IF($AK92=2,SUM(M110:M111),M110))))</f>
        <v>51</v>
      </c>
      <c r="N115" s="69">
        <f>IF($AK92=5,SUM(N110:N114),IF($AK92=4,SUM(N110:N113),IF($AK92=3,SUM(N110:N112),IF($AK92=2,SUM(N110:N111),N110))))</f>
        <v>52</v>
      </c>
      <c r="O115" s="69"/>
      <c r="P115" s="69">
        <f>IF($AK92=5,SUM(P110:P114),IF($AK92=4,SUM(P110:P113),IF($AK92=3,SUM(P110:P112),IF($AK92=2,SUM(P110:P111),P110))))</f>
        <v>43</v>
      </c>
      <c r="Q115" s="69">
        <f>IF($AK92=5,SUM(Q110:Q114),IF($AK92=4,SUM(Q110:Q113),IF($AK92=3,SUM(Q110:Q112),IF($AK92=2,SUM(Q110:Q111),Q110))))</f>
        <v>50</v>
      </c>
      <c r="R115" s="69"/>
      <c r="S115" s="69">
        <f>IF($AK92=5,SUM(S110:S114),IF($AK92=4,SUM(S110:S113),IF($AK92=3,SUM(S110:S112),IF($AK92=2,SUM(S110:S111),S110))))</f>
        <v>33</v>
      </c>
      <c r="T115" s="69">
        <f>IF($AK92=5,SUM(T110:T114),IF($AK92=4,SUM(T110:T113),IF($AK92=3,SUM(T110:T112),IF($AK92=2,SUM(T110:T111),T110))))</f>
        <v>50</v>
      </c>
      <c r="U115" s="69"/>
      <c r="V115" s="69">
        <f>IF($AK92=5,SUM(V110:V114),IF($AK92=4,SUM(V110:V113),IF($AK92=3,SUM(V110:V112),IF($AK92=2,SUM(V110:V111),V110))))</f>
        <v>41</v>
      </c>
      <c r="W115" s="69">
        <f>IF($AK92=5,SUM(W110:W114),IF($AK92=4,SUM(W110:W113),IF($AK92=3,SUM(W110:W112),IF($AK92=2,SUM(W110:W111),W110))))</f>
        <v>40</v>
      </c>
      <c r="X115" s="69"/>
      <c r="Y115" s="69">
        <f>IF($AK92=5,SUM(Y110:Y114),IF($AK92=4,SUM(Y110:Y113),IF($AK92=3,SUM(Y110:Y112),IF($AK92=2,SUM(Y110:Y111),Y110))))</f>
        <v>50</v>
      </c>
      <c r="Z115" s="69">
        <f>IF($AK92=5,SUM(Z110:Z114),IF($AK92=4,SUM(Z110:Z113),IF($AK92=3,SUM(Z110:Z112),IF($AK92=2,SUM(Z110:Z111),Z110))))</f>
        <v>31</v>
      </c>
      <c r="AA115" s="69"/>
      <c r="AB115" s="69">
        <f>IF($AK92=5,SUM(AB110:AB114),IF($AK92=4,SUM(AB110:AB113),IF($AK92=3,SUM(AB110:AB112),IF($AK92=2,SUM(AB110:AB111),AB110))))</f>
        <v>50</v>
      </c>
      <c r="AC115" s="69">
        <f>IF($AK92=5,SUM(AC110:AC114),IF($AK92=4,SUM(AC110:AC113),IF($AK92=3,SUM(AC110:AC112),IF($AK92=2,SUM(AC110:AC111),AC110))))</f>
        <v>50</v>
      </c>
      <c r="AD115" s="69"/>
      <c r="AE115" s="69">
        <f>IF($AK92=5,SUM(AE110:AE114),IF($AK92=4,SUM(AE110:AE113),IF($AK92=3,SUM(AE110:AE112),IF($AK92=2,SUM(AE110:AE111),AE110))))</f>
        <v>38</v>
      </c>
      <c r="AF115" s="8"/>
      <c r="AG115" s="8"/>
      <c r="AH115" s="8"/>
      <c r="AI115" s="8"/>
      <c r="AJ115" s="8"/>
      <c r="AK115" s="8"/>
      <c r="AL115" s="8"/>
      <c r="AM115" s="8"/>
      <c r="AN115" s="8"/>
      <c r="AO115" s="8"/>
      <c r="AP115" s="8"/>
      <c r="AQ115" s="8"/>
    </row>
    <row r="116" spans="1:49" s="70" customFormat="1" ht="12.75" hidden="1" customHeight="1" x14ac:dyDescent="0.2">
      <c r="A116" s="70" t="s">
        <v>75</v>
      </c>
      <c r="B116" s="71">
        <f>IF(AND(B110&gt;D110,$AK93&gt;0,ISNUMBER(B110),ISNUMBER(D110)),1,0)</f>
        <v>0</v>
      </c>
      <c r="C116" s="71"/>
      <c r="D116" s="72">
        <f>IF(AND(D110&gt;B110,$AK93&gt;0,ISNUMBER(B110),ISNUMBER(D110)),1,0)</f>
        <v>1</v>
      </c>
      <c r="E116" s="71">
        <f>IF(AND(E110&gt;G110,$AK93&gt;1,ISNUMBER(E110),ISNUMBER(G110)),1,0)</f>
        <v>1</v>
      </c>
      <c r="F116" s="71"/>
      <c r="G116" s="72">
        <f>IF(AND(G110&gt;E110,$AK93&gt;1,ISNUMBER(E110),ISNUMBER(G110)),1,0)</f>
        <v>0</v>
      </c>
      <c r="H116" s="71">
        <f>IF(AND(H110&gt;J110,$AK93&gt;2,ISNUMBER(H110),ISNUMBER(J110)),1,0)</f>
        <v>1</v>
      </c>
      <c r="I116" s="71"/>
      <c r="J116" s="72">
        <f>IF(AND(J110&gt;H110,$AK93&gt;2,ISNUMBER(H110),ISNUMBER(J110)),1,0)</f>
        <v>0</v>
      </c>
      <c r="K116" s="71">
        <f>IF(AND(K110&gt;M110,$AK93&gt;3,ISNUMBER(K110),ISNUMBER(M110)),1,0)</f>
        <v>1</v>
      </c>
      <c r="L116" s="71"/>
      <c r="M116" s="72">
        <f>IF(AND(M110&gt;K110,$AK93&gt;3,ISNUMBER(K110),ISNUMBER(M110)),1,0)</f>
        <v>0</v>
      </c>
      <c r="N116" s="71">
        <f>IF(AND(N110&gt;P110,$AK93&gt;4,ISNUMBER(N110),ISNUMBER(P110)),1,0)</f>
        <v>1</v>
      </c>
      <c r="O116" s="71"/>
      <c r="P116" s="72">
        <f>IF(AND(P110&gt;N110,$AK93&gt;4,ISNUMBER(N110),ISNUMBER(P110)),1,0)</f>
        <v>0</v>
      </c>
      <c r="Q116" s="71">
        <f>IF(AND(Q110&gt;S110,$AK93&gt;5,ISNUMBER(Q110),ISNUMBER(S110)),1,0)</f>
        <v>1</v>
      </c>
      <c r="R116" s="71"/>
      <c r="S116" s="72">
        <f>IF(AND(S110&gt;Q110,$AK93&gt;5,ISNUMBER(Q110),ISNUMBER(S110)),1,0)</f>
        <v>0</v>
      </c>
      <c r="T116" s="71">
        <f>IF(AND(T110&gt;V110,$AK93&gt;6,ISNUMBER(T110),ISNUMBER(V110)),1,0)</f>
        <v>1</v>
      </c>
      <c r="U116" s="71"/>
      <c r="V116" s="72">
        <f>IF(AND(V110&gt;T110,$AK93&gt;6,ISNUMBER(T110),ISNUMBER(V110)),1,0)</f>
        <v>0</v>
      </c>
      <c r="W116" s="71">
        <f>IF(AND(W110&gt;Y110,$AK93&gt;7,ISNUMBER(W110),ISNUMBER(Y110)),1,0)</f>
        <v>0</v>
      </c>
      <c r="X116" s="71"/>
      <c r="Y116" s="72">
        <f>IF(AND(Y110&gt;W110,$AK93&gt;7,ISNUMBER(W110),ISNUMBER(Y110)),1,0)</f>
        <v>1</v>
      </c>
      <c r="Z116" s="71">
        <f>IF(AND(Z110&gt;AB110,$AK93&gt;8,ISNUMBER(Z110),ISNUMBER(AB110)),1,0)</f>
        <v>0</v>
      </c>
      <c r="AA116" s="71"/>
      <c r="AB116" s="72">
        <f>IF(AND(AB110&gt;Z110,$AK93&gt;8,ISNUMBER(Z110),ISNUMBER(AB110)),1,0)</f>
        <v>1</v>
      </c>
      <c r="AC116" s="71">
        <f>IF(AND(AC110&gt;AE110,$AK93&gt;9,ISNUMBER(AC110),ISNUMBER(AE110)),1,0)</f>
        <v>1</v>
      </c>
      <c r="AD116" s="71"/>
      <c r="AE116" s="72">
        <f>IF(AND(AE110&gt;AC110,$AK93&gt;9,ISNUMBER(AC110),ISNUMBER(AE110)),1,0)</f>
        <v>0</v>
      </c>
      <c r="AW116" s="154"/>
    </row>
    <row r="117" spans="1:49" s="70" customFormat="1" ht="12.75" hidden="1" customHeight="1" x14ac:dyDescent="0.2">
      <c r="A117" s="70" t="s">
        <v>76</v>
      </c>
      <c r="B117" s="71">
        <f>IF(AND(B111&gt;D111,$AK93&gt;0,$AK92&gt;1,ISNUMBER(B111),ISNUMBER(D111)),1,0)</f>
        <v>1</v>
      </c>
      <c r="C117" s="71"/>
      <c r="D117" s="72">
        <f>IF(AND(D111&gt;B111,$AK93&gt;0,$AK92&gt;1,ISNUMBER(B111),ISNUMBER(D111)),1,0)</f>
        <v>0</v>
      </c>
      <c r="E117" s="71">
        <f>IF(AND(E111&gt;G111,$AK93&gt;1,$AK92&gt;1,ISNUMBER(E111),ISNUMBER(G111)),1,0)</f>
        <v>0</v>
      </c>
      <c r="F117" s="71"/>
      <c r="G117" s="72">
        <f>IF(AND(G111&gt;E111,$AK93&gt;1,$AK92&gt;1,ISNUMBER(E111),ISNUMBER(G111)),1,0)</f>
        <v>1</v>
      </c>
      <c r="H117" s="71">
        <f>IF(AND(H111&gt;J111,$AK93&gt;2,$AK92&gt;1,ISNUMBER(H111),ISNUMBER(J111)),1,0)</f>
        <v>0</v>
      </c>
      <c r="I117" s="71"/>
      <c r="J117" s="72">
        <f>IF(AND(J111&gt;H111,$AK93&gt;2,$AK92&gt;1,ISNUMBER(H111),ISNUMBER(J111)),1,0)</f>
        <v>1</v>
      </c>
      <c r="K117" s="71">
        <f>IF(AND(K111&gt;M111,$AK93&gt;3,$AK92&gt;1,ISNUMBER(K111),ISNUMBER(M111)),1,0)</f>
        <v>0</v>
      </c>
      <c r="L117" s="71"/>
      <c r="M117" s="72">
        <f>IF(AND(M111&gt;K111,$AK93&gt;3,$AK92&gt;1,ISNUMBER(K111),ISNUMBER(M111)),1,0)</f>
        <v>1</v>
      </c>
      <c r="N117" s="71">
        <f>IF(AND(N111&gt;P111,$AK93&gt;4,$AK92&gt;1,ISNUMBER(N111),ISNUMBER(P111)),1,0)</f>
        <v>1</v>
      </c>
      <c r="O117" s="71"/>
      <c r="P117" s="72">
        <f>IF(AND(P111&gt;N111,$AK93&gt;4,$AK92&gt;1,ISNUMBER(N111),ISNUMBER(P111)),1,0)</f>
        <v>0</v>
      </c>
      <c r="Q117" s="71">
        <f>IF(AND(Q111&gt;S111,$AK93&gt;5,$AK92&gt;1,ISNUMBER(Q111),ISNUMBER(S111)),1,0)</f>
        <v>1</v>
      </c>
      <c r="R117" s="71"/>
      <c r="S117" s="72">
        <f>IF(AND(S111&gt;Q111,$AK93&gt;5,$AK92&gt;1,ISNUMBER(Q111),ISNUMBER(S111)),1,0)</f>
        <v>0</v>
      </c>
      <c r="T117" s="71">
        <f>IF(AND(T111&gt;V111,$AK93&gt;6,$AK92&gt;1,ISNUMBER(T111),ISNUMBER(V111)),1,0)</f>
        <v>1</v>
      </c>
      <c r="U117" s="71"/>
      <c r="V117" s="72">
        <f>IF(AND(V111&gt;T111,$AK93&gt;6,$AK92&gt;1,ISNUMBER(T111),ISNUMBER(V111)),1,0)</f>
        <v>0</v>
      </c>
      <c r="W117" s="71">
        <f>IF(AND(W111&gt;Y111,$AK93&gt;7,$AK92&gt;1,ISNUMBER(W111),ISNUMBER(Y111)),1,0)</f>
        <v>0</v>
      </c>
      <c r="X117" s="71"/>
      <c r="Y117" s="72">
        <f>IF(AND(Y111&gt;W111,$AK93&gt;7,$AK92&gt;1,ISNUMBER(W111),ISNUMBER(Y111)),1,0)</f>
        <v>1</v>
      </c>
      <c r="Z117" s="71">
        <f>IF(AND(Z111&gt;AB111,$AK93&gt;8,$AK92&gt;1,ISNUMBER(Z111),ISNUMBER(AB111)),1,0)</f>
        <v>0</v>
      </c>
      <c r="AA117" s="71"/>
      <c r="AB117" s="72">
        <f>IF(AND(AB111&gt;Z111,$AK93&gt;8,$AK92&gt;1,ISNUMBER(Z111),ISNUMBER(AB111)),1,0)</f>
        <v>1</v>
      </c>
      <c r="AC117" s="71">
        <f>IF(AND(AC111&gt;AE111,$AK93&gt;9,$AK92&gt;1,ISNUMBER(AC111),ISNUMBER(AE111)),1,0)</f>
        <v>1</v>
      </c>
      <c r="AD117" s="71"/>
      <c r="AE117" s="72">
        <f>IF(AND(AE111&gt;AC111,$AK93&gt;9,$AK92&gt;1,ISNUMBER(AC111),ISNUMBER(AE111)),1,0)</f>
        <v>0</v>
      </c>
      <c r="AW117" s="154"/>
    </row>
    <row r="118" spans="1:49" s="70" customFormat="1" ht="12.75" hidden="1" customHeight="1" x14ac:dyDescent="0.2">
      <c r="A118" s="70" t="s">
        <v>77</v>
      </c>
      <c r="B118" s="71">
        <f>IF(AND(B112&gt;D112,$AK93&gt;0,$AK92&gt;2,ISNUMBER(B112),ISNUMBER(D112)),1,0)</f>
        <v>0</v>
      </c>
      <c r="C118" s="71"/>
      <c r="D118" s="72">
        <f>IF(AND(D112&gt;B112,$AK93&gt;0,$AK92&gt;2,ISNUMBER(B112),ISNUMBER(D112)),1,0)</f>
        <v>0</v>
      </c>
      <c r="E118" s="71">
        <f>IF(AND(E112&gt;G112,$AK93&gt;1,$AK92&gt;2,ISNUMBER(E112),ISNUMBER(G112)),1,0)</f>
        <v>0</v>
      </c>
      <c r="F118" s="71"/>
      <c r="G118" s="72">
        <f>IF(AND(G112&gt;E112,$AK93&gt;1,$AK92&gt;2,ISNUMBER(E112),ISNUMBER(G112)),1,0)</f>
        <v>0</v>
      </c>
      <c r="H118" s="71">
        <f>IF(AND(H112&gt;J112,$AK93&gt;2,$AK92&gt;2,ISNUMBER(H112),ISNUMBER(J112)),1,0)</f>
        <v>0</v>
      </c>
      <c r="I118" s="71"/>
      <c r="J118" s="72">
        <f>IF(AND(J112&gt;H112,$AK93&gt;2,$AK92&gt;2,ISNUMBER(H112),ISNUMBER(J112)),1,0)</f>
        <v>0</v>
      </c>
      <c r="K118" s="71">
        <f>IF(AND(K112&gt;M112,$AK93&gt;3,$AK92&gt;2,ISNUMBER(K112),ISNUMBER(M112)),1,0)</f>
        <v>0</v>
      </c>
      <c r="L118" s="71"/>
      <c r="M118" s="72">
        <f>IF(AND(M112&gt;K112,$AK93&gt;3,$AK92&gt;2,ISNUMBER(K112),ISNUMBER(M112)),1,0)</f>
        <v>0</v>
      </c>
      <c r="N118" s="71">
        <f>IF(AND(N112&gt;P112,$AK93&gt;4,$AK92&gt;2,ISNUMBER(N112),ISNUMBER(P112)),1,0)</f>
        <v>0</v>
      </c>
      <c r="O118" s="71"/>
      <c r="P118" s="72">
        <f>IF(AND(P112&gt;N112,$AK93&gt;4,$AK92&gt;2,ISNUMBER(N112),ISNUMBER(P112)),1,0)</f>
        <v>0</v>
      </c>
      <c r="Q118" s="71">
        <f>IF(AND(Q112&gt;S112,$AK93&gt;5,$AK92&gt;2,ISNUMBER(Q112),ISNUMBER(S112)),1,0)</f>
        <v>0</v>
      </c>
      <c r="R118" s="71"/>
      <c r="S118" s="72">
        <f>IF(AND(S112&gt;Q112,$AK93&gt;5,$AK92&gt;2,ISNUMBER(Q112),ISNUMBER(S112)),1,0)</f>
        <v>0</v>
      </c>
      <c r="T118" s="71">
        <f>IF(AND(T112&gt;V112,$AK93&gt;6,$AK92&gt;2,ISNUMBER(T112),ISNUMBER(V112)),1,0)</f>
        <v>0</v>
      </c>
      <c r="U118" s="71"/>
      <c r="V118" s="72">
        <f>IF(AND(V112&gt;T112,$AK93&gt;6,$AK92&gt;2,ISNUMBER(T112),ISNUMBER(V112)),1,0)</f>
        <v>0</v>
      </c>
      <c r="W118" s="71">
        <f>IF(AND(W112&gt;Y112,$AK93&gt;7,$AK92&gt;2,ISNUMBER(W112),ISNUMBER(Y112)),1,0)</f>
        <v>0</v>
      </c>
      <c r="X118" s="71"/>
      <c r="Y118" s="72">
        <f>IF(AND(Y112&gt;W112,$AK93&gt;7,$AK92&gt;2,ISNUMBER(W112),ISNUMBER(Y112)),1,0)</f>
        <v>0</v>
      </c>
      <c r="Z118" s="71">
        <f>IF(AND(Z112&gt;AB112,$AK93&gt;8,$AK92&gt;2,ISNUMBER(Z112),ISNUMBER(AB112)),1,0)</f>
        <v>0</v>
      </c>
      <c r="AA118" s="71"/>
      <c r="AB118" s="72">
        <f>IF(AND(AB112&gt;Z112,$AK93&gt;8,$AK92&gt;2,ISNUMBER(Z112),ISNUMBER(AB112)),1,0)</f>
        <v>0</v>
      </c>
      <c r="AC118" s="71">
        <f>IF(AND(AC112&gt;AE112,$AK93&gt;9,$AK92&gt;2,ISNUMBER(AC112),ISNUMBER(AE112)),1,0)</f>
        <v>0</v>
      </c>
      <c r="AD118" s="71"/>
      <c r="AE118" s="72">
        <f>IF(AND(AE112&gt;AC112,$AK93&gt;9,$AK92&gt;2,ISNUMBER(AC112),ISNUMBER(AE112)),1,0)</f>
        <v>0</v>
      </c>
      <c r="AW118" s="154"/>
    </row>
    <row r="119" spans="1:49" s="70" customFormat="1" ht="12.75" hidden="1" customHeight="1" x14ac:dyDescent="0.2">
      <c r="A119" s="70" t="s">
        <v>78</v>
      </c>
      <c r="B119" s="71">
        <f>IF(AND(B113&gt;D113,$AK93&gt;0,$AK92&gt;3,ISNUMBER(B113),ISNUMBER(D113)),1,0)</f>
        <v>0</v>
      </c>
      <c r="C119" s="71"/>
      <c r="D119" s="72">
        <f>IF(AND(D113&gt;B113,$AK93&gt;0,$AK92&gt;3,ISNUMBER(B113),ISNUMBER(D113)),1,0)</f>
        <v>0</v>
      </c>
      <c r="E119" s="71">
        <f>IF(AND(E113&gt;G113,$AK93&gt;1,$AK92&gt;3,ISNUMBER(E113),ISNUMBER(G113)),1,0)</f>
        <v>0</v>
      </c>
      <c r="F119" s="71"/>
      <c r="G119" s="72">
        <f>IF(AND(G113&gt;E113,$AK93&gt;1,$AK92&gt;3,ISNUMBER(E113),ISNUMBER(G113)),1,0)</f>
        <v>0</v>
      </c>
      <c r="H119" s="71">
        <f>IF(AND(H113&gt;J113,$AK93&gt;2,$AK92&gt;3,ISNUMBER(H113),ISNUMBER(J113)),1,0)</f>
        <v>0</v>
      </c>
      <c r="I119" s="71"/>
      <c r="J119" s="72">
        <f>IF(AND(J113&gt;H113,$AK93&gt;2,$AK92&gt;3,ISNUMBER(H113),ISNUMBER(J113)),1,0)</f>
        <v>0</v>
      </c>
      <c r="K119" s="71">
        <f>IF(AND(K113&gt;M113,$AK93&gt;3,$AK92&gt;3,ISNUMBER(K113),ISNUMBER(M113)),1,0)</f>
        <v>0</v>
      </c>
      <c r="L119" s="71"/>
      <c r="M119" s="72">
        <f>IF(AND(M113&gt;K113,$AK93&gt;3,$AK92&gt;3,ISNUMBER(K113),ISNUMBER(M113)),1,0)</f>
        <v>0</v>
      </c>
      <c r="N119" s="71">
        <f>IF(AND(N113&gt;P113,$AK93&gt;4,$AK92&gt;3,ISNUMBER(N113),ISNUMBER(P113)),1,0)</f>
        <v>0</v>
      </c>
      <c r="O119" s="71"/>
      <c r="P119" s="72">
        <f>IF(AND(P113&gt;N113,$AK93&gt;4,$AK92&gt;3,ISNUMBER(N113),ISNUMBER(P113)),1,0)</f>
        <v>0</v>
      </c>
      <c r="Q119" s="71">
        <f>IF(AND(Q113&gt;S113,$AK93&gt;5,$AK92&gt;3,ISNUMBER(Q113),ISNUMBER(S113)),1,0)</f>
        <v>0</v>
      </c>
      <c r="R119" s="71"/>
      <c r="S119" s="72">
        <f>IF(AND(S113&gt;Q113,$AK93&gt;5,$AK92&gt;3,ISNUMBER(Q113),ISNUMBER(S113)),1,0)</f>
        <v>0</v>
      </c>
      <c r="T119" s="71">
        <f>IF(AND(T113&gt;V113,$AK93&gt;6,$AK92&gt;3,ISNUMBER(T113),ISNUMBER(V113)),1,0)</f>
        <v>0</v>
      </c>
      <c r="U119" s="71"/>
      <c r="V119" s="72">
        <f>IF(AND(V113&gt;T113,$AK93&gt;6,$AK92&gt;3,ISNUMBER(T113),ISNUMBER(V113)),1,0)</f>
        <v>0</v>
      </c>
      <c r="W119" s="71">
        <f>IF(AND(W113&gt;Y113,$AK93&gt;7,$AK92&gt;3,ISNUMBER(W113),ISNUMBER(Y113)),1,0)</f>
        <v>0</v>
      </c>
      <c r="X119" s="71"/>
      <c r="Y119" s="72">
        <f>IF(AND(Y113&gt;W113,$AK93&gt;7,$AK92&gt;3,ISNUMBER(W113),ISNUMBER(Y113)),1,0)</f>
        <v>0</v>
      </c>
      <c r="Z119" s="71">
        <f>IF(AND(Z113&gt;AB113,$AK93&gt;8,$AK92&gt;3,ISNUMBER(Z113),ISNUMBER(AB113)),1,0)</f>
        <v>0</v>
      </c>
      <c r="AA119" s="71"/>
      <c r="AB119" s="72">
        <f>IF(AND(AB113&gt;Z113,$AK93&gt;8,$AK92&gt;3,ISNUMBER(Z113),ISNUMBER(AB113)),1,0)</f>
        <v>0</v>
      </c>
      <c r="AC119" s="71">
        <f>IF(AND(AC113&gt;AE113,$AK93&gt;9,$AK92&gt;3,ISNUMBER(AC113),ISNUMBER(AE113)),1,0)</f>
        <v>0</v>
      </c>
      <c r="AD119" s="71"/>
      <c r="AE119" s="72">
        <f>IF(AND(AE113&gt;AC113,$AK93&gt;9,$AK92&gt;3,ISNUMBER(AC113),ISNUMBER(AE113)),1,0)</f>
        <v>0</v>
      </c>
      <c r="AW119" s="154"/>
    </row>
    <row r="120" spans="1:49" s="70" customFormat="1" ht="12.75" hidden="1" customHeight="1" x14ac:dyDescent="0.2">
      <c r="A120" s="70" t="s">
        <v>79</v>
      </c>
      <c r="B120" s="71">
        <f>IF(AND(B114&gt;D114,$AK93&gt;0,$AK92&gt;4,ISNUMBER(B114),ISNUMBER(D114)),1,0)</f>
        <v>0</v>
      </c>
      <c r="C120" s="71"/>
      <c r="D120" s="72">
        <f>IF(AND(D114&gt;B114,$AK93&gt;0,$AK92&gt;4,ISNUMBER(B114),ISNUMBER(D114)),1,0)</f>
        <v>0</v>
      </c>
      <c r="E120" s="71">
        <f>IF(AND(E114&gt;G114,$AK93&gt;1,$AK92&gt;4,ISNUMBER(E114),ISNUMBER(G114)),1,0)</f>
        <v>0</v>
      </c>
      <c r="F120" s="71"/>
      <c r="G120" s="72">
        <f>IF(AND(G114&gt;E114,$AK93&gt;1,$AK92&gt;4,ISNUMBER(E114),ISNUMBER(G114)),1,0)</f>
        <v>0</v>
      </c>
      <c r="H120" s="71">
        <f>IF(AND(H114&gt;J114,$AK93&gt;2,$AK92&gt;4,ISNUMBER(H114),ISNUMBER(J114)),1,0)</f>
        <v>0</v>
      </c>
      <c r="I120" s="71"/>
      <c r="J120" s="72">
        <f>IF(AND(J114&gt;H114,$AK93&gt;2,$AK92&gt;4,ISNUMBER(H114),ISNUMBER(J114)),1,0)</f>
        <v>0</v>
      </c>
      <c r="K120" s="71">
        <f>IF(AND(K114&gt;M114,$AK93&gt;3,$AK92&gt;4,ISNUMBER(K114),ISNUMBER(M114)),1,0)</f>
        <v>0</v>
      </c>
      <c r="L120" s="71"/>
      <c r="M120" s="72">
        <f>IF(AND(M114&gt;K114,$AK93&gt;3,$AK92&gt;4,ISNUMBER(K114),ISNUMBER(M114)),1,0)</f>
        <v>0</v>
      </c>
      <c r="N120" s="71">
        <f>IF(AND(N114&gt;P114,$AK93&gt;4,$AK92&gt;4,ISNUMBER(N114),ISNUMBER(P114)),1,0)</f>
        <v>0</v>
      </c>
      <c r="O120" s="71"/>
      <c r="P120" s="72">
        <f>IF(AND(P114&gt;N114,$AK93&gt;4,$AK92&gt;4,ISNUMBER(N114),ISNUMBER(P114)),1,0)</f>
        <v>0</v>
      </c>
      <c r="Q120" s="71">
        <f>IF(AND(Q114&gt;S114,$AK93&gt;5,$AK92&gt;4,ISNUMBER(Q114),ISNUMBER(S114)),1,0)</f>
        <v>0</v>
      </c>
      <c r="R120" s="71"/>
      <c r="S120" s="72">
        <f>IF(AND(S114&gt;Q114,$AK93&gt;5,$AK92&gt;4,ISNUMBER(Q114),ISNUMBER(S114)),1,0)</f>
        <v>0</v>
      </c>
      <c r="T120" s="71">
        <f>IF(AND(T114&gt;V114,$AK93&gt;6,$AK92&gt;4,ISNUMBER(T114),ISNUMBER(V114)),1,0)</f>
        <v>0</v>
      </c>
      <c r="U120" s="71"/>
      <c r="V120" s="72">
        <f>IF(AND(V114&gt;T114,$AK93&gt;6,$AK92&gt;4,ISNUMBER(T114),ISNUMBER(V114)),1,0)</f>
        <v>0</v>
      </c>
      <c r="W120" s="71">
        <f>IF(AND(W114&gt;Y114,$AK93&gt;7,$AK92&gt;4,ISNUMBER(W114),ISNUMBER(Y114)),1,0)</f>
        <v>0</v>
      </c>
      <c r="X120" s="71"/>
      <c r="Y120" s="72">
        <f>IF(AND(Y114&gt;W114,$AK93&gt;7,$AK92&gt;4,ISNUMBER(W114),ISNUMBER(Y114)),1,0)</f>
        <v>0</v>
      </c>
      <c r="Z120" s="71">
        <f>IF(AND(Z114&gt;AB114,$AK93&gt;8,$AK92&gt;4,ISNUMBER(Z114),ISNUMBER(AB114)),1,0)</f>
        <v>0</v>
      </c>
      <c r="AA120" s="71"/>
      <c r="AB120" s="72">
        <f>IF(AND(AB114&gt;Z114,$AK93&gt;8,$AK92&gt;4,ISNUMBER(Z114),ISNUMBER(AB114)),1,0)</f>
        <v>0</v>
      </c>
      <c r="AC120" s="71">
        <f>IF(AND(AC114&gt;AE114,$AK93&gt;9,$AK92&gt;4,ISNUMBER(AC114),ISNUMBER(AE114)),1,0)</f>
        <v>0</v>
      </c>
      <c r="AD120" s="71"/>
      <c r="AE120" s="72">
        <f>IF(AND(AE114&gt;AC114,$AK93&gt;9,$AK92&gt;4,ISNUMBER(AC114),ISNUMBER(AE114)),1,0)</f>
        <v>0</v>
      </c>
      <c r="AW120" s="154"/>
    </row>
    <row r="121" spans="1:49" s="70" customFormat="1" ht="38.25" hidden="1" customHeight="1" x14ac:dyDescent="0.2">
      <c r="A121" s="73" t="s">
        <v>80</v>
      </c>
      <c r="B121" s="70">
        <f>SUM(B116:B120)</f>
        <v>1</v>
      </c>
      <c r="D121" s="74">
        <f>SUM(D116:D120)</f>
        <v>1</v>
      </c>
      <c r="E121" s="70">
        <f>SUM(E116:E120)</f>
        <v>1</v>
      </c>
      <c r="G121" s="74">
        <f>SUM(G116:G120)</f>
        <v>1</v>
      </c>
      <c r="H121" s="70">
        <f>SUM(H116:H120)</f>
        <v>1</v>
      </c>
      <c r="J121" s="74">
        <f>SUM(J116:J120)</f>
        <v>1</v>
      </c>
      <c r="K121" s="70">
        <f>SUM(K116:K120)</f>
        <v>1</v>
      </c>
      <c r="M121" s="74">
        <f>SUM(M116:M120)</f>
        <v>1</v>
      </c>
      <c r="N121" s="70">
        <f>SUM(N116:N120)</f>
        <v>2</v>
      </c>
      <c r="P121" s="74">
        <f>SUM(P116:P120)</f>
        <v>0</v>
      </c>
      <c r="Q121" s="70">
        <f>SUM(Q116:Q120)</f>
        <v>2</v>
      </c>
      <c r="S121" s="74">
        <f>SUM(S116:S120)</f>
        <v>0</v>
      </c>
      <c r="T121" s="70">
        <f>SUM(T116:T120)</f>
        <v>2</v>
      </c>
      <c r="V121" s="74">
        <f>SUM(V116:V120)</f>
        <v>0</v>
      </c>
      <c r="W121" s="70">
        <f>SUM(W116:W120)</f>
        <v>0</v>
      </c>
      <c r="Y121" s="74">
        <f>SUM(Y116:Y120)</f>
        <v>2</v>
      </c>
      <c r="Z121" s="70">
        <f>SUM(Z116:Z120)</f>
        <v>0</v>
      </c>
      <c r="AB121" s="74">
        <f>SUM(AB116:AB120)</f>
        <v>2</v>
      </c>
      <c r="AC121" s="70">
        <f>SUM(AC116:AC120)</f>
        <v>2</v>
      </c>
      <c r="AE121" s="74">
        <f>SUM(AE116:AE120)</f>
        <v>0</v>
      </c>
      <c r="AW121" s="154"/>
    </row>
    <row r="122" spans="1:49" s="70" customFormat="1" ht="25.5" hidden="1" customHeight="1" x14ac:dyDescent="0.2">
      <c r="A122" s="73" t="s">
        <v>81</v>
      </c>
      <c r="B122" s="70">
        <f>IF(B121&gt;D121,IF(C156=AK92,1,IF(C156=AK92-1,1,0)),0)</f>
        <v>0</v>
      </c>
      <c r="C122" s="70">
        <f>B122+D122</f>
        <v>0</v>
      </c>
      <c r="D122" s="74">
        <f>IF(D121&gt;B121,IF(C156=AK92,1,IF(C156=AK92-1,1,0)),0)</f>
        <v>0</v>
      </c>
      <c r="E122" s="70">
        <f>IF(E121&gt;G121,IF(F156=AK92,1,IF(F156=AK92-1,1,0)),0)</f>
        <v>0</v>
      </c>
      <c r="F122" s="70">
        <f>E122+G122</f>
        <v>0</v>
      </c>
      <c r="G122" s="74">
        <f>IF(G121&gt;E121,IF(F156=AK92,1,IF(F156=AK92-1,1,0)),0)</f>
        <v>0</v>
      </c>
      <c r="H122" s="70">
        <f>IF(H121&gt;J121,IF(I156=AK92,1,IF(I156=AK92-1,1,0)),0)</f>
        <v>0</v>
      </c>
      <c r="I122" s="70">
        <f>H122+J122</f>
        <v>0</v>
      </c>
      <c r="J122" s="74">
        <f>IF(J121&gt;H121,IF(I156=AK92,1,IF(I156=AK92-1,1,0)),0)</f>
        <v>0</v>
      </c>
      <c r="K122" s="70">
        <f>IF(K121&gt;M121,IF(L156=AK92,1,IF(L156=AK92-1,1,0)),0)</f>
        <v>0</v>
      </c>
      <c r="L122" s="70">
        <f>K122+M122</f>
        <v>0</v>
      </c>
      <c r="M122" s="74">
        <f>IF(M121&gt;K121,IF(L156=AK92,1,IF(L156=AK92-1,1,0)),0)</f>
        <v>0</v>
      </c>
      <c r="N122" s="70">
        <f>IF(N121&gt;P121,IF(O156=AK92,1,IF(O156=AK92-1,1,0)),0)</f>
        <v>1</v>
      </c>
      <c r="O122" s="70">
        <f>N122+P122</f>
        <v>1</v>
      </c>
      <c r="P122" s="74">
        <f>IF(P121&gt;N121,IF(O156=AK92,1,IF(O156=AK92-1,1,0)),0)</f>
        <v>0</v>
      </c>
      <c r="Q122" s="70">
        <f>IF(Q121&gt;S121,IF(R156=AK92,1,IF(R156=AK92-1,1,0)),0)</f>
        <v>1</v>
      </c>
      <c r="R122" s="70">
        <f>Q122+S122</f>
        <v>1</v>
      </c>
      <c r="S122" s="74">
        <f>IF(S121&gt;Q121,IF(R156=AK92,1,IF(R156=AK92-1,1,0)),0)</f>
        <v>0</v>
      </c>
      <c r="T122" s="70">
        <f>IF(T121&gt;V121,IF(U156=AK92,1,IF(U156=AK92-1,1,0)),0)</f>
        <v>1</v>
      </c>
      <c r="U122" s="70">
        <f>T122+V122</f>
        <v>1</v>
      </c>
      <c r="V122" s="74">
        <f>IF(V121&gt;T121,IF(U156=AK92,1,IF(U156=AK92-1,1,0)),0)</f>
        <v>0</v>
      </c>
      <c r="W122" s="70">
        <f>IF(W121&gt;Y121,IF(X156=AK92,1,IF(X156=AK92-1,1,0)),0)</f>
        <v>0</v>
      </c>
      <c r="X122" s="70">
        <f>W122+Y122</f>
        <v>1</v>
      </c>
      <c r="Y122" s="74">
        <f>IF(Y121&gt;W121,IF(X156=AK92,1,IF(X156=AK92-1,1,0)),0)</f>
        <v>1</v>
      </c>
      <c r="Z122" s="70">
        <f>IF(Z121&gt;AB121,IF(AA156=AK92,1,IF(AA156=AK92-1,1,0)),0)</f>
        <v>0</v>
      </c>
      <c r="AA122" s="70">
        <f>Z122+AB122</f>
        <v>1</v>
      </c>
      <c r="AB122" s="74">
        <f>IF(AB121&gt;Z121,IF(AA156=AK92,1,IF(AA156=AK92-1,1,0)),0)</f>
        <v>1</v>
      </c>
      <c r="AC122" s="70">
        <f>IF(AC121&gt;AE121,IF(AD156=AK92,1,IF(AD156=AK92-1,1,0)),0)</f>
        <v>1</v>
      </c>
      <c r="AD122" s="70">
        <f>AC122+AE122</f>
        <v>1</v>
      </c>
      <c r="AE122" s="74">
        <f>IF(AE121&gt;AC121,IF(AD156=AK92,1,IF(AD156=AK92-1,1,0)),0)</f>
        <v>0</v>
      </c>
      <c r="AW122" s="154"/>
    </row>
    <row r="123" spans="1:49" s="70" customFormat="1" ht="25.5" hidden="1" customHeight="1" x14ac:dyDescent="0.2">
      <c r="A123" s="73"/>
      <c r="D123" s="74"/>
      <c r="G123" s="74"/>
      <c r="J123" s="74"/>
      <c r="M123" s="74"/>
      <c r="P123" s="74"/>
      <c r="S123" s="74"/>
      <c r="V123" s="74"/>
      <c r="Y123" s="74"/>
      <c r="AB123" s="74"/>
      <c r="AE123" s="74"/>
      <c r="AW123" s="154"/>
    </row>
    <row r="124" spans="1:49" s="70" customFormat="1" ht="12.75" hidden="1" customHeight="1" x14ac:dyDescent="0.2">
      <c r="A124" s="70" t="s">
        <v>82</v>
      </c>
      <c r="B124" s="70">
        <f>IF(B116=1,B110,0)</f>
        <v>0</v>
      </c>
      <c r="D124" s="74">
        <f t="shared" ref="D124:E128" si="11">IF(D116=1,D110,0)</f>
        <v>25</v>
      </c>
      <c r="E124" s="70">
        <f t="shared" si="11"/>
        <v>25</v>
      </c>
      <c r="G124" s="74">
        <f t="shared" ref="G124:H128" si="12">IF(G116=1,G110,0)</f>
        <v>0</v>
      </c>
      <c r="H124" s="70">
        <f t="shared" si="12"/>
        <v>25</v>
      </c>
      <c r="J124" s="74">
        <f t="shared" ref="J124:K128" si="13">IF(J116=1,J110,0)</f>
        <v>0</v>
      </c>
      <c r="K124" s="70">
        <f t="shared" si="13"/>
        <v>27</v>
      </c>
      <c r="M124" s="74">
        <f t="shared" ref="M124:N128" si="14">IF(M116=1,M110,0)</f>
        <v>0</v>
      </c>
      <c r="N124" s="70">
        <f t="shared" si="14"/>
        <v>25</v>
      </c>
      <c r="P124" s="74">
        <f t="shared" ref="P124:Q128" si="15">IF(P116=1,P110,0)</f>
        <v>0</v>
      </c>
      <c r="Q124" s="70">
        <f t="shared" si="15"/>
        <v>25</v>
      </c>
      <c r="S124" s="74">
        <f t="shared" ref="S124:T128" si="16">IF(S116=1,S110,0)</f>
        <v>0</v>
      </c>
      <c r="T124" s="70">
        <f t="shared" si="16"/>
        <v>25</v>
      </c>
      <c r="V124" s="74">
        <f t="shared" ref="V124:W128" si="17">IF(V116=1,V110,0)</f>
        <v>0</v>
      </c>
      <c r="W124" s="70">
        <f t="shared" si="17"/>
        <v>0</v>
      </c>
      <c r="Y124" s="74">
        <f t="shared" ref="Y124:Z128" si="18">IF(Y116=1,Y110,0)</f>
        <v>25</v>
      </c>
      <c r="Z124" s="70">
        <f t="shared" si="18"/>
        <v>0</v>
      </c>
      <c r="AB124" s="74">
        <f t="shared" ref="AB124:AC128" si="19">IF(AB116=1,AB110,0)</f>
        <v>25</v>
      </c>
      <c r="AC124" s="70">
        <f t="shared" si="19"/>
        <v>25</v>
      </c>
      <c r="AE124" s="74">
        <f>IF(AE116=1,AE110,0)</f>
        <v>0</v>
      </c>
      <c r="AW124" s="154"/>
    </row>
    <row r="125" spans="1:49" s="70" customFormat="1" ht="12.75" hidden="1" customHeight="1" x14ac:dyDescent="0.2">
      <c r="A125" s="70" t="s">
        <v>83</v>
      </c>
      <c r="B125" s="70">
        <f>IF(B117=1,B111,0)</f>
        <v>25</v>
      </c>
      <c r="D125" s="74">
        <f t="shared" si="11"/>
        <v>0</v>
      </c>
      <c r="E125" s="70">
        <f t="shared" si="11"/>
        <v>0</v>
      </c>
      <c r="G125" s="74">
        <f t="shared" si="12"/>
        <v>25</v>
      </c>
      <c r="H125" s="70">
        <f t="shared" si="12"/>
        <v>0</v>
      </c>
      <c r="J125" s="74">
        <f t="shared" si="13"/>
        <v>25</v>
      </c>
      <c r="K125" s="70">
        <f t="shared" si="13"/>
        <v>0</v>
      </c>
      <c r="M125" s="74">
        <f t="shared" si="14"/>
        <v>25</v>
      </c>
      <c r="N125" s="70">
        <f t="shared" si="14"/>
        <v>27</v>
      </c>
      <c r="P125" s="74">
        <f t="shared" si="15"/>
        <v>0</v>
      </c>
      <c r="Q125" s="70">
        <f t="shared" si="15"/>
        <v>25</v>
      </c>
      <c r="S125" s="74">
        <f t="shared" si="16"/>
        <v>0</v>
      </c>
      <c r="T125" s="70">
        <f t="shared" si="16"/>
        <v>25</v>
      </c>
      <c r="V125" s="74">
        <f t="shared" si="17"/>
        <v>0</v>
      </c>
      <c r="W125" s="70">
        <f t="shared" si="17"/>
        <v>0</v>
      </c>
      <c r="Y125" s="74">
        <f t="shared" si="18"/>
        <v>25</v>
      </c>
      <c r="Z125" s="70">
        <f t="shared" si="18"/>
        <v>0</v>
      </c>
      <c r="AB125" s="74">
        <f t="shared" si="19"/>
        <v>25</v>
      </c>
      <c r="AC125" s="70">
        <f t="shared" si="19"/>
        <v>25</v>
      </c>
      <c r="AE125" s="74">
        <f>IF(AE117=1,AE111,0)</f>
        <v>0</v>
      </c>
      <c r="AW125" s="154"/>
    </row>
    <row r="126" spans="1:49" s="70" customFormat="1" ht="12.75" hidden="1" customHeight="1" x14ac:dyDescent="0.2">
      <c r="A126" s="70" t="s">
        <v>84</v>
      </c>
      <c r="B126" s="70">
        <f>IF(B118=1,B112,0)</f>
        <v>0</v>
      </c>
      <c r="D126" s="74">
        <f t="shared" si="11"/>
        <v>0</v>
      </c>
      <c r="E126" s="70">
        <f t="shared" si="11"/>
        <v>0</v>
      </c>
      <c r="G126" s="74">
        <f t="shared" si="12"/>
        <v>0</v>
      </c>
      <c r="H126" s="70">
        <f t="shared" si="12"/>
        <v>0</v>
      </c>
      <c r="J126" s="74">
        <f t="shared" si="13"/>
        <v>0</v>
      </c>
      <c r="K126" s="70">
        <f t="shared" si="13"/>
        <v>0</v>
      </c>
      <c r="M126" s="74">
        <f t="shared" si="14"/>
        <v>0</v>
      </c>
      <c r="N126" s="70">
        <f t="shared" si="14"/>
        <v>0</v>
      </c>
      <c r="P126" s="74">
        <f t="shared" si="15"/>
        <v>0</v>
      </c>
      <c r="Q126" s="70">
        <f t="shared" si="15"/>
        <v>0</v>
      </c>
      <c r="S126" s="74">
        <f t="shared" si="16"/>
        <v>0</v>
      </c>
      <c r="T126" s="70">
        <f t="shared" si="16"/>
        <v>0</v>
      </c>
      <c r="V126" s="74">
        <f t="shared" si="17"/>
        <v>0</v>
      </c>
      <c r="W126" s="70">
        <f t="shared" si="17"/>
        <v>0</v>
      </c>
      <c r="Y126" s="74">
        <f t="shared" si="18"/>
        <v>0</v>
      </c>
      <c r="Z126" s="70">
        <f t="shared" si="18"/>
        <v>0</v>
      </c>
      <c r="AB126" s="74">
        <f t="shared" si="19"/>
        <v>0</v>
      </c>
      <c r="AC126" s="70">
        <f t="shared" si="19"/>
        <v>0</v>
      </c>
      <c r="AE126" s="74">
        <f>IF(AE118=1,AE112,0)</f>
        <v>0</v>
      </c>
      <c r="AW126" s="154"/>
    </row>
    <row r="127" spans="1:49" s="70" customFormat="1" ht="12.75" hidden="1" customHeight="1" x14ac:dyDescent="0.2">
      <c r="A127" s="70" t="s">
        <v>85</v>
      </c>
      <c r="B127" s="70">
        <f>IF(B119=1,B113,0)</f>
        <v>0</v>
      </c>
      <c r="D127" s="74">
        <f t="shared" si="11"/>
        <v>0</v>
      </c>
      <c r="E127" s="70">
        <f t="shared" si="11"/>
        <v>0</v>
      </c>
      <c r="G127" s="74">
        <f t="shared" si="12"/>
        <v>0</v>
      </c>
      <c r="H127" s="70">
        <f t="shared" si="12"/>
        <v>0</v>
      </c>
      <c r="J127" s="74">
        <f t="shared" si="13"/>
        <v>0</v>
      </c>
      <c r="K127" s="70">
        <f t="shared" si="13"/>
        <v>0</v>
      </c>
      <c r="M127" s="74">
        <f t="shared" si="14"/>
        <v>0</v>
      </c>
      <c r="N127" s="70">
        <f t="shared" si="14"/>
        <v>0</v>
      </c>
      <c r="P127" s="74">
        <f t="shared" si="15"/>
        <v>0</v>
      </c>
      <c r="Q127" s="70">
        <f t="shared" si="15"/>
        <v>0</v>
      </c>
      <c r="S127" s="74">
        <f t="shared" si="16"/>
        <v>0</v>
      </c>
      <c r="T127" s="70">
        <f t="shared" si="16"/>
        <v>0</v>
      </c>
      <c r="V127" s="74">
        <f t="shared" si="17"/>
        <v>0</v>
      </c>
      <c r="W127" s="70">
        <f t="shared" si="17"/>
        <v>0</v>
      </c>
      <c r="Y127" s="74">
        <f t="shared" si="18"/>
        <v>0</v>
      </c>
      <c r="Z127" s="70">
        <f t="shared" si="18"/>
        <v>0</v>
      </c>
      <c r="AB127" s="74">
        <f t="shared" si="19"/>
        <v>0</v>
      </c>
      <c r="AC127" s="70">
        <f t="shared" si="19"/>
        <v>0</v>
      </c>
      <c r="AE127" s="74">
        <f>IF(AE119=1,AE113,0)</f>
        <v>0</v>
      </c>
      <c r="AW127" s="154"/>
    </row>
    <row r="128" spans="1:49" s="70" customFormat="1" ht="12.75" hidden="1" customHeight="1" x14ac:dyDescent="0.2">
      <c r="A128" s="70" t="s">
        <v>86</v>
      </c>
      <c r="B128" s="70">
        <f>IF(B120=1,B114,0)</f>
        <v>0</v>
      </c>
      <c r="D128" s="74">
        <f t="shared" si="11"/>
        <v>0</v>
      </c>
      <c r="E128" s="70">
        <f t="shared" si="11"/>
        <v>0</v>
      </c>
      <c r="G128" s="74">
        <f t="shared" si="12"/>
        <v>0</v>
      </c>
      <c r="H128" s="70">
        <f t="shared" si="12"/>
        <v>0</v>
      </c>
      <c r="J128" s="74">
        <f t="shared" si="13"/>
        <v>0</v>
      </c>
      <c r="K128" s="70">
        <f t="shared" si="13"/>
        <v>0</v>
      </c>
      <c r="M128" s="74">
        <f t="shared" si="14"/>
        <v>0</v>
      </c>
      <c r="N128" s="70">
        <f t="shared" si="14"/>
        <v>0</v>
      </c>
      <c r="P128" s="74">
        <f t="shared" si="15"/>
        <v>0</v>
      </c>
      <c r="Q128" s="70">
        <f t="shared" si="15"/>
        <v>0</v>
      </c>
      <c r="S128" s="74">
        <f t="shared" si="16"/>
        <v>0</v>
      </c>
      <c r="T128" s="70">
        <f t="shared" si="16"/>
        <v>0</v>
      </c>
      <c r="V128" s="74">
        <f t="shared" si="17"/>
        <v>0</v>
      </c>
      <c r="W128" s="70">
        <f t="shared" si="17"/>
        <v>0</v>
      </c>
      <c r="Y128" s="74">
        <f t="shared" si="18"/>
        <v>0</v>
      </c>
      <c r="Z128" s="70">
        <f t="shared" si="18"/>
        <v>0</v>
      </c>
      <c r="AB128" s="74">
        <f t="shared" si="19"/>
        <v>0</v>
      </c>
      <c r="AC128" s="70">
        <f t="shared" si="19"/>
        <v>0</v>
      </c>
      <c r="AE128" s="74">
        <f>IF(AE120=1,AE114,0)</f>
        <v>0</v>
      </c>
      <c r="AW128" s="154"/>
    </row>
    <row r="129" spans="1:49" s="70" customFormat="1" ht="38.25" hidden="1" customHeight="1" x14ac:dyDescent="0.2">
      <c r="A129" s="73" t="s">
        <v>87</v>
      </c>
      <c r="B129" s="70">
        <f>SUM(B124:D128)</f>
        <v>50</v>
      </c>
      <c r="D129" s="74"/>
      <c r="E129" s="70">
        <f>SUM(E124:G128)</f>
        <v>50</v>
      </c>
      <c r="G129" s="74"/>
      <c r="H129" s="70">
        <f>SUM(H124:J128)</f>
        <v>50</v>
      </c>
      <c r="J129" s="74"/>
      <c r="K129" s="70">
        <f>SUM(K124:M128)</f>
        <v>52</v>
      </c>
      <c r="M129" s="74"/>
      <c r="N129" s="70">
        <f>SUM(N124:P128)</f>
        <v>52</v>
      </c>
      <c r="P129" s="74"/>
      <c r="Q129" s="70">
        <f>SUM(Q124:S128)</f>
        <v>50</v>
      </c>
      <c r="S129" s="74"/>
      <c r="T129" s="70">
        <f>SUM(T124:V128)</f>
        <v>50</v>
      </c>
      <c r="V129" s="74"/>
      <c r="W129" s="70">
        <f>SUM(W124:Y128)</f>
        <v>50</v>
      </c>
      <c r="Y129" s="74"/>
      <c r="Z129" s="70">
        <f>SUM(Z124:AB128)</f>
        <v>50</v>
      </c>
      <c r="AB129" s="74"/>
      <c r="AC129" s="70">
        <f>SUM(AC124:AE128)</f>
        <v>50</v>
      </c>
      <c r="AE129" s="74"/>
      <c r="AW129" s="154"/>
    </row>
    <row r="130" spans="1:49" s="70" customFormat="1" ht="38.25" hidden="1" customHeight="1" x14ac:dyDescent="0.2">
      <c r="A130" s="70" t="s">
        <v>88</v>
      </c>
      <c r="D130" s="74"/>
      <c r="G130" s="74"/>
      <c r="J130" s="74"/>
      <c r="M130" s="74"/>
      <c r="P130" s="74"/>
      <c r="S130" s="74"/>
      <c r="V130" s="74"/>
      <c r="Y130" s="74"/>
      <c r="AB130" s="74"/>
      <c r="AE130" s="74"/>
      <c r="AF130" s="73" t="s">
        <v>89</v>
      </c>
      <c r="AG130" s="70" t="s">
        <v>90</v>
      </c>
      <c r="AW130" s="154"/>
    </row>
    <row r="131" spans="1:49" s="70" customFormat="1" ht="12.75" hidden="1" customHeight="1" x14ac:dyDescent="0.2">
      <c r="A131" s="70" t="s">
        <v>91</v>
      </c>
      <c r="B131" s="70">
        <f>IF(B109=1,IF(B122=1,1,0),0)</f>
        <v>0</v>
      </c>
      <c r="D131" s="74">
        <f>IF(D109=1,IF(D122=1,1,0),0)</f>
        <v>0</v>
      </c>
      <c r="E131" s="70">
        <f>IF(E109=1,IF(E122=1,1,0),0)</f>
        <v>0</v>
      </c>
      <c r="G131" s="74">
        <f>IF(G109=1,IF(G122=1,1,0),0)</f>
        <v>0</v>
      </c>
      <c r="H131" s="70">
        <f>IF(H109=1,IF(H122=1,1,0),0)</f>
        <v>0</v>
      </c>
      <c r="J131" s="74">
        <f>IF(J109=1,IF(J122=1,1,0),0)</f>
        <v>0</v>
      </c>
      <c r="K131" s="70">
        <f>IF(K109=1,IF(K122=1,1,0),0)</f>
        <v>0</v>
      </c>
      <c r="M131" s="74">
        <f>IF(M109=1,IF(M122=1,1,0),0)</f>
        <v>0</v>
      </c>
      <c r="N131" s="70">
        <f>IF(N109=1,IF(N122=1,1,0),0)</f>
        <v>1</v>
      </c>
      <c r="P131" s="74">
        <f>IF(P109=1,IF(P122=1,1,0),0)</f>
        <v>0</v>
      </c>
      <c r="Q131" s="70">
        <f>IF(Q109=1,IF(Q122=1,1,0),0)</f>
        <v>0</v>
      </c>
      <c r="S131" s="74">
        <f>IF(S109=1,IF(S122=1,1,0),0)</f>
        <v>0</v>
      </c>
      <c r="T131" s="70">
        <f>IF(T109=1,IF(T122=1,1,0),0)</f>
        <v>0</v>
      </c>
      <c r="V131" s="74">
        <f>IF(V109=1,IF(V122=1,1,0),0)</f>
        <v>0</v>
      </c>
      <c r="W131" s="70">
        <f>IF(W109=1,IF(W122=1,1,0),0)</f>
        <v>0</v>
      </c>
      <c r="Y131" s="74">
        <f>IF(Y109=1,IF(Y122=1,1,0),0)</f>
        <v>0</v>
      </c>
      <c r="Z131" s="70">
        <f>IF(Z109=1,IF(Z122=1,1,0),0)</f>
        <v>0</v>
      </c>
      <c r="AB131" s="74">
        <f>IF(AB109=1,IF(AB122=1,1,0),0)</f>
        <v>0</v>
      </c>
      <c r="AC131" s="70">
        <f>IF(AC109=1,IF(AC122=1,1,0),0)</f>
        <v>1</v>
      </c>
      <c r="AE131" s="74">
        <f>IF(AE109=1,IF(AE122=1,1,0),0)</f>
        <v>0</v>
      </c>
      <c r="AF131" s="70">
        <f>SUM(B131:AE131)</f>
        <v>2</v>
      </c>
      <c r="AG131" s="70">
        <f>AF137-AF131</f>
        <v>1</v>
      </c>
      <c r="AW131" s="154"/>
    </row>
    <row r="132" spans="1:49" s="70" customFormat="1" ht="12.75" hidden="1" customHeight="1" x14ac:dyDescent="0.2">
      <c r="A132" s="70" t="s">
        <v>92</v>
      </c>
      <c r="B132" s="70">
        <f>IF(B109=2,IF(B122=1,1,0),0)</f>
        <v>0</v>
      </c>
      <c r="D132" s="74">
        <f>IF(D109=2,IF(D122=1,1,0),0)</f>
        <v>0</v>
      </c>
      <c r="E132" s="70">
        <f>IF(E109=2,IF(E122=1,1,0),0)</f>
        <v>0</v>
      </c>
      <c r="G132" s="74">
        <f>IF(G109=2,IF(G122=1,1,0),0)</f>
        <v>0</v>
      </c>
      <c r="H132" s="70">
        <f>IF(H109=2,IF(H122=1,1,0),0)</f>
        <v>0</v>
      </c>
      <c r="J132" s="74">
        <f>IF(J109=2,IF(J122=1,1,0),0)</f>
        <v>0</v>
      </c>
      <c r="K132" s="70">
        <f>IF(K109=2,IF(K122=1,1,0),0)</f>
        <v>0</v>
      </c>
      <c r="M132" s="74">
        <f>IF(M109=2,IF(M122=1,1,0),0)</f>
        <v>0</v>
      </c>
      <c r="N132" s="70">
        <f>IF(N109=2,IF(N122=1,1,0),0)</f>
        <v>0</v>
      </c>
      <c r="P132" s="74">
        <f>IF(P109=2,IF(P122=1,1,0),0)</f>
        <v>0</v>
      </c>
      <c r="Q132" s="70">
        <f>IF(Q109=2,IF(Q122=1,1,0),0)</f>
        <v>0</v>
      </c>
      <c r="S132" s="74">
        <f>IF(S109=2,IF(S122=1,1,0),0)</f>
        <v>0</v>
      </c>
      <c r="T132" s="70">
        <f>IF(T109=2,IF(T122=1,1,0),0)</f>
        <v>1</v>
      </c>
      <c r="V132" s="74">
        <f>IF(V109=2,IF(V122=1,1,0),0)</f>
        <v>0</v>
      </c>
      <c r="W132" s="70">
        <f>IF(W109=2,IF(W122=1,1,0),0)</f>
        <v>0</v>
      </c>
      <c r="Y132" s="74">
        <f>IF(Y109=2,IF(Y122=1,1,0),0)</f>
        <v>0</v>
      </c>
      <c r="Z132" s="70">
        <f>IF(Z109=2,IF(Z122=1,1,0),0)</f>
        <v>0</v>
      </c>
      <c r="AB132" s="74">
        <f>IF(AB109=2,IF(AB122=1,1,0),0)</f>
        <v>0</v>
      </c>
      <c r="AC132" s="70">
        <f>IF(AC109=2,IF(AC122=1,1,0),0)</f>
        <v>0</v>
      </c>
      <c r="AE132" s="74">
        <f>IF(AE109=2,IF(AE122=1,1,0),0)</f>
        <v>0</v>
      </c>
      <c r="AF132" s="70">
        <f>SUM(B132:AE132)</f>
        <v>1</v>
      </c>
      <c r="AG132" s="70">
        <f>AF138-AF132</f>
        <v>1</v>
      </c>
      <c r="AW132" s="154"/>
    </row>
    <row r="133" spans="1:49" s="70" customFormat="1" ht="12.75" hidden="1" customHeight="1" x14ac:dyDescent="0.2">
      <c r="A133" s="70" t="s">
        <v>93</v>
      </c>
      <c r="B133" s="70">
        <f>IF(B109=3,IF(B122=1,1,0),0)</f>
        <v>0</v>
      </c>
      <c r="D133" s="74">
        <f>IF(D109=3,IF(D122=1,1,0),0)</f>
        <v>0</v>
      </c>
      <c r="E133" s="70">
        <f>IF(E109=3,IF(E122=1,1,0),0)</f>
        <v>0</v>
      </c>
      <c r="G133" s="74">
        <f>IF(G109=3,IF(G122=1,1,0),0)</f>
        <v>0</v>
      </c>
      <c r="H133" s="70">
        <f>IF(H109=3,IF(H122=1,1,0),0)</f>
        <v>0</v>
      </c>
      <c r="J133" s="74">
        <f>IF(J109=3,IF(J122=1,1,0),0)</f>
        <v>0</v>
      </c>
      <c r="K133" s="70">
        <f>IF(K109=3,IF(K122=1,1,0),0)</f>
        <v>0</v>
      </c>
      <c r="M133" s="74">
        <f>IF(M109=3,IF(M122=1,1,0),0)</f>
        <v>0</v>
      </c>
      <c r="N133" s="70">
        <f>IF(N109=3,IF(N122=1,1,0),0)</f>
        <v>0</v>
      </c>
      <c r="P133" s="74">
        <f>IF(P109=3,IF(P122=1,1,0),0)</f>
        <v>0</v>
      </c>
      <c r="Q133" s="70">
        <f>IF(Q109=3,IF(Q122=1,1,0),0)</f>
        <v>0</v>
      </c>
      <c r="S133" s="74">
        <f>IF(S109=3,IF(S122=1,1,0),0)</f>
        <v>0</v>
      </c>
      <c r="T133" s="70">
        <f>IF(T109=3,IF(T122=1,1,0),0)</f>
        <v>0</v>
      </c>
      <c r="V133" s="74">
        <f>IF(V109=3,IF(V122=1,1,0),0)</f>
        <v>0</v>
      </c>
      <c r="W133" s="70">
        <f>IF(W109=3,IF(W122=1,1,0),0)</f>
        <v>0</v>
      </c>
      <c r="Y133" s="74">
        <f>IF(Y109=3,IF(Y122=1,1,0),0)</f>
        <v>0</v>
      </c>
      <c r="Z133" s="70">
        <f>IF(Z109=3,IF(Z122=1,1,0),0)</f>
        <v>0</v>
      </c>
      <c r="AB133" s="74">
        <f>IF(AB109=3,IF(AB122=1,1,0),0)</f>
        <v>0</v>
      </c>
      <c r="AC133" s="70">
        <f>IF(AC109=3,IF(AC122=1,1,0),0)</f>
        <v>0</v>
      </c>
      <c r="AE133" s="74">
        <f>IF(AE109=3,IF(AE122=1,1,0),0)</f>
        <v>0</v>
      </c>
      <c r="AF133" s="70">
        <f>SUM(B133:AE133)</f>
        <v>0</v>
      </c>
      <c r="AG133" s="70">
        <f>AF139-AF133</f>
        <v>3</v>
      </c>
      <c r="AW133" s="154"/>
    </row>
    <row r="134" spans="1:49" s="70" customFormat="1" ht="12.75" hidden="1" customHeight="1" x14ac:dyDescent="0.2">
      <c r="A134" s="70" t="s">
        <v>94</v>
      </c>
      <c r="B134" s="70">
        <f>IF(B109=4,IF(B122=1,1,0),0)</f>
        <v>0</v>
      </c>
      <c r="D134" s="74">
        <f>IF(D109=4,IF(D122=1,1,0),0)</f>
        <v>0</v>
      </c>
      <c r="E134" s="70">
        <f>IF(E109=4,IF(E122=1,1,0),0)</f>
        <v>0</v>
      </c>
      <c r="G134" s="74">
        <f>IF(G109=4,IF(G122=1,1,0),0)</f>
        <v>0</v>
      </c>
      <c r="H134" s="70">
        <f>IF(H109=4,IF(H122=1,1,0),0)</f>
        <v>0</v>
      </c>
      <c r="J134" s="74">
        <f>IF(J109=4,IF(J122=1,1,0),0)</f>
        <v>0</v>
      </c>
      <c r="K134" s="70">
        <f>IF(K109=4,IF(K122=1,1,0),0)</f>
        <v>0</v>
      </c>
      <c r="M134" s="74">
        <f>IF(M109=4,IF(M122=1,1,0),0)</f>
        <v>0</v>
      </c>
      <c r="N134" s="70">
        <f>IF(N109=4,IF(N122=1,1,0),0)</f>
        <v>0</v>
      </c>
      <c r="P134" s="74">
        <f>IF(P109=4,IF(P122=1,1,0),0)</f>
        <v>0</v>
      </c>
      <c r="Q134" s="70">
        <f>IF(Q109=4,IF(Q122=1,1,0),0)</f>
        <v>1</v>
      </c>
      <c r="S134" s="74">
        <f>IF(S109=4,IF(S122=1,1,0),0)</f>
        <v>0</v>
      </c>
      <c r="T134" s="70">
        <f>IF(T109=4,IF(T122=1,1,0),0)</f>
        <v>0</v>
      </c>
      <c r="V134" s="74">
        <f>IF(V109=4,IF(V122=1,1,0),0)</f>
        <v>0</v>
      </c>
      <c r="W134" s="70">
        <f>IF(W109=4,IF(W122=1,1,0),0)</f>
        <v>0</v>
      </c>
      <c r="Y134" s="74">
        <f>IF(Y109=4,IF(Y122=1,1,0),0)</f>
        <v>0</v>
      </c>
      <c r="Z134" s="70">
        <f>IF(Z109=4,IF(Z122=1,1,0),0)</f>
        <v>0</v>
      </c>
      <c r="AB134" s="74">
        <f>IF(AB109=4,IF(AB122=1,1,0),0)</f>
        <v>1</v>
      </c>
      <c r="AC134" s="70">
        <f>IF(AC109=4,IF(AC122=1,1,0),0)</f>
        <v>0</v>
      </c>
      <c r="AE134" s="74">
        <f>IF(AE109=4,IF(AE122=1,1,0),0)</f>
        <v>0</v>
      </c>
      <c r="AF134" s="70">
        <f>SUM(B134:AE134)</f>
        <v>2</v>
      </c>
      <c r="AG134" s="70">
        <f>AF140-AF134</f>
        <v>0</v>
      </c>
      <c r="AW134" s="154"/>
    </row>
    <row r="135" spans="1:49" s="70" customFormat="1" ht="12.75" hidden="1" customHeight="1" x14ac:dyDescent="0.2">
      <c r="A135" s="70" t="s">
        <v>95</v>
      </c>
      <c r="B135" s="70">
        <f>IF(B109=5,IF(B122=1,1,0),0)</f>
        <v>0</v>
      </c>
      <c r="D135" s="74">
        <f>IF(D109=5,IF(D122=1,1,0),0)</f>
        <v>0</v>
      </c>
      <c r="E135" s="70">
        <f>IF(E109=5,IF(E122=1,1,0),0)</f>
        <v>0</v>
      </c>
      <c r="G135" s="74">
        <f>IF(G109=5,IF(G122=1,1,0),0)</f>
        <v>0</v>
      </c>
      <c r="H135" s="70">
        <f>IF(H109=5,IF(H122=1,1,0),0)</f>
        <v>0</v>
      </c>
      <c r="J135" s="74">
        <f>IF(J109=5,IF(J122=1,1,0),0)</f>
        <v>0</v>
      </c>
      <c r="K135" s="70">
        <f>IF(K109=5,IF(K122=1,1,0),0)</f>
        <v>0</v>
      </c>
      <c r="M135" s="74">
        <f>IF(M109=5,IF(M122=1,1,0),0)</f>
        <v>0</v>
      </c>
      <c r="N135" s="70">
        <f>IF(N109=5,IF(N122=1,1,0),0)</f>
        <v>0</v>
      </c>
      <c r="P135" s="74">
        <f>IF(P109=5,IF(P122=1,1,0),0)</f>
        <v>0</v>
      </c>
      <c r="Q135" s="70">
        <f>IF(Q109=5,IF(Q122=1,1,0),0)</f>
        <v>0</v>
      </c>
      <c r="S135" s="74">
        <f>IF(S109=5,IF(S122=1,1,0),0)</f>
        <v>0</v>
      </c>
      <c r="T135" s="70">
        <f>IF(T109=5,IF(T122=1,1,0),0)</f>
        <v>0</v>
      </c>
      <c r="V135" s="74">
        <f>IF(V109=5,IF(V122=1,1,0),0)</f>
        <v>0</v>
      </c>
      <c r="W135" s="70">
        <f>IF(W109=5,IF(W122=1,1,0),0)</f>
        <v>0</v>
      </c>
      <c r="Y135" s="74">
        <f>IF(Y109=5,IF(Y122=1,1,0),0)</f>
        <v>1</v>
      </c>
      <c r="Z135" s="70">
        <f>IF(Z109=5,IF(Z122=1,1,0),0)</f>
        <v>0</v>
      </c>
      <c r="AB135" s="74">
        <f>IF(AB109=5,IF(AB122=1,1,0),0)</f>
        <v>0</v>
      </c>
      <c r="AC135" s="70">
        <f>IF(AC109=5,IF(AC122=1,1,0),0)</f>
        <v>0</v>
      </c>
      <c r="AE135" s="74">
        <f>IF(AE109=5,IF(AE122=1,1,0),0)</f>
        <v>0</v>
      </c>
      <c r="AF135" s="70">
        <f>SUM(B135:AE135)</f>
        <v>1</v>
      </c>
      <c r="AG135" s="70">
        <f>AF141-AF135</f>
        <v>1</v>
      </c>
      <c r="AW135" s="154"/>
    </row>
    <row r="136" spans="1:49" s="70" customFormat="1" ht="38.25" hidden="1" customHeight="1" x14ac:dyDescent="0.2">
      <c r="A136" s="73"/>
      <c r="D136" s="74"/>
      <c r="G136" s="74"/>
      <c r="J136" s="74"/>
      <c r="M136" s="74"/>
      <c r="P136" s="74"/>
      <c r="S136" s="74"/>
      <c r="V136" s="74"/>
      <c r="Y136" s="74"/>
      <c r="AB136" s="74"/>
      <c r="AE136" s="74"/>
      <c r="AF136" s="73" t="s">
        <v>96</v>
      </c>
      <c r="AW136" s="154"/>
    </row>
    <row r="137" spans="1:49" s="70" customFormat="1" ht="12.75" hidden="1" customHeight="1" x14ac:dyDescent="0.2">
      <c r="A137" s="70" t="s">
        <v>97</v>
      </c>
      <c r="B137" s="70">
        <f>IF(B109=1,IF(C122=1,1,0),0)</f>
        <v>0</v>
      </c>
      <c r="D137" s="74">
        <f>IF(D109=1,IF(C122=1,1,0),0)</f>
        <v>0</v>
      </c>
      <c r="E137" s="70">
        <f>IF(E109=1,IF(F122=1,1,0),0)</f>
        <v>0</v>
      </c>
      <c r="G137" s="74">
        <f>IF(G109=1,IF(F122=1,1,0),0)</f>
        <v>0</v>
      </c>
      <c r="H137" s="70">
        <f>IF(H109=1,IF(I122=1,1,0),0)</f>
        <v>0</v>
      </c>
      <c r="J137" s="74">
        <f>IF(J109=1,IF(I122=1,1,0),0)</f>
        <v>0</v>
      </c>
      <c r="K137" s="70">
        <f>IF(K109=1,IF(L122=1,1,0),0)</f>
        <v>0</v>
      </c>
      <c r="M137" s="74">
        <f>IF(M109=1,IF(L122=1,1,0),0)</f>
        <v>0</v>
      </c>
      <c r="N137" s="70">
        <f>IF(N109=1,IF(O122=1,1,0),0)</f>
        <v>1</v>
      </c>
      <c r="P137" s="74">
        <f>IF(P109=1,IF(O122=1,1,0),0)</f>
        <v>0</v>
      </c>
      <c r="Q137" s="70">
        <f>IF(Q109=1,IF(R122=1,1,0),0)</f>
        <v>0</v>
      </c>
      <c r="S137" s="74">
        <f>IF(S109=1,IF(R122=1,1,0),0)</f>
        <v>0</v>
      </c>
      <c r="T137" s="70">
        <f>IF(T109=1,IF(U122=1,1,0),0)</f>
        <v>0</v>
      </c>
      <c r="V137" s="74">
        <f>IF(V109=1,IF(U122=1,1,0),0)</f>
        <v>0</v>
      </c>
      <c r="W137" s="70">
        <f>IF(W109=1,IF(X122=1,1,0),0)</f>
        <v>1</v>
      </c>
      <c r="Y137" s="74">
        <f>IF(Y109=1,IF(X122=1,1,0),0)</f>
        <v>0</v>
      </c>
      <c r="Z137" s="70">
        <f>IF(Z109=1,IF(AA122=1,1,0),0)</f>
        <v>0</v>
      </c>
      <c r="AB137" s="74">
        <f>IF(AB109=1,IF(AA122=1,1,0),0)</f>
        <v>0</v>
      </c>
      <c r="AC137" s="70">
        <f>IF(AC109=1,IF(AD122=1,1,0),0)</f>
        <v>1</v>
      </c>
      <c r="AE137" s="74">
        <f>IF(AE109=1,IF(AD122=1,1,0),0)</f>
        <v>0</v>
      </c>
      <c r="AF137" s="70">
        <f>SUM(B137:AE137)</f>
        <v>3</v>
      </c>
      <c r="AW137" s="154"/>
    </row>
    <row r="138" spans="1:49" s="70" customFormat="1" ht="12.75" hidden="1" customHeight="1" x14ac:dyDescent="0.2">
      <c r="A138" s="70" t="s">
        <v>98</v>
      </c>
      <c r="B138" s="70">
        <f>IF(B109=2,IF(C122=1,1,0),0)</f>
        <v>0</v>
      </c>
      <c r="D138" s="74">
        <f>IF(D109=2,IF(C122=1,1,0),0)</f>
        <v>0</v>
      </c>
      <c r="E138" s="70">
        <f>IF(E109=2,IF(F122=1,1,0),0)</f>
        <v>0</v>
      </c>
      <c r="G138" s="74">
        <f>IF(G109=2,IF(F122=1,1,0),0)</f>
        <v>0</v>
      </c>
      <c r="H138" s="70">
        <f>IF(H109=2,IF(I122=1,1,0),0)</f>
        <v>0</v>
      </c>
      <c r="J138" s="74">
        <f>IF(J109=2,IF(I122=1,1,0),0)</f>
        <v>0</v>
      </c>
      <c r="K138" s="70">
        <f>IF(K109=2,IF(L122=1,1,0),0)</f>
        <v>0</v>
      </c>
      <c r="M138" s="74">
        <f>IF(M109=2,IF(L122=1,1,0),0)</f>
        <v>0</v>
      </c>
      <c r="N138" s="70">
        <f>IF(N109=2,IF(O122=1,1,0),0)</f>
        <v>0</v>
      </c>
      <c r="P138" s="74">
        <f>IF(P109=2,IF(O122=1,1,0),0)</f>
        <v>0</v>
      </c>
      <c r="Q138" s="70">
        <f>IF(Q109=2,IF(R122=1,1,0),0)</f>
        <v>0</v>
      </c>
      <c r="S138" s="74">
        <f>IF(S109=2,IF(R122=1,1,0),0)</f>
        <v>0</v>
      </c>
      <c r="T138" s="70">
        <f>IF(T109=2,IF(U122=1,1,0),0)</f>
        <v>1</v>
      </c>
      <c r="V138" s="74">
        <f>IF(V109=2,IF(U122=1,1,0),0)</f>
        <v>0</v>
      </c>
      <c r="W138" s="70">
        <f>IF(W109=2,IF(X122=1,1,0),0)</f>
        <v>0</v>
      </c>
      <c r="Y138" s="74">
        <f>IF(Y109=2,IF(X122=1,1,0),0)</f>
        <v>0</v>
      </c>
      <c r="Z138" s="70">
        <f>IF(Z109=2,IF(AA122=1,1,0),0)</f>
        <v>0</v>
      </c>
      <c r="AB138" s="74">
        <f>IF(AB109=2,IF(AA122=1,1,0),0)</f>
        <v>0</v>
      </c>
      <c r="AC138" s="70">
        <f>IF(AC109=2,IF(AD122=1,1,0),0)</f>
        <v>0</v>
      </c>
      <c r="AE138" s="74">
        <f>IF(AE109=2,IF(AD122=1,1,0),0)</f>
        <v>1</v>
      </c>
      <c r="AF138" s="70">
        <f>SUM(B138:AE138)</f>
        <v>2</v>
      </c>
      <c r="AW138" s="154"/>
    </row>
    <row r="139" spans="1:49" s="70" customFormat="1" ht="12.75" hidden="1" customHeight="1" x14ac:dyDescent="0.2">
      <c r="A139" s="70" t="s">
        <v>99</v>
      </c>
      <c r="B139" s="70">
        <f>IF(B109=3,IF(C122=1,1,0),0)</f>
        <v>0</v>
      </c>
      <c r="D139" s="74">
        <f>IF(D109=3,IF(C122=1,1,0),0)</f>
        <v>0</v>
      </c>
      <c r="E139" s="70">
        <f>IF(E109=3,IF(F122=1,1,0),0)</f>
        <v>0</v>
      </c>
      <c r="G139" s="74">
        <f>IF(G109=3,IF(F122=1,1,0),0)</f>
        <v>0</v>
      </c>
      <c r="H139" s="70">
        <f>IF(H109=3,IF(I122=1,1,0),0)</f>
        <v>0</v>
      </c>
      <c r="J139" s="74">
        <f>IF(J109=3,IF(I122=1,1,0),0)</f>
        <v>0</v>
      </c>
      <c r="K139" s="70">
        <f>IF(K109=3,IF(L122=1,1,0),0)</f>
        <v>0</v>
      </c>
      <c r="M139" s="74">
        <f>IF(M109=3,IF(L122=1,1,0),0)</f>
        <v>0</v>
      </c>
      <c r="N139" s="70">
        <f>IF(N109=3,IF(O122=1,1,0),0)</f>
        <v>0</v>
      </c>
      <c r="P139" s="74">
        <f>IF(P109=3,IF(O122=1,1,0),0)</f>
        <v>1</v>
      </c>
      <c r="Q139" s="70">
        <f>IF(Q109=3,IF(R122=1,1,0),0)</f>
        <v>0</v>
      </c>
      <c r="S139" s="74">
        <f>IF(S109=3,IF(R122=1,1,0),0)</f>
        <v>0</v>
      </c>
      <c r="T139" s="70">
        <f>IF(T109=3,IF(U122=1,1,0),0)</f>
        <v>0</v>
      </c>
      <c r="V139" s="74">
        <f>IF(V109=3,IF(U122=1,1,0),0)</f>
        <v>1</v>
      </c>
      <c r="W139" s="70">
        <f>IF(W109=3,IF(X122=1,1,0),0)</f>
        <v>0</v>
      </c>
      <c r="Y139" s="74">
        <f>IF(Y109=3,IF(X122=1,1,0),0)</f>
        <v>0</v>
      </c>
      <c r="Z139" s="70">
        <f>IF(Z109=3,IF(AA122=1,1,0),0)</f>
        <v>1</v>
      </c>
      <c r="AB139" s="74">
        <f>IF(AB109=3,IF(AA122=1,1,0),0)</f>
        <v>0</v>
      </c>
      <c r="AC139" s="70">
        <f>IF(AC109=3,IF(AD122=1,1,0),0)</f>
        <v>0</v>
      </c>
      <c r="AE139" s="74">
        <f>IF(AE109=3,IF(AD122=1,1,0),0)</f>
        <v>0</v>
      </c>
      <c r="AF139" s="70">
        <f>SUM(B139:AE139)</f>
        <v>3</v>
      </c>
      <c r="AW139" s="154"/>
    </row>
    <row r="140" spans="1:49" s="70" customFormat="1" ht="12.75" hidden="1" customHeight="1" x14ac:dyDescent="0.2">
      <c r="A140" s="70" t="s">
        <v>100</v>
      </c>
      <c r="B140" s="70">
        <f>IF(B109=4,IF(C122=1,1,0),0)</f>
        <v>0</v>
      </c>
      <c r="D140" s="74">
        <f>IF(D109=4,IF(C122=1,1,0),0)</f>
        <v>0</v>
      </c>
      <c r="E140" s="70">
        <f>IF(E109=4,IF(F122=1,1,0),0)</f>
        <v>0</v>
      </c>
      <c r="G140" s="74">
        <f>IF(G109=4,IF(F122=1,1,0),0)</f>
        <v>0</v>
      </c>
      <c r="H140" s="70">
        <f>IF(H109=4,IF(I122=1,1,0),0)</f>
        <v>0</v>
      </c>
      <c r="J140" s="74">
        <f>IF(J109=4,IF(I122=1,1,0),0)</f>
        <v>0</v>
      </c>
      <c r="K140" s="70">
        <f>IF(K109=4,IF(L122=1,1,0),0)</f>
        <v>0</v>
      </c>
      <c r="M140" s="74">
        <f>IF(M109=4,IF(L122=1,1,0),0)</f>
        <v>0</v>
      </c>
      <c r="N140" s="70">
        <f>IF(N109=4,IF(O122=1,1,0),0)</f>
        <v>0</v>
      </c>
      <c r="P140" s="74">
        <f>IF(P109=4,IF(O122=1,1,0),0)</f>
        <v>0</v>
      </c>
      <c r="Q140" s="70">
        <f>IF(Q109=4,IF(R122=1,1,0),0)</f>
        <v>1</v>
      </c>
      <c r="S140" s="74">
        <f>IF(S109=4,IF(R122=1,1,0),0)</f>
        <v>0</v>
      </c>
      <c r="T140" s="70">
        <f>IF(T109=4,IF(U122=1,1,0),0)</f>
        <v>0</v>
      </c>
      <c r="V140" s="74">
        <f>IF(V109=4,IF(U122=1,1,0),0)</f>
        <v>0</v>
      </c>
      <c r="W140" s="70">
        <f>IF(W109=4,IF(X122=1,1,0),0)</f>
        <v>0</v>
      </c>
      <c r="Y140" s="74">
        <f>IF(Y109=4,IF(X122=1,1,0),0)</f>
        <v>0</v>
      </c>
      <c r="Z140" s="70">
        <f>IF(Z109=4,IF(AA122=1,1,0),0)</f>
        <v>0</v>
      </c>
      <c r="AB140" s="74">
        <f>IF(AB109=4,IF(AA122=1,1,0),0)</f>
        <v>1</v>
      </c>
      <c r="AC140" s="70">
        <f>IF(AC109=4,IF(AD122=1,1,0),0)</f>
        <v>0</v>
      </c>
      <c r="AE140" s="74">
        <f>IF(AE109=4,IF(AD122=1,1,0),0)</f>
        <v>0</v>
      </c>
      <c r="AF140" s="70">
        <f>SUM(B140:AE140)</f>
        <v>2</v>
      </c>
      <c r="AW140" s="154"/>
    </row>
    <row r="141" spans="1:49" s="70" customFormat="1" ht="12.75" hidden="1" customHeight="1" x14ac:dyDescent="0.2">
      <c r="A141" s="70" t="s">
        <v>101</v>
      </c>
      <c r="B141" s="70">
        <f>IF(B109=5,IF(C122=1,1,0),0)</f>
        <v>0</v>
      </c>
      <c r="D141" s="74">
        <f>IF(D109=5,IF(C122=1,1,0),0)</f>
        <v>0</v>
      </c>
      <c r="E141" s="70">
        <f>IF(E109=5,IF(F122=1,1,0),0)</f>
        <v>0</v>
      </c>
      <c r="G141" s="74">
        <f>IF(G109=5,IF(F122=1,1,0),0)</f>
        <v>0</v>
      </c>
      <c r="H141" s="70">
        <f>IF(H109=5,IF(I122=1,1,0),0)</f>
        <v>0</v>
      </c>
      <c r="J141" s="74">
        <f>IF(J109=5,IF(I122=1,1,0),0)</f>
        <v>0</v>
      </c>
      <c r="K141" s="70">
        <f>IF(K109=5,IF(L122=1,1,0),0)</f>
        <v>0</v>
      </c>
      <c r="M141" s="74">
        <f>IF(M109=5,IF(L122=1,1,0),0)</f>
        <v>0</v>
      </c>
      <c r="N141" s="70">
        <f>IF(N109=5,IF(O122=1,1,0),0)</f>
        <v>0</v>
      </c>
      <c r="P141" s="74">
        <f>IF(P109=5,IF(O122=1,1,0),0)</f>
        <v>0</v>
      </c>
      <c r="Q141" s="70">
        <f>IF(Q109=5,IF(R122=1,1,0),0)</f>
        <v>0</v>
      </c>
      <c r="S141" s="74">
        <f>IF(S109=5,IF(R122=1,1,0),0)</f>
        <v>1</v>
      </c>
      <c r="T141" s="70">
        <f>IF(T109=5,IF(U122=1,1,0),0)</f>
        <v>0</v>
      </c>
      <c r="V141" s="74">
        <f>IF(V109=5,IF(U122=1,1,0),0)</f>
        <v>0</v>
      </c>
      <c r="W141" s="70">
        <f>IF(W109=5,IF(X122=1,1,0),0)</f>
        <v>0</v>
      </c>
      <c r="Y141" s="74">
        <f>IF(Y109=5,IF(X122=1,1,0),0)</f>
        <v>1</v>
      </c>
      <c r="Z141" s="70">
        <f>IF(Z109=5,IF(AA122=1,1,0),0)</f>
        <v>0</v>
      </c>
      <c r="AB141" s="74">
        <f>IF(AB109=5,IF(AA122=1,1,0),0)</f>
        <v>0</v>
      </c>
      <c r="AC141" s="70">
        <f>IF(AC109=5,IF(AD122=1,1,0),0)</f>
        <v>0</v>
      </c>
      <c r="AE141" s="74">
        <f>IF(AE109=5,IF(AD122=1,1,0),0)</f>
        <v>0</v>
      </c>
      <c r="AF141" s="70">
        <f>SUM(B141:AE141)</f>
        <v>2</v>
      </c>
      <c r="AW141" s="154"/>
    </row>
    <row r="142" spans="1:49" s="70" customFormat="1" ht="38.25" hidden="1" customHeight="1" x14ac:dyDescent="0.2">
      <c r="A142" s="73"/>
      <c r="D142" s="74"/>
      <c r="G142" s="74"/>
      <c r="J142" s="74"/>
      <c r="M142" s="74"/>
      <c r="P142" s="74"/>
      <c r="S142" s="74"/>
      <c r="V142" s="74"/>
      <c r="Y142" s="74"/>
      <c r="AB142" s="74"/>
      <c r="AE142" s="74"/>
      <c r="AF142" s="73" t="s">
        <v>102</v>
      </c>
      <c r="AG142" s="280"/>
      <c r="AH142" s="280"/>
      <c r="AI142" s="280"/>
      <c r="AJ142" s="280"/>
      <c r="AK142" s="280"/>
      <c r="AW142" s="154"/>
    </row>
    <row r="143" spans="1:49" s="70" customFormat="1" ht="12.75" hidden="1" customHeight="1" x14ac:dyDescent="0.2">
      <c r="A143" s="70" t="s">
        <v>97</v>
      </c>
      <c r="B143" s="70">
        <f>IF(B109=1,B129,0)</f>
        <v>0</v>
      </c>
      <c r="D143" s="74">
        <f>IF(D109=1,B129,0)</f>
        <v>0</v>
      </c>
      <c r="E143" s="70">
        <f>IF(E109=1,E129,0)</f>
        <v>50</v>
      </c>
      <c r="G143" s="74">
        <f>IF(G109=1,E129,0)</f>
        <v>0</v>
      </c>
      <c r="H143" s="70">
        <f>IF(H109=1,H129,0)</f>
        <v>0</v>
      </c>
      <c r="J143" s="74">
        <f>IF(J109=1,H129,0)</f>
        <v>0</v>
      </c>
      <c r="K143" s="70">
        <f>IF(K109=1,K129,0)</f>
        <v>0</v>
      </c>
      <c r="M143" s="74">
        <f>IF(M109=1,K129,0)</f>
        <v>0</v>
      </c>
      <c r="N143" s="70">
        <f>IF(N109=1,N129,0)</f>
        <v>52</v>
      </c>
      <c r="P143" s="74">
        <f>IF(P109=1,N129,0)</f>
        <v>0</v>
      </c>
      <c r="Q143" s="70">
        <f>IF(Q109=1,Q129,0)</f>
        <v>0</v>
      </c>
      <c r="S143" s="74">
        <f>IF(S109=1,Q129,0)</f>
        <v>0</v>
      </c>
      <c r="T143" s="70">
        <f>IF(T109=1,T129,0)</f>
        <v>0</v>
      </c>
      <c r="V143" s="74">
        <f>IF(V109=1,T129,0)</f>
        <v>0</v>
      </c>
      <c r="W143" s="70">
        <f>IF(W109=1,W129,0)</f>
        <v>50</v>
      </c>
      <c r="Y143" s="74">
        <f>IF(Y109=1,W129,0)</f>
        <v>0</v>
      </c>
      <c r="Z143" s="70">
        <f>IF(Z109=1,Z129,0)</f>
        <v>0</v>
      </c>
      <c r="AB143" s="74">
        <f>IF(AB109=1,Z129,0)</f>
        <v>0</v>
      </c>
      <c r="AC143" s="70">
        <f>IF(AC109=1,AC129,0)</f>
        <v>50</v>
      </c>
      <c r="AE143" s="74">
        <f>IF(AE109=1,AC129,0)</f>
        <v>0</v>
      </c>
      <c r="AF143" s="70">
        <f>SUM(B143:AE143)</f>
        <v>202</v>
      </c>
      <c r="AW143" s="154"/>
    </row>
    <row r="144" spans="1:49" s="70" customFormat="1" ht="12.75" hidden="1" customHeight="1" x14ac:dyDescent="0.2">
      <c r="A144" s="70" t="s">
        <v>98</v>
      </c>
      <c r="B144" s="70">
        <f>IF(B109=2,B129,0)</f>
        <v>50</v>
      </c>
      <c r="D144" s="74">
        <f>IF(D109=2,B129,0)</f>
        <v>0</v>
      </c>
      <c r="E144" s="70">
        <f>IF(E109=2,E129,0)</f>
        <v>0</v>
      </c>
      <c r="G144" s="74">
        <f>IF(G109=2,E129,0)</f>
        <v>0</v>
      </c>
      <c r="H144" s="70">
        <f>IF(H109=2,H129,0)</f>
        <v>0</v>
      </c>
      <c r="J144" s="74">
        <f>IF(J109=2,H129,0)</f>
        <v>0</v>
      </c>
      <c r="K144" s="70">
        <f>IF(K109=2,K129,0)</f>
        <v>52</v>
      </c>
      <c r="M144" s="74">
        <f>IF(M109=2,K129,0)</f>
        <v>0</v>
      </c>
      <c r="N144" s="70">
        <f>IF(N109=2,N129,0)</f>
        <v>0</v>
      </c>
      <c r="P144" s="74">
        <f>IF(P109=2,N129,0)</f>
        <v>0</v>
      </c>
      <c r="Q144" s="70">
        <f>IF(Q109=2,Q129,0)</f>
        <v>0</v>
      </c>
      <c r="S144" s="74">
        <f>IF(S109=2,Q129,0)</f>
        <v>0</v>
      </c>
      <c r="T144" s="70">
        <f>IF(T109=2,T129,0)</f>
        <v>50</v>
      </c>
      <c r="V144" s="74">
        <f>IF(V109=2,T129,0)</f>
        <v>0</v>
      </c>
      <c r="W144" s="70">
        <f>IF(W109=2,W129,0)</f>
        <v>0</v>
      </c>
      <c r="Y144" s="74">
        <f>IF(Y109=2,W129,0)</f>
        <v>0</v>
      </c>
      <c r="Z144" s="70">
        <f>IF(Z109=2,Z129,0)</f>
        <v>0</v>
      </c>
      <c r="AB144" s="74">
        <f>IF(AB109=2,Z129,0)</f>
        <v>0</v>
      </c>
      <c r="AC144" s="70">
        <f>IF(AC109=2,AC129,0)</f>
        <v>0</v>
      </c>
      <c r="AE144" s="74">
        <f>IF(AE109=2,AC129,0)</f>
        <v>50</v>
      </c>
      <c r="AF144" s="70">
        <f>SUM(B144:AE144)</f>
        <v>202</v>
      </c>
      <c r="AW144" s="154"/>
    </row>
    <row r="145" spans="1:49" s="70" customFormat="1" ht="12.75" hidden="1" customHeight="1" x14ac:dyDescent="0.2">
      <c r="A145" s="70" t="s">
        <v>99</v>
      </c>
      <c r="B145" s="70">
        <f>IF(B109=3,B129,0)</f>
        <v>0</v>
      </c>
      <c r="D145" s="74">
        <f>IF(D109=3,B129,0)</f>
        <v>0</v>
      </c>
      <c r="E145" s="70">
        <f>IF(E109=3,E129,0)</f>
        <v>0</v>
      </c>
      <c r="G145" s="74">
        <f>IF(G109=3,E129,0)</f>
        <v>0</v>
      </c>
      <c r="H145" s="70">
        <f>IF(H109=3,H129,0)</f>
        <v>50</v>
      </c>
      <c r="J145" s="74">
        <f>IF(J109=3,H129,0)</f>
        <v>0</v>
      </c>
      <c r="K145" s="70">
        <f>IF(K109=3,K129,0)</f>
        <v>0</v>
      </c>
      <c r="M145" s="74">
        <f>IF(M109=3,K129,0)</f>
        <v>0</v>
      </c>
      <c r="N145" s="70">
        <f>IF(N109=3,N129,0)</f>
        <v>0</v>
      </c>
      <c r="P145" s="74">
        <f>IF(P109=3,N129,0)</f>
        <v>52</v>
      </c>
      <c r="Q145" s="70">
        <f>IF(Q109=3,Q129,0)</f>
        <v>0</v>
      </c>
      <c r="S145" s="74">
        <f>IF(S109=3,Q129,0)</f>
        <v>0</v>
      </c>
      <c r="T145" s="70">
        <f>IF(T109=3,T129,0)</f>
        <v>0</v>
      </c>
      <c r="V145" s="74">
        <f>IF(V109=3,T129,0)</f>
        <v>50</v>
      </c>
      <c r="W145" s="70">
        <f>IF(W109=3,W129,0)</f>
        <v>0</v>
      </c>
      <c r="Y145" s="74">
        <f>IF(Y109=3,W129,0)</f>
        <v>0</v>
      </c>
      <c r="Z145" s="70">
        <f>IF(Z109=3,Z129,0)</f>
        <v>50</v>
      </c>
      <c r="AB145" s="74">
        <f>IF(AB109=3,Z129,0)</f>
        <v>0</v>
      </c>
      <c r="AC145" s="70">
        <f>IF(AC109=3,AC129,0)</f>
        <v>0</v>
      </c>
      <c r="AE145" s="74">
        <f>IF(AE109=3,AC129,0)</f>
        <v>0</v>
      </c>
      <c r="AF145" s="70">
        <f>SUM(B145:AE145)</f>
        <v>202</v>
      </c>
      <c r="AW145" s="154"/>
    </row>
    <row r="146" spans="1:49" s="70" customFormat="1" ht="12.75" hidden="1" customHeight="1" x14ac:dyDescent="0.2">
      <c r="A146" s="70" t="s">
        <v>100</v>
      </c>
      <c r="B146" s="70">
        <f>IF(B109=4,B129,0)</f>
        <v>0</v>
      </c>
      <c r="D146" s="74">
        <f>IF(D109=4,B129,0)</f>
        <v>0</v>
      </c>
      <c r="E146" s="70">
        <f>IF(E109=4,E129,0)</f>
        <v>0</v>
      </c>
      <c r="G146" s="74">
        <f>IF(G109=4,E129,0)</f>
        <v>50</v>
      </c>
      <c r="H146" s="70">
        <f>IF(H109=4,H129,0)</f>
        <v>0</v>
      </c>
      <c r="J146" s="74">
        <f>IF(J109=4,H129,0)</f>
        <v>0</v>
      </c>
      <c r="K146" s="70">
        <f>IF(K109=4,K129,0)</f>
        <v>0</v>
      </c>
      <c r="M146" s="74">
        <f>IF(M109=4,K129,0)</f>
        <v>52</v>
      </c>
      <c r="N146" s="70">
        <f>IF(N109=4,N129,0)</f>
        <v>0</v>
      </c>
      <c r="P146" s="74">
        <f>IF(P109=4,N129,0)</f>
        <v>0</v>
      </c>
      <c r="Q146" s="70">
        <f>IF(Q109=4,Q129,0)</f>
        <v>50</v>
      </c>
      <c r="S146" s="74">
        <f>IF(S109=4,Q129,0)</f>
        <v>0</v>
      </c>
      <c r="T146" s="70">
        <f>IF(T109=4,T129,0)</f>
        <v>0</v>
      </c>
      <c r="V146" s="74">
        <f>IF(V109=4,T129,0)</f>
        <v>0</v>
      </c>
      <c r="W146" s="70">
        <f>IF(W109=4,W129,0)</f>
        <v>0</v>
      </c>
      <c r="Y146" s="74">
        <f>IF(Y109=4,W129,0)</f>
        <v>0</v>
      </c>
      <c r="Z146" s="70">
        <f>IF(Z109=4,Z129,0)</f>
        <v>0</v>
      </c>
      <c r="AB146" s="74">
        <f>IF(AB109=4,Z129,0)</f>
        <v>50</v>
      </c>
      <c r="AC146" s="70">
        <f>IF(AC109=4,AC129,0)</f>
        <v>0</v>
      </c>
      <c r="AE146" s="74">
        <f>IF(AE109=4,AC129,0)</f>
        <v>0</v>
      </c>
      <c r="AF146" s="70">
        <f>SUM(B146:AE146)</f>
        <v>202</v>
      </c>
      <c r="AW146" s="154"/>
    </row>
    <row r="147" spans="1:49" s="70" customFormat="1" ht="12.75" hidden="1" customHeight="1" x14ac:dyDescent="0.2">
      <c r="A147" s="70" t="s">
        <v>101</v>
      </c>
      <c r="B147" s="70">
        <f>IF(B109=5,B129,0)</f>
        <v>0</v>
      </c>
      <c r="D147" s="74">
        <f>IF(D109=5,B129,0)</f>
        <v>50</v>
      </c>
      <c r="E147" s="70">
        <f>IF(E109=5,E129,0)</f>
        <v>0</v>
      </c>
      <c r="G147" s="74">
        <f>IF(G109=5,E129,0)</f>
        <v>0</v>
      </c>
      <c r="H147" s="70">
        <f>IF(H109=5,H129,0)</f>
        <v>0</v>
      </c>
      <c r="J147" s="74">
        <f>IF(J109=5,H129,0)</f>
        <v>50</v>
      </c>
      <c r="K147" s="70">
        <f>IF(K109=5,K129,0)</f>
        <v>0</v>
      </c>
      <c r="M147" s="74">
        <f>IF(M109=5,K129,0)</f>
        <v>0</v>
      </c>
      <c r="N147" s="70">
        <f>IF(N109=5,N129,0)</f>
        <v>0</v>
      </c>
      <c r="P147" s="74">
        <f>IF(P109=5,N129,0)</f>
        <v>0</v>
      </c>
      <c r="Q147" s="70">
        <f>IF(Q109=5,Q129,0)</f>
        <v>0</v>
      </c>
      <c r="S147" s="74">
        <f>IF(S109=5,Q129,0)</f>
        <v>50</v>
      </c>
      <c r="T147" s="70">
        <f>IF(T109=5,T129,0)</f>
        <v>0</v>
      </c>
      <c r="V147" s="74">
        <f>IF(V109=5,T129,0)</f>
        <v>0</v>
      </c>
      <c r="W147" s="70">
        <f>IF(W109=5,W129,0)</f>
        <v>0</v>
      </c>
      <c r="Y147" s="74">
        <f>IF(Y109=5,W129,0)</f>
        <v>50</v>
      </c>
      <c r="Z147" s="70">
        <f>IF(Z109=5,Z129,0)</f>
        <v>0</v>
      </c>
      <c r="AB147" s="74">
        <f>IF(AB109=5,Z129,0)</f>
        <v>0</v>
      </c>
      <c r="AC147" s="70">
        <f>IF(AC109=5,AC129,0)</f>
        <v>0</v>
      </c>
      <c r="AE147" s="74">
        <f>IF(AE109=5,AC129,0)</f>
        <v>0</v>
      </c>
      <c r="AF147" s="70">
        <f>SUM(B147:AE147)</f>
        <v>200</v>
      </c>
      <c r="AW147" s="154"/>
    </row>
    <row r="148" spans="1:49" s="70" customFormat="1" ht="38.25" hidden="1" customHeight="1" x14ac:dyDescent="0.2">
      <c r="A148" s="70" t="s">
        <v>103</v>
      </c>
      <c r="D148" s="74"/>
      <c r="G148" s="74"/>
      <c r="J148" s="74"/>
      <c r="M148" s="74"/>
      <c r="P148" s="74"/>
      <c r="S148" s="74"/>
      <c r="V148" s="74"/>
      <c r="Y148" s="74"/>
      <c r="AB148" s="74"/>
      <c r="AE148" s="74"/>
      <c r="AF148" s="73" t="s">
        <v>104</v>
      </c>
      <c r="AG148" s="70" t="s">
        <v>105</v>
      </c>
      <c r="AW148" s="154"/>
    </row>
    <row r="149" spans="1:49" s="70" customFormat="1" ht="12.75" hidden="1" customHeight="1" x14ac:dyDescent="0.2">
      <c r="A149" s="70" t="s">
        <v>91</v>
      </c>
      <c r="B149" s="70">
        <f>IF(B109=1,SUMIF(B116:B120,"&gt;0"),0)</f>
        <v>0</v>
      </c>
      <c r="D149" s="74">
        <f>IF(D109=1,SUMIF(D116:D120,"&gt;0"),0)</f>
        <v>0</v>
      </c>
      <c r="E149" s="70">
        <f>IF(E109=1,SUMIF(E116:E120,"&gt;0"),0)</f>
        <v>1</v>
      </c>
      <c r="G149" s="74">
        <f>IF(G109=1,SUMIF(G116:G120,"&gt;0"),0)</f>
        <v>0</v>
      </c>
      <c r="H149" s="70">
        <f>IF(H109=1,SUMIF(H116:H120,"&gt;0"),0)</f>
        <v>0</v>
      </c>
      <c r="J149" s="74">
        <f>IF(J109=1,SUMIF(J116:J120,"&gt;0"),0)</f>
        <v>0</v>
      </c>
      <c r="K149" s="70">
        <f>IF(K109=1,SUMIF(K116:K120,"&gt;0"),0)</f>
        <v>0</v>
      </c>
      <c r="M149" s="74">
        <f>IF(M109=1,SUMIF(M116:M120,"&gt;0"),0)</f>
        <v>0</v>
      </c>
      <c r="N149" s="70">
        <f>IF(N109=1,SUMIF(N116:N120,"&gt;0"),0)</f>
        <v>2</v>
      </c>
      <c r="P149" s="74">
        <f>IF(P109=1,SUMIF(P116:P120,"&gt;0"),0)</f>
        <v>0</v>
      </c>
      <c r="Q149" s="70">
        <f>IF(Q109=1,SUMIF(Q116:Q120,"&gt;0"),0)</f>
        <v>0</v>
      </c>
      <c r="S149" s="74">
        <f>IF(S109=1,SUMIF(S116:S120,"&gt;0"),0)</f>
        <v>0</v>
      </c>
      <c r="T149" s="70">
        <f>IF(T109=1,SUMIF(T116:T120,"&gt;0"),0)</f>
        <v>0</v>
      </c>
      <c r="V149" s="74">
        <f>IF(V109=1,SUMIF(V116:V120,"&gt;0"),0)</f>
        <v>0</v>
      </c>
      <c r="W149" s="70">
        <f>IF(W109=1,SUMIF(W116:W120,"&gt;0"),0)</f>
        <v>0</v>
      </c>
      <c r="Y149" s="74">
        <f>IF(Y109=1,SUMIF(Y116:Y120,"&gt;0"),0)</f>
        <v>0</v>
      </c>
      <c r="Z149" s="70">
        <f>IF(Z109=1,SUMIF(Z116:Z120,"&gt;0"),0)</f>
        <v>0</v>
      </c>
      <c r="AB149" s="74">
        <f>IF(AB109=1,SUMIF(AB116:AB120,"&gt;0"),0)</f>
        <v>0</v>
      </c>
      <c r="AC149" s="70">
        <f>IF(AC109=1,SUMIF(AC116:AC120,"&gt;0"),0)</f>
        <v>2</v>
      </c>
      <c r="AE149" s="74">
        <f>IF(AE109=1,SUMIF(AE116:AE120,"&gt;0"),0)</f>
        <v>0</v>
      </c>
      <c r="AF149" s="70">
        <f>SUM(B149:AE149)</f>
        <v>5</v>
      </c>
      <c r="AG149" s="70">
        <f>AF157-AF149</f>
        <v>3</v>
      </c>
      <c r="AW149" s="154"/>
    </row>
    <row r="150" spans="1:49" s="70" customFormat="1" ht="12.75" hidden="1" customHeight="1" x14ac:dyDescent="0.2">
      <c r="A150" s="70" t="s">
        <v>92</v>
      </c>
      <c r="B150" s="70">
        <f>IF(B109=2,SUMIF(B116:B120,"&gt;0"),0)</f>
        <v>1</v>
      </c>
      <c r="D150" s="74">
        <f>IF(D109=2,SUMIF(D116:D120,"&gt;0"),0)</f>
        <v>0</v>
      </c>
      <c r="E150" s="70">
        <f>IF(E109=2,SUMIF(E116:E120,"&gt;0"),0)</f>
        <v>0</v>
      </c>
      <c r="G150" s="74">
        <f>IF(G109=2,SUMIF(G116:G120,"&gt;0"),0)</f>
        <v>0</v>
      </c>
      <c r="H150" s="70">
        <f>IF(H109=2,SUMIF(H116:H120,"&gt;0"),0)</f>
        <v>0</v>
      </c>
      <c r="J150" s="74">
        <f>IF(J109=2,SUMIF(J116:J120,"&gt;0"),0)</f>
        <v>0</v>
      </c>
      <c r="K150" s="70">
        <f>IF(K109=2,SUMIF(K116:K120,"&gt;0"),0)</f>
        <v>1</v>
      </c>
      <c r="M150" s="74">
        <f>IF(M109=2,SUMIF(M116:M120,"&gt;0"),0)</f>
        <v>0</v>
      </c>
      <c r="N150" s="70">
        <f>IF(N109=2,SUMIF(N116:N120,"&gt;0"),0)</f>
        <v>0</v>
      </c>
      <c r="P150" s="74">
        <f>IF(P109=2,SUMIF(P116:P120,"&gt;0"),0)</f>
        <v>0</v>
      </c>
      <c r="Q150" s="70">
        <f>IF(Q109=2,SUMIF(Q116:Q120,"&gt;0"),0)</f>
        <v>0</v>
      </c>
      <c r="S150" s="74">
        <f>IF(S109=2,SUMIF(S116:S120,"&gt;0"),0)</f>
        <v>0</v>
      </c>
      <c r="T150" s="70">
        <f>IF(T109=2,SUMIF(T116:T120,"&gt;0"),0)</f>
        <v>2</v>
      </c>
      <c r="V150" s="74">
        <f>IF(V109=2,SUMIF(V116:V120,"&gt;0"),0)</f>
        <v>0</v>
      </c>
      <c r="W150" s="70">
        <f>IF(W109=2,SUMIF(W116:W120,"&gt;0"),0)</f>
        <v>0</v>
      </c>
      <c r="Y150" s="74">
        <f>IF(Y109=2,SUMIF(Y116:Y120,"&gt;0"),0)</f>
        <v>0</v>
      </c>
      <c r="Z150" s="70">
        <f>IF(Z109=2,SUMIF(Z116:Z120,"&gt;0"),0)</f>
        <v>0</v>
      </c>
      <c r="AB150" s="74">
        <f>IF(AB109=2,SUMIF(AB116:AB120,"&gt;0"),0)</f>
        <v>0</v>
      </c>
      <c r="AC150" s="70">
        <f>IF(AC109=2,SUMIF(AC116:AC120,"&gt;0"),0)</f>
        <v>0</v>
      </c>
      <c r="AE150" s="74">
        <f>IF(AE109=2,SUMIF(AE116:AE120,"&gt;0"),0)</f>
        <v>0</v>
      </c>
      <c r="AF150" s="70">
        <f>SUM(B150:AE150)</f>
        <v>4</v>
      </c>
      <c r="AG150" s="70">
        <f>AF158-AF150</f>
        <v>4</v>
      </c>
      <c r="AW150" s="154"/>
    </row>
    <row r="151" spans="1:49" s="70" customFormat="1" ht="12.75" hidden="1" customHeight="1" x14ac:dyDescent="0.2">
      <c r="A151" s="70" t="s">
        <v>93</v>
      </c>
      <c r="B151" s="70">
        <f>IF(B109=3,SUMIF(B116:B120,"&gt;0"),0)</f>
        <v>0</v>
      </c>
      <c r="D151" s="74">
        <f>IF(D109=3,SUMIF(D116:D120,"&gt;0"),0)</f>
        <v>0</v>
      </c>
      <c r="E151" s="70">
        <f>IF(E109=3,SUMIF(E116:E120,"&gt;0"),0)</f>
        <v>0</v>
      </c>
      <c r="G151" s="74">
        <f>IF(G109=3,SUMIF(G116:G120,"&gt;0"),0)</f>
        <v>0</v>
      </c>
      <c r="H151" s="70">
        <f>IF(H109=3,SUMIF(H116:H120,"&gt;0"),0)</f>
        <v>1</v>
      </c>
      <c r="J151" s="74">
        <f>IF(J109=3,SUMIF(J116:J120,"&gt;0"),0)</f>
        <v>0</v>
      </c>
      <c r="K151" s="70">
        <f>IF(K109=3,SUMIF(K116:K120,"&gt;0"),0)</f>
        <v>0</v>
      </c>
      <c r="M151" s="74">
        <f>IF(M109=3,SUMIF(M116:M120,"&gt;0"),0)</f>
        <v>0</v>
      </c>
      <c r="N151" s="70">
        <f>IF(N109=3,SUMIF(N116:N120,"&gt;0"),0)</f>
        <v>0</v>
      </c>
      <c r="P151" s="74">
        <f>IF(P109=3,SUMIF(P116:P120,"&gt;0"),0)</f>
        <v>0</v>
      </c>
      <c r="Q151" s="70">
        <f>IF(Q109=3,SUMIF(Q116:Q120,"&gt;0"),0)</f>
        <v>0</v>
      </c>
      <c r="S151" s="74">
        <f>IF(S109=3,SUMIF(S116:S120,"&gt;0"),0)</f>
        <v>0</v>
      </c>
      <c r="T151" s="70">
        <f>IF(T109=3,SUMIF(T116:T120,"&gt;0"),0)</f>
        <v>0</v>
      </c>
      <c r="V151" s="74">
        <f>IF(V109=3,SUMIF(V116:V120,"&gt;0"),0)</f>
        <v>0</v>
      </c>
      <c r="W151" s="70">
        <f>IF(W109=3,SUMIF(W116:W120,"&gt;0"),0)</f>
        <v>0</v>
      </c>
      <c r="Y151" s="74">
        <f>IF(Y109=3,SUMIF(Y116:Y120,"&gt;0"),0)</f>
        <v>0</v>
      </c>
      <c r="Z151" s="70">
        <f>IF(Z109=3,SUMIF(Z116:Z120,"&gt;0"),0)</f>
        <v>0</v>
      </c>
      <c r="AB151" s="74">
        <f>IF(AB109=3,SUMIF(AB116:AB120,"&gt;0"),0)</f>
        <v>0</v>
      </c>
      <c r="AC151" s="70">
        <f>IF(AC109=3,SUMIF(AC116:AC120,"&gt;0"),0)</f>
        <v>0</v>
      </c>
      <c r="AE151" s="74">
        <f>IF(AE109=3,SUMIF(AE116:AE120,"&gt;0"),0)</f>
        <v>0</v>
      </c>
      <c r="AF151" s="70">
        <f>SUM(B151:AE151)</f>
        <v>1</v>
      </c>
      <c r="AG151" s="70">
        <f>AF159-AF151</f>
        <v>7</v>
      </c>
      <c r="AW151" s="154"/>
    </row>
    <row r="152" spans="1:49" s="70" customFormat="1" ht="12.75" hidden="1" customHeight="1" x14ac:dyDescent="0.2">
      <c r="A152" s="70" t="s">
        <v>94</v>
      </c>
      <c r="B152" s="70">
        <f>IF(B109=4,SUMIF(B116:B120,"&gt;0"),0)</f>
        <v>0</v>
      </c>
      <c r="D152" s="74">
        <f>IF(D109=4,SUMIF(D116:D120,"&gt;0"),0)</f>
        <v>0</v>
      </c>
      <c r="E152" s="70">
        <f>IF(E109=4,SUMIF(E116:E120,"&gt;0"),0)</f>
        <v>0</v>
      </c>
      <c r="G152" s="74">
        <f>IF(G109=4,SUMIF(G116:G120,"&gt;0"),0)</f>
        <v>1</v>
      </c>
      <c r="H152" s="70">
        <f>IF(H109=4,SUMIF(H116:H120,"&gt;0"),0)</f>
        <v>0</v>
      </c>
      <c r="J152" s="74">
        <f>IF(J109=4,SUMIF(J116:J120,"&gt;0"),0)</f>
        <v>0</v>
      </c>
      <c r="K152" s="70">
        <f>IF(K109=4,SUMIF(K116:K120,"&gt;0"),0)</f>
        <v>0</v>
      </c>
      <c r="M152" s="74">
        <f>IF(M109=4,SUMIF(M116:M120,"&gt;0"),0)</f>
        <v>1</v>
      </c>
      <c r="N152" s="70">
        <f>IF(N109=4,SUMIF(N116:N120,"&gt;0"),0)</f>
        <v>0</v>
      </c>
      <c r="P152" s="74">
        <f>IF(P109=4,SUMIF(P116:P120,"&gt;0"),0)</f>
        <v>0</v>
      </c>
      <c r="Q152" s="70">
        <f>IF(Q109=4,SUMIF(Q116:Q120,"&gt;0"),0)</f>
        <v>2</v>
      </c>
      <c r="S152" s="74">
        <f>IF(S109=4,SUMIF(S116:S120,"&gt;0"),0)</f>
        <v>0</v>
      </c>
      <c r="T152" s="70">
        <f>IF(T109=4,SUMIF(T116:T120,"&gt;0"),0)</f>
        <v>0</v>
      </c>
      <c r="V152" s="74">
        <f>IF(V109=4,SUMIF(V116:V120,"&gt;0"),0)</f>
        <v>0</v>
      </c>
      <c r="W152" s="70">
        <f>IF(W109=4,SUMIF(W116:W120,"&gt;0"),0)</f>
        <v>0</v>
      </c>
      <c r="Y152" s="74">
        <f>IF(Y109=4,SUMIF(Y116:Y120,"&gt;0"),0)</f>
        <v>0</v>
      </c>
      <c r="Z152" s="70">
        <f>IF(Z109=4,SUMIF(Z116:Z120,"&gt;0"),0)</f>
        <v>0</v>
      </c>
      <c r="AB152" s="74">
        <f>IF(AB109=4,SUMIF(AB116:AB120,"&gt;0"),0)</f>
        <v>2</v>
      </c>
      <c r="AC152" s="70">
        <f>IF(AC109=4,SUMIF(AC116:AC120,"&gt;0"),0)</f>
        <v>0</v>
      </c>
      <c r="AE152" s="74">
        <f>IF(AE109=4,SUMIF(AE116:AE120,"&gt;0"),0)</f>
        <v>0</v>
      </c>
      <c r="AF152" s="70">
        <f>SUM(B152:AE152)</f>
        <v>6</v>
      </c>
      <c r="AG152" s="70">
        <f>AF160-AF152</f>
        <v>2</v>
      </c>
      <c r="AW152" s="154"/>
    </row>
    <row r="153" spans="1:49" s="70" customFormat="1" ht="12.75" hidden="1" customHeight="1" x14ac:dyDescent="0.2">
      <c r="A153" s="70" t="s">
        <v>95</v>
      </c>
      <c r="B153" s="70">
        <f>IF(B109=5,SUMIF(B116:B120,"&gt;0"),0)</f>
        <v>0</v>
      </c>
      <c r="D153" s="74">
        <f>IF(D109=5,SUMIF(D116:D120,"&gt;0"),0)</f>
        <v>1</v>
      </c>
      <c r="E153" s="70">
        <f>IF(E109=5,SUMIF(E116:E120,"&gt;0"),0)</f>
        <v>0</v>
      </c>
      <c r="G153" s="74">
        <f>IF(G109=5,SUMIF(G116:G120,"&gt;0"),0)</f>
        <v>0</v>
      </c>
      <c r="H153" s="70">
        <f>IF(H109=5,SUMIF(H116:H120,"&gt;0"),0)</f>
        <v>0</v>
      </c>
      <c r="J153" s="74">
        <f>IF(J109=5,SUMIF(J116:J120,"&gt;0"),0)</f>
        <v>1</v>
      </c>
      <c r="K153" s="70">
        <f>IF(K109=5,SUMIF(K116:K120,"&gt;0"),0)</f>
        <v>0</v>
      </c>
      <c r="M153" s="74">
        <f>IF(M109=5,SUMIF(M116:M120,"&gt;0"),0)</f>
        <v>0</v>
      </c>
      <c r="N153" s="70">
        <f>IF(N109=5,SUMIF(N116:N120,"&gt;0"),0)</f>
        <v>0</v>
      </c>
      <c r="P153" s="74">
        <f>IF(P109=5,SUMIF(P116:P120,"&gt;0"),0)</f>
        <v>0</v>
      </c>
      <c r="Q153" s="70">
        <f>IF(Q109=5,SUMIF(Q116:Q120,"&gt;0"),0)</f>
        <v>0</v>
      </c>
      <c r="S153" s="74">
        <f>IF(S109=5,SUMIF(S116:S120,"&gt;0"),0)</f>
        <v>0</v>
      </c>
      <c r="T153" s="70">
        <f>IF(T109=5,SUMIF(T116:T120,"&gt;0"),0)</f>
        <v>0</v>
      </c>
      <c r="V153" s="74">
        <f>IF(V109=5,SUMIF(V116:V120,"&gt;0"),0)</f>
        <v>0</v>
      </c>
      <c r="W153" s="70">
        <f>IF(W109=5,SUMIF(W116:W120,"&gt;0"),0)</f>
        <v>0</v>
      </c>
      <c r="Y153" s="74">
        <f>IF(Y109=5,SUMIF(Y116:Y120,"&gt;0"),0)</f>
        <v>2</v>
      </c>
      <c r="Z153" s="70">
        <f>IF(Z109=5,SUMIF(Z116:Z120,"&gt;0"),0)</f>
        <v>0</v>
      </c>
      <c r="AB153" s="74">
        <f>IF(AB109=5,SUMIF(AB116:AB120,"&gt;0"),0)</f>
        <v>0</v>
      </c>
      <c r="AC153" s="70">
        <f>IF(AC109=5,SUMIF(AC116:AC120,"&gt;0"),0)</f>
        <v>0</v>
      </c>
      <c r="AE153" s="74">
        <f>IF(AE109=5,SUMIF(AE116:AE120,"&gt;0"),0)</f>
        <v>0</v>
      </c>
      <c r="AF153" s="70">
        <f>SUM(B153:AE153)</f>
        <v>4</v>
      </c>
      <c r="AG153" s="70">
        <f>AF161-AF153</f>
        <v>4</v>
      </c>
      <c r="AW153" s="154"/>
    </row>
    <row r="154" spans="1:49" s="70" customFormat="1" ht="12.75" hidden="1" customHeight="1" x14ac:dyDescent="0.2">
      <c r="D154" s="74"/>
      <c r="G154" s="74"/>
      <c r="J154" s="74"/>
      <c r="M154" s="74"/>
      <c r="P154" s="74"/>
      <c r="S154" s="74"/>
      <c r="V154" s="74"/>
      <c r="Y154" s="74"/>
      <c r="AB154" s="74"/>
      <c r="AE154" s="74"/>
      <c r="AW154" s="154"/>
    </row>
    <row r="155" spans="1:49" s="70" customFormat="1" ht="12.75" hidden="1" customHeight="1" x14ac:dyDescent="0.2">
      <c r="D155" s="74"/>
      <c r="G155" s="74"/>
      <c r="J155" s="74"/>
      <c r="M155" s="74"/>
      <c r="P155" s="74"/>
      <c r="S155" s="74"/>
      <c r="V155" s="74"/>
      <c r="Y155" s="74"/>
      <c r="AB155" s="74"/>
      <c r="AE155" s="74"/>
      <c r="AW155" s="154"/>
    </row>
    <row r="156" spans="1:49" s="70" customFormat="1" ht="51" hidden="1" customHeight="1" x14ac:dyDescent="0.2">
      <c r="A156" s="73" t="s">
        <v>106</v>
      </c>
      <c r="C156" s="70">
        <f>SUMIF(B149:D153,"&gt;0")</f>
        <v>2</v>
      </c>
      <c r="D156" s="74"/>
      <c r="F156" s="70">
        <f>SUMIF(E149:G153,"&gt;0")</f>
        <v>2</v>
      </c>
      <c r="G156" s="74"/>
      <c r="I156" s="70">
        <f>SUMIF(H149:J153,"&gt;0")</f>
        <v>2</v>
      </c>
      <c r="J156" s="74"/>
      <c r="L156" s="70">
        <f>SUMIF(K149:M153,"&gt;0")</f>
        <v>2</v>
      </c>
      <c r="M156" s="74"/>
      <c r="O156" s="70">
        <f>SUMIF(N149:P153,"&gt;0")</f>
        <v>2</v>
      </c>
      <c r="P156" s="74"/>
      <c r="R156" s="70">
        <f>SUMIF(Q149:S153,"&gt;0")</f>
        <v>2</v>
      </c>
      <c r="S156" s="74"/>
      <c r="U156" s="70">
        <f>SUMIF(T149:V153,"&gt;0")</f>
        <v>2</v>
      </c>
      <c r="V156" s="74"/>
      <c r="X156" s="70">
        <f>SUMIF(W149:Y153,"&gt;0")</f>
        <v>2</v>
      </c>
      <c r="Y156" s="74"/>
      <c r="AA156" s="70">
        <f>SUMIF(Z149:AB153,"&gt;0")</f>
        <v>2</v>
      </c>
      <c r="AB156" s="74"/>
      <c r="AD156" s="70">
        <f>SUMIF(AC149:AE153,"&gt;0")</f>
        <v>2</v>
      </c>
      <c r="AE156" s="74"/>
      <c r="AF156" s="73" t="s">
        <v>107</v>
      </c>
      <c r="AW156" s="154"/>
    </row>
    <row r="157" spans="1:49" s="70" customFormat="1" ht="12.75" hidden="1" customHeight="1" x14ac:dyDescent="0.2">
      <c r="A157" s="70" t="s">
        <v>97</v>
      </c>
      <c r="B157" s="70">
        <f>IF(B109=1,C156,0)</f>
        <v>0</v>
      </c>
      <c r="D157" s="74">
        <f>IF(D109=1,C156,0)</f>
        <v>0</v>
      </c>
      <c r="E157" s="70">
        <f>IF(E109=1,F156,0)</f>
        <v>2</v>
      </c>
      <c r="G157" s="74">
        <f>IF(G109=1,F156,0)</f>
        <v>0</v>
      </c>
      <c r="H157" s="70">
        <f>IF(H109=1,I156,0)</f>
        <v>0</v>
      </c>
      <c r="J157" s="74">
        <f>IF(J109=1,I156,0)</f>
        <v>0</v>
      </c>
      <c r="K157" s="70">
        <f>IF(K109=1,L156,0)</f>
        <v>0</v>
      </c>
      <c r="M157" s="74">
        <f>IF(M109=1,L156,0)</f>
        <v>0</v>
      </c>
      <c r="N157" s="70">
        <f>IF(N109=1,O156,0)</f>
        <v>2</v>
      </c>
      <c r="P157" s="74">
        <f>IF(P109=1,O156,0)</f>
        <v>0</v>
      </c>
      <c r="Q157" s="70">
        <f>IF(Q109=1,R156,0)</f>
        <v>0</v>
      </c>
      <c r="S157" s="74">
        <f>IF(S109=1,R156,0)</f>
        <v>0</v>
      </c>
      <c r="T157" s="70">
        <f>IF(T109=1,U156,0)</f>
        <v>0</v>
      </c>
      <c r="V157" s="74">
        <f>IF(V109=1,U156,0)</f>
        <v>0</v>
      </c>
      <c r="W157" s="70">
        <f>IF(W109=1,X156,0)</f>
        <v>2</v>
      </c>
      <c r="Y157" s="74">
        <f>IF(Y109=1,X156,0)</f>
        <v>0</v>
      </c>
      <c r="Z157" s="70">
        <f>IF(Z109=1,AA156,0)</f>
        <v>0</v>
      </c>
      <c r="AB157" s="74">
        <f>IF(AB109=1,AA156,0)</f>
        <v>0</v>
      </c>
      <c r="AC157" s="70">
        <f>IF(AC109=1,AD156,0)</f>
        <v>2</v>
      </c>
      <c r="AE157" s="74">
        <f>IF(AE109=1,AD156,0)</f>
        <v>0</v>
      </c>
      <c r="AF157" s="70">
        <f>SUM(B157:AE157)</f>
        <v>8</v>
      </c>
      <c r="AW157" s="154"/>
    </row>
    <row r="158" spans="1:49" s="70" customFormat="1" ht="12.75" hidden="1" customHeight="1" x14ac:dyDescent="0.2">
      <c r="A158" s="70" t="s">
        <v>98</v>
      </c>
      <c r="B158" s="70">
        <f>IF(B109=2,C156,0)</f>
        <v>2</v>
      </c>
      <c r="D158" s="74">
        <f>IF(D109=2,C156,0)</f>
        <v>0</v>
      </c>
      <c r="E158" s="70">
        <f>IF(E109=2,F156,0)</f>
        <v>0</v>
      </c>
      <c r="G158" s="74">
        <f>IF(G109=2,F156,0)</f>
        <v>0</v>
      </c>
      <c r="H158" s="70">
        <f>IF(H109=2,I156,0)</f>
        <v>0</v>
      </c>
      <c r="J158" s="74">
        <f>IF(J109=2,I156,0)</f>
        <v>0</v>
      </c>
      <c r="K158" s="70">
        <f>IF(K109=2,L156,0)</f>
        <v>2</v>
      </c>
      <c r="M158" s="74">
        <f>IF(M109=2,L156,0)</f>
        <v>0</v>
      </c>
      <c r="N158" s="70">
        <f>IF(N109=2,O156,0)</f>
        <v>0</v>
      </c>
      <c r="P158" s="74">
        <f>IF(P109=2,O156,0)</f>
        <v>0</v>
      </c>
      <c r="Q158" s="70">
        <f>IF(Q109=2,R156,0)</f>
        <v>0</v>
      </c>
      <c r="S158" s="74">
        <f>IF(S109=2,R156,0)</f>
        <v>0</v>
      </c>
      <c r="T158" s="70">
        <f>IF(T109=2,U156,0)</f>
        <v>2</v>
      </c>
      <c r="V158" s="74">
        <f>IF(V109=2,U156,0)</f>
        <v>0</v>
      </c>
      <c r="W158" s="70">
        <f>IF(W109=2,X156,0)</f>
        <v>0</v>
      </c>
      <c r="Y158" s="74">
        <f>IF(Y109=2,X156,0)</f>
        <v>0</v>
      </c>
      <c r="Z158" s="70">
        <f>IF(Z109=2,AA156,0)</f>
        <v>0</v>
      </c>
      <c r="AB158" s="74">
        <f>IF(AB109=2,AA156,0)</f>
        <v>0</v>
      </c>
      <c r="AC158" s="70">
        <f>IF(AC109=2,AD156,0)</f>
        <v>0</v>
      </c>
      <c r="AE158" s="74">
        <f>IF(AE109=2,AD156,0)</f>
        <v>2</v>
      </c>
      <c r="AF158" s="70">
        <f>SUM(B158:AE158)</f>
        <v>8</v>
      </c>
      <c r="AW158" s="154"/>
    </row>
    <row r="159" spans="1:49" s="70" customFormat="1" ht="12.75" hidden="1" customHeight="1" x14ac:dyDescent="0.2">
      <c r="A159" s="70" t="s">
        <v>99</v>
      </c>
      <c r="B159" s="70">
        <f>IF(B109=3,C156,0)</f>
        <v>0</v>
      </c>
      <c r="D159" s="74">
        <f>IF(D109=3,C156,0)</f>
        <v>0</v>
      </c>
      <c r="E159" s="70">
        <f>IF(E109=3,F156,0)</f>
        <v>0</v>
      </c>
      <c r="G159" s="74">
        <f>IF(G109=3,F156,0)</f>
        <v>0</v>
      </c>
      <c r="H159" s="70">
        <f>IF(H109=3,I156,0)</f>
        <v>2</v>
      </c>
      <c r="J159" s="74">
        <f>IF(J109=3,I156,0)</f>
        <v>0</v>
      </c>
      <c r="K159" s="70">
        <f>IF(K109=3,L156,0)</f>
        <v>0</v>
      </c>
      <c r="M159" s="74">
        <f>IF(M109=3,L156,0)</f>
        <v>0</v>
      </c>
      <c r="N159" s="70">
        <f>IF(N109=3,O156,0)</f>
        <v>0</v>
      </c>
      <c r="P159" s="74">
        <f>IF(P109=3,O156,0)</f>
        <v>2</v>
      </c>
      <c r="Q159" s="70">
        <f>IF(Q109=3,R156,0)</f>
        <v>0</v>
      </c>
      <c r="S159" s="74">
        <f>IF(S109=3,R156,0)</f>
        <v>0</v>
      </c>
      <c r="T159" s="70">
        <f>IF(T109=3,U156,0)</f>
        <v>0</v>
      </c>
      <c r="V159" s="74">
        <f>IF(V109=3,U156,0)</f>
        <v>2</v>
      </c>
      <c r="W159" s="70">
        <f>IF(W109=3,X156,0)</f>
        <v>0</v>
      </c>
      <c r="Y159" s="74">
        <f>IF(Y109=3,X156,0)</f>
        <v>0</v>
      </c>
      <c r="Z159" s="70">
        <f>IF(Z109=3,AA156,0)</f>
        <v>2</v>
      </c>
      <c r="AB159" s="74">
        <f>IF(AB109=3,AA156,0)</f>
        <v>0</v>
      </c>
      <c r="AC159" s="70">
        <f>IF(AC109=3,AD156,0)</f>
        <v>0</v>
      </c>
      <c r="AE159" s="74">
        <f>IF(AE109=3,AD156,0)</f>
        <v>0</v>
      </c>
      <c r="AF159" s="70">
        <f>SUM(B159:AE159)</f>
        <v>8</v>
      </c>
      <c r="AW159" s="154"/>
    </row>
    <row r="160" spans="1:49" s="70" customFormat="1" ht="12.75" hidden="1" customHeight="1" x14ac:dyDescent="0.2">
      <c r="A160" s="70" t="s">
        <v>100</v>
      </c>
      <c r="B160" s="70">
        <f>IF(B109=4,C156,0)</f>
        <v>0</v>
      </c>
      <c r="D160" s="74">
        <f>IF(D109=4,C156,0)</f>
        <v>0</v>
      </c>
      <c r="E160" s="70">
        <f>IF(E109=4,F156,0)</f>
        <v>0</v>
      </c>
      <c r="G160" s="74">
        <f>IF(G109=4,F156,0)</f>
        <v>2</v>
      </c>
      <c r="H160" s="70">
        <f>IF(H109=4,I156,0)</f>
        <v>0</v>
      </c>
      <c r="J160" s="74">
        <f>IF(J109=4,I156,0)</f>
        <v>0</v>
      </c>
      <c r="K160" s="70">
        <f>IF(K109=4,L156,0)</f>
        <v>0</v>
      </c>
      <c r="M160" s="74">
        <f>IF(M109=4,L156,0)</f>
        <v>2</v>
      </c>
      <c r="N160" s="70">
        <f>IF(N109=4,O156,0)</f>
        <v>0</v>
      </c>
      <c r="P160" s="74">
        <f>IF(P109=4,O156,0)</f>
        <v>0</v>
      </c>
      <c r="Q160" s="70">
        <f>IF(Q109=4,R156,0)</f>
        <v>2</v>
      </c>
      <c r="S160" s="74">
        <f>IF(S109=4,R156,0)</f>
        <v>0</v>
      </c>
      <c r="T160" s="70">
        <f>IF(T109=4,U156,0)</f>
        <v>0</v>
      </c>
      <c r="V160" s="74">
        <f>IF(V109=4,U156,0)</f>
        <v>0</v>
      </c>
      <c r="W160" s="70">
        <f>IF(W109=4,X156,0)</f>
        <v>0</v>
      </c>
      <c r="Y160" s="74">
        <f>IF(Y109=4,X156,0)</f>
        <v>0</v>
      </c>
      <c r="Z160" s="70">
        <f>IF(Z109=4,AA156,0)</f>
        <v>0</v>
      </c>
      <c r="AB160" s="74">
        <f>IF(AB109=4,AA156,0)</f>
        <v>2</v>
      </c>
      <c r="AC160" s="70">
        <f>IF(AC109=4,AD156,0)</f>
        <v>0</v>
      </c>
      <c r="AE160" s="74">
        <f>IF(AE109=4,AD156,0)</f>
        <v>0</v>
      </c>
      <c r="AF160" s="70">
        <f>SUM(B160:AE160)</f>
        <v>8</v>
      </c>
      <c r="AW160" s="154"/>
    </row>
    <row r="161" spans="1:54" s="70" customFormat="1" ht="12.75" hidden="1" customHeight="1" x14ac:dyDescent="0.2">
      <c r="A161" s="70" t="s">
        <v>101</v>
      </c>
      <c r="B161" s="70">
        <f>IF(B109=5,C156,0)</f>
        <v>0</v>
      </c>
      <c r="D161" s="74">
        <f>IF(D109=5,C156,0)</f>
        <v>2</v>
      </c>
      <c r="E161" s="70">
        <f>IF(E109=5,F156,0)</f>
        <v>0</v>
      </c>
      <c r="G161" s="74">
        <f>IF(G109=5,F156,0)</f>
        <v>0</v>
      </c>
      <c r="H161" s="70">
        <f>IF(H109=5,I156,0)</f>
        <v>0</v>
      </c>
      <c r="J161" s="74">
        <f>IF(J109=5,I156,0)</f>
        <v>2</v>
      </c>
      <c r="K161" s="70">
        <f>IF(K109=5,L156,0)</f>
        <v>0</v>
      </c>
      <c r="M161" s="74">
        <f>IF(M109=5,L156,0)</f>
        <v>0</v>
      </c>
      <c r="N161" s="70">
        <f>IF(N109=5,O156,0)</f>
        <v>0</v>
      </c>
      <c r="P161" s="74">
        <f>IF(P109=5,O156,0)</f>
        <v>0</v>
      </c>
      <c r="Q161" s="70">
        <f>IF(Q109=5,R156,0)</f>
        <v>0</v>
      </c>
      <c r="S161" s="74">
        <f>IF(S109=5,R156,0)</f>
        <v>2</v>
      </c>
      <c r="T161" s="70">
        <f>IF(T109=5,U156,0)</f>
        <v>0</v>
      </c>
      <c r="V161" s="74">
        <f>IF(V109=5,U156,0)</f>
        <v>0</v>
      </c>
      <c r="W161" s="70">
        <f>IF(W109=5,X156,0)</f>
        <v>0</v>
      </c>
      <c r="Y161" s="74">
        <f>IF(Y109=5,X156,0)</f>
        <v>2</v>
      </c>
      <c r="Z161" s="70">
        <f>IF(Z109=5,AA156,0)</f>
        <v>0</v>
      </c>
      <c r="AB161" s="74">
        <f>IF(AB109=5,AA156,0)</f>
        <v>0</v>
      </c>
      <c r="AC161" s="70">
        <f>IF(AC109=5,AD156,0)</f>
        <v>0</v>
      </c>
      <c r="AE161" s="74">
        <f>IF(AE109=5,AD156,0)</f>
        <v>0</v>
      </c>
      <c r="AF161" s="70">
        <f>SUM(B161:AE161)</f>
        <v>8</v>
      </c>
      <c r="AW161" s="154"/>
    </row>
    <row r="162" spans="1:54" hidden="1" x14ac:dyDescent="0.2">
      <c r="A162" s="95"/>
      <c r="B162" s="95"/>
      <c r="C162" s="95"/>
      <c r="D162" s="95"/>
      <c r="E162" s="95"/>
      <c r="F162" s="95"/>
      <c r="G162" s="95"/>
      <c r="H162" s="95"/>
      <c r="I162" s="95"/>
      <c r="J162" s="95"/>
      <c r="K162" s="95"/>
      <c r="L162" s="95"/>
      <c r="M162" s="95"/>
      <c r="N162" s="95"/>
      <c r="O162" s="95"/>
      <c r="P162" s="95"/>
      <c r="Q162" s="95"/>
      <c r="R162" s="95"/>
      <c r="S162" s="95"/>
      <c r="T162" s="95"/>
      <c r="U162" s="95"/>
      <c r="V162" s="95"/>
      <c r="W162" s="95"/>
      <c r="X162" s="95"/>
      <c r="Y162" s="95"/>
      <c r="Z162" s="95"/>
      <c r="AA162" s="95"/>
      <c r="AB162" s="95"/>
      <c r="AC162" s="95"/>
      <c r="AD162" s="95"/>
      <c r="AE162" s="95"/>
      <c r="AF162" s="95"/>
      <c r="AG162" s="95"/>
      <c r="AH162" s="95"/>
      <c r="AI162" s="95"/>
      <c r="AJ162" s="95"/>
      <c r="AK162" s="95"/>
      <c r="AL162" s="95"/>
      <c r="AM162" s="95"/>
      <c r="AN162" s="96"/>
      <c r="AO162" s="96"/>
      <c r="AP162" s="96"/>
      <c r="AQ162" s="96"/>
      <c r="AR162" s="77"/>
      <c r="AS162" s="77"/>
      <c r="AT162" s="77"/>
      <c r="AU162" s="77"/>
      <c r="AV162" s="77"/>
      <c r="BB162" s="156"/>
    </row>
    <row r="163" spans="1:54" s="77" customFormat="1" hidden="1" x14ac:dyDescent="0.2">
      <c r="A163" s="79"/>
      <c r="B163" s="79"/>
      <c r="C163" s="79" t="s">
        <v>108</v>
      </c>
      <c r="D163" s="79">
        <v>1</v>
      </c>
      <c r="E163" s="79"/>
      <c r="F163" s="79"/>
      <c r="G163" s="79">
        <v>2</v>
      </c>
      <c r="H163" s="79"/>
      <c r="I163" s="79"/>
      <c r="J163" s="79">
        <v>3</v>
      </c>
      <c r="K163" s="79"/>
      <c r="L163" s="79"/>
      <c r="M163" s="79">
        <v>4</v>
      </c>
      <c r="N163" s="79"/>
      <c r="O163" s="79"/>
      <c r="P163" s="79">
        <v>5</v>
      </c>
      <c r="Q163" s="79"/>
      <c r="R163" s="79"/>
      <c r="S163" s="79">
        <v>6</v>
      </c>
      <c r="T163" s="79"/>
      <c r="U163" s="79"/>
      <c r="V163" s="79">
        <v>7</v>
      </c>
      <c r="W163" s="79"/>
      <c r="X163" s="79"/>
      <c r="Y163" s="79">
        <v>8</v>
      </c>
      <c r="Z163" s="79"/>
      <c r="AA163" s="79"/>
      <c r="AB163" s="79">
        <v>9</v>
      </c>
      <c r="AC163" s="79"/>
      <c r="AD163" s="79"/>
      <c r="AE163" s="79">
        <v>10</v>
      </c>
      <c r="AF163" s="4"/>
      <c r="AG163" s="79"/>
      <c r="AI163" s="80"/>
      <c r="AJ163" s="4"/>
      <c r="AK163" s="4"/>
      <c r="AL163" s="4"/>
      <c r="AM163" s="4"/>
      <c r="AN163" s="4"/>
      <c r="AO163" s="4"/>
      <c r="AT163" s="80" t="s">
        <v>109</v>
      </c>
      <c r="AW163" s="81"/>
      <c r="BB163" s="81"/>
    </row>
    <row r="164" spans="1:54" s="77" customFormat="1" hidden="1" x14ac:dyDescent="0.2">
      <c r="A164" s="82">
        <v>1</v>
      </c>
      <c r="B164" s="82" t="str">
        <f>E93</f>
        <v>Intense 16 Elite Orange R</v>
      </c>
      <c r="C164" s="82">
        <f>VLOOKUP(B164,AU$3:AY$12,3,FALSE)</f>
        <v>2624.0258612014063</v>
      </c>
      <c r="D164" s="82">
        <f>IF(B157,B172,IF(D157,D172,C164))</f>
        <v>2624.0258612014063</v>
      </c>
      <c r="E164" s="82"/>
      <c r="F164" s="82"/>
      <c r="G164" s="82">
        <f>IF(E157,E172,IF(G157,G172,D164))</f>
        <v>2617.6936236748124</v>
      </c>
      <c r="H164" s="82"/>
      <c r="I164" s="82"/>
      <c r="J164" s="82">
        <f>IF(H157,H172,IF(J157,J172,G164))</f>
        <v>2617.6936236748124</v>
      </c>
      <c r="K164" s="82"/>
      <c r="L164" s="82"/>
      <c r="M164" s="82">
        <f>IF(K157,K172,IF(M157,M172,J164))</f>
        <v>2617.6936236748124</v>
      </c>
      <c r="N164" s="82"/>
      <c r="O164" s="82"/>
      <c r="P164" s="82">
        <f>IF(N157,N172,IF(P157,P172,M164))</f>
        <v>2644.1072984471803</v>
      </c>
      <c r="Q164" s="82"/>
      <c r="R164" s="82"/>
      <c r="S164" s="82">
        <f>IF(Q157,Q172,IF(S157,S172,P164))</f>
        <v>2644.1072984471803</v>
      </c>
      <c r="T164" s="82"/>
      <c r="U164" s="82"/>
      <c r="V164" s="82">
        <f>IF(T157,T172,IF(V157,V172,S164))</f>
        <v>2644.1072984471803</v>
      </c>
      <c r="W164" s="82"/>
      <c r="X164" s="82"/>
      <c r="Y164" s="82">
        <f>IF(W157,W172,IF(Y157,Y172,V164))</f>
        <v>2600.5404984143506</v>
      </c>
      <c r="Z164" s="82"/>
      <c r="AA164" s="82"/>
      <c r="AB164" s="82">
        <f>IF(Z157,Z172,IF(AB157,AB172,Y164))</f>
        <v>2600.5404984143506</v>
      </c>
      <c r="AC164" s="82"/>
      <c r="AD164" s="82"/>
      <c r="AE164" s="82">
        <f>IF(AC157,AC172,IF(AE157,AE172,AB164))</f>
        <v>2635.6330001351084</v>
      </c>
      <c r="AF164" s="4"/>
      <c r="AG164" s="4"/>
      <c r="AJ164" s="4"/>
      <c r="AK164" s="4"/>
      <c r="AL164" s="4"/>
      <c r="AM164" s="4"/>
      <c r="AN164" s="4"/>
      <c r="AO164" s="4"/>
      <c r="AT164" s="77" t="str">
        <f>B164</f>
        <v>Intense 16 Elite Orange R</v>
      </c>
      <c r="AU164" s="77">
        <f>AE164</f>
        <v>2635.6330001351084</v>
      </c>
      <c r="AW164" s="81"/>
      <c r="BB164" s="81"/>
    </row>
    <row r="165" spans="1:54" s="77" customFormat="1" hidden="1" x14ac:dyDescent="0.2">
      <c r="A165" s="82">
        <v>2</v>
      </c>
      <c r="B165" s="82" t="str">
        <f>E95</f>
        <v>Lake Murray 16 Red</v>
      </c>
      <c r="C165" s="82">
        <f>VLOOKUP(B165,AU$3:AY$12,3,FALSE)</f>
        <v>2622.3839182783236</v>
      </c>
      <c r="D165" s="82">
        <f>IF(B158,B172,IF(D158,D172,C165))</f>
        <v>2614.3114541693535</v>
      </c>
      <c r="E165" s="82"/>
      <c r="F165" s="82"/>
      <c r="G165" s="82">
        <f>IF(E158,E172,IF(G158,G172,D165))</f>
        <v>2614.3114541693535</v>
      </c>
      <c r="H165" s="82"/>
      <c r="I165" s="82"/>
      <c r="J165" s="82">
        <f>IF(H158,H172,IF(J158,J172,G165))</f>
        <v>2614.3114541693535</v>
      </c>
      <c r="K165" s="82"/>
      <c r="L165" s="82"/>
      <c r="M165" s="82">
        <f>IF(K158,K172,IF(M158,M172,J165))</f>
        <v>2609.4113652259634</v>
      </c>
      <c r="N165" s="82"/>
      <c r="O165" s="82"/>
      <c r="P165" s="82">
        <f>IF(N158,N172,IF(P158,P172,M165))</f>
        <v>2609.4113652259634</v>
      </c>
      <c r="Q165" s="82"/>
      <c r="R165" s="82"/>
      <c r="S165" s="82">
        <f>IF(Q158,Q172,IF(S158,S172,P165))</f>
        <v>2609.4113652259634</v>
      </c>
      <c r="T165" s="82"/>
      <c r="U165" s="82"/>
      <c r="V165" s="82">
        <f>IF(T158,T172,IF(V158,V172,S165))</f>
        <v>2634.2220269809259</v>
      </c>
      <c r="W165" s="82"/>
      <c r="X165" s="82"/>
      <c r="Y165" s="82">
        <f>IF(W158,W172,IF(Y158,Y172,V165))</f>
        <v>2634.2220269809259</v>
      </c>
      <c r="Z165" s="82"/>
      <c r="AA165" s="82"/>
      <c r="AB165" s="82">
        <f>IF(Z158,Z172,IF(AB158,AB172,Y165))</f>
        <v>2634.2220269809259</v>
      </c>
      <c r="AC165" s="82"/>
      <c r="AD165" s="82"/>
      <c r="AE165" s="82">
        <f>IF(AC158,AC172,IF(AE158,AE172,AB165))</f>
        <v>2599.1295252601681</v>
      </c>
      <c r="AF165" s="4"/>
      <c r="AG165" s="4"/>
      <c r="AJ165" s="4"/>
      <c r="AL165" s="4"/>
      <c r="AM165" s="4"/>
      <c r="AN165" s="4"/>
      <c r="AO165" s="4"/>
      <c r="AT165" s="77" t="str">
        <f>B165</f>
        <v>Lake Murray 16 Red</v>
      </c>
      <c r="AU165" s="77">
        <f>AE165</f>
        <v>2599.1295252601681</v>
      </c>
      <c r="AW165" s="81"/>
      <c r="BB165" s="81"/>
    </row>
    <row r="166" spans="1:54" s="77" customFormat="1" hidden="1" x14ac:dyDescent="0.2">
      <c r="A166" s="82">
        <v>3</v>
      </c>
      <c r="B166" s="82" t="str">
        <f>E97</f>
        <v>Kershaw 16 Black</v>
      </c>
      <c r="C166" s="82">
        <f>VLOOKUP(B166,AU$3:AY$12,3,FALSE)</f>
        <v>2557.9878915283052</v>
      </c>
      <c r="D166" s="82">
        <f>IF(B159,B172,IF(D159,D172,C166))</f>
        <v>2557.9878915283052</v>
      </c>
      <c r="E166" s="82"/>
      <c r="F166" s="82"/>
      <c r="G166" s="82">
        <f>IF(E159,E172,IF(G159,G172,D166))</f>
        <v>2557.9878915283052</v>
      </c>
      <c r="H166" s="82"/>
      <c r="I166" s="82"/>
      <c r="J166" s="82">
        <f>IF(H159,H172,IF(J159,J172,G166))</f>
        <v>2556.4132072043999</v>
      </c>
      <c r="K166" s="82"/>
      <c r="L166" s="82"/>
      <c r="M166" s="82">
        <f>IF(K159,K172,IF(M159,M172,J166))</f>
        <v>2556.4132072043999</v>
      </c>
      <c r="N166" s="82"/>
      <c r="O166" s="82"/>
      <c r="P166" s="82">
        <f>IF(N159,N172,IF(P159,P172,M166))</f>
        <v>2529.9995324320321</v>
      </c>
      <c r="Q166" s="82"/>
      <c r="R166" s="82"/>
      <c r="S166" s="82">
        <f>IF(Q159,Q172,IF(S159,S172,P166))</f>
        <v>2529.9995324320321</v>
      </c>
      <c r="T166" s="82"/>
      <c r="U166" s="82"/>
      <c r="V166" s="82">
        <f>IF(T159,T172,IF(V159,V172,S166))</f>
        <v>2505.1888706770696</v>
      </c>
      <c r="W166" s="82"/>
      <c r="X166" s="82"/>
      <c r="Y166" s="82">
        <f>IF(W159,W172,IF(Y159,Y172,V166))</f>
        <v>2505.1888706770696</v>
      </c>
      <c r="Z166" s="82"/>
      <c r="AA166" s="82"/>
      <c r="AB166" s="82">
        <f>IF(Z159,Z172,IF(AB159,AB172,Y166))</f>
        <v>2481.3209735373598</v>
      </c>
      <c r="AC166" s="82"/>
      <c r="AD166" s="82"/>
      <c r="AE166" s="82">
        <f>IF(AC159,AC172,IF(AE159,AE172,AB166))</f>
        <v>2481.3209735373598</v>
      </c>
      <c r="AF166" s="4"/>
      <c r="AG166" s="4"/>
      <c r="AJ166" s="4"/>
      <c r="AL166" s="4"/>
      <c r="AM166" s="4"/>
      <c r="AN166" s="4"/>
      <c r="AO166" s="4"/>
      <c r="AT166" s="77" t="str">
        <f>B166</f>
        <v>Kershaw 16 Black</v>
      </c>
      <c r="AU166" s="77">
        <f>AE166</f>
        <v>2481.3209735373598</v>
      </c>
      <c r="AW166" s="81"/>
      <c r="BB166" s="81"/>
    </row>
    <row r="167" spans="1:54" s="77" customFormat="1" hidden="1" x14ac:dyDescent="0.2">
      <c r="A167" s="82">
        <v>4</v>
      </c>
      <c r="B167" s="82" t="str">
        <f>E99</f>
        <v>SC Midlands 16 National</v>
      </c>
      <c r="C167" s="82">
        <f>VLOOKUP(B167,AU$3:AY$12,3,FALSE)</f>
        <v>2554.3553976514154</v>
      </c>
      <c r="D167" s="82">
        <f>IF(B160,B172,IF(D160,D172,C167))</f>
        <v>2554.3553976514154</v>
      </c>
      <c r="E167" s="82"/>
      <c r="F167" s="82"/>
      <c r="G167" s="82">
        <f>IF(E160,E172,IF(G160,G172,D167))</f>
        <v>2560.6876351780093</v>
      </c>
      <c r="H167" s="82"/>
      <c r="I167" s="82"/>
      <c r="J167" s="82">
        <f>IF(H160,H172,IF(J160,J172,G167))</f>
        <v>2560.6876351780093</v>
      </c>
      <c r="K167" s="82"/>
      <c r="L167" s="82"/>
      <c r="M167" s="82">
        <f>IF(K160,K172,IF(M160,M172,J167))</f>
        <v>2565.5877241213993</v>
      </c>
      <c r="N167" s="82"/>
      <c r="O167" s="82"/>
      <c r="P167" s="82">
        <f>IF(N160,N172,IF(P160,P172,M167))</f>
        <v>2565.5877241213993</v>
      </c>
      <c r="Q167" s="82"/>
      <c r="R167" s="82"/>
      <c r="S167" s="82">
        <f>IF(Q160,Q172,IF(S160,S172,P167))</f>
        <v>2595.4599743314366</v>
      </c>
      <c r="T167" s="82"/>
      <c r="U167" s="82"/>
      <c r="V167" s="82">
        <f>IF(T160,T172,IF(V160,V172,S167))</f>
        <v>2595.4599743314366</v>
      </c>
      <c r="W167" s="82"/>
      <c r="X167" s="82"/>
      <c r="Y167" s="82">
        <f>IF(W160,W172,IF(Y160,Y172,V167))</f>
        <v>2595.4599743314366</v>
      </c>
      <c r="Z167" s="82"/>
      <c r="AA167" s="82"/>
      <c r="AB167" s="82">
        <f>IF(Z160,Z172,IF(AB160,AB172,Y167))</f>
        <v>2619.3278714711464</v>
      </c>
      <c r="AC167" s="82"/>
      <c r="AD167" s="82"/>
      <c r="AE167" s="82">
        <f>IF(AC160,AC172,IF(AE160,AE172,AB167))</f>
        <v>2619.3278714711464</v>
      </c>
      <c r="AF167" s="4"/>
      <c r="AG167" s="4"/>
      <c r="AJ167" s="4"/>
      <c r="AL167" s="4"/>
      <c r="AM167" s="4"/>
      <c r="AN167" s="4"/>
      <c r="AO167" s="4"/>
      <c r="AT167" s="77" t="str">
        <f>B167</f>
        <v>SC Midlands 16 National</v>
      </c>
      <c r="AU167" s="77">
        <f>AE167</f>
        <v>2619.3278714711464</v>
      </c>
      <c r="AW167" s="81"/>
      <c r="BB167" s="81"/>
    </row>
    <row r="168" spans="1:54" s="77" customFormat="1" hidden="1" x14ac:dyDescent="0.2">
      <c r="A168" s="82">
        <v>5</v>
      </c>
      <c r="B168" s="82" t="str">
        <f>E101</f>
        <v>Intense 15 Hyper Elite</v>
      </c>
      <c r="C168" s="82">
        <f>VLOOKUP(B168,AU$3:AY$12,3,FALSE)</f>
        <v>2532.8046893748628</v>
      </c>
      <c r="D168" s="82">
        <f>IF(B161,B172,IF(D161,D172,C168))</f>
        <v>2540.8771534838329</v>
      </c>
      <c r="E168" s="82"/>
      <c r="F168" s="82"/>
      <c r="G168" s="82">
        <f>IF(E161,E172,IF(G161,G172,D168))</f>
        <v>2540.8771534838329</v>
      </c>
      <c r="H168" s="82"/>
      <c r="I168" s="82"/>
      <c r="J168" s="82">
        <f>IF(H161,H172,IF(J161,J172,G168))</f>
        <v>2542.4518378077382</v>
      </c>
      <c r="K168" s="82"/>
      <c r="L168" s="82"/>
      <c r="M168" s="82">
        <f>IF(K161,K172,IF(M161,M172,J168))</f>
        <v>2542.4518378077382</v>
      </c>
      <c r="N168" s="82"/>
      <c r="O168" s="82"/>
      <c r="P168" s="82">
        <f>IF(N161,N172,IF(P161,P172,M168))</f>
        <v>2542.4518378077382</v>
      </c>
      <c r="Q168" s="82"/>
      <c r="R168" s="82"/>
      <c r="S168" s="82">
        <f>IF(Q161,Q172,IF(S161,S172,P168))</f>
        <v>2512.579587597701</v>
      </c>
      <c r="T168" s="82"/>
      <c r="U168" s="82"/>
      <c r="V168" s="82">
        <f>IF(T161,T172,IF(V161,V172,S168))</f>
        <v>2512.579587597701</v>
      </c>
      <c r="W168" s="82"/>
      <c r="X168" s="82"/>
      <c r="Y168" s="82">
        <f>IF(W161,W172,IF(Y161,Y172,V168))</f>
        <v>2556.1463876305306</v>
      </c>
      <c r="Z168" s="82"/>
      <c r="AA168" s="82"/>
      <c r="AB168" s="82">
        <f>IF(Z161,Z172,IF(AB161,AB172,Y168))</f>
        <v>2556.1463876305306</v>
      </c>
      <c r="AC168" s="82"/>
      <c r="AD168" s="82"/>
      <c r="AE168" s="82">
        <f>IF(AC161,AC172,IF(AE161,AE172,AB168))</f>
        <v>2556.1463876305306</v>
      </c>
      <c r="AF168" s="4"/>
      <c r="AG168" s="4"/>
      <c r="AJ168" s="4"/>
      <c r="AL168" s="4"/>
      <c r="AM168" s="4"/>
      <c r="AN168" s="4"/>
      <c r="AO168" s="4"/>
      <c r="AT168" s="77" t="str">
        <f>B168</f>
        <v>Intense 15 Hyper Elite</v>
      </c>
      <c r="AU168" s="77">
        <f>AE168</f>
        <v>2556.1463876305306</v>
      </c>
      <c r="AW168" s="81"/>
      <c r="BB168" s="81"/>
    </row>
    <row r="169" spans="1:54" s="77" customFormat="1" hidden="1" x14ac:dyDescent="0.2">
      <c r="A169" s="82"/>
      <c r="B169" s="82"/>
      <c r="C169" s="82"/>
      <c r="D169" s="82"/>
      <c r="E169" s="82"/>
      <c r="F169" s="82"/>
      <c r="G169" s="82"/>
      <c r="H169" s="82"/>
      <c r="I169" s="82"/>
      <c r="J169" s="82"/>
      <c r="K169" s="82"/>
      <c r="L169" s="82"/>
      <c r="M169" s="82"/>
      <c r="N169" s="82"/>
      <c r="O169" s="82"/>
      <c r="P169" s="82"/>
      <c r="Q169" s="82"/>
      <c r="R169" s="82"/>
      <c r="S169" s="82"/>
      <c r="T169" s="82"/>
      <c r="U169" s="82"/>
      <c r="V169" s="82"/>
      <c r="W169" s="82"/>
      <c r="X169" s="82"/>
      <c r="Y169" s="82"/>
      <c r="Z169" s="82"/>
      <c r="AA169" s="82"/>
      <c r="AB169" s="82"/>
      <c r="AC169" s="82"/>
      <c r="AD169" s="82"/>
      <c r="AE169" s="82"/>
      <c r="AF169" s="4"/>
      <c r="AG169" s="4"/>
      <c r="AJ169" s="4"/>
      <c r="AL169" s="4"/>
      <c r="AM169" s="4"/>
      <c r="AN169" s="4"/>
      <c r="AO169" s="4"/>
      <c r="AW169" s="81"/>
      <c r="BB169" s="81"/>
    </row>
    <row r="170" spans="1:54" s="77" customFormat="1" hidden="1" x14ac:dyDescent="0.2">
      <c r="A170" s="82" t="s">
        <v>110</v>
      </c>
      <c r="B170" s="82">
        <f>VLOOKUP(B109,$A164:$AE168,3,FALSE)</f>
        <v>2622.3839182783236</v>
      </c>
      <c r="C170" s="82">
        <v>1</v>
      </c>
      <c r="D170" s="82">
        <f>VLOOKUP(D109,$A164:$AE168,3,FALSE)</f>
        <v>2532.8046893748628</v>
      </c>
      <c r="E170" s="82">
        <f>VLOOKUP(E109,$A164:$AE168,4,FALSE)</f>
        <v>2624.0258612014063</v>
      </c>
      <c r="F170" s="82">
        <v>2</v>
      </c>
      <c r="G170" s="82">
        <f>VLOOKUP(G109,$A164:$AE168,4,FALSE)</f>
        <v>2554.3553976514154</v>
      </c>
      <c r="H170" s="82">
        <f>VLOOKUP(H109,$A164:$AE168,7,FALSE)</f>
        <v>2557.9878915283052</v>
      </c>
      <c r="I170" s="82">
        <v>3</v>
      </c>
      <c r="J170" s="82">
        <f>VLOOKUP(J109,$A164:$AE168,7,FALSE)</f>
        <v>2540.8771534838329</v>
      </c>
      <c r="K170" s="82">
        <f>VLOOKUP(K109,$A164:$AE168,10,FALSE)</f>
        <v>2614.3114541693535</v>
      </c>
      <c r="L170" s="82">
        <v>4</v>
      </c>
      <c r="M170" s="82">
        <f>VLOOKUP(M109,$A164:$AE168,10,FALSE)</f>
        <v>2560.6876351780093</v>
      </c>
      <c r="N170" s="82">
        <f>VLOOKUP(N109,$A164:$AE168,13,FALSE)</f>
        <v>2617.6936236748124</v>
      </c>
      <c r="O170" s="82">
        <v>5</v>
      </c>
      <c r="P170" s="82">
        <f>VLOOKUP(P109,$A164:$AE168,13,FALSE)</f>
        <v>2556.4132072043999</v>
      </c>
      <c r="Q170" s="82">
        <f>VLOOKUP(Q109,$A164:$AE168,16,FALSE)</f>
        <v>2565.5877241213993</v>
      </c>
      <c r="R170" s="82">
        <v>6</v>
      </c>
      <c r="S170" s="82">
        <f>VLOOKUP(S109,$A164:$AE168,16,FALSE)</f>
        <v>2542.4518378077382</v>
      </c>
      <c r="T170" s="82">
        <f>VLOOKUP(T109,$A164:$AE168,19,FALSE)</f>
        <v>2609.4113652259634</v>
      </c>
      <c r="U170" s="82">
        <v>7</v>
      </c>
      <c r="V170" s="82">
        <f>VLOOKUP(V109,$A164:$AE168,19,FALSE)</f>
        <v>2529.9995324320321</v>
      </c>
      <c r="W170" s="82">
        <f>VLOOKUP(W109,$A164:$AE168,22,FALSE)</f>
        <v>2644.1072984471803</v>
      </c>
      <c r="X170" s="82">
        <v>8</v>
      </c>
      <c r="Y170" s="82">
        <f>VLOOKUP(Y109,$A164:$AE168,22,FALSE)</f>
        <v>2512.579587597701</v>
      </c>
      <c r="Z170" s="82">
        <f>VLOOKUP(Z109,$A164:$AE168,25,FALSE)</f>
        <v>2505.1888706770696</v>
      </c>
      <c r="AA170" s="82">
        <v>9</v>
      </c>
      <c r="AB170" s="82">
        <f>VLOOKUP(AB109,$A164:$AE168,25,FALSE)</f>
        <v>2595.4599743314366</v>
      </c>
      <c r="AC170" s="82">
        <f>VLOOKUP(AC109,$A164:$AE168,28,FALSE)</f>
        <v>2600.5404984143506</v>
      </c>
      <c r="AD170" s="82">
        <v>10</v>
      </c>
      <c r="AE170" s="82">
        <f>VLOOKUP(AE109,$A164:$AE168,28,FALSE)</f>
        <v>2634.2220269809259</v>
      </c>
      <c r="AF170" s="4"/>
      <c r="AG170" s="95"/>
      <c r="AH170" s="95"/>
      <c r="AI170" s="95"/>
      <c r="AJ170" s="95"/>
      <c r="AK170" s="95"/>
      <c r="AL170" s="95"/>
      <c r="AM170" s="95"/>
      <c r="AN170" s="96"/>
      <c r="AO170" s="96"/>
      <c r="AP170" s="96"/>
      <c r="AQ170" s="96"/>
      <c r="AW170" s="81"/>
      <c r="BB170" s="81"/>
    </row>
    <row r="171" spans="1:54" s="87" customFormat="1" hidden="1" x14ac:dyDescent="0.2">
      <c r="A171" s="83" t="s">
        <v>111</v>
      </c>
      <c r="B171" s="83">
        <f>1/(1+(10^-((B170-D170)/400)))*(B121+D121)</f>
        <v>1.2522645034053181</v>
      </c>
      <c r="C171" s="83"/>
      <c r="D171" s="83">
        <f>1/(1+(10^-((D170-B170)/400)))*(B121+D121)</f>
        <v>0.74773549659468175</v>
      </c>
      <c r="E171" s="83">
        <f>1/(1+(10^-((E170-G170)/400)))*(E121+G121)</f>
        <v>1.1978824227060583</v>
      </c>
      <c r="F171" s="83"/>
      <c r="G171" s="83">
        <f>1/(1+(10^-((G170-E170)/400)))*(E121+G121)</f>
        <v>0.80211757729394162</v>
      </c>
      <c r="H171" s="83">
        <f>1/(1+(10^-((H170-J170)/400)))*(H121+J121)</f>
        <v>1.0492088851220465</v>
      </c>
      <c r="I171" s="83"/>
      <c r="J171" s="83">
        <f>1/(1+(10^-((J170-H170)/400)))*(H121+J121)</f>
        <v>0.95079111487795342</v>
      </c>
      <c r="K171" s="83">
        <f>1/(1+(10^-((K170-M170)/400)))*(K121+M121)</f>
        <v>1.1531277794809418</v>
      </c>
      <c r="L171" s="83"/>
      <c r="M171" s="83">
        <f>1/(1+(10^-((M170-K170)/400)))*(K121+M121)</f>
        <v>0.84687222051905808</v>
      </c>
      <c r="N171" s="83">
        <f>1/(1+(10^-((N170-P170)/400)))*(N121+P121)</f>
        <v>1.1745726633635123</v>
      </c>
      <c r="O171" s="83"/>
      <c r="P171" s="83">
        <f>1/(1+(10^-((P170-N170)/400)))*(N121+P121)</f>
        <v>0.82542733663648771</v>
      </c>
      <c r="Q171" s="83">
        <f>1/(1+(10^-((Q170-S170)/400)))*(Q121+S121)</f>
        <v>1.066492180936331</v>
      </c>
      <c r="R171" s="83"/>
      <c r="S171" s="83">
        <f>1/(1+(10^-((S170-Q170)/400)))*(Q121+S121)</f>
        <v>0.93350781906366886</v>
      </c>
      <c r="T171" s="83">
        <f>1/(1+(10^-((T170-V170)/400)))*(T121+V121)</f>
        <v>1.2246668201574278</v>
      </c>
      <c r="U171" s="83"/>
      <c r="V171" s="83">
        <f>1/(1+(10^-((V170-T170)/400)))*(T121+V121)</f>
        <v>0.77533317984257233</v>
      </c>
      <c r="W171" s="83">
        <f>1/(1+(10^-((W170-Y170)/400)))*(W121+Y121)</f>
        <v>1.3614625010259325</v>
      </c>
      <c r="X171" s="83"/>
      <c r="Y171" s="83">
        <f>1/(1+(10^-((Y170-W170)/400)))*(W121+Y121)</f>
        <v>0.63853749897406753</v>
      </c>
      <c r="Z171" s="83">
        <f>1/(1+(10^-((Z170-AB170)/400)))*(Z121+AB121)</f>
        <v>0.74587178561593115</v>
      </c>
      <c r="AA171" s="83"/>
      <c r="AB171" s="83">
        <f>1/(1+(10^-((AB170-Z170)/400)))*(Z121+AB121)</f>
        <v>1.2541282143840689</v>
      </c>
      <c r="AC171" s="83">
        <f>1/(1+(10^-((AC170-AE170)/400)))*(AC121+AE121)</f>
        <v>0.90335932122631979</v>
      </c>
      <c r="AD171" s="83"/>
      <c r="AE171" s="83">
        <f>1/(1+(10^-((AE170-AC170)/400)))*(AC121+AE121)</f>
        <v>1.0966406787736802</v>
      </c>
      <c r="AF171" s="84"/>
      <c r="AG171" s="85"/>
      <c r="AH171" s="85"/>
      <c r="AI171" s="85"/>
      <c r="AJ171" s="85"/>
      <c r="AK171" s="85"/>
      <c r="AL171" s="85"/>
      <c r="AM171" s="85"/>
      <c r="AN171" s="86"/>
      <c r="AO171" s="86"/>
      <c r="AP171" s="86"/>
      <c r="AQ171" s="86"/>
      <c r="AW171" s="88"/>
      <c r="BB171" s="88"/>
    </row>
    <row r="172" spans="1:54" s="93" customFormat="1" hidden="1" x14ac:dyDescent="0.2">
      <c r="A172" s="89" t="s">
        <v>112</v>
      </c>
      <c r="B172" s="89">
        <f>B170+(B121-B171)*$BA$1</f>
        <v>2614.3114541693535</v>
      </c>
      <c r="C172" s="89"/>
      <c r="D172" s="89">
        <f>D170+(D121-D171)*$BA$1</f>
        <v>2540.8771534838329</v>
      </c>
      <c r="E172" s="89">
        <f>E170+(E121-E171)*$BA$1</f>
        <v>2617.6936236748124</v>
      </c>
      <c r="F172" s="89"/>
      <c r="G172" s="89">
        <f>G170+(G121-G171)*$BA$1</f>
        <v>2560.6876351780093</v>
      </c>
      <c r="H172" s="89">
        <f>H170+(H121-H171)*$BA$1</f>
        <v>2556.4132072043999</v>
      </c>
      <c r="I172" s="89"/>
      <c r="J172" s="89">
        <f>J170+(J121-J171)*$BA$1</f>
        <v>2542.4518378077382</v>
      </c>
      <c r="K172" s="89">
        <f>K170+(K121-K171)*$BA$1</f>
        <v>2609.4113652259634</v>
      </c>
      <c r="L172" s="89"/>
      <c r="M172" s="89">
        <f>M170+(M121-M171)*$BA$1</f>
        <v>2565.5877241213993</v>
      </c>
      <c r="N172" s="89">
        <f>N170+(N121-N171)*$BA$1</f>
        <v>2644.1072984471803</v>
      </c>
      <c r="O172" s="89"/>
      <c r="P172" s="89">
        <f>P170+(P121-P171)*$BA$1</f>
        <v>2529.9995324320321</v>
      </c>
      <c r="Q172" s="89">
        <f>Q170+(Q121-Q171)*$BA$1</f>
        <v>2595.4599743314366</v>
      </c>
      <c r="R172" s="89"/>
      <c r="S172" s="89">
        <f>S170+(S121-S171)*$BA$1</f>
        <v>2512.579587597701</v>
      </c>
      <c r="T172" s="89">
        <f>T170+(T121-T171)*$BA$1</f>
        <v>2634.2220269809259</v>
      </c>
      <c r="U172" s="89"/>
      <c r="V172" s="89">
        <f>V170+(V121-V171)*$BA$1</f>
        <v>2505.1888706770696</v>
      </c>
      <c r="W172" s="89">
        <f>W170+(W121-W171)*$BA$1</f>
        <v>2600.5404984143506</v>
      </c>
      <c r="X172" s="89"/>
      <c r="Y172" s="89">
        <f>Y170+(Y121-Y171)*$BA$1</f>
        <v>2556.1463876305306</v>
      </c>
      <c r="Z172" s="89">
        <f>Z170+(Z121-Z171)*$BA$1</f>
        <v>2481.3209735373598</v>
      </c>
      <c r="AA172" s="89"/>
      <c r="AB172" s="89">
        <f>AB170+(AB121-AB171)*$BA$1</f>
        <v>2619.3278714711464</v>
      </c>
      <c r="AC172" s="89">
        <f>AC170+(AC121-AC171)*$BA$1</f>
        <v>2635.6330001351084</v>
      </c>
      <c r="AD172" s="89"/>
      <c r="AE172" s="89">
        <f>AE170+(AE121-AE171)*$BA$1</f>
        <v>2599.1295252601681</v>
      </c>
      <c r="AF172" s="90"/>
      <c r="AG172" s="91"/>
      <c r="AH172" s="91"/>
      <c r="AI172" s="91"/>
      <c r="AJ172" s="91"/>
      <c r="AK172" s="91"/>
      <c r="AL172" s="91"/>
      <c r="AM172" s="91"/>
      <c r="AN172" s="92"/>
      <c r="AO172" s="92"/>
      <c r="AP172" s="92"/>
      <c r="AQ172" s="92"/>
      <c r="AW172" s="94"/>
      <c r="BB172" s="94"/>
    </row>
    <row r="173" spans="1:54" s="93" customFormat="1" hidden="1" x14ac:dyDescent="0.2">
      <c r="A173" s="89"/>
      <c r="B173" s="89"/>
      <c r="C173" s="89"/>
      <c r="D173" s="89"/>
      <c r="E173" s="89"/>
      <c r="F173" s="89"/>
      <c r="G173" s="89"/>
      <c r="H173" s="89"/>
      <c r="I173" s="89"/>
      <c r="J173" s="89"/>
      <c r="K173" s="89"/>
      <c r="L173" s="89"/>
      <c r="M173" s="89"/>
      <c r="N173" s="89"/>
      <c r="O173" s="89"/>
      <c r="P173" s="89"/>
      <c r="Q173" s="89"/>
      <c r="R173" s="89"/>
      <c r="S173" s="89"/>
      <c r="T173" s="89"/>
      <c r="U173" s="89"/>
      <c r="V173" s="89"/>
      <c r="W173" s="89"/>
      <c r="X173" s="89"/>
      <c r="Y173" s="89"/>
      <c r="Z173" s="89"/>
      <c r="AA173" s="89"/>
      <c r="AB173" s="89"/>
      <c r="AC173" s="89"/>
      <c r="AD173" s="89"/>
      <c r="AE173" s="89"/>
      <c r="AF173" s="90"/>
      <c r="AG173" s="91"/>
      <c r="AH173" s="91"/>
      <c r="AI173" s="91"/>
      <c r="AJ173" s="91"/>
      <c r="AK173" s="91"/>
      <c r="AL173" s="91"/>
      <c r="AM173" s="91"/>
      <c r="AN173" s="92"/>
      <c r="AO173" s="92"/>
      <c r="AP173" s="92"/>
      <c r="AQ173" s="92"/>
      <c r="AW173" s="94"/>
      <c r="BB173" s="94"/>
    </row>
    <row r="174" spans="1:54" s="77" customFormat="1" x14ac:dyDescent="0.2">
      <c r="A174" s="281" t="str">
        <f>IF($AK95=1,"Pool Tiereaker : 1) Matches Won vs Lost (if 3 way tie then #4)  2) Head to Head  3) Game Win %  4) Total Pool Net Points  5) Flip a Coin","Pool Tiebreaker : 1) Games Won vs Lost (if 3 way tie then #5)  2) Head to Head  3) Head to Head Net Points  4) Game Win %  5) Total Pool Net Points  6) Flip a Coin")</f>
        <v>Pool Tiebreaker : 1) Games Won vs Lost (if 3 way tie then #5)  2) Head to Head  3) Head to Head Net Points  4) Game Win %  5) Total Pool Net Points  6) Flip a Coin</v>
      </c>
      <c r="B174" s="281"/>
      <c r="C174" s="281"/>
      <c r="D174" s="281"/>
      <c r="E174" s="281"/>
      <c r="F174" s="281"/>
      <c r="G174" s="281"/>
      <c r="H174" s="281"/>
      <c r="I174" s="281"/>
      <c r="J174" s="281"/>
      <c r="K174" s="281"/>
      <c r="L174" s="281"/>
      <c r="M174" s="281"/>
      <c r="N174" s="281"/>
      <c r="O174" s="281"/>
      <c r="P174" s="281"/>
      <c r="Q174" s="281"/>
      <c r="R174" s="281"/>
      <c r="S174" s="281"/>
      <c r="T174" s="281"/>
      <c r="U174" s="281"/>
      <c r="V174" s="281"/>
      <c r="W174" s="281"/>
      <c r="X174" s="281"/>
      <c r="Y174" s="281"/>
      <c r="Z174" s="281"/>
      <c r="AA174" s="281"/>
      <c r="AB174" s="281"/>
      <c r="AC174" s="281"/>
      <c r="AD174" s="281"/>
      <c r="AE174" s="281"/>
      <c r="AF174" s="281"/>
      <c r="AG174" s="281"/>
      <c r="AH174" s="281"/>
      <c r="AI174" s="281"/>
      <c r="AJ174" s="281"/>
      <c r="AK174" s="281"/>
      <c r="AL174" s="281"/>
      <c r="AM174" s="281"/>
      <c r="AN174" s="259"/>
      <c r="AO174" s="259"/>
      <c r="AP174" s="259"/>
      <c r="AQ174" s="259"/>
      <c r="AW174" s="81"/>
    </row>
    <row r="175" spans="1:54" s="77" customFormat="1" x14ac:dyDescent="0.2">
      <c r="A175" s="282"/>
      <c r="B175" s="282"/>
      <c r="C175" s="282"/>
      <c r="D175" s="282"/>
      <c r="E175" s="282"/>
      <c r="F175" s="282"/>
      <c r="G175" s="282"/>
      <c r="H175" s="282"/>
      <c r="I175" s="282"/>
      <c r="J175" s="282"/>
      <c r="K175" s="282"/>
      <c r="L175" s="282"/>
      <c r="M175" s="282"/>
      <c r="N175" s="282"/>
      <c r="O175" s="282"/>
      <c r="P175" s="282"/>
      <c r="Q175" s="282"/>
      <c r="R175" s="282"/>
      <c r="S175" s="282"/>
      <c r="T175" s="282"/>
      <c r="U175" s="282"/>
      <c r="V175" s="282"/>
      <c r="W175" s="282"/>
      <c r="X175" s="282"/>
      <c r="Y175" s="282"/>
      <c r="Z175" s="282"/>
      <c r="AA175" s="282"/>
      <c r="AB175" s="282"/>
      <c r="AC175" s="282"/>
      <c r="AD175" s="282"/>
      <c r="AE175" s="282"/>
      <c r="AF175" s="282"/>
      <c r="AG175" s="282"/>
      <c r="AH175" s="282"/>
      <c r="AI175" s="282"/>
      <c r="AJ175" s="282"/>
      <c r="AK175" s="282"/>
      <c r="AL175" s="282"/>
      <c r="AM175" s="282"/>
      <c r="AN175" s="282"/>
      <c r="AO175" s="282"/>
      <c r="AP175" s="282"/>
      <c r="AQ175" s="282"/>
      <c r="AW175" s="81"/>
    </row>
    <row r="176" spans="1:54" ht="21" thickBot="1" x14ac:dyDescent="0.35">
      <c r="A176" s="271" t="s">
        <v>114</v>
      </c>
      <c r="B176" s="271"/>
      <c r="C176" s="271"/>
      <c r="D176" s="271"/>
      <c r="E176" s="271"/>
      <c r="F176" s="271"/>
      <c r="G176" s="271"/>
      <c r="H176" s="271"/>
      <c r="I176" s="271"/>
      <c r="J176" s="271"/>
      <c r="K176" s="271"/>
      <c r="L176" s="271"/>
      <c r="M176" s="271"/>
      <c r="N176" s="271"/>
      <c r="O176" s="271"/>
      <c r="P176" s="271"/>
      <c r="Q176" s="271"/>
      <c r="R176" s="271"/>
      <c r="S176" s="271"/>
      <c r="T176" s="271"/>
      <c r="U176" s="271"/>
      <c r="V176" s="271"/>
      <c r="W176" s="271"/>
      <c r="X176" s="271"/>
      <c r="Y176" s="271"/>
      <c r="Z176" s="271"/>
      <c r="AA176" s="271"/>
      <c r="AB176" s="271"/>
      <c r="AC176" s="271"/>
      <c r="AD176" s="271"/>
      <c r="AE176" s="271"/>
      <c r="AF176" s="271"/>
      <c r="AG176" s="271"/>
      <c r="AH176" s="271"/>
      <c r="AI176" s="271"/>
      <c r="AJ176" s="271"/>
      <c r="AK176" s="271"/>
      <c r="AL176" s="271"/>
      <c r="AM176" s="271"/>
      <c r="AN176" s="271"/>
      <c r="AO176" s="271"/>
      <c r="AP176" s="271"/>
      <c r="AQ176" s="271"/>
    </row>
    <row r="177" spans="1:53" ht="13.5" thickBot="1" x14ac:dyDescent="0.25">
      <c r="A177" s="272" t="s">
        <v>115</v>
      </c>
      <c r="B177" s="274" t="s">
        <v>116</v>
      </c>
      <c r="C177" s="275"/>
      <c r="D177" s="275"/>
      <c r="E177" s="275"/>
      <c r="F177" s="275"/>
      <c r="G177" s="275"/>
      <c r="H177" s="275"/>
      <c r="I177" s="275"/>
      <c r="J177" s="275"/>
      <c r="K177" s="276"/>
      <c r="L177" s="274" t="s">
        <v>117</v>
      </c>
      <c r="M177" s="275"/>
      <c r="N177" s="275"/>
      <c r="O177" s="275"/>
      <c r="P177" s="275"/>
      <c r="Q177" s="275"/>
      <c r="R177" s="275"/>
      <c r="S177" s="275"/>
      <c r="T177" s="275"/>
      <c r="U177" s="276"/>
      <c r="V177" s="274" t="s">
        <v>118</v>
      </c>
      <c r="W177" s="275"/>
      <c r="X177" s="275"/>
      <c r="Y177" s="275"/>
      <c r="Z177" s="275"/>
      <c r="AA177" s="275"/>
      <c r="AB177" s="275"/>
      <c r="AC177" s="275"/>
      <c r="AD177" s="275"/>
      <c r="AE177" s="276"/>
      <c r="AF177" s="274" t="s">
        <v>119</v>
      </c>
      <c r="AG177" s="275"/>
      <c r="AH177" s="275"/>
      <c r="AI177" s="275"/>
      <c r="AJ177" s="275"/>
      <c r="AK177" s="275"/>
      <c r="AL177" s="275"/>
      <c r="AM177" s="275"/>
      <c r="AN177" s="275"/>
      <c r="AO177" s="276"/>
    </row>
    <row r="178" spans="1:53" ht="13.5" thickBot="1" x14ac:dyDescent="0.25">
      <c r="A178" s="273"/>
      <c r="B178" s="268" t="s">
        <v>10</v>
      </c>
      <c r="C178" s="269"/>
      <c r="D178" s="269"/>
      <c r="E178" s="269"/>
      <c r="F178" s="269"/>
      <c r="G178" s="270"/>
      <c r="H178" s="268" t="s">
        <v>120</v>
      </c>
      <c r="I178" s="269"/>
      <c r="J178" s="269"/>
      <c r="K178" s="270"/>
      <c r="L178" s="268" t="s">
        <v>10</v>
      </c>
      <c r="M178" s="269"/>
      <c r="N178" s="269"/>
      <c r="O178" s="269"/>
      <c r="P178" s="269"/>
      <c r="Q178" s="270"/>
      <c r="R178" s="268" t="s">
        <v>120</v>
      </c>
      <c r="S178" s="269"/>
      <c r="T178" s="269"/>
      <c r="U178" s="270"/>
      <c r="V178" s="268" t="s">
        <v>10</v>
      </c>
      <c r="W178" s="269"/>
      <c r="X178" s="269"/>
      <c r="Y178" s="269"/>
      <c r="Z178" s="269"/>
      <c r="AA178" s="270"/>
      <c r="AB178" s="268" t="s">
        <v>120</v>
      </c>
      <c r="AC178" s="269"/>
      <c r="AD178" s="269"/>
      <c r="AE178" s="270"/>
      <c r="AF178" s="268" t="s">
        <v>10</v>
      </c>
      <c r="AG178" s="269"/>
      <c r="AH178" s="269"/>
      <c r="AI178" s="269"/>
      <c r="AJ178" s="269"/>
      <c r="AK178" s="270"/>
      <c r="AL178" s="268" t="s">
        <v>120</v>
      </c>
      <c r="AM178" s="269"/>
      <c r="AN178" s="269"/>
      <c r="AO178" s="270"/>
    </row>
    <row r="179" spans="1:53" x14ac:dyDescent="0.2">
      <c r="A179" s="97" t="s">
        <v>121</v>
      </c>
      <c r="B179" s="260" t="str">
        <f>IF($AF$8=1,$E$8,IF($AF$10=1,$E$10,IF($AF$12=1,$E$12,IF($AF$14=1,$E$14,IF($AF$16=1,$E$16,"1st Place "&amp;$A179)))))</f>
        <v>Magnum Aiken 16 Green</v>
      </c>
      <c r="C179" s="261"/>
      <c r="D179" s="261"/>
      <c r="E179" s="261"/>
      <c r="F179" s="261"/>
      <c r="G179" s="261"/>
      <c r="H179" s="262" t="str">
        <f>IF($AF$8=1,$E$9,IF($AF$10=1,$E$11,IF($AF$12=1,$E$13,IF($AF$14=1,$E$15,IF($AF$16=1,$E$17,"1st Place "&amp;$A179)))))</f>
        <v>fj6magnm2pm</v>
      </c>
      <c r="I179" s="262"/>
      <c r="J179" s="262"/>
      <c r="K179" s="263"/>
      <c r="L179" s="260" t="str">
        <f>IF($AF$8=2,$E$8,IF($AF$10=2,$E$10,IF($AF$12=2,$E$12,IF($AF$14=2,$E$14,IF($AF$16=2,$E$16,"2nd Place "&amp;$A179)))))</f>
        <v>CSRA Heat 16 National</v>
      </c>
      <c r="M179" s="261"/>
      <c r="N179" s="261"/>
      <c r="O179" s="261"/>
      <c r="P179" s="261"/>
      <c r="Q179" s="261"/>
      <c r="R179" s="262" t="str">
        <f>IF($AF$8=2,$E$9,IF($AF$10=2,$E$11,IF($AF$12=2,$E$13,IF($AF$14=2,$E$15,IF($AF$16=2,$E$17,"2nd Place "&amp;$A179)))))</f>
        <v>fj6csrah1pm</v>
      </c>
      <c r="S179" s="262"/>
      <c r="T179" s="262"/>
      <c r="U179" s="263"/>
      <c r="V179" s="260" t="str">
        <f>IF($AF$8=3,$E$8,IF($AF$10=3,$E$10,IF($AF$12=3,$E$12,IF($AF$14=3,$E$14,IF($AF$16=3,$E$16,"3rd Place "&amp;$A179)))))</f>
        <v>SC Midlands 15 National</v>
      </c>
      <c r="W179" s="261"/>
      <c r="X179" s="261"/>
      <c r="Y179" s="261"/>
      <c r="Z179" s="261"/>
      <c r="AA179" s="261"/>
      <c r="AB179" s="262" t="str">
        <f>IF($AF$8=3,$E$9,IF($AF$10=3,$E$11,IF($AF$12=3,$E$13,IF($AF$14=3,$E$15,IF($AF$16=3,$E$17,"3rd Place "&amp;$A179)))))</f>
        <v>fj5scmid1pm</v>
      </c>
      <c r="AC179" s="262"/>
      <c r="AD179" s="262"/>
      <c r="AE179" s="263"/>
      <c r="AF179" s="260" t="str">
        <f>IF($AF$8=4,$E$8,IF($AF$10=4,$E$10,IF($AF$12=4,$E$12,IF($AF$14=4,$E$14,IF($AF$16=4,$E$16,"4th Place "&amp;$A179)))))</f>
        <v>Beaufort Sweet 16's</v>
      </c>
      <c r="AG179" s="261"/>
      <c r="AH179" s="261"/>
      <c r="AI179" s="261"/>
      <c r="AJ179" s="261"/>
      <c r="AK179" s="261"/>
      <c r="AL179" s="262" t="str">
        <f>IF($AF$8=4,$E$9,IF($AF$10=4,$E$11,IF($AF$12=4,$E$13,IF($AF$14=4,$E$15,IF($AF$16=4,$E$17,"4th Place "&amp;$A179)))))</f>
        <v>fj6beauf1pm</v>
      </c>
      <c r="AM179" s="262"/>
      <c r="AN179" s="262"/>
      <c r="AO179" s="263"/>
    </row>
    <row r="180" spans="1:53" ht="13.5" thickBot="1" x14ac:dyDescent="0.25">
      <c r="A180" s="98" t="s">
        <v>122</v>
      </c>
      <c r="B180" s="264" t="str">
        <f>IF($AF$93=1,$E$93,IF($AF$95=1,$E$95,IF($AF$97=1,$E$97,IF($AF$99=1,$E$99,IF($AF$101=1,$E$101,"1st Place "&amp;$A180)))))</f>
        <v>SC Midlands 16 National</v>
      </c>
      <c r="C180" s="265"/>
      <c r="D180" s="265"/>
      <c r="E180" s="265"/>
      <c r="F180" s="265"/>
      <c r="G180" s="265"/>
      <c r="H180" s="266" t="str">
        <f>IF($AF$93=1,$E$94,IF($AF$95=1,$E$96,IF($AF$97=1,$E$98,IF($AF$99=1,$E$100,IF($AF$101=1,$E$102,"1st Place "&amp;$A180)))))</f>
        <v>fj6scmid1pm</v>
      </c>
      <c r="I180" s="266"/>
      <c r="J180" s="266"/>
      <c r="K180" s="267"/>
      <c r="L180" s="264" t="str">
        <f>IF($AF$93=2,$E$93,IF($AF$95=2,$E$95,IF($AF$97=2,$E$97,IF($AF$99=2,$E$99,IF($AF$101=2,$E$101,"2nd Place "&amp;$A180)))))</f>
        <v>Intense 16 Elite Orange R</v>
      </c>
      <c r="M180" s="265"/>
      <c r="N180" s="265"/>
      <c r="O180" s="265"/>
      <c r="P180" s="265"/>
      <c r="Q180" s="265"/>
      <c r="R180" s="266" t="str">
        <f>IF($AF$93=2,$E$94,IF($AF$95=2,$E$96,IF($AF$97=2,$E$98,IF($AF$99=2,$E$100,IF($AF$101=2,$E$102,"2nd Place "&amp;$A180)))))</f>
        <v>fj6inten6pm</v>
      </c>
      <c r="S180" s="266"/>
      <c r="T180" s="266"/>
      <c r="U180" s="267"/>
      <c r="V180" s="264" t="str">
        <f>IF($AF$93=3,$E$93,IF($AF$95=3,$E$95,IF($AF$97=3,$E$97,IF($AF$99=3,$E$99,IF($AF$101=3,$E$101,"3rd Place "&amp;$A180)))))</f>
        <v>Lake Murray 16 Red</v>
      </c>
      <c r="W180" s="265"/>
      <c r="X180" s="265"/>
      <c r="Y180" s="265"/>
      <c r="Z180" s="265"/>
      <c r="AA180" s="265"/>
      <c r="AB180" s="266" t="str">
        <f>IF($AF$93=3,$E$94,IF($AF$95=3,$E$96,IF($AF$97=3,$E$98,IF($AF$99=3,$E$100,IF($AF$101=3,$E$102,"3rd Place "&amp;$A180)))))</f>
        <v>fj6lakem1pm</v>
      </c>
      <c r="AC180" s="266"/>
      <c r="AD180" s="266"/>
      <c r="AE180" s="267"/>
      <c r="AF180" s="264" t="str">
        <f>IF($AF$93=4,$E$93,IF($AF$95=4,$E$95,IF($AF$97=4,$E$97,IF($AF$99=4,$E$99,IF($AF$101=4,$E$101,"4th Place "&amp;$A180)))))</f>
        <v>Intense 15 Hyper Elite</v>
      </c>
      <c r="AG180" s="265"/>
      <c r="AH180" s="265"/>
      <c r="AI180" s="265"/>
      <c r="AJ180" s="265"/>
      <c r="AK180" s="265"/>
      <c r="AL180" s="266" t="str">
        <f>IF($AF$93=4,$E$94,IF($AF$95=4,$E$96,IF($AF$97=4,$E$98,IF($AF$99=4,$E$100,IF($AF$101=4,$E$102,"4th Place "&amp;$A180)))))</f>
        <v>fj5inten1pm</v>
      </c>
      <c r="AM180" s="266"/>
      <c r="AN180" s="266"/>
      <c r="AO180" s="267"/>
    </row>
    <row r="181" spans="1:53" s="3" customFormat="1" x14ac:dyDescent="0.2">
      <c r="A181" s="99"/>
      <c r="B181" s="100"/>
      <c r="C181" s="100"/>
      <c r="D181" s="100"/>
      <c r="E181" s="100"/>
      <c r="F181" s="100"/>
      <c r="G181" s="100"/>
      <c r="H181" s="100"/>
      <c r="I181" s="100"/>
      <c r="J181" s="100"/>
      <c r="K181" s="100"/>
      <c r="L181" s="100"/>
      <c r="M181" s="100"/>
      <c r="N181" s="100"/>
      <c r="O181" s="100"/>
      <c r="P181" s="100"/>
      <c r="Q181" s="100"/>
      <c r="R181" s="100"/>
      <c r="S181" s="100"/>
      <c r="T181" s="100"/>
      <c r="U181" s="100"/>
      <c r="V181" s="100"/>
      <c r="W181" s="100"/>
      <c r="X181" s="100"/>
      <c r="Y181" s="100"/>
      <c r="Z181" s="100"/>
      <c r="AA181" s="100"/>
      <c r="AB181" s="100"/>
      <c r="AC181" s="100"/>
      <c r="AD181" s="100"/>
      <c r="AE181" s="100"/>
      <c r="AF181" s="100"/>
      <c r="AG181" s="100"/>
      <c r="AH181" s="100"/>
      <c r="AI181" s="100"/>
      <c r="AJ181" s="100"/>
      <c r="AK181" s="100"/>
      <c r="AL181" s="100"/>
      <c r="AM181" s="100"/>
      <c r="AN181" s="100"/>
      <c r="AO181" s="100"/>
      <c r="AW181" s="156"/>
      <c r="AX181" s="4"/>
      <c r="AY181" s="4"/>
      <c r="AZ181" s="4"/>
      <c r="BA181" s="4"/>
    </row>
    <row r="182" spans="1:53" ht="15.75" x14ac:dyDescent="0.25">
      <c r="A182" s="255" t="s">
        <v>123</v>
      </c>
      <c r="B182" s="255"/>
      <c r="C182" s="255"/>
      <c r="D182" s="255"/>
      <c r="E182" s="255"/>
      <c r="F182" s="255"/>
      <c r="G182" s="255"/>
      <c r="H182" s="255"/>
      <c r="I182" s="255"/>
      <c r="J182" s="255"/>
      <c r="K182" s="255"/>
      <c r="L182" s="255"/>
      <c r="M182" s="255"/>
      <c r="N182" s="255"/>
      <c r="O182" s="255"/>
      <c r="P182" s="255"/>
      <c r="Q182" s="255"/>
      <c r="R182" s="255"/>
      <c r="S182" s="255"/>
      <c r="T182" s="255"/>
      <c r="U182" s="255"/>
      <c r="V182" s="255"/>
      <c r="W182" s="255"/>
      <c r="X182" s="255"/>
      <c r="Y182" s="255"/>
      <c r="Z182" s="255"/>
      <c r="AA182" s="255"/>
      <c r="AB182" s="255"/>
      <c r="AC182" s="255"/>
      <c r="AD182" s="255"/>
      <c r="AE182" s="255"/>
      <c r="AF182" s="255"/>
      <c r="AG182" s="255"/>
      <c r="AH182" s="255"/>
      <c r="AI182" s="255"/>
      <c r="AJ182" s="255"/>
      <c r="AK182" s="255"/>
      <c r="AL182" s="255"/>
      <c r="AM182" s="255"/>
      <c r="AN182" s="255"/>
      <c r="AO182" s="255"/>
      <c r="AP182" s="255"/>
      <c r="AQ182" s="255"/>
      <c r="AT182" s="101"/>
      <c r="AU182" s="101"/>
      <c r="AV182" s="101"/>
    </row>
    <row r="183" spans="1:53" ht="14.25" x14ac:dyDescent="0.2">
      <c r="A183" s="443" t="s">
        <v>258</v>
      </c>
      <c r="B183" s="443"/>
      <c r="C183" s="443"/>
      <c r="D183" s="443"/>
      <c r="E183" s="443"/>
      <c r="F183" s="443"/>
      <c r="G183" s="443"/>
      <c r="H183" s="443"/>
      <c r="I183" s="443"/>
      <c r="J183" s="443"/>
      <c r="K183" s="443"/>
      <c r="L183" s="443"/>
      <c r="M183" s="443"/>
      <c r="N183" s="443"/>
      <c r="O183" s="443"/>
      <c r="P183" s="443"/>
      <c r="Q183" s="443"/>
      <c r="R183" s="443"/>
      <c r="S183" s="443"/>
      <c r="T183" s="443"/>
      <c r="U183" s="443"/>
      <c r="V183" s="443"/>
      <c r="W183" s="443"/>
      <c r="X183" s="443"/>
      <c r="Y183" s="443"/>
      <c r="Z183" s="443"/>
      <c r="AA183" s="443"/>
      <c r="AB183" s="443"/>
      <c r="AC183" s="443"/>
      <c r="AD183" s="443"/>
      <c r="AE183" s="443"/>
      <c r="AF183" s="443"/>
      <c r="AG183" s="443"/>
      <c r="AH183" s="443"/>
      <c r="AI183" s="443"/>
      <c r="AJ183" s="443"/>
      <c r="AK183" s="443"/>
      <c r="AL183" s="443"/>
      <c r="AM183" s="443"/>
      <c r="AN183" s="443"/>
      <c r="AO183" s="443"/>
      <c r="AP183" s="443"/>
      <c r="AQ183" s="443"/>
    </row>
    <row r="184" spans="1:53" x14ac:dyDescent="0.2">
      <c r="A184" s="257" t="s">
        <v>259</v>
      </c>
      <c r="B184" s="257"/>
      <c r="C184" s="257"/>
      <c r="D184" s="257"/>
      <c r="E184" s="257"/>
      <c r="F184" s="257"/>
      <c r="G184" s="257"/>
      <c r="H184" s="257"/>
      <c r="I184" s="257"/>
      <c r="J184" s="257"/>
      <c r="K184" s="257"/>
      <c r="L184" s="257"/>
      <c r="M184" s="257"/>
      <c r="N184" s="257"/>
      <c r="O184" s="257"/>
      <c r="P184" s="257"/>
      <c r="Q184" s="257"/>
      <c r="R184" s="257"/>
      <c r="S184" s="257"/>
      <c r="T184" s="257"/>
      <c r="U184" s="257"/>
      <c r="V184" s="257"/>
      <c r="W184" s="257"/>
      <c r="X184" s="257"/>
      <c r="Y184" s="257"/>
      <c r="Z184" s="257"/>
      <c r="AA184" s="257"/>
      <c r="AB184" s="257"/>
      <c r="AC184" s="257"/>
      <c r="AD184" s="257"/>
      <c r="AE184" s="257"/>
      <c r="AF184" s="257"/>
      <c r="AG184" s="257"/>
      <c r="AH184" s="257"/>
      <c r="AI184" s="257"/>
      <c r="AJ184" s="257"/>
      <c r="AK184" s="257"/>
      <c r="AL184" s="257"/>
      <c r="AM184" s="257"/>
      <c r="AN184" s="257"/>
      <c r="AO184" s="257"/>
      <c r="AP184" s="257"/>
      <c r="AQ184" s="257"/>
    </row>
    <row r="185" spans="1:53" x14ac:dyDescent="0.2">
      <c r="A185" s="257"/>
      <c r="B185" s="257"/>
      <c r="C185" s="257"/>
      <c r="D185" s="257"/>
      <c r="E185" s="257"/>
      <c r="F185" s="257"/>
      <c r="G185" s="257"/>
      <c r="H185" s="257"/>
      <c r="I185" s="257"/>
      <c r="J185" s="257"/>
      <c r="K185" s="257"/>
      <c r="L185" s="257"/>
      <c r="M185" s="257"/>
      <c r="N185" s="257"/>
      <c r="O185" s="257"/>
      <c r="P185" s="257"/>
      <c r="Q185" s="257"/>
      <c r="R185" s="257"/>
      <c r="S185" s="257"/>
      <c r="T185" s="257"/>
      <c r="U185" s="257"/>
      <c r="V185" s="257"/>
      <c r="W185" s="257"/>
      <c r="X185" s="257"/>
      <c r="Y185" s="257"/>
      <c r="Z185" s="257"/>
      <c r="AA185" s="257"/>
      <c r="AB185" s="257"/>
      <c r="AC185" s="257"/>
      <c r="AD185" s="257"/>
      <c r="AE185" s="257"/>
      <c r="AF185" s="257"/>
      <c r="AG185" s="257"/>
      <c r="AH185" s="257"/>
      <c r="AI185" s="257"/>
      <c r="AJ185" s="257"/>
      <c r="AK185" s="257"/>
      <c r="AL185" s="257"/>
      <c r="AM185" s="257"/>
      <c r="AN185" s="257"/>
      <c r="AO185" s="257"/>
      <c r="AP185" s="257"/>
      <c r="AQ185" s="257"/>
    </row>
    <row r="186" spans="1:53" x14ac:dyDescent="0.2">
      <c r="A186" s="258" t="s">
        <v>126</v>
      </c>
      <c r="B186" s="258"/>
      <c r="C186" s="258"/>
      <c r="D186" s="258"/>
      <c r="E186" s="258"/>
      <c r="F186" s="258"/>
      <c r="G186" s="258"/>
      <c r="H186" s="258"/>
      <c r="I186" s="258"/>
      <c r="J186" s="258"/>
      <c r="K186" s="258"/>
      <c r="L186" s="102"/>
    </row>
    <row r="187" spans="1:53" x14ac:dyDescent="0.2">
      <c r="C187" s="3"/>
      <c r="D187" s="3"/>
      <c r="E187" s="3"/>
      <c r="L187" s="102"/>
    </row>
    <row r="188" spans="1:53" x14ac:dyDescent="0.2">
      <c r="A188" s="259" t="s">
        <v>127</v>
      </c>
      <c r="B188" s="259"/>
      <c r="C188" s="259"/>
      <c r="D188" s="259"/>
      <c r="E188" s="259"/>
      <c r="F188" s="259"/>
      <c r="G188" s="259"/>
      <c r="H188" s="259"/>
      <c r="I188" s="259"/>
      <c r="J188" s="259"/>
      <c r="K188" s="259"/>
      <c r="L188" s="259"/>
      <c r="M188" s="259"/>
      <c r="N188" s="259"/>
      <c r="O188" s="259"/>
      <c r="P188" s="156"/>
      <c r="R188" s="259" t="s">
        <v>128</v>
      </c>
      <c r="S188" s="259"/>
      <c r="T188" s="259"/>
      <c r="U188" s="259"/>
      <c r="V188" s="259"/>
      <c r="W188" s="259"/>
      <c r="X188" s="259"/>
      <c r="Y188" s="259"/>
      <c r="Z188" s="259"/>
      <c r="AA188" s="259"/>
      <c r="AB188" s="259"/>
      <c r="AC188" s="259"/>
      <c r="AD188" s="259"/>
      <c r="AE188" s="259"/>
      <c r="AF188" s="259"/>
    </row>
    <row r="190" spans="1:53" ht="13.5" thickBot="1" x14ac:dyDescent="0.25">
      <c r="A190" s="225" t="str">
        <f>IF(B218=1,B210,IF(B218=2,B211,IF(B218=3,B212,IF(B218=4,B213,IF(OR(B218="B",B218="b"),"BYE","invalid")))))</f>
        <v>Magnum Aiken 16 Green</v>
      </c>
      <c r="B190" s="225"/>
      <c r="C190" s="225"/>
      <c r="D190" s="225"/>
      <c r="E190" s="225"/>
      <c r="F190" s="103"/>
      <c r="G190" s="103"/>
      <c r="H190" s="103"/>
      <c r="I190" s="103"/>
      <c r="J190" s="103"/>
      <c r="K190" s="103"/>
      <c r="L190" s="103"/>
      <c r="M190" s="103"/>
      <c r="N190" s="103"/>
      <c r="S190" s="157"/>
      <c r="T190" s="157"/>
      <c r="U190" s="225" t="str">
        <f>IF(W218=1,X210,IF(W218=2,X211,IF(W218=3,X212,IF(W218=4,X213,IF(OR(W218="B",W218="b"),"BYE","invalid")))))</f>
        <v>SC Midlands 15 National</v>
      </c>
      <c r="V190" s="225"/>
      <c r="W190" s="225"/>
      <c r="X190" s="225"/>
      <c r="Y190" s="225"/>
      <c r="Z190" s="225"/>
      <c r="AA190" s="225"/>
      <c r="AB190" s="103"/>
      <c r="AC190" s="103"/>
      <c r="AD190" s="103"/>
      <c r="AE190" s="103"/>
    </row>
    <row r="191" spans="1:53" x14ac:dyDescent="0.2">
      <c r="A191" s="227" t="s">
        <v>129</v>
      </c>
      <c r="B191" s="227"/>
      <c r="C191" s="227"/>
      <c r="D191" s="227"/>
      <c r="E191" s="227"/>
      <c r="F191" s="105"/>
      <c r="G191" s="103"/>
      <c r="H191" s="103"/>
      <c r="I191" s="103"/>
      <c r="J191" s="103"/>
      <c r="K191" s="103"/>
      <c r="L191" s="103"/>
      <c r="M191" s="103"/>
      <c r="N191" s="103"/>
      <c r="S191" s="106"/>
      <c r="T191" s="106"/>
      <c r="U191" s="228" t="s">
        <v>130</v>
      </c>
      <c r="V191" s="228"/>
      <c r="W191" s="228"/>
      <c r="X191" s="228"/>
      <c r="Y191" s="228"/>
      <c r="Z191" s="228"/>
      <c r="AA191" s="242"/>
      <c r="AB191" s="103"/>
      <c r="AC191" s="103"/>
      <c r="AD191" s="103"/>
      <c r="AE191" s="103"/>
    </row>
    <row r="192" spans="1:53" x14ac:dyDescent="0.2">
      <c r="A192" s="103"/>
      <c r="B192" s="103"/>
      <c r="C192" s="103"/>
      <c r="D192" s="103"/>
      <c r="E192" s="103"/>
      <c r="F192" s="105"/>
      <c r="G192" s="103"/>
      <c r="H192" s="103"/>
      <c r="I192" s="103"/>
      <c r="J192" s="103"/>
      <c r="K192" s="103"/>
      <c r="L192" s="103"/>
      <c r="M192" s="103"/>
      <c r="N192" s="103"/>
      <c r="R192" s="103"/>
      <c r="S192" s="103"/>
      <c r="T192" s="103"/>
      <c r="U192" s="103"/>
      <c r="V192" s="103"/>
      <c r="W192" s="103"/>
      <c r="X192" s="103"/>
      <c r="Y192" s="103"/>
      <c r="Z192" s="103"/>
      <c r="AA192" s="107"/>
      <c r="AB192" s="103"/>
      <c r="AC192" s="103"/>
      <c r="AD192" s="103"/>
      <c r="AE192" s="103"/>
    </row>
    <row r="193" spans="1:53" ht="13.5" thickBot="1" x14ac:dyDescent="0.25">
      <c r="A193" s="228" t="str">
        <f>B212&amp;" ref"</f>
        <v>CSRA Heat 16 National ref</v>
      </c>
      <c r="B193" s="228"/>
      <c r="C193" s="228"/>
      <c r="D193" s="228"/>
      <c r="E193" s="242"/>
      <c r="F193" s="237" t="str">
        <f>IF(H218=1,B210,IF(H218=2,B211,IF(H218=3,B212,IF(H218=4,B213,"Winner Match 1"))))</f>
        <v>Magnum Aiken 16 Green</v>
      </c>
      <c r="G193" s="238"/>
      <c r="H193" s="238"/>
      <c r="I193" s="238"/>
      <c r="J193" s="238"/>
      <c r="K193" s="238"/>
      <c r="L193" s="238"/>
      <c r="M193" s="238"/>
      <c r="N193" s="103"/>
      <c r="P193" s="108"/>
      <c r="Q193" s="108"/>
      <c r="R193" s="108"/>
      <c r="S193" s="108"/>
      <c r="T193" s="228" t="str">
        <f>X212&amp;" ref"</f>
        <v>Beaufort Sweet 16's ref</v>
      </c>
      <c r="U193" s="228"/>
      <c r="V193" s="228"/>
      <c r="W193" s="228"/>
      <c r="X193" s="228"/>
      <c r="Y193" s="228"/>
      <c r="Z193" s="228"/>
      <c r="AA193" s="242"/>
      <c r="AB193" s="237" t="str">
        <f>IF(AC218=1,X210,IF(AC218=2,X211,IF(AC218=3,X212,IF(AC218=4,X213,"Winner Match 1"))))</f>
        <v>SC Midlands 15 National</v>
      </c>
      <c r="AC193" s="238"/>
      <c r="AD193" s="238"/>
      <c r="AE193" s="238"/>
      <c r="AF193" s="238"/>
      <c r="AG193" s="238"/>
      <c r="AH193" s="238"/>
    </row>
    <row r="194" spans="1:53" x14ac:dyDescent="0.2">
      <c r="A194" s="239" t="s">
        <v>131</v>
      </c>
      <c r="B194" s="239"/>
      <c r="C194" s="239"/>
      <c r="D194" s="239"/>
      <c r="E194" s="239"/>
      <c r="F194" s="251"/>
      <c r="G194" s="252"/>
      <c r="H194" s="252"/>
      <c r="I194" s="253"/>
      <c r="J194" s="233"/>
      <c r="K194" s="234"/>
      <c r="L194" s="234"/>
      <c r="M194" s="234"/>
      <c r="N194" s="103"/>
      <c r="O194" s="103"/>
      <c r="P194" s="114"/>
      <c r="Q194" s="7"/>
      <c r="R194" s="115"/>
      <c r="S194" s="115"/>
      <c r="T194" s="254" t="s">
        <v>132</v>
      </c>
      <c r="U194" s="254"/>
      <c r="V194" s="254"/>
      <c r="W194" s="254"/>
      <c r="X194" s="254"/>
      <c r="Y194" s="254"/>
      <c r="Z194" s="254"/>
      <c r="AA194" s="107"/>
      <c r="AB194" s="251"/>
      <c r="AC194" s="252"/>
      <c r="AD194" s="252"/>
      <c r="AE194" s="253"/>
      <c r="AF194" s="233"/>
      <c r="AG194" s="234"/>
      <c r="AH194" s="234"/>
    </row>
    <row r="195" spans="1:53" ht="13.5" thickBot="1" x14ac:dyDescent="0.25">
      <c r="A195" s="225" t="str">
        <f>IF(D218=1,B210,IF(D218=2,B211,IF(D218=3,B212,IF(D218=4,B213,IF(OR(D218="B",D218="b"),"BYE","invalid")))))</f>
        <v>Intense 16 Elite Orange R</v>
      </c>
      <c r="B195" s="225"/>
      <c r="C195" s="225"/>
      <c r="D195" s="225"/>
      <c r="E195" s="226"/>
      <c r="F195" s="105"/>
      <c r="G195" s="103"/>
      <c r="H195" s="103"/>
      <c r="I195" s="103"/>
      <c r="J195" s="105"/>
      <c r="K195" s="103"/>
      <c r="L195" s="103"/>
      <c r="M195" s="103"/>
      <c r="N195" s="103"/>
      <c r="O195" s="103"/>
      <c r="P195" s="103"/>
      <c r="T195" s="103"/>
      <c r="U195" s="225" t="str">
        <f>IF(Y218=1,X210,IF(Y218=2,X211,IF(Y218=3,X212,IF(Y218=4,X213,IF(OR(Y218="B",Y218="b"),"BYE","invalid")))))</f>
        <v>Intense 15 Hyper Elite</v>
      </c>
      <c r="V195" s="225"/>
      <c r="W195" s="225"/>
      <c r="X195" s="225"/>
      <c r="Y195" s="225"/>
      <c r="Z195" s="225"/>
      <c r="AA195" s="226"/>
      <c r="AB195" s="103"/>
      <c r="AC195" s="103"/>
      <c r="AD195" s="103"/>
      <c r="AE195" s="107"/>
      <c r="AF195" s="103"/>
      <c r="AG195" s="103"/>
    </row>
    <row r="196" spans="1:53" x14ac:dyDescent="0.2">
      <c r="A196" s="227" t="s">
        <v>133</v>
      </c>
      <c r="B196" s="227"/>
      <c r="C196" s="227"/>
      <c r="D196" s="227"/>
      <c r="E196" s="227"/>
      <c r="F196" s="103"/>
      <c r="G196" s="103"/>
      <c r="H196" s="103"/>
      <c r="I196" s="103"/>
      <c r="J196" s="105"/>
      <c r="K196" s="103"/>
      <c r="L196" s="103"/>
      <c r="M196" s="103"/>
      <c r="N196" s="103"/>
      <c r="O196" s="103"/>
      <c r="P196" s="103"/>
      <c r="U196" s="249" t="s">
        <v>134</v>
      </c>
      <c r="V196" s="249"/>
      <c r="W196" s="249"/>
      <c r="X196" s="249"/>
      <c r="Y196" s="249"/>
      <c r="Z196" s="249"/>
      <c r="AA196" s="249"/>
      <c r="AB196" s="103"/>
      <c r="AC196" s="103"/>
      <c r="AD196" s="103"/>
      <c r="AE196" s="107"/>
      <c r="AF196" s="103"/>
      <c r="AG196" s="103"/>
      <c r="AQ196" s="116"/>
      <c r="AR196" s="116"/>
      <c r="AS196" s="116"/>
    </row>
    <row r="197" spans="1:53" x14ac:dyDescent="0.2">
      <c r="A197" s="103"/>
      <c r="B197" s="103"/>
      <c r="C197" s="103"/>
      <c r="D197" s="103"/>
      <c r="E197" s="103"/>
      <c r="F197" s="241" t="s">
        <v>135</v>
      </c>
      <c r="G197" s="241"/>
      <c r="H197" s="241"/>
      <c r="I197" s="250"/>
      <c r="J197" s="105"/>
      <c r="K197" s="103"/>
      <c r="L197" s="103"/>
      <c r="M197" s="103"/>
      <c r="N197" s="103"/>
      <c r="O197" s="103"/>
      <c r="P197" s="103"/>
      <c r="R197" s="103"/>
      <c r="S197" s="103"/>
      <c r="T197" s="103"/>
      <c r="U197" s="103"/>
      <c r="V197" s="103"/>
      <c r="W197" s="108"/>
      <c r="X197" s="108"/>
      <c r="Y197" s="108"/>
      <c r="AA197" s="108"/>
      <c r="AB197" s="241" t="s">
        <v>135</v>
      </c>
      <c r="AC197" s="241"/>
      <c r="AD197" s="241"/>
      <c r="AE197" s="250"/>
      <c r="AF197" s="103"/>
      <c r="AG197" s="103"/>
    </row>
    <row r="198" spans="1:53" ht="13.5" thickBot="1" x14ac:dyDescent="0.25">
      <c r="A198" s="103"/>
      <c r="B198" s="103"/>
      <c r="C198" s="103"/>
      <c r="D198" s="103"/>
      <c r="E198" s="103"/>
      <c r="F198" s="103"/>
      <c r="G198" s="103"/>
      <c r="H198" s="103"/>
      <c r="I198" s="103"/>
      <c r="J198" s="244" t="str">
        <f>IF(K223=1,B210,IF(K223=2,B211,IF(K223=3,B212,IF(K223=4,B213,"Division Winner"))))</f>
        <v>SC Midlands 16 National</v>
      </c>
      <c r="K198" s="245"/>
      <c r="L198" s="245"/>
      <c r="M198" s="245"/>
      <c r="N198" s="245"/>
      <c r="O198" s="245"/>
      <c r="P198" s="245"/>
      <c r="Q198" s="157"/>
      <c r="R198" s="103"/>
      <c r="S198" s="103"/>
      <c r="T198" s="103"/>
      <c r="U198" s="103"/>
      <c r="V198" s="103"/>
      <c r="W198" s="103"/>
      <c r="X198" s="103"/>
      <c r="Y198" s="103"/>
      <c r="Z198" s="103"/>
      <c r="AA198" s="118"/>
      <c r="AB198" s="118"/>
      <c r="AC198" s="118"/>
      <c r="AD198" s="118"/>
      <c r="AE198" s="119"/>
      <c r="AF198" s="245" t="str">
        <f>IF(AF223=1,X210,IF(AF223=2,X211,IF(AF223=3,X212,IF(AF223=4,X213,"Division Winner"))))</f>
        <v>SC Midlands 15 National</v>
      </c>
      <c r="AG198" s="245"/>
      <c r="AH198" s="245"/>
      <c r="AI198" s="245"/>
      <c r="AJ198" s="245"/>
      <c r="AK198" s="118"/>
    </row>
    <row r="199" spans="1:53" ht="13.5" thickBot="1" x14ac:dyDescent="0.25">
      <c r="A199" s="225" t="str">
        <f>IF(E218=1,B210,IF(E218=2,B211,IF(E218=3,B212,IF(E218=4,B213,IF(OR(E218="B",E218="b"),"BYE","invalid")))))</f>
        <v>SC Midlands 16 National</v>
      </c>
      <c r="B199" s="225"/>
      <c r="C199" s="225"/>
      <c r="D199" s="225"/>
      <c r="E199" s="225"/>
      <c r="F199" s="239" t="s">
        <v>136</v>
      </c>
      <c r="G199" s="239"/>
      <c r="H199" s="239"/>
      <c r="I199" s="239"/>
      <c r="J199" s="240" t="s">
        <v>137</v>
      </c>
      <c r="K199" s="241"/>
      <c r="L199" s="241"/>
      <c r="M199" s="241"/>
      <c r="N199" s="241"/>
      <c r="O199" s="241"/>
      <c r="P199" s="241"/>
      <c r="R199" s="118"/>
      <c r="S199" s="118"/>
      <c r="T199" s="118"/>
      <c r="U199" s="225" t="str">
        <f>IF(Z218=1,X210,IF(Z218=2,X211,IF(Z218=3,X212,IF(Z218=4,X213,IF(OR(Z218="B",Z218="b"),"BYE","invalid")))))</f>
        <v>Lake Murray 16 Red</v>
      </c>
      <c r="V199" s="225"/>
      <c r="W199" s="225"/>
      <c r="X199" s="225"/>
      <c r="Y199" s="225"/>
      <c r="Z199" s="225"/>
      <c r="AA199" s="225"/>
      <c r="AB199" s="239" t="s">
        <v>138</v>
      </c>
      <c r="AC199" s="239"/>
      <c r="AD199" s="239"/>
      <c r="AE199" s="246"/>
      <c r="AF199" s="247" t="s">
        <v>139</v>
      </c>
      <c r="AG199" s="248"/>
      <c r="AH199" s="248"/>
      <c r="AI199" s="248"/>
      <c r="AJ199" s="248"/>
    </row>
    <row r="200" spans="1:53" x14ac:dyDescent="0.2">
      <c r="A200" s="227" t="s">
        <v>140</v>
      </c>
      <c r="B200" s="227"/>
      <c r="C200" s="227"/>
      <c r="D200" s="227"/>
      <c r="E200" s="227"/>
      <c r="F200" s="105"/>
      <c r="G200" s="103"/>
      <c r="H200" s="103"/>
      <c r="I200" s="103"/>
      <c r="J200" s="240"/>
      <c r="K200" s="241"/>
      <c r="L200" s="241"/>
      <c r="M200" s="241"/>
      <c r="N200" s="241"/>
      <c r="O200" s="241"/>
      <c r="P200" s="241"/>
      <c r="Q200" s="103"/>
      <c r="R200" s="116"/>
      <c r="S200" s="116"/>
      <c r="T200" s="116"/>
      <c r="U200" s="228" t="s">
        <v>141</v>
      </c>
      <c r="V200" s="228"/>
      <c r="W200" s="228"/>
      <c r="X200" s="228"/>
      <c r="Y200" s="228"/>
      <c r="Z200" s="228"/>
      <c r="AA200" s="242"/>
      <c r="AB200" s="103"/>
      <c r="AC200" s="103"/>
      <c r="AD200" s="103"/>
      <c r="AE200" s="107"/>
      <c r="AF200" s="103"/>
      <c r="AG200" s="103"/>
    </row>
    <row r="201" spans="1:53" x14ac:dyDescent="0.2">
      <c r="A201" s="103"/>
      <c r="B201" s="103"/>
      <c r="C201" s="103"/>
      <c r="D201" s="103"/>
      <c r="E201" s="103"/>
      <c r="F201" s="105"/>
      <c r="G201" s="103"/>
      <c r="H201" s="103"/>
      <c r="I201" s="103"/>
      <c r="J201" s="105"/>
      <c r="K201" s="103"/>
      <c r="L201" s="103"/>
      <c r="M201" s="103"/>
      <c r="N201" s="103"/>
      <c r="P201" s="103"/>
      <c r="Q201" s="103"/>
      <c r="R201" s="103"/>
      <c r="S201" s="103"/>
      <c r="T201" s="103"/>
      <c r="U201" s="103"/>
      <c r="V201" s="103"/>
      <c r="W201" s="103"/>
      <c r="X201" s="103"/>
      <c r="Y201" s="103"/>
      <c r="Z201" s="103"/>
      <c r="AA201" s="107"/>
      <c r="AB201" s="105"/>
      <c r="AC201" s="103"/>
      <c r="AD201" s="103"/>
      <c r="AE201" s="107"/>
      <c r="AF201" s="103"/>
      <c r="AG201" s="103"/>
      <c r="AW201" s="154"/>
      <c r="AX201" s="70"/>
      <c r="AY201" s="70"/>
      <c r="AZ201" s="70"/>
      <c r="BA201" s="70"/>
    </row>
    <row r="202" spans="1:53" ht="13.5" thickBot="1" x14ac:dyDescent="0.25">
      <c r="A202" s="241" t="s">
        <v>142</v>
      </c>
      <c r="B202" s="241"/>
      <c r="C202" s="241"/>
      <c r="D202" s="241"/>
      <c r="E202" s="114"/>
      <c r="F202" s="230"/>
      <c r="G202" s="231"/>
      <c r="H202" s="231"/>
      <c r="I202" s="232"/>
      <c r="J202" s="233"/>
      <c r="K202" s="234"/>
      <c r="L202" s="234"/>
      <c r="M202" s="234"/>
      <c r="N202" s="103"/>
      <c r="Q202" s="108"/>
      <c r="R202" s="108"/>
      <c r="S202" s="108"/>
      <c r="T202" s="241" t="s">
        <v>142</v>
      </c>
      <c r="U202" s="241"/>
      <c r="V202" s="241"/>
      <c r="W202" s="241"/>
      <c r="X202" s="241"/>
      <c r="Y202" s="241"/>
      <c r="Z202" s="241"/>
      <c r="AA202" s="103"/>
      <c r="AB202" s="230"/>
      <c r="AC202" s="231"/>
      <c r="AD202" s="231"/>
      <c r="AE202" s="232"/>
      <c r="AF202" s="233"/>
      <c r="AG202" s="234"/>
      <c r="AH202" s="234"/>
      <c r="AW202" s="154"/>
      <c r="AX202" s="70"/>
      <c r="AY202" s="70"/>
      <c r="AZ202" s="70"/>
      <c r="BA202" s="70"/>
    </row>
    <row r="203" spans="1:53" x14ac:dyDescent="0.2">
      <c r="A203" s="239" t="s">
        <v>131</v>
      </c>
      <c r="B203" s="239"/>
      <c r="C203" s="239"/>
      <c r="D203" s="239"/>
      <c r="E203" s="246"/>
      <c r="F203" s="237" t="str">
        <f>IF(J218=1,B210,IF(J218=2,B211,IF(J218=3,B212,IF(J218=4,B213,"Winner Match 2"))))</f>
        <v>SC Midlands 16 National</v>
      </c>
      <c r="G203" s="238"/>
      <c r="H203" s="238"/>
      <c r="I203" s="238"/>
      <c r="J203" s="238"/>
      <c r="K203" s="238"/>
      <c r="L203" s="238"/>
      <c r="M203" s="238"/>
      <c r="N203" s="103"/>
      <c r="P203" s="114"/>
      <c r="Q203" s="114"/>
      <c r="S203" s="115"/>
      <c r="T203" s="239" t="s">
        <v>132</v>
      </c>
      <c r="U203" s="239"/>
      <c r="V203" s="239"/>
      <c r="W203" s="239"/>
      <c r="X203" s="239"/>
      <c r="Y203" s="239"/>
      <c r="Z203" s="239"/>
      <c r="AA203" s="107"/>
      <c r="AB203" s="237" t="str">
        <f>IF(AE218=1,X210,IF(AE218=2,X211,IF(AE218=3,X212,IF(AE218=4,X213,"Winner Match 2"))))</f>
        <v>Beaufort Sweet 16's</v>
      </c>
      <c r="AC203" s="238"/>
      <c r="AD203" s="238"/>
      <c r="AE203" s="238"/>
      <c r="AF203" s="238"/>
      <c r="AG203" s="238"/>
      <c r="AH203" s="238"/>
      <c r="AW203" s="154"/>
      <c r="AX203" s="70"/>
      <c r="AY203" s="70"/>
      <c r="AZ203" s="70"/>
      <c r="BA203" s="70"/>
    </row>
    <row r="204" spans="1:53" ht="13.5" thickBot="1" x14ac:dyDescent="0.25">
      <c r="A204" s="225" t="str">
        <f>IF(G218=1,B210,IF(G218=2,B211,IF(G218=3,B212,IF(G218=4,B213,IF(OR(G218="B",G218="b"),"BYE","invalid")))))</f>
        <v>CSRA Heat 16 National</v>
      </c>
      <c r="B204" s="225"/>
      <c r="C204" s="225"/>
      <c r="D204" s="225"/>
      <c r="E204" s="226"/>
      <c r="F204" s="105"/>
      <c r="G204" s="103"/>
      <c r="H204" s="103"/>
      <c r="I204" s="103"/>
      <c r="J204" s="103"/>
      <c r="K204" s="103"/>
      <c r="L204" s="103"/>
      <c r="M204" s="103"/>
      <c r="N204" s="103"/>
      <c r="P204" s="103"/>
      <c r="Q204" s="103"/>
      <c r="R204" s="103"/>
      <c r="S204" s="118"/>
      <c r="T204" s="118"/>
      <c r="U204" s="225" t="str">
        <f>IF(AB218=1,X210,IF(AB218=2,X211,IF(AB218=3,X212,IF(AB218=4,X213,IF(OR(AB218="B",AB218="b"),"BYE","invalid")))))</f>
        <v>Beaufort Sweet 16's</v>
      </c>
      <c r="V204" s="225"/>
      <c r="W204" s="225"/>
      <c r="X204" s="225"/>
      <c r="Y204" s="225"/>
      <c r="Z204" s="225"/>
      <c r="AA204" s="226"/>
      <c r="AB204" s="103"/>
      <c r="AC204" s="103"/>
      <c r="AD204" s="103"/>
      <c r="AE204" s="103"/>
      <c r="AW204" s="154"/>
      <c r="AX204" s="70"/>
      <c r="AY204" s="70"/>
      <c r="AZ204" s="70"/>
      <c r="BA204" s="70"/>
    </row>
    <row r="205" spans="1:53" x14ac:dyDescent="0.2">
      <c r="A205" s="227" t="s">
        <v>143</v>
      </c>
      <c r="B205" s="227"/>
      <c r="C205" s="227"/>
      <c r="D205" s="227"/>
      <c r="E205" s="227"/>
      <c r="S205" s="116"/>
      <c r="T205" s="116"/>
      <c r="U205" s="228" t="s">
        <v>144</v>
      </c>
      <c r="V205" s="228"/>
      <c r="W205" s="228"/>
      <c r="X205" s="228"/>
      <c r="Y205" s="228"/>
      <c r="Z205" s="228"/>
      <c r="AA205" s="228"/>
      <c r="AW205" s="154"/>
      <c r="AX205" s="70"/>
      <c r="AY205" s="70"/>
      <c r="AZ205" s="70"/>
      <c r="BA205" s="70"/>
    </row>
    <row r="206" spans="1:53" x14ac:dyDescent="0.2">
      <c r="AT206" s="70"/>
      <c r="AU206" s="70"/>
      <c r="AV206" s="70"/>
      <c r="AW206" s="154"/>
      <c r="AX206" s="70"/>
      <c r="AY206" s="70"/>
      <c r="AZ206" s="70"/>
      <c r="BA206" s="70"/>
    </row>
    <row r="207" spans="1:53" x14ac:dyDescent="0.2">
      <c r="AT207" s="70"/>
      <c r="AU207" s="70"/>
      <c r="AV207" s="70"/>
      <c r="AW207" s="154"/>
      <c r="AX207" s="70"/>
      <c r="AY207" s="70"/>
      <c r="AZ207" s="70"/>
      <c r="BA207" s="70"/>
    </row>
    <row r="208" spans="1:53" ht="16.5" thickBot="1" x14ac:dyDescent="0.3">
      <c r="A208" s="229" t="s">
        <v>145</v>
      </c>
      <c r="B208" s="229"/>
      <c r="C208" s="229"/>
      <c r="D208" s="229"/>
      <c r="E208" s="229"/>
      <c r="F208" s="229"/>
      <c r="G208" s="229"/>
      <c r="H208" s="229"/>
      <c r="I208" s="229"/>
      <c r="J208" s="229"/>
      <c r="Q208" s="125"/>
      <c r="R208" s="125"/>
      <c r="S208" s="125"/>
      <c r="U208" s="229" t="s">
        <v>146</v>
      </c>
      <c r="V208" s="229"/>
      <c r="W208" s="229"/>
      <c r="X208" s="229"/>
      <c r="Y208" s="229"/>
      <c r="Z208" s="229"/>
      <c r="AA208" s="229"/>
      <c r="AB208" s="229"/>
      <c r="AC208" s="229"/>
      <c r="AD208" s="229"/>
      <c r="AE208" s="229"/>
      <c r="AF208" s="229"/>
      <c r="AT208" s="70"/>
      <c r="AU208" s="70"/>
      <c r="AV208" s="70"/>
      <c r="AW208" s="154"/>
      <c r="AX208" s="70"/>
      <c r="AY208" s="70"/>
      <c r="AZ208" s="70"/>
      <c r="BA208" s="70"/>
    </row>
    <row r="209" spans="1:53" ht="13.5" thickBot="1" x14ac:dyDescent="0.25">
      <c r="A209" s="126" t="s">
        <v>147</v>
      </c>
      <c r="B209" s="219" t="s">
        <v>148</v>
      </c>
      <c r="C209" s="220"/>
      <c r="D209" s="220"/>
      <c r="E209" s="220"/>
      <c r="F209" s="220"/>
      <c r="G209" s="220"/>
      <c r="H209" s="220"/>
      <c r="I209" s="220"/>
      <c r="J209" s="221"/>
      <c r="K209" s="222" t="s">
        <v>149</v>
      </c>
      <c r="L209" s="223"/>
      <c r="M209" s="223"/>
      <c r="N209" s="223"/>
      <c r="O209" s="223"/>
      <c r="P209" s="223"/>
      <c r="Q209" s="224"/>
      <c r="U209" s="207" t="s">
        <v>147</v>
      </c>
      <c r="V209" s="208"/>
      <c r="W209" s="209"/>
      <c r="X209" s="219" t="s">
        <v>148</v>
      </c>
      <c r="Y209" s="220"/>
      <c r="Z209" s="220"/>
      <c r="AA209" s="220"/>
      <c r="AB209" s="220"/>
      <c r="AC209" s="220"/>
      <c r="AD209" s="220"/>
      <c r="AE209" s="220"/>
      <c r="AF209" s="221"/>
      <c r="AG209" s="222" t="s">
        <v>149</v>
      </c>
      <c r="AH209" s="223"/>
      <c r="AI209" s="223"/>
      <c r="AJ209" s="223"/>
      <c r="AK209" s="223"/>
      <c r="AL209" s="223"/>
      <c r="AM209" s="224"/>
      <c r="AT209" s="70"/>
      <c r="AU209" s="70"/>
      <c r="AV209" s="70"/>
      <c r="AW209" s="154"/>
      <c r="AX209" s="70"/>
      <c r="AY209" s="70"/>
      <c r="AZ209" s="70"/>
      <c r="BA209" s="70"/>
    </row>
    <row r="210" spans="1:53" ht="13.5" thickBot="1" x14ac:dyDescent="0.25">
      <c r="A210" s="126">
        <v>1</v>
      </c>
      <c r="B210" s="201" t="str">
        <f>B179</f>
        <v>Magnum Aiken 16 Green</v>
      </c>
      <c r="C210" s="202"/>
      <c r="D210" s="202"/>
      <c r="E210" s="202"/>
      <c r="F210" s="202"/>
      <c r="G210" s="202"/>
      <c r="H210" s="202"/>
      <c r="I210" s="202"/>
      <c r="J210" s="203"/>
      <c r="K210" s="204" t="str">
        <f>H179</f>
        <v>fj6magnm2pm</v>
      </c>
      <c r="L210" s="205"/>
      <c r="M210" s="205"/>
      <c r="N210" s="205"/>
      <c r="O210" s="205"/>
      <c r="P210" s="205"/>
      <c r="Q210" s="206"/>
      <c r="U210" s="207">
        <v>1</v>
      </c>
      <c r="V210" s="208"/>
      <c r="W210" s="209"/>
      <c r="X210" s="201" t="str">
        <f>V179</f>
        <v>SC Midlands 15 National</v>
      </c>
      <c r="Y210" s="202"/>
      <c r="Z210" s="202"/>
      <c r="AA210" s="202"/>
      <c r="AB210" s="202"/>
      <c r="AC210" s="202"/>
      <c r="AD210" s="202"/>
      <c r="AE210" s="202"/>
      <c r="AF210" s="203"/>
      <c r="AG210" s="204" t="str">
        <f>AB179</f>
        <v>fj5scmid1pm</v>
      </c>
      <c r="AH210" s="205"/>
      <c r="AI210" s="205"/>
      <c r="AJ210" s="205"/>
      <c r="AK210" s="205"/>
      <c r="AL210" s="205"/>
      <c r="AM210" s="206"/>
      <c r="AT210" s="70"/>
      <c r="AU210" s="70"/>
      <c r="AV210" s="70"/>
      <c r="AW210" s="154"/>
      <c r="AX210" s="70"/>
      <c r="AY210" s="70"/>
      <c r="AZ210" s="70"/>
      <c r="BA210" s="70"/>
    </row>
    <row r="211" spans="1:53" ht="13.5" thickBot="1" x14ac:dyDescent="0.25">
      <c r="A211" s="126">
        <v>2</v>
      </c>
      <c r="B211" s="201" t="str">
        <f>B180</f>
        <v>SC Midlands 16 National</v>
      </c>
      <c r="C211" s="202"/>
      <c r="D211" s="202"/>
      <c r="E211" s="202"/>
      <c r="F211" s="202"/>
      <c r="G211" s="202"/>
      <c r="H211" s="202"/>
      <c r="I211" s="202"/>
      <c r="J211" s="203"/>
      <c r="K211" s="204" t="str">
        <f>H180</f>
        <v>fj6scmid1pm</v>
      </c>
      <c r="L211" s="205"/>
      <c r="M211" s="205"/>
      <c r="N211" s="205"/>
      <c r="O211" s="205"/>
      <c r="P211" s="205"/>
      <c r="Q211" s="206"/>
      <c r="U211" s="207">
        <v>2</v>
      </c>
      <c r="V211" s="208"/>
      <c r="W211" s="209"/>
      <c r="X211" s="201" t="str">
        <f>V180</f>
        <v>Lake Murray 16 Red</v>
      </c>
      <c r="Y211" s="202"/>
      <c r="Z211" s="202"/>
      <c r="AA211" s="202"/>
      <c r="AB211" s="202"/>
      <c r="AC211" s="202"/>
      <c r="AD211" s="202"/>
      <c r="AE211" s="202"/>
      <c r="AF211" s="203"/>
      <c r="AG211" s="204" t="str">
        <f>AB180</f>
        <v>fj6lakem1pm</v>
      </c>
      <c r="AH211" s="205"/>
      <c r="AI211" s="205"/>
      <c r="AJ211" s="205"/>
      <c r="AK211" s="205"/>
      <c r="AL211" s="205"/>
      <c r="AM211" s="206"/>
      <c r="AT211" s="70"/>
      <c r="AU211" s="70"/>
      <c r="AV211" s="70"/>
      <c r="AW211" s="154"/>
      <c r="AX211" s="70"/>
      <c r="AY211" s="70"/>
      <c r="AZ211" s="70"/>
      <c r="BA211" s="70"/>
    </row>
    <row r="212" spans="1:53" ht="13.5" thickBot="1" x14ac:dyDescent="0.25">
      <c r="A212" s="126">
        <v>3</v>
      </c>
      <c r="B212" s="201" t="str">
        <f>L179</f>
        <v>CSRA Heat 16 National</v>
      </c>
      <c r="C212" s="202"/>
      <c r="D212" s="202"/>
      <c r="E212" s="202"/>
      <c r="F212" s="202"/>
      <c r="G212" s="202"/>
      <c r="H212" s="202"/>
      <c r="I212" s="202"/>
      <c r="J212" s="203"/>
      <c r="K212" s="204" t="str">
        <f>R179</f>
        <v>fj6csrah1pm</v>
      </c>
      <c r="L212" s="205"/>
      <c r="M212" s="205"/>
      <c r="N212" s="205"/>
      <c r="O212" s="205"/>
      <c r="P212" s="205"/>
      <c r="Q212" s="206"/>
      <c r="U212" s="207">
        <v>3</v>
      </c>
      <c r="V212" s="208"/>
      <c r="W212" s="209"/>
      <c r="X212" s="201" t="str">
        <f>AF179</f>
        <v>Beaufort Sweet 16's</v>
      </c>
      <c r="Y212" s="202"/>
      <c r="Z212" s="202"/>
      <c r="AA212" s="202"/>
      <c r="AB212" s="202"/>
      <c r="AC212" s="202"/>
      <c r="AD212" s="202"/>
      <c r="AE212" s="202"/>
      <c r="AF212" s="203"/>
      <c r="AG212" s="204" t="str">
        <f>AL179</f>
        <v>fj6beauf1pm</v>
      </c>
      <c r="AH212" s="205"/>
      <c r="AI212" s="205"/>
      <c r="AJ212" s="205"/>
      <c r="AK212" s="205"/>
      <c r="AL212" s="205"/>
      <c r="AM212" s="206"/>
      <c r="AT212" s="70"/>
      <c r="AU212" s="70"/>
      <c r="AV212" s="70"/>
      <c r="AW212" s="154"/>
      <c r="AX212" s="70"/>
      <c r="AY212" s="70"/>
      <c r="AZ212" s="70"/>
      <c r="BA212" s="70"/>
    </row>
    <row r="213" spans="1:53" ht="13.5" thickBot="1" x14ac:dyDescent="0.25">
      <c r="A213" s="126">
        <v>4</v>
      </c>
      <c r="B213" s="201" t="str">
        <f>L180</f>
        <v>Intense 16 Elite Orange R</v>
      </c>
      <c r="C213" s="202"/>
      <c r="D213" s="202"/>
      <c r="E213" s="202"/>
      <c r="F213" s="202"/>
      <c r="G213" s="202"/>
      <c r="H213" s="202"/>
      <c r="I213" s="202"/>
      <c r="J213" s="203"/>
      <c r="K213" s="204" t="str">
        <f>R180</f>
        <v>fj6inten6pm</v>
      </c>
      <c r="L213" s="205"/>
      <c r="M213" s="205"/>
      <c r="N213" s="205"/>
      <c r="O213" s="205"/>
      <c r="P213" s="205"/>
      <c r="Q213" s="206"/>
      <c r="U213" s="207">
        <v>4</v>
      </c>
      <c r="V213" s="208"/>
      <c r="W213" s="209"/>
      <c r="X213" s="201" t="str">
        <f>AF180</f>
        <v>Intense 15 Hyper Elite</v>
      </c>
      <c r="Y213" s="202"/>
      <c r="Z213" s="202"/>
      <c r="AA213" s="202"/>
      <c r="AB213" s="202"/>
      <c r="AC213" s="202"/>
      <c r="AD213" s="202"/>
      <c r="AE213" s="202"/>
      <c r="AF213" s="203"/>
      <c r="AG213" s="204" t="str">
        <f>AL180</f>
        <v>fj5inten1pm</v>
      </c>
      <c r="AH213" s="205"/>
      <c r="AI213" s="205"/>
      <c r="AJ213" s="205"/>
      <c r="AK213" s="205"/>
      <c r="AL213" s="205"/>
      <c r="AM213" s="206"/>
      <c r="AT213" s="70"/>
      <c r="AU213" s="70"/>
      <c r="AV213" s="70"/>
      <c r="AW213" s="154"/>
      <c r="AX213" s="70"/>
      <c r="AY213" s="70"/>
      <c r="AZ213" s="70"/>
      <c r="BA213" s="70"/>
    </row>
    <row r="214" spans="1:53" ht="13.5" thickBot="1" x14ac:dyDescent="0.25">
      <c r="AT214" s="70"/>
      <c r="AU214" s="70"/>
      <c r="AV214" s="70"/>
      <c r="AW214" s="154"/>
      <c r="AX214" s="70"/>
      <c r="AY214" s="70"/>
      <c r="AZ214" s="70"/>
      <c r="BA214" s="70"/>
    </row>
    <row r="215" spans="1:53" x14ac:dyDescent="0.2">
      <c r="B215" s="210" t="s">
        <v>150</v>
      </c>
      <c r="C215" s="182"/>
      <c r="D215" s="183"/>
      <c r="E215" s="181" t="s">
        <v>150</v>
      </c>
      <c r="F215" s="182"/>
      <c r="G215" s="183"/>
      <c r="H215" s="181" t="s">
        <v>14</v>
      </c>
      <c r="I215" s="182"/>
      <c r="J215" s="184"/>
      <c r="K215" s="185" t="s">
        <v>151</v>
      </c>
      <c r="L215" s="211"/>
      <c r="M215" s="211"/>
      <c r="N215" s="211"/>
      <c r="O215" s="211"/>
      <c r="P215" s="211"/>
      <c r="Q215" s="212"/>
      <c r="R215" s="127"/>
      <c r="S215" s="127"/>
      <c r="T215" s="127"/>
      <c r="U215" s="127"/>
      <c r="W215" s="210" t="s">
        <v>150</v>
      </c>
      <c r="X215" s="182"/>
      <c r="Y215" s="183"/>
      <c r="Z215" s="181" t="s">
        <v>150</v>
      </c>
      <c r="AA215" s="182"/>
      <c r="AB215" s="183"/>
      <c r="AC215" s="181" t="s">
        <v>14</v>
      </c>
      <c r="AD215" s="182"/>
      <c r="AE215" s="184"/>
      <c r="AF215" s="185" t="s">
        <v>151</v>
      </c>
      <c r="AG215" s="186"/>
      <c r="AH215" s="186"/>
      <c r="AI215" s="186"/>
      <c r="AJ215" s="187"/>
      <c r="AW215" s="154"/>
      <c r="AX215" s="70"/>
      <c r="AY215" s="70"/>
      <c r="AZ215" s="70"/>
      <c r="BA215" s="70"/>
    </row>
    <row r="216" spans="1:53" x14ac:dyDescent="0.2">
      <c r="A216" s="56" t="s">
        <v>152</v>
      </c>
      <c r="B216" s="194">
        <v>3</v>
      </c>
      <c r="C216" s="195"/>
      <c r="D216" s="196"/>
      <c r="E216" s="197" t="s">
        <v>153</v>
      </c>
      <c r="F216" s="195"/>
      <c r="G216" s="196"/>
      <c r="H216" s="197" t="s">
        <v>154</v>
      </c>
      <c r="I216" s="195"/>
      <c r="J216" s="198"/>
      <c r="K216" s="213"/>
      <c r="L216" s="214"/>
      <c r="M216" s="214"/>
      <c r="N216" s="214"/>
      <c r="O216" s="214"/>
      <c r="P216" s="214"/>
      <c r="Q216" s="215"/>
      <c r="R216" s="127"/>
      <c r="S216" s="127"/>
      <c r="T216" s="199" t="s">
        <v>152</v>
      </c>
      <c r="U216" s="199"/>
      <c r="V216" s="200"/>
      <c r="W216" s="194">
        <v>3</v>
      </c>
      <c r="X216" s="195"/>
      <c r="Y216" s="196"/>
      <c r="Z216" s="197" t="s">
        <v>153</v>
      </c>
      <c r="AA216" s="195"/>
      <c r="AB216" s="196"/>
      <c r="AC216" s="197" t="s">
        <v>154</v>
      </c>
      <c r="AD216" s="195"/>
      <c r="AE216" s="198"/>
      <c r="AF216" s="188"/>
      <c r="AG216" s="189"/>
      <c r="AH216" s="189"/>
      <c r="AI216" s="189"/>
      <c r="AJ216" s="190"/>
      <c r="AW216" s="154"/>
      <c r="AX216" s="70"/>
      <c r="AY216" s="70"/>
      <c r="AZ216" s="70"/>
      <c r="BA216" s="70"/>
    </row>
    <row r="217" spans="1:53" ht="13.5" thickBot="1" x14ac:dyDescent="0.25">
      <c r="A217" s="8"/>
      <c r="B217" s="179" t="s">
        <v>64</v>
      </c>
      <c r="C217" s="174"/>
      <c r="D217" s="180"/>
      <c r="E217" s="173" t="s">
        <v>155</v>
      </c>
      <c r="F217" s="174"/>
      <c r="G217" s="180"/>
      <c r="H217" s="173" t="s">
        <v>156</v>
      </c>
      <c r="I217" s="174"/>
      <c r="J217" s="175"/>
      <c r="K217" s="216"/>
      <c r="L217" s="217"/>
      <c r="M217" s="217"/>
      <c r="N217" s="217"/>
      <c r="O217" s="217"/>
      <c r="P217" s="217"/>
      <c r="Q217" s="218"/>
      <c r="R217" s="127"/>
      <c r="S217" s="127"/>
      <c r="T217" s="160"/>
      <c r="U217" s="160"/>
      <c r="V217" s="161"/>
      <c r="W217" s="179" t="s">
        <v>64</v>
      </c>
      <c r="X217" s="174"/>
      <c r="Y217" s="180"/>
      <c r="Z217" s="173" t="s">
        <v>155</v>
      </c>
      <c r="AA217" s="174"/>
      <c r="AB217" s="180"/>
      <c r="AC217" s="173" t="s">
        <v>156</v>
      </c>
      <c r="AD217" s="174"/>
      <c r="AE217" s="175"/>
      <c r="AF217" s="191"/>
      <c r="AG217" s="192"/>
      <c r="AH217" s="192"/>
      <c r="AI217" s="192"/>
      <c r="AJ217" s="193"/>
      <c r="AW217" s="154"/>
      <c r="AX217" s="70"/>
      <c r="AY217" s="70"/>
      <c r="AZ217" s="70"/>
      <c r="BA217" s="70"/>
    </row>
    <row r="218" spans="1:53" ht="13.5" thickBot="1" x14ac:dyDescent="0.25">
      <c r="A218" s="8"/>
      <c r="B218" s="128">
        <v>1</v>
      </c>
      <c r="C218" s="129" t="s">
        <v>72</v>
      </c>
      <c r="D218" s="130">
        <v>4</v>
      </c>
      <c r="E218" s="131">
        <v>2</v>
      </c>
      <c r="F218" s="129" t="s">
        <v>72</v>
      </c>
      <c r="G218" s="130">
        <v>3</v>
      </c>
      <c r="H218" s="132">
        <f>IF(OR(AND(OR(B222&gt;0,D222&gt;0),B222&gt;D222),OR(D218="b",D218="B")),B218,IF(OR(AND(OR(B222&gt;0,D222&gt;0),D222&gt;B222),OR(B218="b",B218="B")),D218,"W1"))</f>
        <v>1</v>
      </c>
      <c r="I218" s="133" t="s">
        <v>72</v>
      </c>
      <c r="J218" s="134">
        <f>IF(OR(AND(OR(E222&gt;0,G222&gt;0),E222&gt;G222),OR(G218="b",G218="B")),E218,IF(OR(AND(OR(E222&gt;0,G222&gt;0),G222&gt;E222),OR(E218="b",E218="B")),G218,"W2"))</f>
        <v>2</v>
      </c>
      <c r="K218" s="176" t="s">
        <v>157</v>
      </c>
      <c r="L218" s="177"/>
      <c r="M218" s="177"/>
      <c r="N218" s="178"/>
      <c r="R218" s="127"/>
      <c r="S218" s="127"/>
      <c r="T218" s="160"/>
      <c r="U218" s="160"/>
      <c r="V218" s="161"/>
      <c r="W218" s="128">
        <v>1</v>
      </c>
      <c r="X218" s="129" t="s">
        <v>72</v>
      </c>
      <c r="Y218" s="130">
        <v>4</v>
      </c>
      <c r="Z218" s="131">
        <v>2</v>
      </c>
      <c r="AA218" s="129" t="s">
        <v>72</v>
      </c>
      <c r="AB218" s="130">
        <v>3</v>
      </c>
      <c r="AC218" s="132">
        <f>IF(OR(AND(OR(W222&gt;0,Y222&gt;0),W222&gt;Y222),OR(Y218="b",Y218="B")),W218,IF(OR(AND(OR(W222&gt;0,Y222&gt;0),Y222&gt;W222),OR(W218="b",W218="B")),Y218,"W1"))</f>
        <v>1</v>
      </c>
      <c r="AD218" s="133" t="s">
        <v>72</v>
      </c>
      <c r="AE218" s="134">
        <f>IF(OR(AND(OR(Z222&gt;0,AB222&gt;0),Z222&gt;AB222),OR(AB222="b",AB222="B")),Z218,IF(OR(AND(OR(Z222&gt;0,AB222&gt;0),AB222&gt;Z222),OR(Z222="b",Z222="B")),AB218,"W2"))</f>
        <v>3</v>
      </c>
      <c r="AF218" s="176" t="s">
        <v>157</v>
      </c>
      <c r="AG218" s="178"/>
      <c r="AH218" s="127"/>
      <c r="AI218" s="127"/>
      <c r="AJ218" s="127"/>
      <c r="AW218" s="154"/>
      <c r="AX218" s="70"/>
      <c r="AY218" s="70"/>
      <c r="AZ218" s="70"/>
      <c r="BA218" s="70"/>
    </row>
    <row r="219" spans="1:53" ht="13.5" hidden="1" customHeight="1" x14ac:dyDescent="0.2">
      <c r="A219" s="8"/>
      <c r="B219" s="135">
        <f>IF(B223&gt;D223,1,0)</f>
        <v>1</v>
      </c>
      <c r="C219" s="136"/>
      <c r="D219" s="137">
        <f>IF(D223&gt;B223,1,0)</f>
        <v>0</v>
      </c>
      <c r="E219" s="135">
        <f>IF(E223&gt;G223,1,0)</f>
        <v>1</v>
      </c>
      <c r="F219" s="136"/>
      <c r="G219" s="137">
        <f>IF(G223&gt;E223,1,0)</f>
        <v>0</v>
      </c>
      <c r="H219" s="135">
        <f>IF(H223&gt;J223,1,0)</f>
        <v>0</v>
      </c>
      <c r="I219" s="136"/>
      <c r="J219" s="137">
        <f>IF(J223&gt;H223,1,0)</f>
        <v>1</v>
      </c>
      <c r="K219" s="138"/>
      <c r="L219" s="139"/>
      <c r="M219" s="139"/>
      <c r="N219" s="140"/>
      <c r="R219" s="127"/>
      <c r="S219" s="127"/>
      <c r="T219" s="160"/>
      <c r="U219" s="160"/>
      <c r="V219" s="161"/>
      <c r="W219" s="135">
        <f>IF(W223&gt;Y223,1,0)</f>
        <v>1</v>
      </c>
      <c r="X219" s="136"/>
      <c r="Y219" s="137">
        <f>IF(Y223&gt;W223,1,0)</f>
        <v>0</v>
      </c>
      <c r="Z219" s="135">
        <f>IF(Z223&gt;AB223,1,0)</f>
        <v>0</v>
      </c>
      <c r="AA219" s="136"/>
      <c r="AB219" s="137">
        <f>IF(AB223&gt;Z223,1,0)</f>
        <v>1</v>
      </c>
      <c r="AC219" s="135">
        <f>IF(AC223&gt;AE223,1,0)</f>
        <v>1</v>
      </c>
      <c r="AD219" s="136"/>
      <c r="AE219" s="137">
        <f>IF(AE223&gt;AC223,1,0)</f>
        <v>0</v>
      </c>
      <c r="AF219" s="141"/>
      <c r="AG219" s="142"/>
      <c r="AH219" s="127"/>
      <c r="AI219" s="127"/>
      <c r="AJ219" s="127"/>
      <c r="AW219" s="154"/>
      <c r="AX219" s="70"/>
      <c r="AY219" s="70"/>
      <c r="AZ219" s="70"/>
      <c r="BA219" s="70"/>
    </row>
    <row r="220" spans="1:53" ht="13.5" hidden="1" customHeight="1" x14ac:dyDescent="0.2">
      <c r="A220" s="8"/>
      <c r="B220" s="135">
        <f>IF(B224&gt;D224,1,0)</f>
        <v>0</v>
      </c>
      <c r="C220" s="136"/>
      <c r="D220" s="137">
        <f>IF(D224&gt;B224,1,0)</f>
        <v>0</v>
      </c>
      <c r="E220" s="135">
        <f>IF(E224&gt;G224,1,0)</f>
        <v>0</v>
      </c>
      <c r="F220" s="136"/>
      <c r="G220" s="137">
        <f>IF(G224&gt;E224,1,0)</f>
        <v>0</v>
      </c>
      <c r="H220" s="135">
        <f>IF(H224&gt;J224,1,0)</f>
        <v>0</v>
      </c>
      <c r="I220" s="136"/>
      <c r="J220" s="137">
        <f>IF(J224&gt;H224,1,0)</f>
        <v>1</v>
      </c>
      <c r="K220" s="138"/>
      <c r="L220" s="139"/>
      <c r="M220" s="139"/>
      <c r="N220" s="140"/>
      <c r="R220" s="127"/>
      <c r="S220" s="127"/>
      <c r="T220" s="160"/>
      <c r="U220" s="160"/>
      <c r="V220" s="161"/>
      <c r="W220" s="135">
        <f>IF(W224&gt;Y224,1,0)</f>
        <v>0</v>
      </c>
      <c r="X220" s="136"/>
      <c r="Y220" s="137">
        <f>IF(Y224&gt;W224,1,0)</f>
        <v>0</v>
      </c>
      <c r="Z220" s="135">
        <f>IF(Z224&gt;AB224,1,0)</f>
        <v>0</v>
      </c>
      <c r="AA220" s="136"/>
      <c r="AB220" s="137">
        <f>IF(AB224&gt;Z224,1,0)</f>
        <v>0</v>
      </c>
      <c r="AC220" s="135">
        <f>IF(AC224&gt;AE224,1,0)</f>
        <v>1</v>
      </c>
      <c r="AD220" s="136"/>
      <c r="AE220" s="137">
        <f>IF(AE224&gt;AC224,1,0)</f>
        <v>0</v>
      </c>
      <c r="AF220" s="141"/>
      <c r="AG220" s="142"/>
      <c r="AH220" s="127"/>
      <c r="AI220" s="127"/>
      <c r="AJ220" s="127"/>
      <c r="AW220" s="154"/>
      <c r="AX220" s="70"/>
      <c r="AY220" s="70"/>
      <c r="AZ220" s="70"/>
      <c r="BA220" s="70"/>
    </row>
    <row r="221" spans="1:53" ht="13.5" hidden="1" customHeight="1" thickBot="1" x14ac:dyDescent="0.25">
      <c r="A221" s="8"/>
      <c r="B221" s="135">
        <f>IF(B225&gt;D225,1,0)</f>
        <v>0</v>
      </c>
      <c r="C221" s="136"/>
      <c r="D221" s="137">
        <f>IF(D225&gt;B225,1,0)</f>
        <v>0</v>
      </c>
      <c r="E221" s="135">
        <f>IF(E225&gt;G225,1,0)</f>
        <v>0</v>
      </c>
      <c r="F221" s="136"/>
      <c r="G221" s="137">
        <f>IF(G225&gt;E225,1,0)</f>
        <v>0</v>
      </c>
      <c r="H221" s="135">
        <f>IF(H225&gt;J225,1,0)</f>
        <v>0</v>
      </c>
      <c r="I221" s="136"/>
      <c r="J221" s="137">
        <f>IF(J225&gt;H225,1,0)</f>
        <v>0</v>
      </c>
      <c r="K221" s="138"/>
      <c r="L221" s="139"/>
      <c r="M221" s="139"/>
      <c r="N221" s="140"/>
      <c r="R221" s="127"/>
      <c r="S221" s="127"/>
      <c r="T221" s="160"/>
      <c r="U221" s="160"/>
      <c r="V221" s="161"/>
      <c r="W221" s="135">
        <f>IF(W225&gt;Y225,1,0)</f>
        <v>0</v>
      </c>
      <c r="X221" s="136"/>
      <c r="Y221" s="137">
        <f>IF(Y225&gt;W225,1,0)</f>
        <v>0</v>
      </c>
      <c r="Z221" s="135">
        <f>IF(Z225&gt;AB225,1,0)</f>
        <v>0</v>
      </c>
      <c r="AA221" s="136"/>
      <c r="AB221" s="137">
        <f>IF(AB225&gt;Z225,1,0)</f>
        <v>0</v>
      </c>
      <c r="AC221" s="135">
        <f>IF(AC225&gt;AE225,1,0)</f>
        <v>0</v>
      </c>
      <c r="AD221" s="136"/>
      <c r="AE221" s="137">
        <f>IF(AE225&gt;AC225,1,0)</f>
        <v>0</v>
      </c>
      <c r="AF221" s="141"/>
      <c r="AG221" s="142"/>
      <c r="AH221" s="127"/>
      <c r="AI221" s="127"/>
      <c r="AJ221" s="127"/>
      <c r="AW221" s="154"/>
      <c r="AX221" s="70"/>
      <c r="AY221" s="70"/>
      <c r="AZ221" s="70"/>
      <c r="BA221" s="70"/>
    </row>
    <row r="222" spans="1:53" ht="13.5" hidden="1" customHeight="1" x14ac:dyDescent="0.2">
      <c r="A222" s="8"/>
      <c r="B222" s="135">
        <f>SUM(B219:B221)</f>
        <v>1</v>
      </c>
      <c r="C222" s="136"/>
      <c r="D222" s="135">
        <f>SUM(D219:D221)</f>
        <v>0</v>
      </c>
      <c r="E222" s="135">
        <f>SUM(E219:E221)</f>
        <v>1</v>
      </c>
      <c r="F222" s="136"/>
      <c r="G222" s="135">
        <f>SUM(G219:G221)</f>
        <v>0</v>
      </c>
      <c r="H222" s="135">
        <f>SUM(H219:H221)</f>
        <v>0</v>
      </c>
      <c r="I222" s="136"/>
      <c r="J222" s="135">
        <f>SUM(J219:J221)</f>
        <v>2</v>
      </c>
      <c r="K222" s="138"/>
      <c r="L222" s="139"/>
      <c r="M222" s="139"/>
      <c r="N222" s="140"/>
      <c r="R222" s="127"/>
      <c r="S222" s="127"/>
      <c r="T222" s="160"/>
      <c r="U222" s="160"/>
      <c r="V222" s="161"/>
      <c r="W222" s="135">
        <f>SUM(W219:W221)</f>
        <v>1</v>
      </c>
      <c r="X222" s="136"/>
      <c r="Y222" s="135">
        <f>SUM(Y219:Y221)</f>
        <v>0</v>
      </c>
      <c r="Z222" s="135">
        <f>SUM(Z219:Z221)</f>
        <v>0</v>
      </c>
      <c r="AA222" s="136"/>
      <c r="AB222" s="135">
        <f>SUM(AB219:AB221)</f>
        <v>1</v>
      </c>
      <c r="AC222" s="135">
        <f>SUM(AC219:AC221)</f>
        <v>2</v>
      </c>
      <c r="AD222" s="136"/>
      <c r="AE222" s="135">
        <f>SUM(AE219:AE221)</f>
        <v>0</v>
      </c>
      <c r="AF222" s="141"/>
      <c r="AG222" s="142"/>
      <c r="AH222" s="127"/>
      <c r="AI222" s="127"/>
      <c r="AJ222" s="127"/>
      <c r="AW222" s="154"/>
      <c r="AX222" s="70"/>
      <c r="AY222" s="70"/>
      <c r="AZ222" s="70"/>
      <c r="BA222" s="70"/>
    </row>
    <row r="223" spans="1:53" ht="12.75" customHeight="1" x14ac:dyDescent="0.2">
      <c r="A223" s="6" t="s">
        <v>73</v>
      </c>
      <c r="B223" s="143">
        <v>25</v>
      </c>
      <c r="C223" s="66" t="s">
        <v>74</v>
      </c>
      <c r="D223" s="144">
        <v>22</v>
      </c>
      <c r="E223" s="145">
        <v>25</v>
      </c>
      <c r="F223" s="66" t="s">
        <v>74</v>
      </c>
      <c r="G223" s="144">
        <v>21</v>
      </c>
      <c r="H223" s="145">
        <v>12</v>
      </c>
      <c r="I223" s="66" t="s">
        <v>74</v>
      </c>
      <c r="J223" s="146">
        <v>25</v>
      </c>
      <c r="K223" s="162">
        <f>IF(AND(OR(H222&gt;0,J222&gt;0),AND(1&lt;=H218,H218&lt;=4),AND(1&lt;=J218,J218&lt;=4)),IF(H222&gt;J222,H218,IF(J222&gt;H222,J218,"")),"")</f>
        <v>2</v>
      </c>
      <c r="L223" s="163"/>
      <c r="M223" s="163"/>
      <c r="N223" s="164"/>
      <c r="R223" s="127"/>
      <c r="S223" s="127"/>
      <c r="T223" s="147"/>
      <c r="U223" s="147"/>
      <c r="V223" s="6" t="s">
        <v>73</v>
      </c>
      <c r="W223" s="143">
        <v>25</v>
      </c>
      <c r="X223" s="66" t="s">
        <v>74</v>
      </c>
      <c r="Y223" s="144">
        <v>18</v>
      </c>
      <c r="Z223" s="145">
        <v>14</v>
      </c>
      <c r="AA223" s="66" t="s">
        <v>74</v>
      </c>
      <c r="AB223" s="144">
        <v>25</v>
      </c>
      <c r="AC223" s="145">
        <v>25</v>
      </c>
      <c r="AD223" s="66" t="s">
        <v>74</v>
      </c>
      <c r="AE223" s="146">
        <v>19</v>
      </c>
      <c r="AF223" s="162">
        <f>IF(AND(OR(AC222&gt;0,AE222&gt;0),AND(1&lt;=AC218,AC218&lt;=4),AND(1&lt;=AE218,AE218&lt;=4)),IF(AC222&gt;AE222,AC218,IF(AE222&gt;AC222,AE218,"")),"")</f>
        <v>1</v>
      </c>
      <c r="AG223" s="164"/>
      <c r="AH223" s="127"/>
      <c r="AI223" s="127"/>
      <c r="AJ223" s="127"/>
      <c r="AW223" s="154"/>
      <c r="AX223" s="70"/>
      <c r="AY223" s="70"/>
      <c r="AZ223" s="70"/>
      <c r="BA223" s="70"/>
    </row>
    <row r="224" spans="1:53" ht="12.75" customHeight="1" x14ac:dyDescent="0.2">
      <c r="A224" s="6" t="s">
        <v>158</v>
      </c>
      <c r="B224" s="143"/>
      <c r="C224" s="66" t="s">
        <v>74</v>
      </c>
      <c r="D224" s="144"/>
      <c r="E224" s="145"/>
      <c r="F224" s="66" t="s">
        <v>74</v>
      </c>
      <c r="G224" s="144"/>
      <c r="H224" s="145">
        <v>15</v>
      </c>
      <c r="I224" s="66" t="s">
        <v>74</v>
      </c>
      <c r="J224" s="146">
        <v>25</v>
      </c>
      <c r="K224" s="165"/>
      <c r="L224" s="166"/>
      <c r="M224" s="166"/>
      <c r="N224" s="167"/>
      <c r="R224" s="127"/>
      <c r="S224" s="127"/>
      <c r="T224" s="147"/>
      <c r="U224" s="147"/>
      <c r="V224" s="6" t="s">
        <v>158</v>
      </c>
      <c r="W224" s="143"/>
      <c r="X224" s="66" t="s">
        <v>74</v>
      </c>
      <c r="Y224" s="144"/>
      <c r="Z224" s="145"/>
      <c r="AA224" s="66" t="s">
        <v>74</v>
      </c>
      <c r="AB224" s="144"/>
      <c r="AC224" s="145">
        <v>25</v>
      </c>
      <c r="AD224" s="66" t="s">
        <v>74</v>
      </c>
      <c r="AE224" s="146">
        <v>21</v>
      </c>
      <c r="AF224" s="165"/>
      <c r="AG224" s="167"/>
      <c r="AH224" s="127"/>
      <c r="AI224" s="127"/>
      <c r="AJ224" s="127"/>
      <c r="AW224" s="154"/>
      <c r="AX224" s="70"/>
      <c r="AY224" s="70"/>
      <c r="AZ224" s="70"/>
      <c r="BA224" s="70"/>
    </row>
    <row r="225" spans="1:77" ht="13.5" customHeight="1" thickBot="1" x14ac:dyDescent="0.25">
      <c r="A225" s="6" t="s">
        <v>159</v>
      </c>
      <c r="B225" s="148"/>
      <c r="C225" s="149" t="s">
        <v>74</v>
      </c>
      <c r="D225" s="150"/>
      <c r="E225" s="151"/>
      <c r="F225" s="149" t="s">
        <v>74</v>
      </c>
      <c r="G225" s="150"/>
      <c r="H225" s="151"/>
      <c r="I225" s="149" t="s">
        <v>74</v>
      </c>
      <c r="J225" s="152"/>
      <c r="K225" s="168"/>
      <c r="L225" s="169"/>
      <c r="M225" s="169"/>
      <c r="N225" s="170"/>
      <c r="R225" s="127"/>
      <c r="S225" s="127"/>
      <c r="T225" s="147"/>
      <c r="U225" s="147"/>
      <c r="V225" s="6" t="s">
        <v>159</v>
      </c>
      <c r="W225" s="148"/>
      <c r="X225" s="149" t="s">
        <v>74</v>
      </c>
      <c r="Y225" s="150"/>
      <c r="Z225" s="151"/>
      <c r="AA225" s="149" t="s">
        <v>74</v>
      </c>
      <c r="AB225" s="150"/>
      <c r="AC225" s="151"/>
      <c r="AD225" s="149" t="s">
        <v>74</v>
      </c>
      <c r="AE225" s="152"/>
      <c r="AF225" s="168"/>
      <c r="AG225" s="170"/>
      <c r="AH225" s="127"/>
      <c r="AI225" s="127"/>
      <c r="AJ225" s="127"/>
      <c r="AW225" s="154"/>
      <c r="AX225" s="70"/>
      <c r="AY225" s="70"/>
      <c r="AZ225" s="70"/>
      <c r="BA225" s="70"/>
    </row>
    <row r="226" spans="1:77" hidden="1" x14ac:dyDescent="0.2">
      <c r="B226" s="3"/>
      <c r="C226" s="153" t="s">
        <v>108</v>
      </c>
      <c r="D226" s="3" t="s">
        <v>160</v>
      </c>
      <c r="E226" s="3"/>
      <c r="F226" s="153"/>
      <c r="G226" s="4" t="s">
        <v>161</v>
      </c>
      <c r="J226" s="4" t="s">
        <v>162</v>
      </c>
      <c r="W226" s="3"/>
      <c r="X226" s="153" t="s">
        <v>108</v>
      </c>
      <c r="Y226" s="3" t="s">
        <v>160</v>
      </c>
      <c r="Z226" s="3"/>
      <c r="AA226" s="153"/>
      <c r="AB226" s="4" t="s">
        <v>161</v>
      </c>
      <c r="AE226" s="4" t="s">
        <v>162</v>
      </c>
      <c r="AT226" s="4" t="str">
        <f>B227</f>
        <v>Magnum Aiken 16 Green</v>
      </c>
      <c r="AU226" s="4">
        <f>J227</f>
        <v>2667.1933549809742</v>
      </c>
      <c r="AW226" s="154"/>
      <c r="AX226" s="70"/>
      <c r="AY226" s="70"/>
      <c r="AZ226" s="70"/>
      <c r="BA226" s="70"/>
      <c r="BB226" s="154"/>
      <c r="BC226" s="70"/>
      <c r="BD226" s="70"/>
      <c r="BE226" s="154"/>
      <c r="BF226" s="70"/>
      <c r="BG226" s="70"/>
      <c r="BH226" s="154"/>
      <c r="BI226" s="70"/>
      <c r="BJ226" s="70"/>
      <c r="BK226" s="154"/>
      <c r="BL226" s="70"/>
      <c r="BM226" s="70"/>
      <c r="BN226" s="154"/>
      <c r="BO226" s="70"/>
      <c r="BP226" s="70"/>
      <c r="BQ226" s="154"/>
      <c r="BR226" s="70"/>
      <c r="BS226" s="70"/>
      <c r="BT226" s="154"/>
      <c r="BU226" s="70"/>
      <c r="BV226" s="70"/>
      <c r="BW226" s="154"/>
      <c r="BX226" s="70"/>
      <c r="BY226" s="70"/>
    </row>
    <row r="227" spans="1:77" hidden="1" x14ac:dyDescent="0.2">
      <c r="A227" s="4">
        <v>1</v>
      </c>
      <c r="B227" s="4" t="str">
        <f>B210</f>
        <v>Magnum Aiken 16 Green</v>
      </c>
      <c r="C227" s="4">
        <f>VLOOKUP(B227,AU$2:AY$22,4,FALSE)</f>
        <v>2678.8837604353203</v>
      </c>
      <c r="D227" s="4">
        <f>IF(A227=B218,B233,IF(A227=D218,D233,C227))</f>
        <v>2685.8929874962496</v>
      </c>
      <c r="G227" s="4">
        <f>IF(A227=E218,E233,IF(A227=G218,G233,D227))</f>
        <v>2685.8929874962496</v>
      </c>
      <c r="J227" s="4">
        <f>IF(A227=H218,H233,IF(A227=J218,J233,G227))</f>
        <v>2667.1933549809742</v>
      </c>
      <c r="U227" s="155"/>
      <c r="V227" s="155">
        <v>1</v>
      </c>
      <c r="W227" s="4" t="str">
        <f>X210</f>
        <v>SC Midlands 15 National</v>
      </c>
      <c r="X227" s="4">
        <f>VLOOKUP(W227,AU$2:AY$22,4,FALSE)</f>
        <v>2582.6171265933272</v>
      </c>
      <c r="Y227" s="4">
        <f>IF(V227=W218,W233,IF(V227=Y218,Y233,X227))</f>
        <v>2590.0087919256321</v>
      </c>
      <c r="AB227" s="4">
        <f>IF(V227=Z218,Z233,IF(V227=AB218,AB233,Y227))</f>
        <v>2590.0087919256321</v>
      </c>
      <c r="AE227" s="4">
        <f>IF(V227=AC218,AC233,IF(V227=AE218,AE233,AB227))</f>
        <v>2605.0099691087071</v>
      </c>
      <c r="AT227" s="4" t="str">
        <f>B228</f>
        <v>SC Midlands 16 National</v>
      </c>
      <c r="AU227" s="4">
        <f>J228</f>
        <v>2645.4048474791375</v>
      </c>
      <c r="AW227" s="154"/>
      <c r="AX227" s="70"/>
      <c r="AY227" s="70"/>
      <c r="AZ227" s="70"/>
      <c r="BA227" s="70"/>
      <c r="BB227" s="154"/>
      <c r="BC227" s="70"/>
      <c r="BD227" s="70"/>
      <c r="BE227" s="154"/>
      <c r="BF227" s="70"/>
      <c r="BG227" s="70"/>
      <c r="BH227" s="154"/>
      <c r="BI227" s="70"/>
      <c r="BJ227" s="70"/>
      <c r="BK227" s="154"/>
      <c r="BL227" s="70"/>
      <c r="BM227" s="70"/>
      <c r="BN227" s="154"/>
      <c r="BO227" s="70"/>
      <c r="BP227" s="70"/>
      <c r="BQ227" s="154"/>
      <c r="BR227" s="70"/>
      <c r="BS227" s="70"/>
      <c r="BT227" s="154"/>
      <c r="BU227" s="70"/>
      <c r="BV227" s="70"/>
      <c r="BW227" s="154"/>
      <c r="BX227" s="70"/>
      <c r="BY227" s="70"/>
    </row>
    <row r="228" spans="1:77" hidden="1" x14ac:dyDescent="0.2">
      <c r="A228" s="4">
        <v>2</v>
      </c>
      <c r="B228" s="4" t="str">
        <f>B211</f>
        <v>SC Midlands 16 National</v>
      </c>
      <c r="C228" s="4">
        <f>VLOOKUP(B228,AU$2:AY$22,4,FALSE)</f>
        <v>2619.3278714711464</v>
      </c>
      <c r="D228" s="4">
        <f>IF(A228=B218,B233,IF(A228=D218,D233,C228))</f>
        <v>2619.3278714711464</v>
      </c>
      <c r="G228" s="4">
        <f>IF(A228=E218,E233,IF(A228=G218,G233,D228))</f>
        <v>2626.7052149638621</v>
      </c>
      <c r="J228" s="4">
        <f>IF(A228=H218,H233,IF(A228=J218,J233,G228))</f>
        <v>2645.4048474791375</v>
      </c>
      <c r="U228" s="155"/>
      <c r="V228" s="155">
        <v>2</v>
      </c>
      <c r="W228" s="4" t="str">
        <f>X211</f>
        <v>Lake Murray 16 Red</v>
      </c>
      <c r="X228" s="4">
        <f>VLOOKUP(W228,AU$2:AY$22,4,FALSE)</f>
        <v>2599.1295252601681</v>
      </c>
      <c r="Y228" s="4">
        <f>IF(V228=W218,W233,IF(V228=Y218,Y233,X228))</f>
        <v>2599.1295252601681</v>
      </c>
      <c r="AB228" s="4">
        <f>IF(V228=Z218,Z233,IF(V228=AB218,AB233,Y228))</f>
        <v>2590.2182334242057</v>
      </c>
      <c r="AE228" s="4">
        <f>IF(V228=AC218,AC233,IF(V228=AE218,AE233,AB228))</f>
        <v>2590.2182334242057</v>
      </c>
      <c r="AT228" s="4" t="str">
        <f>B229</f>
        <v>CSRA Heat 16 National</v>
      </c>
      <c r="AU228" s="4">
        <f>J229</f>
        <v>2584.8540955907674</v>
      </c>
      <c r="AW228" s="154"/>
      <c r="AX228" s="70"/>
      <c r="AY228" s="70"/>
      <c r="AZ228" s="70"/>
      <c r="BA228" s="70"/>
      <c r="BB228" s="154"/>
      <c r="BC228" s="70"/>
      <c r="BD228" s="70"/>
      <c r="BE228" s="154"/>
      <c r="BF228" s="70"/>
      <c r="BG228" s="70"/>
      <c r="BH228" s="154"/>
      <c r="BI228" s="70"/>
      <c r="BJ228" s="70"/>
      <c r="BK228" s="154"/>
      <c r="BL228" s="70"/>
      <c r="BM228" s="70"/>
      <c r="BN228" s="154"/>
      <c r="BO228" s="70"/>
      <c r="BP228" s="70"/>
      <c r="BQ228" s="154"/>
      <c r="BR228" s="70"/>
      <c r="BS228" s="70"/>
      <c r="BT228" s="154"/>
      <c r="BU228" s="70"/>
      <c r="BV228" s="70"/>
      <c r="BW228" s="154"/>
      <c r="BX228" s="70"/>
      <c r="BY228" s="70"/>
    </row>
    <row r="229" spans="1:77" hidden="1" x14ac:dyDescent="0.2">
      <c r="A229" s="4">
        <v>3</v>
      </c>
      <c r="B229" s="4" t="str">
        <f>B212</f>
        <v>CSRA Heat 16 National</v>
      </c>
      <c r="C229" s="4">
        <f>VLOOKUP(B229,AU$2:AY$22,4,FALSE)</f>
        <v>2592.2314390834831</v>
      </c>
      <c r="D229" s="4">
        <f>IF(A229=B218,B233,IF(A229=D218,D233,C229))</f>
        <v>2592.2314390834831</v>
      </c>
      <c r="G229" s="4">
        <f>IF(A229=E218,E233,IF(A229=G218,G233,D229))</f>
        <v>2584.8540955907674</v>
      </c>
      <c r="J229" s="4">
        <f>IF(A229=H218,H233,IF(A229=J218,J233,G229))</f>
        <v>2584.8540955907674</v>
      </c>
      <c r="U229" s="155"/>
      <c r="V229" s="155">
        <v>3</v>
      </c>
      <c r="W229" s="4" t="str">
        <f>X212</f>
        <v>Beaufort Sweet 16's</v>
      </c>
      <c r="X229" s="4">
        <f>VLOOKUP(W229,AU$2:AY$22,4,FALSE)</f>
        <v>2559.3800974918427</v>
      </c>
      <c r="Y229" s="4">
        <f>IF(V229=W218,W233,IF(V229=Y218,Y233,X229))</f>
        <v>2559.3800974918427</v>
      </c>
      <c r="AB229" s="4">
        <f>IF(V229=Z218,Z233,IF(V229=AB218,AB233,Y229))</f>
        <v>2568.2913893278051</v>
      </c>
      <c r="AE229" s="4">
        <f>IF(V229=AC218,AC233,IF(V229=AE218,AE233,AB229))</f>
        <v>2553.29021214473</v>
      </c>
      <c r="AT229" s="4" t="str">
        <f>B230</f>
        <v>Intense 16 Elite Orange R</v>
      </c>
      <c r="AU229" s="4">
        <f>J230</f>
        <v>2628.6237730741791</v>
      </c>
      <c r="AW229" s="154"/>
      <c r="AX229" s="70"/>
      <c r="AY229" s="70"/>
      <c r="AZ229" s="70"/>
      <c r="BA229" s="70"/>
      <c r="BB229" s="154"/>
      <c r="BC229" s="70"/>
      <c r="BD229" s="70"/>
      <c r="BE229" s="154"/>
      <c r="BF229" s="70"/>
      <c r="BG229" s="70"/>
      <c r="BH229" s="154"/>
      <c r="BI229" s="70"/>
      <c r="BJ229" s="70"/>
      <c r="BK229" s="154"/>
      <c r="BL229" s="70"/>
      <c r="BM229" s="70"/>
      <c r="BN229" s="154"/>
      <c r="BO229" s="70"/>
      <c r="BP229" s="70"/>
      <c r="BQ229" s="154"/>
      <c r="BR229" s="70"/>
      <c r="BS229" s="70"/>
      <c r="BT229" s="154"/>
      <c r="BU229" s="70"/>
      <c r="BV229" s="70"/>
      <c r="BW229" s="154"/>
      <c r="BX229" s="70"/>
      <c r="BY229" s="70"/>
    </row>
    <row r="230" spans="1:77" hidden="1" x14ac:dyDescent="0.2">
      <c r="A230" s="4">
        <v>4</v>
      </c>
      <c r="B230" s="4" t="str">
        <f>B213</f>
        <v>Intense 16 Elite Orange R</v>
      </c>
      <c r="C230" s="4">
        <f>VLOOKUP(B230,AU$2:AY$22,4,FALSE)</f>
        <v>2635.6330001351084</v>
      </c>
      <c r="D230" s="4">
        <f>IF(A230=B218,B233,IF(A230=D218,D233,C230))</f>
        <v>2628.6237730741791</v>
      </c>
      <c r="G230" s="4">
        <f>IF(A230=E218,E233,IF(A230=G218,G233,D230))</f>
        <v>2628.6237730741791</v>
      </c>
      <c r="J230" s="4">
        <f>IF(A230=H218,H233,IF(A230=J218,J233,G230))</f>
        <v>2628.6237730741791</v>
      </c>
      <c r="U230" s="155"/>
      <c r="V230" s="155">
        <v>4</v>
      </c>
      <c r="W230" s="4" t="str">
        <f>X213</f>
        <v>Intense 15 Hyper Elite</v>
      </c>
      <c r="X230" s="4">
        <f>VLOOKUP(W230,AU$2:AY$22,4,FALSE)</f>
        <v>2556.1463876305306</v>
      </c>
      <c r="Y230" s="4">
        <f>IF(V230=W218,W233,IF(V230=Y218,Y233,X230))</f>
        <v>2548.7547222982257</v>
      </c>
      <c r="AB230" s="4">
        <f>IF(V230=Z218,Z233,IF(V230=AB218,AB233,Y230))</f>
        <v>2548.7547222982257</v>
      </c>
      <c r="AE230" s="4">
        <f>IF(V230=AC218,AC233,IF(V230=AE218,AE233,AB230))</f>
        <v>2548.7547222982257</v>
      </c>
      <c r="AT230" s="4" t="str">
        <f>W227</f>
        <v>SC Midlands 15 National</v>
      </c>
      <c r="AU230" s="4">
        <f>AE227</f>
        <v>2605.0099691087071</v>
      </c>
      <c r="AW230" s="154"/>
      <c r="AX230" s="70"/>
      <c r="AY230" s="70"/>
      <c r="AZ230" s="70"/>
      <c r="BA230" s="70"/>
      <c r="BB230" s="154"/>
      <c r="BC230" s="70"/>
      <c r="BD230" s="70"/>
      <c r="BE230" s="154"/>
      <c r="BF230" s="70"/>
      <c r="BG230" s="70"/>
      <c r="BH230" s="154"/>
      <c r="BI230" s="70"/>
      <c r="BJ230" s="70"/>
      <c r="BK230" s="154"/>
      <c r="BL230" s="70"/>
      <c r="BM230" s="70"/>
      <c r="BN230" s="154"/>
      <c r="BO230" s="70"/>
      <c r="BP230" s="70"/>
      <c r="BQ230" s="154"/>
      <c r="BR230" s="70"/>
      <c r="BS230" s="70"/>
      <c r="BT230" s="154"/>
      <c r="BU230" s="70"/>
      <c r="BV230" s="70"/>
      <c r="BW230" s="154"/>
      <c r="BX230" s="70"/>
      <c r="BY230" s="70"/>
    </row>
    <row r="231" spans="1:77" hidden="1" x14ac:dyDescent="0.2">
      <c r="A231" s="4" t="s">
        <v>110</v>
      </c>
      <c r="B231" s="4">
        <f>VLOOKUP(B218,$A227:$J230,3,FALSE)</f>
        <v>2678.8837604353203</v>
      </c>
      <c r="D231" s="4">
        <f>VLOOKUP(D218,$A227:$J230,3,FALSE)</f>
        <v>2635.6330001351084</v>
      </c>
      <c r="E231" s="4">
        <f>VLOOKUP(E218,$A227:$J230,4,FALSE)</f>
        <v>2619.3278714711464</v>
      </c>
      <c r="G231" s="4">
        <f>VLOOKUP(G218,$A227:$J230,4,FALSE)</f>
        <v>2592.2314390834831</v>
      </c>
      <c r="H231" s="4">
        <f>VLOOKUP(H218,$A227:$J230,7,FALSE)</f>
        <v>2685.8929874962496</v>
      </c>
      <c r="J231" s="4">
        <f>VLOOKUP(J218,$A227:$J230,7,FALSE)</f>
        <v>2626.7052149638621</v>
      </c>
      <c r="T231" s="171" t="s">
        <v>110</v>
      </c>
      <c r="U231" s="171"/>
      <c r="V231" s="171"/>
      <c r="W231" s="4">
        <f>VLOOKUP(W218,$V227:$AE230,3,FALSE)</f>
        <v>2582.6171265933272</v>
      </c>
      <c r="Y231" s="4">
        <f>VLOOKUP(Y218,$V227:$AE230,3,FALSE)</f>
        <v>2556.1463876305306</v>
      </c>
      <c r="Z231" s="4">
        <f>VLOOKUP(Z218,$V227:$AE230,4,FALSE)</f>
        <v>2599.1295252601681</v>
      </c>
      <c r="AB231" s="4">
        <f>VLOOKUP(AB218,$V227:$AE230,4,FALSE)</f>
        <v>2559.3800974918427</v>
      </c>
      <c r="AC231" s="4">
        <f>VLOOKUP(AC218,$V227:$AE230,7,FALSE)</f>
        <v>2590.0087919256321</v>
      </c>
      <c r="AE231" s="4">
        <f>VLOOKUP(AE218,$V227:$AE230,7,FALSE)</f>
        <v>2568.2913893278051</v>
      </c>
      <c r="AT231" s="4" t="str">
        <f>W228</f>
        <v>Lake Murray 16 Red</v>
      </c>
      <c r="AU231" s="4">
        <f>AE228</f>
        <v>2590.2182334242057</v>
      </c>
      <c r="AW231" s="154"/>
      <c r="AX231" s="70"/>
      <c r="AY231" s="70"/>
      <c r="AZ231" s="70"/>
      <c r="BA231" s="70"/>
      <c r="BB231" s="154"/>
      <c r="BC231" s="70"/>
      <c r="BD231" s="70"/>
      <c r="BE231" s="154"/>
      <c r="BF231" s="70"/>
      <c r="BG231" s="70"/>
      <c r="BH231" s="154"/>
      <c r="BI231" s="70"/>
      <c r="BJ231" s="70"/>
      <c r="BK231" s="154"/>
      <c r="BL231" s="70"/>
      <c r="BM231" s="70"/>
      <c r="BN231" s="154"/>
      <c r="BO231" s="70"/>
      <c r="BP231" s="70"/>
      <c r="BQ231" s="154"/>
      <c r="BR231" s="70"/>
      <c r="BS231" s="70"/>
      <c r="BT231" s="154"/>
      <c r="BU231" s="70"/>
      <c r="BV231" s="70"/>
      <c r="BW231" s="154"/>
      <c r="BX231" s="70"/>
      <c r="BY231" s="70"/>
    </row>
    <row r="232" spans="1:77" hidden="1" x14ac:dyDescent="0.2">
      <c r="A232" s="84" t="s">
        <v>111</v>
      </c>
      <c r="B232" s="84">
        <f>1/(1+(10^-((B231-D231)/400)))*(B222+D222)</f>
        <v>0.56192330869192453</v>
      </c>
      <c r="C232" s="84"/>
      <c r="D232" s="84">
        <f>1/(1+(10^-((D231-B231)/400)))*(B222+D222)</f>
        <v>0.43807669130807553</v>
      </c>
      <c r="E232" s="84">
        <f>1/(1+(10^-((E231-G231)/400)))*(E222+G222)</f>
        <v>0.5389160317052627</v>
      </c>
      <c r="G232" s="84">
        <f>1/(1+(10^-((G231-E231)/400)))*(E222+G222)</f>
        <v>0.4610839682947373</v>
      </c>
      <c r="H232" s="84">
        <f>1/(1+(10^-((H231-J231)/400)))*(H222+J222)</f>
        <v>1.1687270322047201</v>
      </c>
      <c r="J232" s="84">
        <f>1/(1+(10^-((J231-H231)/400)))*(H222+J222)</f>
        <v>0.83127296779528004</v>
      </c>
      <c r="T232" s="172" t="s">
        <v>111</v>
      </c>
      <c r="U232" s="172"/>
      <c r="V232" s="172"/>
      <c r="W232" s="84">
        <f>1/(1+(10^-((W231-Y231)/400)))*(W222+Y222)</f>
        <v>0.53802091673094987</v>
      </c>
      <c r="X232" s="84"/>
      <c r="Y232" s="84">
        <f>1/(1+(10^-((Y231-W231)/400)))*(W222+Y222)</f>
        <v>0.46197908326905013</v>
      </c>
      <c r="Z232" s="84">
        <f>1/(1+(10^-((Z231-AB231)/400)))*(Z222+AB222)</f>
        <v>0.55695573974764578</v>
      </c>
      <c r="AB232" s="84">
        <f>1/(1+(10^-((AB231-Z231)/400)))*(Z222+AB222)</f>
        <v>0.44304426025235416</v>
      </c>
      <c r="AC232" s="84">
        <f>1/(1+(10^-((AC231-AE231)/400)))*(AC222+AE222)</f>
        <v>1.0624264260578007</v>
      </c>
      <c r="AE232" s="84">
        <f>1/(1+(10^-((AE231-AC231)/400)))*(AC222+AE222)</f>
        <v>0.93757357394219942</v>
      </c>
      <c r="AT232" s="4" t="str">
        <f>W229</f>
        <v>Beaufort Sweet 16's</v>
      </c>
      <c r="AU232" s="4">
        <f>AE229</f>
        <v>2553.29021214473</v>
      </c>
      <c r="AW232" s="154"/>
      <c r="AX232" s="70"/>
      <c r="AY232" s="70"/>
      <c r="AZ232" s="70"/>
      <c r="BA232" s="70"/>
      <c r="BB232" s="154"/>
      <c r="BC232" s="70"/>
      <c r="BD232" s="70"/>
      <c r="BE232" s="154"/>
      <c r="BF232" s="70"/>
      <c r="BG232" s="70"/>
      <c r="BH232" s="154"/>
      <c r="BI232" s="70"/>
      <c r="BJ232" s="70"/>
      <c r="BK232" s="154"/>
      <c r="BL232" s="70"/>
      <c r="BM232" s="70"/>
      <c r="BN232" s="154"/>
      <c r="BO232" s="70"/>
      <c r="BP232" s="70"/>
      <c r="BQ232" s="154"/>
      <c r="BR232" s="70"/>
      <c r="BS232" s="70"/>
      <c r="BT232" s="154"/>
      <c r="BU232" s="70"/>
      <c r="BV232" s="70"/>
      <c r="BW232" s="154"/>
      <c r="BX232" s="70"/>
      <c r="BY232" s="70"/>
    </row>
    <row r="233" spans="1:77" hidden="1" x14ac:dyDescent="0.2">
      <c r="A233" s="90" t="s">
        <v>112</v>
      </c>
      <c r="B233" s="90">
        <f>B231+(B222-B232)*$BA$2</f>
        <v>2685.8929874962496</v>
      </c>
      <c r="C233" s="90"/>
      <c r="D233" s="90">
        <f>D231+(D222-D232)*$BA$2</f>
        <v>2628.6237730741791</v>
      </c>
      <c r="E233" s="90">
        <f>E231+(E222-E232)*$BA$2</f>
        <v>2626.7052149638621</v>
      </c>
      <c r="G233" s="90">
        <f>G231+(G222-G232)*$BA$2</f>
        <v>2584.8540955907674</v>
      </c>
      <c r="H233" s="90">
        <f>H231+(H222-H232)*$BA$2</f>
        <v>2667.1933549809742</v>
      </c>
      <c r="J233" s="90">
        <f>J231+(J222-J232)*$BA$2</f>
        <v>2645.4048474791375</v>
      </c>
      <c r="T233" s="158" t="s">
        <v>112</v>
      </c>
      <c r="U233" s="158"/>
      <c r="V233" s="158"/>
      <c r="W233" s="90">
        <f>W231+(W222-W232)*$BA$2</f>
        <v>2590.0087919256321</v>
      </c>
      <c r="X233" s="90"/>
      <c r="Y233" s="90">
        <f>Y231+(Y222-Y232)*$BA$2</f>
        <v>2548.7547222982257</v>
      </c>
      <c r="Z233" s="90">
        <f>Z231+(Z222-Z232)*$BA$2</f>
        <v>2590.2182334242057</v>
      </c>
      <c r="AB233" s="90">
        <f>AB231+(AB222-AB232)*$BA$2</f>
        <v>2568.2913893278051</v>
      </c>
      <c r="AC233" s="90">
        <f>AC231+(AC222-AC232)*$BA$2</f>
        <v>2605.0099691087071</v>
      </c>
      <c r="AE233" s="90">
        <f>AE231+(AE222-AE232)*$BA$2</f>
        <v>2553.29021214473</v>
      </c>
      <c r="AT233" s="4" t="str">
        <f>W230</f>
        <v>Intense 15 Hyper Elite</v>
      </c>
      <c r="AU233" s="4">
        <f>AE230</f>
        <v>2548.7547222982257</v>
      </c>
      <c r="AW233" s="154"/>
      <c r="AX233" s="70"/>
      <c r="AY233" s="70"/>
      <c r="AZ233" s="70"/>
      <c r="BA233" s="70"/>
      <c r="BB233" s="154"/>
      <c r="BC233" s="70"/>
      <c r="BD233" s="70"/>
      <c r="BE233" s="154"/>
      <c r="BF233" s="70"/>
      <c r="BG233" s="70"/>
      <c r="BH233" s="154"/>
      <c r="BI233" s="70"/>
      <c r="BJ233" s="70"/>
      <c r="BK233" s="154"/>
      <c r="BL233" s="70"/>
      <c r="BM233" s="70"/>
      <c r="BN233" s="154"/>
      <c r="BO233" s="70"/>
      <c r="BP233" s="70"/>
      <c r="BQ233" s="154"/>
      <c r="BR233" s="70"/>
      <c r="BS233" s="70"/>
      <c r="BT233" s="154"/>
      <c r="BU233" s="70"/>
      <c r="BV233" s="70"/>
      <c r="BW233" s="154"/>
      <c r="BX233" s="70"/>
      <c r="BY233" s="70"/>
    </row>
    <row r="234" spans="1:77" x14ac:dyDescent="0.2">
      <c r="A234" s="159" t="s">
        <v>163</v>
      </c>
      <c r="B234" s="159"/>
      <c r="C234" s="159"/>
      <c r="D234" s="159"/>
      <c r="E234" s="159"/>
      <c r="F234" s="159"/>
      <c r="G234" s="159"/>
      <c r="H234" s="159"/>
      <c r="I234" s="159"/>
      <c r="J234" s="159"/>
      <c r="K234" s="159"/>
      <c r="L234" s="159"/>
      <c r="M234" s="159"/>
      <c r="R234" s="127"/>
      <c r="S234" s="127"/>
      <c r="T234" s="147"/>
      <c r="U234" s="147"/>
      <c r="V234" s="159" t="s">
        <v>163</v>
      </c>
      <c r="W234" s="159"/>
      <c r="X234" s="159"/>
      <c r="Y234" s="159"/>
      <c r="Z234" s="159"/>
      <c r="AA234" s="159"/>
      <c r="AB234" s="159"/>
      <c r="AC234" s="159"/>
      <c r="AD234" s="159"/>
      <c r="AE234" s="159"/>
      <c r="AF234" s="159"/>
      <c r="AG234" s="159"/>
      <c r="AH234" s="127"/>
      <c r="AI234" s="127"/>
      <c r="AJ234" s="127"/>
      <c r="AW234" s="154"/>
      <c r="AX234" s="70"/>
      <c r="AY234" s="70"/>
      <c r="AZ234" s="70"/>
      <c r="BA234" s="70"/>
    </row>
    <row r="235" spans="1:77" x14ac:dyDescent="0.2">
      <c r="AT235" s="70"/>
      <c r="AU235" s="70"/>
      <c r="AV235" s="70"/>
      <c r="AW235" s="154"/>
      <c r="AX235" s="70"/>
      <c r="AY235" s="70"/>
      <c r="AZ235" s="70"/>
      <c r="BA235" s="70"/>
    </row>
    <row r="236" spans="1:77" x14ac:dyDescent="0.2">
      <c r="AT236" s="70"/>
      <c r="AU236" s="70"/>
      <c r="AV236" s="70"/>
      <c r="AW236" s="154"/>
      <c r="AX236" s="70"/>
      <c r="AY236" s="70"/>
      <c r="AZ236" s="70"/>
      <c r="BA236" s="70"/>
    </row>
    <row r="237" spans="1:77" x14ac:dyDescent="0.2">
      <c r="AT237" s="70"/>
      <c r="AU237" s="70"/>
      <c r="AV237" s="70"/>
      <c r="AW237" s="154"/>
      <c r="AX237" s="70"/>
      <c r="AY237" s="70"/>
      <c r="AZ237" s="70"/>
      <c r="BA237" s="70"/>
    </row>
    <row r="238" spans="1:77" x14ac:dyDescent="0.2">
      <c r="AT238" s="70"/>
      <c r="AU238" s="70"/>
      <c r="AV238" s="70"/>
      <c r="AW238" s="154"/>
      <c r="AX238" s="70"/>
      <c r="AY238" s="70"/>
      <c r="AZ238" s="70"/>
      <c r="BA238" s="70"/>
    </row>
    <row r="239" spans="1:77" x14ac:dyDescent="0.2">
      <c r="AT239" s="70"/>
      <c r="AU239" s="70"/>
      <c r="AV239" s="70"/>
      <c r="AW239" s="154"/>
      <c r="AX239" s="70"/>
      <c r="AY239" s="70"/>
      <c r="AZ239" s="70"/>
      <c r="BA239" s="70"/>
    </row>
    <row r="240" spans="1:77" x14ac:dyDescent="0.2">
      <c r="AT240" s="70"/>
      <c r="AU240" s="70"/>
      <c r="AV240" s="70"/>
      <c r="AW240" s="154"/>
      <c r="AX240" s="70"/>
      <c r="AY240" s="70"/>
      <c r="AZ240" s="70"/>
      <c r="BA240" s="70"/>
    </row>
    <row r="241" spans="46:53" x14ac:dyDescent="0.2">
      <c r="AT241" s="70"/>
      <c r="AU241" s="70"/>
      <c r="AV241" s="70"/>
      <c r="AW241" s="154"/>
      <c r="AX241" s="70"/>
      <c r="AY241" s="70"/>
      <c r="AZ241" s="70"/>
      <c r="BA241" s="70"/>
    </row>
    <row r="242" spans="46:53" x14ac:dyDescent="0.2">
      <c r="AT242" s="70"/>
      <c r="AU242" s="70"/>
      <c r="AV242" s="70"/>
      <c r="AW242" s="154"/>
      <c r="AX242" s="70"/>
      <c r="AY242" s="70"/>
      <c r="AZ242" s="70"/>
      <c r="BA242" s="70"/>
    </row>
    <row r="243" spans="46:53" x14ac:dyDescent="0.2">
      <c r="AT243" s="70"/>
      <c r="AU243" s="70"/>
      <c r="AV243" s="70"/>
      <c r="AW243" s="154"/>
      <c r="AX243" s="70"/>
      <c r="AY243" s="70"/>
      <c r="AZ243" s="70"/>
      <c r="BA243" s="70"/>
    </row>
    <row r="244" spans="46:53" x14ac:dyDescent="0.2">
      <c r="AT244" s="70"/>
      <c r="AU244" s="70"/>
      <c r="AV244" s="70"/>
      <c r="AW244" s="154"/>
      <c r="AX244" s="70"/>
      <c r="AY244" s="70"/>
      <c r="AZ244" s="70"/>
      <c r="BA244" s="70"/>
    </row>
    <row r="245" spans="46:53" x14ac:dyDescent="0.2">
      <c r="AT245" s="70"/>
      <c r="AU245" s="70"/>
      <c r="AV245" s="70"/>
      <c r="AW245" s="154"/>
      <c r="AX245" s="70"/>
      <c r="AY245" s="70"/>
      <c r="AZ245" s="70"/>
      <c r="BA245" s="70"/>
    </row>
    <row r="246" spans="46:53" x14ac:dyDescent="0.2">
      <c r="AT246" s="70"/>
      <c r="AU246" s="70"/>
      <c r="AV246" s="70"/>
      <c r="AW246" s="154"/>
      <c r="AX246" s="70"/>
      <c r="AY246" s="70"/>
      <c r="AZ246" s="70"/>
      <c r="BA246" s="70"/>
    </row>
    <row r="247" spans="46:53" x14ac:dyDescent="0.2">
      <c r="AT247" s="70"/>
      <c r="AU247" s="70"/>
      <c r="AV247" s="70"/>
    </row>
    <row r="248" spans="46:53" x14ac:dyDescent="0.2">
      <c r="AT248" s="70"/>
      <c r="AU248" s="70"/>
      <c r="AV248" s="70"/>
      <c r="AW248" s="81"/>
      <c r="AX248" s="77"/>
      <c r="AY248" s="77"/>
      <c r="AZ248" s="77"/>
      <c r="BA248" s="77"/>
    </row>
    <row r="249" spans="46:53" x14ac:dyDescent="0.2">
      <c r="AT249" s="70"/>
      <c r="AU249" s="70"/>
      <c r="AV249" s="70"/>
      <c r="AW249" s="81"/>
      <c r="AX249" s="77"/>
      <c r="AY249" s="77"/>
      <c r="AZ249" s="77"/>
      <c r="BA249" s="77"/>
    </row>
    <row r="250" spans="46:53" x14ac:dyDescent="0.2">
      <c r="AT250" s="70"/>
      <c r="AU250" s="70"/>
      <c r="AV250" s="70"/>
      <c r="AW250" s="81"/>
      <c r="AX250" s="77"/>
      <c r="AY250" s="77"/>
      <c r="AZ250" s="77"/>
      <c r="BA250" s="77"/>
    </row>
    <row r="251" spans="46:53" x14ac:dyDescent="0.2">
      <c r="AT251" s="70"/>
      <c r="AU251" s="70"/>
      <c r="AV251" s="70"/>
      <c r="AW251" s="81"/>
      <c r="AX251" s="77"/>
      <c r="AY251" s="77"/>
      <c r="AZ251" s="77"/>
      <c r="BA251" s="77"/>
    </row>
    <row r="252" spans="46:53" x14ac:dyDescent="0.2">
      <c r="AT252" s="70"/>
      <c r="AU252" s="70"/>
      <c r="AV252" s="70"/>
      <c r="AW252" s="81"/>
      <c r="AX252" s="77"/>
      <c r="AY252" s="77"/>
      <c r="AZ252" s="77"/>
      <c r="BA252" s="77"/>
    </row>
    <row r="253" spans="46:53" x14ac:dyDescent="0.2">
      <c r="AT253" s="70"/>
      <c r="AU253" s="70"/>
      <c r="AV253" s="70"/>
      <c r="AW253" s="81"/>
      <c r="AX253" s="77"/>
      <c r="AY253" s="77"/>
      <c r="AZ253" s="77"/>
      <c r="BA253" s="77"/>
    </row>
    <row r="254" spans="46:53" x14ac:dyDescent="0.2">
      <c r="AT254" s="70"/>
      <c r="AU254" s="70"/>
      <c r="AV254" s="70"/>
      <c r="AW254" s="81"/>
      <c r="AX254" s="77"/>
      <c r="AY254" s="77"/>
      <c r="AZ254" s="77"/>
      <c r="BA254" s="77"/>
    </row>
    <row r="255" spans="46:53" x14ac:dyDescent="0.2">
      <c r="AT255" s="70"/>
      <c r="AU255" s="70"/>
      <c r="AV255" s="70"/>
      <c r="AW255" s="81"/>
      <c r="AX255" s="77"/>
      <c r="AY255" s="77"/>
      <c r="AZ255" s="77"/>
      <c r="BA255" s="77"/>
    </row>
    <row r="256" spans="46:53" x14ac:dyDescent="0.2">
      <c r="AT256" s="70"/>
      <c r="AU256" s="70"/>
      <c r="AV256" s="70"/>
      <c r="AW256" s="88"/>
      <c r="AX256" s="87"/>
      <c r="AY256" s="87"/>
      <c r="AZ256" s="87"/>
      <c r="BA256" s="87"/>
    </row>
    <row r="257" spans="46:53" x14ac:dyDescent="0.2">
      <c r="AT257" s="70"/>
      <c r="AU257" s="70"/>
      <c r="AV257" s="70"/>
      <c r="AW257" s="94"/>
      <c r="AX257" s="93"/>
      <c r="AY257" s="93"/>
      <c r="AZ257" s="93"/>
      <c r="BA257" s="93"/>
    </row>
    <row r="258" spans="46:53" x14ac:dyDescent="0.2">
      <c r="AT258" s="70"/>
      <c r="AU258" s="70"/>
      <c r="AV258" s="70"/>
      <c r="AW258" s="94"/>
      <c r="AX258" s="93"/>
      <c r="AY258" s="93"/>
      <c r="AZ258" s="93"/>
      <c r="BA258" s="93"/>
    </row>
    <row r="259" spans="46:53" x14ac:dyDescent="0.2">
      <c r="AT259" s="70"/>
      <c r="AU259" s="70"/>
      <c r="AV259" s="70"/>
      <c r="AW259" s="81"/>
      <c r="AX259" s="77"/>
      <c r="AY259" s="77"/>
      <c r="AZ259" s="77"/>
      <c r="BA259" s="77"/>
    </row>
    <row r="260" spans="46:53" x14ac:dyDescent="0.2">
      <c r="AT260" s="77"/>
      <c r="AU260" s="77"/>
      <c r="AV260" s="77"/>
      <c r="AW260" s="81"/>
      <c r="AX260" s="77"/>
      <c r="AY260" s="77"/>
      <c r="AZ260" s="77"/>
      <c r="BA260" s="77"/>
    </row>
    <row r="261" spans="46:53" x14ac:dyDescent="0.2">
      <c r="AT261" s="77"/>
      <c r="AU261" s="77"/>
      <c r="AV261" s="77"/>
    </row>
    <row r="286" spans="46:53" x14ac:dyDescent="0.2">
      <c r="AT286" s="70"/>
      <c r="AU286" s="70"/>
      <c r="AV286" s="70"/>
      <c r="AW286" s="154"/>
      <c r="AX286" s="70"/>
      <c r="AY286" s="70"/>
      <c r="AZ286" s="70"/>
      <c r="BA286" s="70"/>
    </row>
    <row r="287" spans="46:53" x14ac:dyDescent="0.2">
      <c r="AT287" s="70"/>
      <c r="AU287" s="70"/>
      <c r="AV287" s="70"/>
      <c r="AW287" s="154"/>
      <c r="AX287" s="70"/>
      <c r="AY287" s="70"/>
      <c r="AZ287" s="70"/>
      <c r="BA287" s="70"/>
    </row>
    <row r="288" spans="46:53" x14ac:dyDescent="0.2">
      <c r="AT288" s="70"/>
      <c r="AU288" s="70"/>
      <c r="AV288" s="70"/>
      <c r="AW288" s="154"/>
      <c r="AX288" s="70"/>
      <c r="AY288" s="70"/>
      <c r="AZ288" s="70"/>
      <c r="BA288" s="70"/>
    </row>
    <row r="289" spans="46:53" x14ac:dyDescent="0.2">
      <c r="AT289" s="70"/>
      <c r="AU289" s="70"/>
      <c r="AV289" s="70"/>
      <c r="AW289" s="154"/>
      <c r="AX289" s="70"/>
      <c r="AY289" s="70"/>
      <c r="AZ289" s="70"/>
      <c r="BA289" s="70"/>
    </row>
    <row r="290" spans="46:53" x14ac:dyDescent="0.2">
      <c r="AT290" s="70"/>
      <c r="AU290" s="70"/>
      <c r="AV290" s="70"/>
      <c r="AW290" s="154"/>
      <c r="AX290" s="70"/>
      <c r="AY290" s="70"/>
      <c r="AZ290" s="70"/>
      <c r="BA290" s="70"/>
    </row>
    <row r="291" spans="46:53" x14ac:dyDescent="0.2">
      <c r="AT291" s="70"/>
      <c r="AU291" s="70"/>
      <c r="AV291" s="70"/>
      <c r="AW291" s="154"/>
      <c r="AX291" s="70"/>
      <c r="AY291" s="70"/>
      <c r="AZ291" s="70"/>
      <c r="BA291" s="70"/>
    </row>
    <row r="292" spans="46:53" x14ac:dyDescent="0.2">
      <c r="AT292" s="70"/>
      <c r="AU292" s="70"/>
      <c r="AV292" s="70"/>
      <c r="AW292" s="154"/>
      <c r="AX292" s="70"/>
      <c r="AY292" s="70"/>
      <c r="AZ292" s="70"/>
      <c r="BA292" s="70"/>
    </row>
    <row r="293" spans="46:53" x14ac:dyDescent="0.2">
      <c r="AT293" s="70"/>
      <c r="AU293" s="70"/>
      <c r="AV293" s="70"/>
      <c r="AW293" s="154"/>
      <c r="AX293" s="70"/>
      <c r="AY293" s="70"/>
      <c r="AZ293" s="70"/>
      <c r="BA293" s="70"/>
    </row>
    <row r="294" spans="46:53" x14ac:dyDescent="0.2">
      <c r="AT294" s="70"/>
      <c r="AU294" s="70"/>
      <c r="AV294" s="70"/>
      <c r="AW294" s="154"/>
      <c r="AX294" s="70"/>
      <c r="AY294" s="70"/>
      <c r="AZ294" s="70"/>
      <c r="BA294" s="70"/>
    </row>
    <row r="295" spans="46:53" x14ac:dyDescent="0.2">
      <c r="AT295" s="70"/>
      <c r="AU295" s="70"/>
      <c r="AV295" s="70"/>
      <c r="AW295" s="154"/>
      <c r="AX295" s="70"/>
      <c r="AY295" s="70"/>
      <c r="AZ295" s="70"/>
      <c r="BA295" s="70"/>
    </row>
    <row r="296" spans="46:53" x14ac:dyDescent="0.2">
      <c r="AT296" s="70"/>
      <c r="AU296" s="70"/>
      <c r="AV296" s="70"/>
      <c r="AW296" s="154"/>
      <c r="AX296" s="70"/>
      <c r="AY296" s="70"/>
      <c r="AZ296" s="70"/>
      <c r="BA296" s="70"/>
    </row>
    <row r="297" spans="46:53" x14ac:dyDescent="0.2">
      <c r="AT297" s="70"/>
      <c r="AU297" s="70"/>
      <c r="AV297" s="70"/>
      <c r="AW297" s="154"/>
      <c r="AX297" s="70"/>
      <c r="AY297" s="70"/>
      <c r="AZ297" s="70"/>
      <c r="BA297" s="70"/>
    </row>
    <row r="298" spans="46:53" x14ac:dyDescent="0.2">
      <c r="AT298" s="70"/>
      <c r="AU298" s="70"/>
      <c r="AV298" s="70"/>
      <c r="AW298" s="154"/>
      <c r="AX298" s="70"/>
      <c r="AY298" s="70"/>
      <c r="AZ298" s="70"/>
      <c r="BA298" s="70"/>
    </row>
    <row r="299" spans="46:53" x14ac:dyDescent="0.2">
      <c r="AT299" s="70"/>
      <c r="AU299" s="70"/>
      <c r="AV299" s="70"/>
      <c r="AW299" s="154"/>
      <c r="AX299" s="70"/>
      <c r="AY299" s="70"/>
      <c r="AZ299" s="70"/>
      <c r="BA299" s="70"/>
    </row>
    <row r="300" spans="46:53" x14ac:dyDescent="0.2">
      <c r="AT300" s="70"/>
      <c r="AU300" s="70"/>
      <c r="AV300" s="70"/>
      <c r="AW300" s="154"/>
      <c r="AX300" s="70"/>
      <c r="AY300" s="70"/>
      <c r="AZ300" s="70"/>
      <c r="BA300" s="70"/>
    </row>
    <row r="301" spans="46:53" x14ac:dyDescent="0.2">
      <c r="AT301" s="70"/>
      <c r="AU301" s="70"/>
      <c r="AV301" s="70"/>
      <c r="AW301" s="154"/>
      <c r="AX301" s="70"/>
      <c r="AY301" s="70"/>
      <c r="AZ301" s="70"/>
      <c r="BA301" s="70"/>
    </row>
    <row r="302" spans="46:53" x14ac:dyDescent="0.2">
      <c r="AT302" s="70"/>
      <c r="AU302" s="70"/>
      <c r="AV302" s="70"/>
      <c r="AW302" s="154"/>
      <c r="AX302" s="70"/>
      <c r="AY302" s="70"/>
      <c r="AZ302" s="70"/>
      <c r="BA302" s="70"/>
    </row>
    <row r="303" spans="46:53" x14ac:dyDescent="0.2">
      <c r="AT303" s="70"/>
      <c r="AU303" s="70"/>
      <c r="AV303" s="70"/>
      <c r="AW303" s="154"/>
      <c r="AX303" s="70"/>
      <c r="AY303" s="70"/>
      <c r="AZ303" s="70"/>
      <c r="BA303" s="70"/>
    </row>
    <row r="304" spans="46:53" x14ac:dyDescent="0.2">
      <c r="AT304" s="70"/>
      <c r="AU304" s="70"/>
      <c r="AV304" s="70"/>
      <c r="AW304" s="154"/>
      <c r="AX304" s="70"/>
      <c r="AY304" s="70"/>
      <c r="AZ304" s="70"/>
      <c r="BA304" s="70"/>
    </row>
    <row r="305" spans="46:53" x14ac:dyDescent="0.2">
      <c r="AT305" s="70"/>
      <c r="AU305" s="70"/>
      <c r="AV305" s="70"/>
      <c r="AW305" s="154"/>
      <c r="AX305" s="70"/>
      <c r="AY305" s="70"/>
      <c r="AZ305" s="70"/>
      <c r="BA305" s="70"/>
    </row>
    <row r="306" spans="46:53" x14ac:dyDescent="0.2">
      <c r="AT306" s="70"/>
      <c r="AU306" s="70"/>
      <c r="AV306" s="70"/>
      <c r="AW306" s="154"/>
      <c r="AX306" s="70"/>
      <c r="AY306" s="70"/>
      <c r="AZ306" s="70"/>
      <c r="BA306" s="70"/>
    </row>
    <row r="307" spans="46:53" x14ac:dyDescent="0.2">
      <c r="AT307" s="70"/>
      <c r="AU307" s="70"/>
      <c r="AV307" s="70"/>
      <c r="AW307" s="154"/>
      <c r="AX307" s="70"/>
      <c r="AY307" s="70"/>
      <c r="AZ307" s="70"/>
      <c r="BA307" s="70"/>
    </row>
    <row r="308" spans="46:53" x14ac:dyDescent="0.2">
      <c r="AT308" s="70"/>
      <c r="AU308" s="70"/>
      <c r="AV308" s="70"/>
      <c r="AW308" s="154"/>
      <c r="AX308" s="70"/>
      <c r="AY308" s="70"/>
      <c r="AZ308" s="70"/>
      <c r="BA308" s="70"/>
    </row>
    <row r="309" spans="46:53" x14ac:dyDescent="0.2">
      <c r="AT309" s="70"/>
      <c r="AU309" s="70"/>
      <c r="AV309" s="70"/>
      <c r="AW309" s="154"/>
      <c r="AX309" s="70"/>
      <c r="AY309" s="70"/>
      <c r="AZ309" s="70"/>
      <c r="BA309" s="70"/>
    </row>
    <row r="310" spans="46:53" x14ac:dyDescent="0.2">
      <c r="AT310" s="70"/>
      <c r="AU310" s="70"/>
      <c r="AV310" s="70"/>
      <c r="AW310" s="154"/>
      <c r="AX310" s="70"/>
      <c r="AY310" s="70"/>
      <c r="AZ310" s="70"/>
      <c r="BA310" s="70"/>
    </row>
    <row r="311" spans="46:53" x14ac:dyDescent="0.2">
      <c r="AT311" s="70"/>
      <c r="AU311" s="70"/>
      <c r="AV311" s="70"/>
      <c r="AW311" s="154"/>
      <c r="AX311" s="70"/>
      <c r="AY311" s="70"/>
      <c r="AZ311" s="70"/>
      <c r="BA311" s="70"/>
    </row>
    <row r="312" spans="46:53" x14ac:dyDescent="0.2">
      <c r="AT312" s="70"/>
      <c r="AU312" s="70"/>
      <c r="AV312" s="70"/>
      <c r="AW312" s="154"/>
      <c r="AX312" s="70"/>
      <c r="AY312" s="70"/>
      <c r="AZ312" s="70"/>
      <c r="BA312" s="70"/>
    </row>
    <row r="313" spans="46:53" x14ac:dyDescent="0.2">
      <c r="AT313" s="70"/>
      <c r="AU313" s="70"/>
      <c r="AV313" s="70"/>
      <c r="AW313" s="154"/>
      <c r="AX313" s="70"/>
      <c r="AY313" s="70"/>
      <c r="AZ313" s="70"/>
      <c r="BA313" s="70"/>
    </row>
    <row r="314" spans="46:53" x14ac:dyDescent="0.2">
      <c r="AT314" s="70"/>
      <c r="AU314" s="70"/>
      <c r="AV314" s="70"/>
      <c r="AW314" s="154"/>
      <c r="AX314" s="70"/>
      <c r="AY314" s="70"/>
      <c r="AZ314" s="70"/>
      <c r="BA314" s="70"/>
    </row>
    <row r="315" spans="46:53" x14ac:dyDescent="0.2">
      <c r="AT315" s="70"/>
      <c r="AU315" s="70"/>
      <c r="AV315" s="70"/>
      <c r="AW315" s="154"/>
      <c r="AX315" s="70"/>
      <c r="AY315" s="70"/>
      <c r="AZ315" s="70"/>
      <c r="BA315" s="70"/>
    </row>
    <row r="316" spans="46:53" x14ac:dyDescent="0.2">
      <c r="AT316" s="70"/>
      <c r="AU316" s="70"/>
      <c r="AV316" s="70"/>
      <c r="AW316" s="154"/>
      <c r="AX316" s="70"/>
      <c r="AY316" s="70"/>
      <c r="AZ316" s="70"/>
      <c r="BA316" s="70"/>
    </row>
    <row r="317" spans="46:53" x14ac:dyDescent="0.2">
      <c r="AT317" s="70"/>
      <c r="AU317" s="70"/>
      <c r="AV317" s="70"/>
      <c r="AW317" s="154"/>
      <c r="AX317" s="70"/>
      <c r="AY317" s="70"/>
      <c r="AZ317" s="70"/>
      <c r="BA317" s="70"/>
    </row>
    <row r="318" spans="46:53" x14ac:dyDescent="0.2">
      <c r="AT318" s="70"/>
      <c r="AU318" s="70"/>
      <c r="AV318" s="70"/>
      <c r="AW318" s="154"/>
      <c r="AX318" s="70"/>
      <c r="AY318" s="70"/>
      <c r="AZ318" s="70"/>
      <c r="BA318" s="70"/>
    </row>
    <row r="319" spans="46:53" x14ac:dyDescent="0.2">
      <c r="AT319" s="70"/>
      <c r="AU319" s="70"/>
      <c r="AV319" s="70"/>
      <c r="AW319" s="154"/>
      <c r="AX319" s="70"/>
      <c r="AY319" s="70"/>
      <c r="AZ319" s="70"/>
      <c r="BA319" s="70"/>
    </row>
    <row r="320" spans="46:53" x14ac:dyDescent="0.2">
      <c r="AT320" s="70"/>
      <c r="AU320" s="70"/>
      <c r="AV320" s="70"/>
      <c r="AW320" s="154"/>
      <c r="AX320" s="70"/>
      <c r="AY320" s="70"/>
      <c r="AZ320" s="70"/>
      <c r="BA320" s="70"/>
    </row>
    <row r="321" spans="46:53" x14ac:dyDescent="0.2">
      <c r="AT321" s="70"/>
      <c r="AU321" s="70"/>
      <c r="AV321" s="70"/>
      <c r="AW321" s="154"/>
      <c r="AX321" s="70"/>
      <c r="AY321" s="70"/>
      <c r="AZ321" s="70"/>
      <c r="BA321" s="70"/>
    </row>
    <row r="322" spans="46:53" x14ac:dyDescent="0.2">
      <c r="AT322" s="70"/>
      <c r="AU322" s="70"/>
      <c r="AV322" s="70"/>
      <c r="AW322" s="154"/>
      <c r="AX322" s="70"/>
      <c r="AY322" s="70"/>
      <c r="AZ322" s="70"/>
      <c r="BA322" s="70"/>
    </row>
    <row r="323" spans="46:53" x14ac:dyDescent="0.2">
      <c r="AT323" s="70"/>
      <c r="AU323" s="70"/>
      <c r="AV323" s="70"/>
      <c r="AW323" s="154"/>
      <c r="AX323" s="70"/>
      <c r="AY323" s="70"/>
      <c r="AZ323" s="70"/>
      <c r="BA323" s="70"/>
    </row>
    <row r="324" spans="46:53" x14ac:dyDescent="0.2">
      <c r="AT324" s="70"/>
      <c r="AU324" s="70"/>
      <c r="AV324" s="70"/>
      <c r="AW324" s="154"/>
      <c r="AX324" s="70"/>
      <c r="AY324" s="70"/>
      <c r="AZ324" s="70"/>
      <c r="BA324" s="70"/>
    </row>
    <row r="325" spans="46:53" x14ac:dyDescent="0.2">
      <c r="AT325" s="70"/>
      <c r="AU325" s="70"/>
      <c r="AV325" s="70"/>
      <c r="AW325" s="154"/>
      <c r="AX325" s="70"/>
      <c r="AY325" s="70"/>
      <c r="AZ325" s="70"/>
      <c r="BA325" s="70"/>
    </row>
    <row r="326" spans="46:53" x14ac:dyDescent="0.2">
      <c r="AT326" s="70"/>
      <c r="AU326" s="70"/>
      <c r="AV326" s="70"/>
      <c r="AW326" s="154"/>
      <c r="AX326" s="70"/>
      <c r="AY326" s="70"/>
      <c r="AZ326" s="70"/>
      <c r="BA326" s="70"/>
    </row>
    <row r="327" spans="46:53" x14ac:dyDescent="0.2">
      <c r="AT327" s="70"/>
      <c r="AU327" s="70"/>
      <c r="AV327" s="70"/>
      <c r="AW327" s="154"/>
      <c r="AX327" s="70"/>
      <c r="AY327" s="70"/>
      <c r="AZ327" s="70"/>
      <c r="BA327" s="70"/>
    </row>
    <row r="328" spans="46:53" x14ac:dyDescent="0.2">
      <c r="AT328" s="70"/>
      <c r="AU328" s="70"/>
      <c r="AV328" s="70"/>
      <c r="AW328" s="154"/>
      <c r="AX328" s="70"/>
      <c r="AY328" s="70"/>
      <c r="AZ328" s="70"/>
      <c r="BA328" s="70"/>
    </row>
    <row r="329" spans="46:53" x14ac:dyDescent="0.2">
      <c r="AT329" s="70"/>
      <c r="AU329" s="70"/>
      <c r="AV329" s="70"/>
      <c r="AW329" s="154"/>
      <c r="AX329" s="70"/>
      <c r="AY329" s="70"/>
      <c r="AZ329" s="70"/>
      <c r="BA329" s="70"/>
    </row>
    <row r="330" spans="46:53" x14ac:dyDescent="0.2">
      <c r="AT330" s="70"/>
      <c r="AU330" s="70"/>
      <c r="AV330" s="70"/>
      <c r="AW330" s="154"/>
      <c r="AX330" s="70"/>
      <c r="AY330" s="70"/>
      <c r="AZ330" s="70"/>
      <c r="BA330" s="70"/>
    </row>
    <row r="331" spans="46:53" x14ac:dyDescent="0.2">
      <c r="AT331" s="70"/>
      <c r="AU331" s="70"/>
      <c r="AV331" s="70"/>
      <c r="AW331" s="154"/>
      <c r="AX331" s="70"/>
      <c r="AY331" s="70"/>
      <c r="AZ331" s="70"/>
      <c r="BA331" s="70"/>
    </row>
    <row r="332" spans="46:53" x14ac:dyDescent="0.2">
      <c r="AT332" s="77"/>
      <c r="AU332" s="77"/>
      <c r="AV332" s="77"/>
    </row>
    <row r="333" spans="46:53" x14ac:dyDescent="0.2">
      <c r="AT333" s="77"/>
      <c r="AU333" s="77"/>
      <c r="AV333" s="77"/>
      <c r="AW333" s="81"/>
      <c r="AX333" s="77"/>
      <c r="AY333" s="77"/>
      <c r="AZ333" s="77"/>
      <c r="BA333" s="77"/>
    </row>
    <row r="334" spans="46:53" x14ac:dyDescent="0.2">
      <c r="AW334" s="81"/>
      <c r="AX334" s="77"/>
      <c r="AY334" s="77"/>
      <c r="AZ334" s="77"/>
      <c r="BA334" s="77"/>
    </row>
    <row r="335" spans="46:53" x14ac:dyDescent="0.2">
      <c r="AW335" s="81"/>
      <c r="AX335" s="77"/>
      <c r="AY335" s="77"/>
      <c r="AZ335" s="77"/>
      <c r="BA335" s="77"/>
    </row>
    <row r="336" spans="46:53" x14ac:dyDescent="0.2">
      <c r="AW336" s="81"/>
      <c r="AX336" s="77"/>
      <c r="AY336" s="77"/>
      <c r="AZ336" s="77"/>
      <c r="BA336" s="77"/>
    </row>
    <row r="337" spans="46:53" x14ac:dyDescent="0.2">
      <c r="AW337" s="81"/>
      <c r="AX337" s="77"/>
      <c r="AY337" s="77"/>
      <c r="AZ337" s="77"/>
      <c r="BA337" s="77"/>
    </row>
    <row r="338" spans="46:53" x14ac:dyDescent="0.2">
      <c r="AW338" s="81"/>
      <c r="AX338" s="77"/>
      <c r="AY338" s="77"/>
      <c r="AZ338" s="77"/>
      <c r="BA338" s="77"/>
    </row>
    <row r="339" spans="46:53" x14ac:dyDescent="0.2">
      <c r="AW339" s="81"/>
      <c r="AX339" s="77"/>
      <c r="AY339" s="77"/>
      <c r="AZ339" s="77"/>
      <c r="BA339" s="77"/>
    </row>
    <row r="340" spans="46:53" x14ac:dyDescent="0.2">
      <c r="AW340" s="81"/>
      <c r="AX340" s="77"/>
      <c r="AY340" s="77"/>
      <c r="AZ340" s="77"/>
      <c r="BA340" s="77"/>
    </row>
    <row r="341" spans="46:53" x14ac:dyDescent="0.2">
      <c r="AW341" s="88"/>
      <c r="AX341" s="87"/>
      <c r="AY341" s="87"/>
      <c r="AZ341" s="87"/>
      <c r="BA341" s="87"/>
    </row>
    <row r="342" spans="46:53" x14ac:dyDescent="0.2">
      <c r="AW342" s="94"/>
      <c r="AX342" s="93"/>
      <c r="AY342" s="93"/>
      <c r="AZ342" s="93"/>
      <c r="BA342" s="93"/>
    </row>
    <row r="343" spans="46:53" x14ac:dyDescent="0.2">
      <c r="AW343" s="94"/>
      <c r="AX343" s="93"/>
      <c r="AY343" s="93"/>
      <c r="AZ343" s="93"/>
      <c r="BA343" s="93"/>
    </row>
    <row r="344" spans="46:53" x14ac:dyDescent="0.2">
      <c r="AW344" s="81"/>
      <c r="AX344" s="77"/>
      <c r="AY344" s="77"/>
      <c r="AZ344" s="77"/>
      <c r="BA344" s="77"/>
    </row>
    <row r="345" spans="46:53" x14ac:dyDescent="0.2">
      <c r="AW345" s="81"/>
      <c r="AX345" s="77"/>
      <c r="AY345" s="77"/>
      <c r="AZ345" s="77"/>
      <c r="BA345" s="77"/>
    </row>
    <row r="348" spans="46:53" x14ac:dyDescent="0.2">
      <c r="AT348" s="116"/>
      <c r="AU348" s="116"/>
    </row>
    <row r="371" spans="46:53" x14ac:dyDescent="0.2">
      <c r="AW371" s="154"/>
      <c r="AX371" s="70"/>
      <c r="AY371" s="70"/>
      <c r="AZ371" s="70"/>
      <c r="BA371" s="70"/>
    </row>
    <row r="372" spans="46:53" x14ac:dyDescent="0.2">
      <c r="AW372" s="154"/>
      <c r="AX372" s="70"/>
      <c r="AY372" s="70"/>
      <c r="AZ372" s="70"/>
      <c r="BA372" s="70"/>
    </row>
    <row r="373" spans="46:53" x14ac:dyDescent="0.2">
      <c r="AW373" s="154"/>
      <c r="AX373" s="70"/>
      <c r="AY373" s="70"/>
      <c r="AZ373" s="70"/>
      <c r="BA373" s="70"/>
    </row>
    <row r="374" spans="46:53" x14ac:dyDescent="0.2">
      <c r="AW374" s="154"/>
      <c r="AX374" s="70"/>
      <c r="AY374" s="70"/>
      <c r="AZ374" s="70"/>
      <c r="BA374" s="70"/>
    </row>
    <row r="375" spans="46:53" x14ac:dyDescent="0.2">
      <c r="AW375" s="154"/>
      <c r="AX375" s="70"/>
      <c r="AY375" s="70"/>
      <c r="AZ375" s="70"/>
      <c r="BA375" s="70"/>
    </row>
    <row r="376" spans="46:53" x14ac:dyDescent="0.2">
      <c r="AW376" s="154"/>
      <c r="AX376" s="70"/>
      <c r="AY376" s="70"/>
      <c r="AZ376" s="70"/>
      <c r="BA376" s="70"/>
    </row>
    <row r="377" spans="46:53" x14ac:dyDescent="0.2">
      <c r="AW377" s="154"/>
      <c r="AX377" s="70"/>
      <c r="AY377" s="70"/>
      <c r="AZ377" s="70"/>
      <c r="BA377" s="70"/>
    </row>
    <row r="378" spans="46:53" x14ac:dyDescent="0.2">
      <c r="AW378" s="154"/>
      <c r="AX378" s="70"/>
      <c r="AY378" s="70"/>
      <c r="AZ378" s="70"/>
      <c r="BA378" s="70"/>
    </row>
    <row r="379" spans="46:53" x14ac:dyDescent="0.2">
      <c r="AW379" s="154"/>
      <c r="AX379" s="70"/>
      <c r="AY379" s="70"/>
      <c r="AZ379" s="70"/>
      <c r="BA379" s="70"/>
    </row>
    <row r="380" spans="46:53" x14ac:dyDescent="0.2">
      <c r="AW380" s="154"/>
      <c r="AX380" s="70"/>
      <c r="AY380" s="70"/>
      <c r="AZ380" s="70"/>
      <c r="BA380" s="70"/>
    </row>
    <row r="381" spans="46:53" x14ac:dyDescent="0.2">
      <c r="AW381" s="154"/>
      <c r="AX381" s="70"/>
      <c r="AY381" s="70"/>
      <c r="AZ381" s="70"/>
      <c r="BA381" s="70"/>
    </row>
    <row r="382" spans="46:53" x14ac:dyDescent="0.2">
      <c r="AW382" s="154"/>
      <c r="AX382" s="70"/>
      <c r="AY382" s="70"/>
      <c r="AZ382" s="70"/>
      <c r="BA382" s="70"/>
    </row>
    <row r="383" spans="46:53" x14ac:dyDescent="0.2">
      <c r="AW383" s="154"/>
      <c r="AX383" s="70"/>
      <c r="AY383" s="70"/>
      <c r="AZ383" s="70"/>
      <c r="BA383" s="70"/>
    </row>
    <row r="384" spans="46:53" x14ac:dyDescent="0.2">
      <c r="AT384" s="116"/>
      <c r="AU384" s="116"/>
      <c r="AW384" s="154"/>
      <c r="AX384" s="70"/>
      <c r="AY384" s="70"/>
      <c r="AZ384" s="70"/>
      <c r="BA384" s="70"/>
    </row>
    <row r="385" spans="49:53" x14ac:dyDescent="0.2">
      <c r="AW385" s="154"/>
      <c r="AX385" s="70"/>
      <c r="AY385" s="70"/>
      <c r="AZ385" s="70"/>
      <c r="BA385" s="70"/>
    </row>
    <row r="386" spans="49:53" x14ac:dyDescent="0.2">
      <c r="AW386" s="154"/>
      <c r="AX386" s="70"/>
      <c r="AY386" s="70"/>
      <c r="AZ386" s="70"/>
      <c r="BA386" s="70"/>
    </row>
    <row r="387" spans="49:53" x14ac:dyDescent="0.2">
      <c r="AW387" s="154"/>
      <c r="AX387" s="70"/>
      <c r="AY387" s="70"/>
      <c r="AZ387" s="70"/>
      <c r="BA387" s="70"/>
    </row>
    <row r="388" spans="49:53" x14ac:dyDescent="0.2">
      <c r="AW388" s="154"/>
      <c r="AX388" s="70"/>
      <c r="AY388" s="70"/>
      <c r="AZ388" s="70"/>
      <c r="BA388" s="70"/>
    </row>
    <row r="389" spans="49:53" x14ac:dyDescent="0.2">
      <c r="AW389" s="154"/>
      <c r="AX389" s="70"/>
      <c r="AY389" s="70"/>
      <c r="AZ389" s="70"/>
      <c r="BA389" s="70"/>
    </row>
    <row r="390" spans="49:53" x14ac:dyDescent="0.2">
      <c r="AW390" s="154"/>
      <c r="AX390" s="70"/>
      <c r="AY390" s="70"/>
      <c r="AZ390" s="70"/>
      <c r="BA390" s="70"/>
    </row>
    <row r="391" spans="49:53" x14ac:dyDescent="0.2">
      <c r="AW391" s="154"/>
      <c r="AX391" s="70"/>
      <c r="AY391" s="70"/>
      <c r="AZ391" s="70"/>
      <c r="BA391" s="70"/>
    </row>
    <row r="392" spans="49:53" x14ac:dyDescent="0.2">
      <c r="AW392" s="154"/>
      <c r="AX392" s="70"/>
      <c r="AY392" s="70"/>
      <c r="AZ392" s="70"/>
      <c r="BA392" s="70"/>
    </row>
    <row r="393" spans="49:53" x14ac:dyDescent="0.2">
      <c r="AW393" s="154"/>
      <c r="AX393" s="70"/>
      <c r="AY393" s="70"/>
      <c r="AZ393" s="70"/>
      <c r="BA393" s="70"/>
    </row>
    <row r="394" spans="49:53" x14ac:dyDescent="0.2">
      <c r="AW394" s="154"/>
      <c r="AX394" s="70"/>
      <c r="AY394" s="70"/>
      <c r="AZ394" s="70"/>
      <c r="BA394" s="70"/>
    </row>
    <row r="395" spans="49:53" x14ac:dyDescent="0.2">
      <c r="AW395" s="154"/>
      <c r="AX395" s="70"/>
      <c r="AY395" s="70"/>
      <c r="AZ395" s="70"/>
      <c r="BA395" s="70"/>
    </row>
    <row r="396" spans="49:53" x14ac:dyDescent="0.2">
      <c r="AW396" s="154"/>
      <c r="AX396" s="70"/>
      <c r="AY396" s="70"/>
      <c r="AZ396" s="70"/>
      <c r="BA396" s="70"/>
    </row>
    <row r="397" spans="49:53" x14ac:dyDescent="0.2">
      <c r="AW397" s="154"/>
      <c r="AX397" s="70"/>
      <c r="AY397" s="70"/>
      <c r="AZ397" s="70"/>
      <c r="BA397" s="70"/>
    </row>
    <row r="398" spans="49:53" x14ac:dyDescent="0.2">
      <c r="AW398" s="154"/>
      <c r="AX398" s="70"/>
      <c r="AY398" s="70"/>
      <c r="AZ398" s="70"/>
      <c r="BA398" s="70"/>
    </row>
    <row r="399" spans="49:53" x14ac:dyDescent="0.2">
      <c r="AW399" s="154"/>
      <c r="AX399" s="70"/>
      <c r="AY399" s="70"/>
      <c r="AZ399" s="70"/>
      <c r="BA399" s="70"/>
    </row>
    <row r="400" spans="49:53" x14ac:dyDescent="0.2">
      <c r="AW400" s="154"/>
      <c r="AX400" s="70"/>
      <c r="AY400" s="70"/>
      <c r="AZ400" s="70"/>
      <c r="BA400" s="70"/>
    </row>
    <row r="401" spans="49:53" x14ac:dyDescent="0.2">
      <c r="AW401" s="154"/>
      <c r="AX401" s="70"/>
      <c r="AY401" s="70"/>
      <c r="AZ401" s="70"/>
      <c r="BA401" s="70"/>
    </row>
    <row r="402" spans="49:53" x14ac:dyDescent="0.2">
      <c r="AW402" s="154"/>
      <c r="AX402" s="70"/>
      <c r="AY402" s="70"/>
      <c r="AZ402" s="70"/>
      <c r="BA402" s="70"/>
    </row>
    <row r="403" spans="49:53" x14ac:dyDescent="0.2">
      <c r="AW403" s="154"/>
      <c r="AX403" s="70"/>
      <c r="AY403" s="70"/>
      <c r="AZ403" s="70"/>
      <c r="BA403" s="70"/>
    </row>
    <row r="404" spans="49:53" x14ac:dyDescent="0.2">
      <c r="AW404" s="154"/>
      <c r="AX404" s="70"/>
      <c r="AY404" s="70"/>
      <c r="AZ404" s="70"/>
      <c r="BA404" s="70"/>
    </row>
    <row r="405" spans="49:53" x14ac:dyDescent="0.2">
      <c r="AW405" s="154"/>
      <c r="AX405" s="70"/>
      <c r="AY405" s="70"/>
      <c r="AZ405" s="70"/>
      <c r="BA405" s="70"/>
    </row>
    <row r="406" spans="49:53" x14ac:dyDescent="0.2">
      <c r="AW406" s="154"/>
      <c r="AX406" s="70"/>
      <c r="AY406" s="70"/>
      <c r="AZ406" s="70"/>
      <c r="BA406" s="70"/>
    </row>
    <row r="407" spans="49:53" x14ac:dyDescent="0.2">
      <c r="AW407" s="154"/>
      <c r="AX407" s="70"/>
      <c r="AY407" s="70"/>
      <c r="AZ407" s="70"/>
      <c r="BA407" s="70"/>
    </row>
    <row r="408" spans="49:53" x14ac:dyDescent="0.2">
      <c r="AW408" s="154"/>
      <c r="AX408" s="70"/>
      <c r="AY408" s="70"/>
      <c r="AZ408" s="70"/>
      <c r="BA408" s="70"/>
    </row>
    <row r="409" spans="49:53" x14ac:dyDescent="0.2">
      <c r="AW409" s="154"/>
      <c r="AX409" s="70"/>
      <c r="AY409" s="70"/>
      <c r="AZ409" s="70"/>
      <c r="BA409" s="70"/>
    </row>
    <row r="410" spans="49:53" x14ac:dyDescent="0.2">
      <c r="AW410" s="154"/>
      <c r="AX410" s="70"/>
      <c r="AY410" s="70"/>
      <c r="AZ410" s="70"/>
      <c r="BA410" s="70"/>
    </row>
    <row r="411" spans="49:53" x14ac:dyDescent="0.2">
      <c r="AW411" s="154"/>
      <c r="AX411" s="70"/>
      <c r="AY411" s="70"/>
      <c r="AZ411" s="70"/>
      <c r="BA411" s="70"/>
    </row>
    <row r="412" spans="49:53" x14ac:dyDescent="0.2">
      <c r="AW412" s="154"/>
      <c r="AX412" s="70"/>
      <c r="AY412" s="70"/>
      <c r="AZ412" s="70"/>
      <c r="BA412" s="70"/>
    </row>
    <row r="413" spans="49:53" x14ac:dyDescent="0.2">
      <c r="AW413" s="154"/>
      <c r="AX413" s="70"/>
      <c r="AY413" s="70"/>
      <c r="AZ413" s="70"/>
      <c r="BA413" s="70"/>
    </row>
    <row r="414" spans="49:53" x14ac:dyDescent="0.2">
      <c r="AW414" s="154"/>
      <c r="AX414" s="70"/>
      <c r="AY414" s="70"/>
      <c r="AZ414" s="70"/>
      <c r="BA414" s="70"/>
    </row>
    <row r="415" spans="49:53" x14ac:dyDescent="0.2">
      <c r="AW415" s="154"/>
      <c r="AX415" s="70"/>
      <c r="AY415" s="70"/>
      <c r="AZ415" s="70"/>
      <c r="BA415" s="70"/>
    </row>
    <row r="416" spans="49:53" x14ac:dyDescent="0.2">
      <c r="AW416" s="154"/>
      <c r="AX416" s="70"/>
      <c r="AY416" s="70"/>
      <c r="AZ416" s="70"/>
      <c r="BA416" s="70"/>
    </row>
    <row r="418" spans="49:53" x14ac:dyDescent="0.2">
      <c r="AW418" s="81"/>
      <c r="AX418" s="77"/>
      <c r="AY418" s="77"/>
      <c r="AZ418" s="77"/>
      <c r="BA418" s="77"/>
    </row>
    <row r="419" spans="49:53" x14ac:dyDescent="0.2">
      <c r="AW419" s="81"/>
      <c r="AX419" s="77"/>
      <c r="AY419" s="77"/>
      <c r="AZ419" s="77"/>
      <c r="BA419" s="77"/>
    </row>
    <row r="420" spans="49:53" x14ac:dyDescent="0.2">
      <c r="AW420" s="81"/>
      <c r="AX420" s="77"/>
      <c r="AY420" s="77"/>
      <c r="AZ420" s="77"/>
      <c r="BA420" s="77"/>
    </row>
    <row r="421" spans="49:53" x14ac:dyDescent="0.2">
      <c r="AW421" s="81"/>
      <c r="AX421" s="77"/>
      <c r="AY421" s="77"/>
      <c r="AZ421" s="77"/>
      <c r="BA421" s="77"/>
    </row>
    <row r="422" spans="49:53" x14ac:dyDescent="0.2">
      <c r="AW422" s="81"/>
      <c r="AX422" s="77"/>
      <c r="AY422" s="77"/>
      <c r="AZ422" s="77"/>
      <c r="BA422" s="77"/>
    </row>
    <row r="423" spans="49:53" x14ac:dyDescent="0.2">
      <c r="AW423" s="81"/>
      <c r="AX423" s="77"/>
      <c r="AY423" s="77"/>
      <c r="AZ423" s="77"/>
      <c r="BA423" s="77"/>
    </row>
    <row r="424" spans="49:53" x14ac:dyDescent="0.2">
      <c r="AW424" s="81"/>
      <c r="AX424" s="77"/>
      <c r="AY424" s="77"/>
      <c r="AZ424" s="77"/>
      <c r="BA424" s="77"/>
    </row>
    <row r="425" spans="49:53" x14ac:dyDescent="0.2">
      <c r="AW425" s="81"/>
      <c r="AX425" s="77"/>
      <c r="AY425" s="77"/>
      <c r="AZ425" s="77"/>
      <c r="BA425" s="77"/>
    </row>
    <row r="426" spans="49:53" x14ac:dyDescent="0.2">
      <c r="AW426" s="88"/>
      <c r="AX426" s="87"/>
      <c r="AY426" s="87"/>
      <c r="AZ426" s="87"/>
      <c r="BA426" s="87"/>
    </row>
    <row r="427" spans="49:53" x14ac:dyDescent="0.2">
      <c r="AW427" s="94"/>
      <c r="AX427" s="93"/>
      <c r="AY427" s="93"/>
      <c r="AZ427" s="93"/>
      <c r="BA427" s="93"/>
    </row>
    <row r="428" spans="49:53" x14ac:dyDescent="0.2">
      <c r="AW428" s="94"/>
      <c r="AX428" s="93"/>
      <c r="AY428" s="93"/>
      <c r="AZ428" s="93"/>
      <c r="BA428" s="93"/>
    </row>
    <row r="429" spans="49:53" x14ac:dyDescent="0.2">
      <c r="AW429" s="81"/>
      <c r="AX429" s="77"/>
      <c r="AY429" s="77"/>
      <c r="AZ429" s="77"/>
      <c r="BA429" s="77"/>
    </row>
    <row r="430" spans="49:53" x14ac:dyDescent="0.2">
      <c r="AW430" s="81"/>
      <c r="AX430" s="77"/>
      <c r="AY430" s="77"/>
      <c r="AZ430" s="77"/>
      <c r="BA430" s="77"/>
    </row>
    <row r="488" spans="49:49" x14ac:dyDescent="0.2">
      <c r="AW488" s="4"/>
    </row>
    <row r="489" spans="49:49" x14ac:dyDescent="0.2">
      <c r="AW489" s="4"/>
    </row>
    <row r="490" spans="49:49" x14ac:dyDescent="0.2">
      <c r="AW490" s="4"/>
    </row>
    <row r="491" spans="49:49" x14ac:dyDescent="0.2">
      <c r="AW491" s="4"/>
    </row>
    <row r="492" spans="49:49" x14ac:dyDescent="0.2">
      <c r="AW492" s="4"/>
    </row>
    <row r="493" spans="49:49" x14ac:dyDescent="0.2">
      <c r="AW493" s="4"/>
    </row>
    <row r="494" spans="49:49" x14ac:dyDescent="0.2">
      <c r="AW494" s="4"/>
    </row>
    <row r="495" spans="49:49" x14ac:dyDescent="0.2">
      <c r="AW495" s="4"/>
    </row>
    <row r="496" spans="49:49" x14ac:dyDescent="0.2">
      <c r="AW496" s="4"/>
    </row>
    <row r="542" spans="49:49" x14ac:dyDescent="0.2">
      <c r="AW542" s="4"/>
    </row>
    <row r="543" spans="49:49" x14ac:dyDescent="0.2">
      <c r="AW543" s="4"/>
    </row>
    <row r="544" spans="49:49" x14ac:dyDescent="0.2">
      <c r="AW544" s="4"/>
    </row>
    <row r="545" spans="49:49" x14ac:dyDescent="0.2">
      <c r="AW545" s="4"/>
    </row>
    <row r="546" spans="49:49" x14ac:dyDescent="0.2">
      <c r="AW546" s="4"/>
    </row>
    <row r="547" spans="49:49" x14ac:dyDescent="0.2">
      <c r="AW547" s="4"/>
    </row>
    <row r="548" spans="49:49" x14ac:dyDescent="0.2">
      <c r="AW548" s="4"/>
    </row>
    <row r="549" spans="49:49" x14ac:dyDescent="0.2">
      <c r="AW549" s="4"/>
    </row>
    <row r="550" spans="49:49" x14ac:dyDescent="0.2">
      <c r="AW550" s="4"/>
    </row>
    <row r="596" spans="49:49" x14ac:dyDescent="0.2">
      <c r="AW596" s="4"/>
    </row>
    <row r="597" spans="49:49" x14ac:dyDescent="0.2">
      <c r="AW597" s="4"/>
    </row>
    <row r="598" spans="49:49" x14ac:dyDescent="0.2">
      <c r="AW598" s="4"/>
    </row>
    <row r="599" spans="49:49" x14ac:dyDescent="0.2">
      <c r="AW599" s="4"/>
    </row>
    <row r="600" spans="49:49" x14ac:dyDescent="0.2">
      <c r="AW600" s="4"/>
    </row>
    <row r="601" spans="49:49" x14ac:dyDescent="0.2">
      <c r="AW601" s="4"/>
    </row>
    <row r="602" spans="49:49" x14ac:dyDescent="0.2">
      <c r="AW602" s="4"/>
    </row>
    <row r="603" spans="49:49" x14ac:dyDescent="0.2">
      <c r="AW603" s="4"/>
    </row>
    <row r="604" spans="49:49" x14ac:dyDescent="0.2">
      <c r="AW604" s="4"/>
    </row>
    <row r="650" spans="49:49" x14ac:dyDescent="0.2">
      <c r="AW650" s="4"/>
    </row>
    <row r="651" spans="49:49" x14ac:dyDescent="0.2">
      <c r="AW651" s="4"/>
    </row>
    <row r="652" spans="49:49" x14ac:dyDescent="0.2">
      <c r="AW652" s="4"/>
    </row>
    <row r="653" spans="49:49" x14ac:dyDescent="0.2">
      <c r="AW653" s="4"/>
    </row>
    <row r="654" spans="49:49" x14ac:dyDescent="0.2">
      <c r="AW654" s="4"/>
    </row>
    <row r="655" spans="49:49" x14ac:dyDescent="0.2">
      <c r="AW655" s="4"/>
    </row>
    <row r="656" spans="49:49" x14ac:dyDescent="0.2">
      <c r="AW656" s="4"/>
    </row>
    <row r="657" spans="49:49" x14ac:dyDescent="0.2">
      <c r="AW657" s="4"/>
    </row>
    <row r="658" spans="49:49" x14ac:dyDescent="0.2">
      <c r="AW658" s="4"/>
    </row>
  </sheetData>
  <sheetProtection sheet="1" objects="1" scenarios="1" formatCells="0" selectLockedCells="1"/>
  <mergeCells count="431">
    <mergeCell ref="T233:V233"/>
    <mergeCell ref="A234:M234"/>
    <mergeCell ref="V234:AG234"/>
    <mergeCell ref="T221:V221"/>
    <mergeCell ref="T222:V222"/>
    <mergeCell ref="K223:N225"/>
    <mergeCell ref="AF223:AG225"/>
    <mergeCell ref="T231:V231"/>
    <mergeCell ref="T232:V232"/>
    <mergeCell ref="AC217:AE217"/>
    <mergeCell ref="K218:N218"/>
    <mergeCell ref="T218:V218"/>
    <mergeCell ref="AF218:AG218"/>
    <mergeCell ref="T219:V219"/>
    <mergeCell ref="T220:V220"/>
    <mergeCell ref="B217:D217"/>
    <mergeCell ref="E217:G217"/>
    <mergeCell ref="H217:J217"/>
    <mergeCell ref="T217:V217"/>
    <mergeCell ref="W217:Y217"/>
    <mergeCell ref="Z217:AB217"/>
    <mergeCell ref="Z215:AB215"/>
    <mergeCell ref="AC215:AE215"/>
    <mergeCell ref="AF215:AJ217"/>
    <mergeCell ref="B216:D216"/>
    <mergeCell ref="E216:G216"/>
    <mergeCell ref="H216:J216"/>
    <mergeCell ref="T216:V216"/>
    <mergeCell ref="W216:Y216"/>
    <mergeCell ref="Z216:AB216"/>
    <mergeCell ref="AC216:AE216"/>
    <mergeCell ref="B213:J213"/>
    <mergeCell ref="K213:Q213"/>
    <mergeCell ref="U213:W213"/>
    <mergeCell ref="X213:AF213"/>
    <mergeCell ref="AG213:AM213"/>
    <mergeCell ref="B215:D215"/>
    <mergeCell ref="E215:G215"/>
    <mergeCell ref="H215:J215"/>
    <mergeCell ref="K215:Q217"/>
    <mergeCell ref="W215:Y215"/>
    <mergeCell ref="B211:J211"/>
    <mergeCell ref="K211:Q211"/>
    <mergeCell ref="U211:W211"/>
    <mergeCell ref="X211:AF211"/>
    <mergeCell ref="AG211:AM211"/>
    <mergeCell ref="B212:J212"/>
    <mergeCell ref="K212:Q212"/>
    <mergeCell ref="U212:W212"/>
    <mergeCell ref="X212:AF212"/>
    <mergeCell ref="AG212:AM212"/>
    <mergeCell ref="B209:J209"/>
    <mergeCell ref="K209:Q209"/>
    <mergeCell ref="U209:W209"/>
    <mergeCell ref="X209:AF209"/>
    <mergeCell ref="AG209:AM209"/>
    <mergeCell ref="B210:J210"/>
    <mergeCell ref="K210:Q210"/>
    <mergeCell ref="U210:W210"/>
    <mergeCell ref="X210:AF210"/>
    <mergeCell ref="AG210:AM210"/>
    <mergeCell ref="A204:E204"/>
    <mergeCell ref="U204:AA204"/>
    <mergeCell ref="A205:E205"/>
    <mergeCell ref="U205:AA205"/>
    <mergeCell ref="A208:J208"/>
    <mergeCell ref="U208:AF208"/>
    <mergeCell ref="AB202:AE202"/>
    <mergeCell ref="AF202:AH202"/>
    <mergeCell ref="A203:E203"/>
    <mergeCell ref="F203:M203"/>
    <mergeCell ref="T203:Z203"/>
    <mergeCell ref="AB203:AH203"/>
    <mergeCell ref="A200:E200"/>
    <mergeCell ref="J200:P200"/>
    <mergeCell ref="U200:AA200"/>
    <mergeCell ref="A202:D202"/>
    <mergeCell ref="F202:I202"/>
    <mergeCell ref="J202:M202"/>
    <mergeCell ref="T202:Z202"/>
    <mergeCell ref="J198:P198"/>
    <mergeCell ref="AF198:AJ198"/>
    <mergeCell ref="A199:E199"/>
    <mergeCell ref="F199:I199"/>
    <mergeCell ref="J199:P199"/>
    <mergeCell ref="U199:AA199"/>
    <mergeCell ref="AB199:AE199"/>
    <mergeCell ref="AF199:AJ199"/>
    <mergeCell ref="A195:E195"/>
    <mergeCell ref="U195:AA195"/>
    <mergeCell ref="A196:E196"/>
    <mergeCell ref="U196:AA196"/>
    <mergeCell ref="F197:I197"/>
    <mergeCell ref="AB197:AE197"/>
    <mergeCell ref="AB193:AH193"/>
    <mergeCell ref="A194:E194"/>
    <mergeCell ref="F194:I194"/>
    <mergeCell ref="J194:M194"/>
    <mergeCell ref="T194:Z194"/>
    <mergeCell ref="AB194:AE194"/>
    <mergeCell ref="AF194:AH194"/>
    <mergeCell ref="A190:E190"/>
    <mergeCell ref="U190:AA190"/>
    <mergeCell ref="A191:E191"/>
    <mergeCell ref="U191:AA191"/>
    <mergeCell ref="A193:E193"/>
    <mergeCell ref="F193:M193"/>
    <mergeCell ref="T193:AA193"/>
    <mergeCell ref="A182:AQ182"/>
    <mergeCell ref="A183:AQ183"/>
    <mergeCell ref="A184:AQ184"/>
    <mergeCell ref="A185:AQ185"/>
    <mergeCell ref="A186:K186"/>
    <mergeCell ref="A188:O188"/>
    <mergeCell ref="R188:AF188"/>
    <mergeCell ref="AF179:AK179"/>
    <mergeCell ref="AL179:AO179"/>
    <mergeCell ref="B180:G180"/>
    <mergeCell ref="H180:K180"/>
    <mergeCell ref="L180:Q180"/>
    <mergeCell ref="R180:U180"/>
    <mergeCell ref="V180:AA180"/>
    <mergeCell ref="AB180:AE180"/>
    <mergeCell ref="AF180:AK180"/>
    <mergeCell ref="AL180:AO180"/>
    <mergeCell ref="V178:AA178"/>
    <mergeCell ref="AB178:AE178"/>
    <mergeCell ref="AF178:AK178"/>
    <mergeCell ref="AL178:AO178"/>
    <mergeCell ref="B179:G179"/>
    <mergeCell ref="H179:K179"/>
    <mergeCell ref="L179:Q179"/>
    <mergeCell ref="R179:U179"/>
    <mergeCell ref="V179:AA179"/>
    <mergeCell ref="AB179:AE179"/>
    <mergeCell ref="A176:AQ176"/>
    <mergeCell ref="A177:A178"/>
    <mergeCell ref="B177:K177"/>
    <mergeCell ref="L177:U177"/>
    <mergeCell ref="V177:AE177"/>
    <mergeCell ref="AF177:AO177"/>
    <mergeCell ref="B178:G178"/>
    <mergeCell ref="H178:K178"/>
    <mergeCell ref="L178:Q178"/>
    <mergeCell ref="R178:U178"/>
    <mergeCell ref="Z108:AB108"/>
    <mergeCell ref="AC108:AE108"/>
    <mergeCell ref="AG142:AK142"/>
    <mergeCell ref="A174:AM174"/>
    <mergeCell ref="AN174:AQ174"/>
    <mergeCell ref="A175:AQ175"/>
    <mergeCell ref="Z107:AB107"/>
    <mergeCell ref="AC107:AE107"/>
    <mergeCell ref="B108:D108"/>
    <mergeCell ref="E108:G108"/>
    <mergeCell ref="H108:J108"/>
    <mergeCell ref="K108:M108"/>
    <mergeCell ref="N108:P108"/>
    <mergeCell ref="Q108:S108"/>
    <mergeCell ref="T108:V108"/>
    <mergeCell ref="W108:Y108"/>
    <mergeCell ref="Z106:AB106"/>
    <mergeCell ref="AC106:AE106"/>
    <mergeCell ref="B107:D107"/>
    <mergeCell ref="E107:G107"/>
    <mergeCell ref="H107:J107"/>
    <mergeCell ref="K107:M107"/>
    <mergeCell ref="N107:P107"/>
    <mergeCell ref="Q107:S107"/>
    <mergeCell ref="T107:V107"/>
    <mergeCell ref="W107:Y107"/>
    <mergeCell ref="Z105:AB105"/>
    <mergeCell ref="AC105:AE105"/>
    <mergeCell ref="B106:D106"/>
    <mergeCell ref="E106:G106"/>
    <mergeCell ref="H106:J106"/>
    <mergeCell ref="K106:M106"/>
    <mergeCell ref="N106:P106"/>
    <mergeCell ref="Q106:S106"/>
    <mergeCell ref="T106:V106"/>
    <mergeCell ref="W106:Y106"/>
    <mergeCell ref="AC104:AE104"/>
    <mergeCell ref="AF104:AQ107"/>
    <mergeCell ref="B105:D105"/>
    <mergeCell ref="E105:G105"/>
    <mergeCell ref="H105:J105"/>
    <mergeCell ref="K105:M105"/>
    <mergeCell ref="N105:P105"/>
    <mergeCell ref="Q105:S105"/>
    <mergeCell ref="T105:V105"/>
    <mergeCell ref="W105:Y105"/>
    <mergeCell ref="B103:AI103"/>
    <mergeCell ref="B104:D104"/>
    <mergeCell ref="E104:G104"/>
    <mergeCell ref="H104:J104"/>
    <mergeCell ref="K104:M104"/>
    <mergeCell ref="N104:P104"/>
    <mergeCell ref="Q104:S104"/>
    <mergeCell ref="T104:V104"/>
    <mergeCell ref="W104:Y104"/>
    <mergeCell ref="Z104:AB104"/>
    <mergeCell ref="Z101:AB102"/>
    <mergeCell ref="AC101:AE102"/>
    <mergeCell ref="AF101:AF102"/>
    <mergeCell ref="AG101:AG102"/>
    <mergeCell ref="AH101:AI102"/>
    <mergeCell ref="B102:D102"/>
    <mergeCell ref="E102:K102"/>
    <mergeCell ref="A101:A102"/>
    <mergeCell ref="B101:D101"/>
    <mergeCell ref="E101:K101"/>
    <mergeCell ref="L101:P102"/>
    <mergeCell ref="R101:V102"/>
    <mergeCell ref="W101:Y102"/>
    <mergeCell ref="Z99:AB100"/>
    <mergeCell ref="AC99:AE100"/>
    <mergeCell ref="AF99:AF100"/>
    <mergeCell ref="AG99:AG100"/>
    <mergeCell ref="AH99:AI100"/>
    <mergeCell ref="B100:D100"/>
    <mergeCell ref="E100:K100"/>
    <mergeCell ref="A99:A100"/>
    <mergeCell ref="B99:D99"/>
    <mergeCell ref="E99:K99"/>
    <mergeCell ref="L99:P100"/>
    <mergeCell ref="R99:V100"/>
    <mergeCell ref="W99:Y100"/>
    <mergeCell ref="Z97:AB98"/>
    <mergeCell ref="AC97:AE98"/>
    <mergeCell ref="AF97:AF98"/>
    <mergeCell ref="AG97:AG98"/>
    <mergeCell ref="AH97:AI98"/>
    <mergeCell ref="B98:D98"/>
    <mergeCell ref="E98:K98"/>
    <mergeCell ref="A97:A98"/>
    <mergeCell ref="B97:D97"/>
    <mergeCell ref="E97:K97"/>
    <mergeCell ref="L97:P98"/>
    <mergeCell ref="R97:V98"/>
    <mergeCell ref="W97:Y98"/>
    <mergeCell ref="Z95:AB96"/>
    <mergeCell ref="AC95:AE96"/>
    <mergeCell ref="AF95:AF96"/>
    <mergeCell ref="AG95:AG96"/>
    <mergeCell ref="AH95:AI96"/>
    <mergeCell ref="B96:D96"/>
    <mergeCell ref="E96:K96"/>
    <mergeCell ref="AG93:AG94"/>
    <mergeCell ref="AH93:AI94"/>
    <mergeCell ref="B94:D94"/>
    <mergeCell ref="E94:K94"/>
    <mergeCell ref="A95:A96"/>
    <mergeCell ref="B95:D95"/>
    <mergeCell ref="E95:K95"/>
    <mergeCell ref="L95:P96"/>
    <mergeCell ref="R95:V96"/>
    <mergeCell ref="W95:Y96"/>
    <mergeCell ref="AH92:AI92"/>
    <mergeCell ref="A93:A94"/>
    <mergeCell ref="B93:D93"/>
    <mergeCell ref="E93:K93"/>
    <mergeCell ref="L93:P94"/>
    <mergeCell ref="R93:V94"/>
    <mergeCell ref="W93:Y94"/>
    <mergeCell ref="Z93:AB94"/>
    <mergeCell ref="AC93:AE94"/>
    <mergeCell ref="AF93:AF94"/>
    <mergeCell ref="C91:H91"/>
    <mergeCell ref="I91:J91"/>
    <mergeCell ref="K91:AI91"/>
    <mergeCell ref="B92:K92"/>
    <mergeCell ref="L92:P92"/>
    <mergeCell ref="Q92:Q102"/>
    <mergeCell ref="R92:V92"/>
    <mergeCell ref="W92:Y92"/>
    <mergeCell ref="Z92:AB92"/>
    <mergeCell ref="AC92:AE92"/>
    <mergeCell ref="Z23:AB23"/>
    <mergeCell ref="AC23:AE23"/>
    <mergeCell ref="AG57:AK57"/>
    <mergeCell ref="A89:AM89"/>
    <mergeCell ref="AN89:AQ89"/>
    <mergeCell ref="A90:AQ90"/>
    <mergeCell ref="Z22:AB22"/>
    <mergeCell ref="AC22:AE22"/>
    <mergeCell ref="B23:D23"/>
    <mergeCell ref="E23:G23"/>
    <mergeCell ref="H23:J23"/>
    <mergeCell ref="K23:M23"/>
    <mergeCell ref="N23:P23"/>
    <mergeCell ref="Q23:S23"/>
    <mergeCell ref="T23:V23"/>
    <mergeCell ref="W23:Y23"/>
    <mergeCell ref="Z21:AB21"/>
    <mergeCell ref="AC21:AE21"/>
    <mergeCell ref="B22:D22"/>
    <mergeCell ref="E22:G22"/>
    <mergeCell ref="H22:J22"/>
    <mergeCell ref="K22:M22"/>
    <mergeCell ref="N22:P22"/>
    <mergeCell ref="Q22:S22"/>
    <mergeCell ref="T22:V22"/>
    <mergeCell ref="W22:Y22"/>
    <mergeCell ref="Z20:AB20"/>
    <mergeCell ref="AC20:AE20"/>
    <mergeCell ref="B21:D21"/>
    <mergeCell ref="E21:G21"/>
    <mergeCell ref="H21:J21"/>
    <mergeCell ref="K21:M21"/>
    <mergeCell ref="N21:P21"/>
    <mergeCell ref="Q21:S21"/>
    <mergeCell ref="T21:V21"/>
    <mergeCell ref="W21:Y21"/>
    <mergeCell ref="AC19:AE19"/>
    <mergeCell ref="AF19:AQ22"/>
    <mergeCell ref="B20:D20"/>
    <mergeCell ref="E20:G20"/>
    <mergeCell ref="H20:J20"/>
    <mergeCell ref="K20:M20"/>
    <mergeCell ref="N20:P20"/>
    <mergeCell ref="Q20:S20"/>
    <mergeCell ref="T20:V20"/>
    <mergeCell ref="W20:Y20"/>
    <mergeCell ref="B18:AI18"/>
    <mergeCell ref="B19:D19"/>
    <mergeCell ref="E19:G19"/>
    <mergeCell ref="H19:J19"/>
    <mergeCell ref="K19:M19"/>
    <mergeCell ref="N19:P19"/>
    <mergeCell ref="Q19:S19"/>
    <mergeCell ref="T19:V19"/>
    <mergeCell ref="W19:Y19"/>
    <mergeCell ref="Z19:AB19"/>
    <mergeCell ref="Z16:AB17"/>
    <mergeCell ref="AC16:AE17"/>
    <mergeCell ref="AF16:AF17"/>
    <mergeCell ref="AG16:AG17"/>
    <mergeCell ref="AH16:AI17"/>
    <mergeCell ref="B17:D17"/>
    <mergeCell ref="E17:K17"/>
    <mergeCell ref="AG14:AG15"/>
    <mergeCell ref="AH14:AI15"/>
    <mergeCell ref="B15:D15"/>
    <mergeCell ref="E15:K15"/>
    <mergeCell ref="A16:A17"/>
    <mergeCell ref="B16:D16"/>
    <mergeCell ref="E16:K16"/>
    <mergeCell ref="L16:P17"/>
    <mergeCell ref="R16:V17"/>
    <mergeCell ref="W16:Y17"/>
    <mergeCell ref="AT13:AY14"/>
    <mergeCell ref="A14:A15"/>
    <mergeCell ref="B14:D14"/>
    <mergeCell ref="E14:K14"/>
    <mergeCell ref="L14:P15"/>
    <mergeCell ref="R14:V15"/>
    <mergeCell ref="W14:Y15"/>
    <mergeCell ref="Z14:AB15"/>
    <mergeCell ref="AC14:AE15"/>
    <mergeCell ref="AF14:AF15"/>
    <mergeCell ref="Z12:AB13"/>
    <mergeCell ref="AC12:AE13"/>
    <mergeCell ref="AF12:AF13"/>
    <mergeCell ref="AG12:AG13"/>
    <mergeCell ref="AH12:AI13"/>
    <mergeCell ref="B13:D13"/>
    <mergeCell ref="E13:K13"/>
    <mergeCell ref="A12:A13"/>
    <mergeCell ref="B12:D12"/>
    <mergeCell ref="E12:K12"/>
    <mergeCell ref="L12:P13"/>
    <mergeCell ref="R12:V13"/>
    <mergeCell ref="W12:Y13"/>
    <mergeCell ref="Z10:AB11"/>
    <mergeCell ref="AC10:AE11"/>
    <mergeCell ref="AF10:AF11"/>
    <mergeCell ref="AG10:AG11"/>
    <mergeCell ref="AH10:AI11"/>
    <mergeCell ref="B11:D11"/>
    <mergeCell ref="E11:K11"/>
    <mergeCell ref="A10:A11"/>
    <mergeCell ref="B10:D10"/>
    <mergeCell ref="E10:K10"/>
    <mergeCell ref="L10:P11"/>
    <mergeCell ref="R10:V11"/>
    <mergeCell ref="W10:Y11"/>
    <mergeCell ref="AC8:AE9"/>
    <mergeCell ref="AF8:AF9"/>
    <mergeCell ref="AG8:AG9"/>
    <mergeCell ref="AH8:AI9"/>
    <mergeCell ref="B9:D9"/>
    <mergeCell ref="E9:K9"/>
    <mergeCell ref="Z7:AB7"/>
    <mergeCell ref="AC7:AE7"/>
    <mergeCell ref="AH7:AI7"/>
    <mergeCell ref="A8:A9"/>
    <mergeCell ref="B8:D8"/>
    <mergeCell ref="E8:K8"/>
    <mergeCell ref="L8:P9"/>
    <mergeCell ref="R8:V9"/>
    <mergeCell ref="W8:Y9"/>
    <mergeCell ref="Z8:AB9"/>
    <mergeCell ref="B5:J5"/>
    <mergeCell ref="K5:AE5"/>
    <mergeCell ref="C6:H6"/>
    <mergeCell ref="I6:J6"/>
    <mergeCell ref="K6:AI6"/>
    <mergeCell ref="B7:K7"/>
    <mergeCell ref="L7:P7"/>
    <mergeCell ref="Q7:Q17"/>
    <mergeCell ref="R7:V7"/>
    <mergeCell ref="W7:Y7"/>
    <mergeCell ref="A4:D4"/>
    <mergeCell ref="E4:M4"/>
    <mergeCell ref="N4:Q4"/>
    <mergeCell ref="R4:AA4"/>
    <mergeCell ref="AB4:AE4"/>
    <mergeCell ref="AF4:AI4"/>
    <mergeCell ref="B3:O3"/>
    <mergeCell ref="P3:R3"/>
    <mergeCell ref="S3:X3"/>
    <mergeCell ref="Y3:AD3"/>
    <mergeCell ref="AE3:AF3"/>
    <mergeCell ref="AG3:AI3"/>
    <mergeCell ref="A1:AI1"/>
    <mergeCell ref="AT1:AW1"/>
    <mergeCell ref="AX1:AY1"/>
    <mergeCell ref="A2:I2"/>
    <mergeCell ref="J2:X2"/>
    <mergeCell ref="Y2:AC2"/>
    <mergeCell ref="AD2:AI2"/>
  </mergeCells>
  <conditionalFormatting sqref="A8 A93">
    <cfRule type="expression" dxfId="4384" priority="4" stopIfTrue="1">
      <formula>IF(AK9&gt;0,0,1)</formula>
    </cfRule>
  </conditionalFormatting>
  <conditionalFormatting sqref="A10:A11 A95:A96">
    <cfRule type="expression" dxfId="4383" priority="5" stopIfTrue="1">
      <formula>IF(AK9&gt;1,0,1)</formula>
    </cfRule>
  </conditionalFormatting>
  <conditionalFormatting sqref="A12:A13 A97:A98">
    <cfRule type="expression" dxfId="4382" priority="6" stopIfTrue="1">
      <formula>IF(AK9&gt;2,0,1)</formula>
    </cfRule>
  </conditionalFormatting>
  <conditionalFormatting sqref="A14:A15 A99:A100">
    <cfRule type="expression" dxfId="4381" priority="7" stopIfTrue="1">
      <formula>IF(AK9&gt;3,0,1)</formula>
    </cfRule>
  </conditionalFormatting>
  <conditionalFormatting sqref="A16:A17 A101:A102">
    <cfRule type="expression" dxfId="4380" priority="8" stopIfTrue="1">
      <formula>IF(AK9&gt;4,0,1)</formula>
    </cfRule>
  </conditionalFormatting>
  <conditionalFormatting sqref="B8 B93">
    <cfRule type="expression" dxfId="4379" priority="9" stopIfTrue="1">
      <formula>IF(AK9&gt;0,0,1)</formula>
    </cfRule>
  </conditionalFormatting>
  <conditionalFormatting sqref="B9 B94">
    <cfRule type="expression" dxfId="4378" priority="10" stopIfTrue="1">
      <formula>IF(AK9&gt;0,0,1)</formula>
    </cfRule>
  </conditionalFormatting>
  <conditionalFormatting sqref="B10 B95">
    <cfRule type="expression" dxfId="4377" priority="11" stopIfTrue="1">
      <formula>IF(AK9&gt;1,0,1)</formula>
    </cfRule>
  </conditionalFormatting>
  <conditionalFormatting sqref="B11:D11 B96:D96">
    <cfRule type="expression" dxfId="4376" priority="12" stopIfTrue="1">
      <formula>IF(AK9&gt;1,0,1)</formula>
    </cfRule>
  </conditionalFormatting>
  <conditionalFormatting sqref="B12:D12 B97:D97">
    <cfRule type="expression" dxfId="4375" priority="13" stopIfTrue="1">
      <formula>IF(AK9&gt;2,0,1)</formula>
    </cfRule>
  </conditionalFormatting>
  <conditionalFormatting sqref="B13:D13 B98:D98">
    <cfRule type="expression" dxfId="4374" priority="14" stopIfTrue="1">
      <formula>IF(AK9&gt;2,0,1)</formula>
    </cfRule>
  </conditionalFormatting>
  <conditionalFormatting sqref="B14:D14 B99:D99">
    <cfRule type="expression" dxfId="4373" priority="15" stopIfTrue="1">
      <formula>IF(AK9&gt;3,0,1)</formula>
    </cfRule>
  </conditionalFormatting>
  <conditionalFormatting sqref="B15:D15 B100:D100">
    <cfRule type="expression" dxfId="4372" priority="16" stopIfTrue="1">
      <formula>IF(AK9&gt;3,0,1)</formula>
    </cfRule>
  </conditionalFormatting>
  <conditionalFormatting sqref="B16:D16 B101:D101">
    <cfRule type="expression" dxfId="4371" priority="17" stopIfTrue="1">
      <formula>IF(AK9&gt;4,0,1)</formula>
    </cfRule>
  </conditionalFormatting>
  <conditionalFormatting sqref="B17:D17 B102:D102">
    <cfRule type="expression" dxfId="4370" priority="18" stopIfTrue="1">
      <formula>IF(AK9&gt;4,0,1)</formula>
    </cfRule>
  </conditionalFormatting>
  <conditionalFormatting sqref="E8 E93">
    <cfRule type="expression" dxfId="4369" priority="19" stopIfTrue="1">
      <formula>IF(AK9&gt;0,0,1)</formula>
    </cfRule>
  </conditionalFormatting>
  <conditionalFormatting sqref="E9 E94">
    <cfRule type="expression" dxfId="4368" priority="20" stopIfTrue="1">
      <formula>IF(AK9&gt;0,0,1)</formula>
    </cfRule>
  </conditionalFormatting>
  <conditionalFormatting sqref="E10 E95">
    <cfRule type="expression" dxfId="4367" priority="21" stopIfTrue="1">
      <formula>IF(AK9&gt;1,0,1)</formula>
    </cfRule>
  </conditionalFormatting>
  <conditionalFormatting sqref="E11 E96">
    <cfRule type="expression" dxfId="4366" priority="22" stopIfTrue="1">
      <formula>IF(AK9&gt;1,0,1)</formula>
    </cfRule>
  </conditionalFormatting>
  <conditionalFormatting sqref="E12 E97">
    <cfRule type="expression" dxfId="4365" priority="23" stopIfTrue="1">
      <formula>IF(AK9&gt;2,0,1)</formula>
    </cfRule>
  </conditionalFormatting>
  <conditionalFormatting sqref="E13 E98">
    <cfRule type="expression" dxfId="4364" priority="24" stopIfTrue="1">
      <formula>IF(AK9&gt;2,0,1)</formula>
    </cfRule>
  </conditionalFormatting>
  <conditionalFormatting sqref="E14 E99">
    <cfRule type="expression" dxfId="4363" priority="25" stopIfTrue="1">
      <formula>IF(AK9&gt;3,0,1)</formula>
    </cfRule>
  </conditionalFormatting>
  <conditionalFormatting sqref="E15 E100">
    <cfRule type="expression" dxfId="4362" priority="26" stopIfTrue="1">
      <formula>IF(AK9&gt;3,0,1)</formula>
    </cfRule>
  </conditionalFormatting>
  <conditionalFormatting sqref="E16 E101">
    <cfRule type="expression" dxfId="4361" priority="27" stopIfTrue="1">
      <formula>IF(AK9&gt;4,0,1)</formula>
    </cfRule>
  </conditionalFormatting>
  <conditionalFormatting sqref="E17 E102">
    <cfRule type="expression" dxfId="4360" priority="28" stopIfTrue="1">
      <formula>IF(AK9&gt;4,0,1)</formula>
    </cfRule>
  </conditionalFormatting>
  <conditionalFormatting sqref="AC8 AC93">
    <cfRule type="expression" dxfId="4359" priority="29" stopIfTrue="1">
      <formula>IF(AK11=1,IF(AK9&gt;0,0,1),1)</formula>
    </cfRule>
  </conditionalFormatting>
  <conditionalFormatting sqref="AC10:AE11 AC95:AE96">
    <cfRule type="expression" dxfId="4358" priority="30" stopIfTrue="1">
      <formula>IF(AK11=1,IF(AK9&gt;1,0,1),1)</formula>
    </cfRule>
  </conditionalFormatting>
  <conditionalFormatting sqref="AC12:AE13 AC97:AE98">
    <cfRule type="expression" dxfId="4357" priority="31" stopIfTrue="1">
      <formula>IF(AK11=1,IF(AK9&gt;2,0,1),1)</formula>
    </cfRule>
  </conditionalFormatting>
  <conditionalFormatting sqref="AC14:AE15 AC99:AE100">
    <cfRule type="expression" dxfId="4356" priority="32" stopIfTrue="1">
      <formula>IF(AK11=1,IF(AK9&gt;3,0,1),1)</formula>
    </cfRule>
  </conditionalFormatting>
  <conditionalFormatting sqref="AC16:AE17 AC101:AE102">
    <cfRule type="expression" dxfId="4355" priority="33" stopIfTrue="1">
      <formula>IF(AK11=1,IF(AK9&gt;4,0,1),1)</formula>
    </cfRule>
  </conditionalFormatting>
  <conditionalFormatting sqref="AH8 AH93">
    <cfRule type="expression" dxfId="4354" priority="34" stopIfTrue="1">
      <formula>IF(AK9&gt;0,0,1)</formula>
    </cfRule>
  </conditionalFormatting>
  <conditionalFormatting sqref="AH10:AI11 AH95:AI96">
    <cfRule type="expression" dxfId="4353" priority="35" stopIfTrue="1">
      <formula>IF(AK9&gt;1,0,1)</formula>
    </cfRule>
  </conditionalFormatting>
  <conditionalFormatting sqref="AH12:AI13 AH97:AI98">
    <cfRule type="expression" dxfId="4352" priority="36" stopIfTrue="1">
      <formula>IF(AK9&gt;2,0,1)</formula>
    </cfRule>
  </conditionalFormatting>
  <conditionalFormatting sqref="AH14:AI15 AH99:AI100">
    <cfRule type="expression" dxfId="4351" priority="37" stopIfTrue="1">
      <formula>IF(AK9&gt;3,0,1)</formula>
    </cfRule>
  </conditionalFormatting>
  <conditionalFormatting sqref="AH16:AI17 AH101:AI102">
    <cfRule type="expression" dxfId="4350" priority="38" stopIfTrue="1">
      <formula>IF(AK9&gt;4,0,1)</formula>
    </cfRule>
  </conditionalFormatting>
  <conditionalFormatting sqref="B19:D19 B104:D104">
    <cfRule type="expression" dxfId="4349" priority="39" stopIfTrue="1">
      <formula>IF(AK8&gt;0,0,1)</formula>
    </cfRule>
  </conditionalFormatting>
  <conditionalFormatting sqref="E19:G19 E104:G104">
    <cfRule type="expression" dxfId="4348" priority="40" stopIfTrue="1">
      <formula>IF(AK8&gt;1,0,1)</formula>
    </cfRule>
  </conditionalFormatting>
  <conditionalFormatting sqref="H19:J19 H104:J104">
    <cfRule type="expression" dxfId="4347" priority="41" stopIfTrue="1">
      <formula>IF(AK8&gt;2,0,1)</formula>
    </cfRule>
  </conditionalFormatting>
  <conditionalFormatting sqref="K19:M19 K104:M104">
    <cfRule type="expression" dxfId="4346" priority="42" stopIfTrue="1">
      <formula>IF(AK8&gt;3,0,1)</formula>
    </cfRule>
  </conditionalFormatting>
  <conditionalFormatting sqref="N19:P19 N104:P104">
    <cfRule type="expression" dxfId="4345" priority="43" stopIfTrue="1">
      <formula>IF(AK8&gt;4,0,1)</formula>
    </cfRule>
  </conditionalFormatting>
  <conditionalFormatting sqref="Q19:S19 Q104:S104">
    <cfRule type="expression" dxfId="4344" priority="44" stopIfTrue="1">
      <formula>IF(AK8&gt;5,0,1)</formula>
    </cfRule>
  </conditionalFormatting>
  <conditionalFormatting sqref="T19:V19 T104:V104">
    <cfRule type="expression" dxfId="4343" priority="45" stopIfTrue="1">
      <formula>IF(AK8&gt;6,0,1)</formula>
    </cfRule>
  </conditionalFormatting>
  <conditionalFormatting sqref="W19:Y19 W104:Y104">
    <cfRule type="expression" dxfId="4342" priority="46" stopIfTrue="1">
      <formula>IF(AK8&gt;7,0,1)</formula>
    </cfRule>
  </conditionalFormatting>
  <conditionalFormatting sqref="Z19:AB19 Z104:AB104">
    <cfRule type="expression" dxfId="4341" priority="47" stopIfTrue="1">
      <formula>IF(AK8&gt;8,0,1)</formula>
    </cfRule>
  </conditionalFormatting>
  <conditionalFormatting sqref="AC19:AE19 AC104:AE104">
    <cfRule type="expression" dxfId="4340" priority="48" stopIfTrue="1">
      <formula>IF(AK8&gt;9,0,1)</formula>
    </cfRule>
  </conditionalFormatting>
  <conditionalFormatting sqref="B20:D20 B105:D105">
    <cfRule type="expression" dxfId="4339" priority="49" stopIfTrue="1">
      <formula>IF(AK8&gt;0,0,1)</formula>
    </cfRule>
  </conditionalFormatting>
  <conditionalFormatting sqref="E20:G20 E105:G105">
    <cfRule type="expression" dxfId="4338" priority="50" stopIfTrue="1">
      <formula>IF(AK8&gt;1,0,1)</formula>
    </cfRule>
  </conditionalFormatting>
  <conditionalFormatting sqref="H20:J20 H105:J105">
    <cfRule type="expression" dxfId="4337" priority="51" stopIfTrue="1">
      <formula>IF(AK8&gt;2,0,1)</formula>
    </cfRule>
  </conditionalFormatting>
  <conditionalFormatting sqref="K20:M20 K105:M105">
    <cfRule type="expression" dxfId="4336" priority="52" stopIfTrue="1">
      <formula>IF(AK8&gt;3,0,1)</formula>
    </cfRule>
  </conditionalFormatting>
  <conditionalFormatting sqref="N20:P20 N105:P105">
    <cfRule type="expression" dxfId="4335" priority="53" stopIfTrue="1">
      <formula>IF(AK8&gt;4,0,1)</formula>
    </cfRule>
  </conditionalFormatting>
  <conditionalFormatting sqref="Q20:S20 Q105:S105">
    <cfRule type="expression" dxfId="4334" priority="54" stopIfTrue="1">
      <formula>IF(AK8&gt;5,0,1)</formula>
    </cfRule>
  </conditionalFormatting>
  <conditionalFormatting sqref="T20:V20 T105:V105">
    <cfRule type="expression" dxfId="4333" priority="55" stopIfTrue="1">
      <formula>IF(AK8&gt;6,0,1)</formula>
    </cfRule>
  </conditionalFormatting>
  <conditionalFormatting sqref="W20:Y20 W105:Y105">
    <cfRule type="expression" dxfId="4332" priority="56" stopIfTrue="1">
      <formula>IF(AK8&gt;7,0,1)</formula>
    </cfRule>
  </conditionalFormatting>
  <conditionalFormatting sqref="Z20:AB20 Z105:AB105">
    <cfRule type="expression" dxfId="4331" priority="57" stopIfTrue="1">
      <formula>IF(AK8&gt;8,0,1)</formula>
    </cfRule>
  </conditionalFormatting>
  <conditionalFormatting sqref="AC20:AE20 AC105:AE105">
    <cfRule type="expression" dxfId="4330" priority="58" stopIfTrue="1">
      <formula>IF(AK8&gt;9,0,1)</formula>
    </cfRule>
  </conditionalFormatting>
  <conditionalFormatting sqref="E22:G22 E107:G107">
    <cfRule type="expression" dxfId="4329" priority="59" stopIfTrue="1">
      <formula>IF(AK8&gt;1,0,1)</formula>
    </cfRule>
  </conditionalFormatting>
  <conditionalFormatting sqref="H22:J22 H107:J107">
    <cfRule type="expression" dxfId="4328" priority="60" stopIfTrue="1">
      <formula>IF(AK8&gt;2,0,1)</formula>
    </cfRule>
  </conditionalFormatting>
  <conditionalFormatting sqref="K22:M22 K107:M107">
    <cfRule type="expression" dxfId="4327" priority="61" stopIfTrue="1">
      <formula>IF(AK8&gt;3,0,1)</formula>
    </cfRule>
  </conditionalFormatting>
  <conditionalFormatting sqref="N22:P22 N107:P107">
    <cfRule type="expression" dxfId="4326" priority="62" stopIfTrue="1">
      <formula>IF(AK8&gt;4,0,1)</formula>
    </cfRule>
  </conditionalFormatting>
  <conditionalFormatting sqref="Q22:S22 Q107:S107">
    <cfRule type="expression" dxfId="4325" priority="63" stopIfTrue="1">
      <formula>IF(AK8&gt;5,0,1)</formula>
    </cfRule>
  </conditionalFormatting>
  <conditionalFormatting sqref="T22:V22 T107:V107">
    <cfRule type="expression" dxfId="4324" priority="64" stopIfTrue="1">
      <formula>IF(AK8&gt;6,0,1)</formula>
    </cfRule>
  </conditionalFormatting>
  <conditionalFormatting sqref="W22:Y22 W107:Y107">
    <cfRule type="expression" dxfId="4323" priority="65" stopIfTrue="1">
      <formula>IF(AK8&gt;7,0,1)</formula>
    </cfRule>
  </conditionalFormatting>
  <conditionalFormatting sqref="Z22:AB22 Z107:AB107">
    <cfRule type="expression" dxfId="4322" priority="66" stopIfTrue="1">
      <formula>IF(AK8&gt;8,0,1)</formula>
    </cfRule>
  </conditionalFormatting>
  <conditionalFormatting sqref="AC22:AE22 AC107:AE107">
    <cfRule type="expression" dxfId="4321" priority="67" stopIfTrue="1">
      <formula>IF(AK8&gt;9,0,1)</formula>
    </cfRule>
  </conditionalFormatting>
  <conditionalFormatting sqref="B24 B109">
    <cfRule type="expression" dxfId="4320" priority="68" stopIfTrue="1">
      <formula>IF(AK8&gt;0,0,1)</formula>
    </cfRule>
  </conditionalFormatting>
  <conditionalFormatting sqref="C24 C109">
    <cfRule type="expression" dxfId="4319" priority="69" stopIfTrue="1">
      <formula>IF(AK8&gt;0,0,1)</formula>
    </cfRule>
  </conditionalFormatting>
  <conditionalFormatting sqref="D24 D109">
    <cfRule type="expression" dxfId="4318" priority="70" stopIfTrue="1">
      <formula>IF(AK8&gt;0,0,1)</formula>
    </cfRule>
  </conditionalFormatting>
  <conditionalFormatting sqref="E23:G23 E108:G108">
    <cfRule type="expression" dxfId="4317" priority="71" stopIfTrue="1">
      <formula>IF(AK8&gt;1,0,1)</formula>
    </cfRule>
  </conditionalFormatting>
  <conditionalFormatting sqref="F24 F109">
    <cfRule type="expression" dxfId="4316" priority="72" stopIfTrue="1">
      <formula>IF(AK8&gt;1,0,1)</formula>
    </cfRule>
  </conditionalFormatting>
  <conditionalFormatting sqref="G24 G109">
    <cfRule type="expression" dxfId="4315" priority="73" stopIfTrue="1">
      <formula>IF(AK8&gt;1,0,1)</formula>
    </cfRule>
  </conditionalFormatting>
  <conditionalFormatting sqref="H23:J23 H108:J108">
    <cfRule type="expression" dxfId="4314" priority="74" stopIfTrue="1">
      <formula>IF(AK8&gt;2,0,1)</formula>
    </cfRule>
  </conditionalFormatting>
  <conditionalFormatting sqref="I24 I109">
    <cfRule type="expression" dxfId="4313" priority="75" stopIfTrue="1">
      <formula>IF(AK8&gt;2,0,1)</formula>
    </cfRule>
  </conditionalFormatting>
  <conditionalFormatting sqref="J24 J109">
    <cfRule type="expression" dxfId="4312" priority="76" stopIfTrue="1">
      <formula>IF(AK8&gt;2,0,1)</formula>
    </cfRule>
  </conditionalFormatting>
  <conditionalFormatting sqref="K23:M23 K108:M108">
    <cfRule type="expression" dxfId="4311" priority="77" stopIfTrue="1">
      <formula>IF(AK8&gt;3,0,1)</formula>
    </cfRule>
  </conditionalFormatting>
  <conditionalFormatting sqref="L24 L109">
    <cfRule type="expression" dxfId="4310" priority="78" stopIfTrue="1">
      <formula>IF(AK8&gt;3,0,1)</formula>
    </cfRule>
  </conditionalFormatting>
  <conditionalFormatting sqref="M24 M109">
    <cfRule type="expression" dxfId="4309" priority="79" stopIfTrue="1">
      <formula>IF(AK8&gt;3,0,1)</formula>
    </cfRule>
  </conditionalFormatting>
  <conditionalFormatting sqref="N23:P23 N108:P108">
    <cfRule type="expression" dxfId="4308" priority="80" stopIfTrue="1">
      <formula>IF(AK8&gt;4,0,1)</formula>
    </cfRule>
  </conditionalFormatting>
  <conditionalFormatting sqref="O24 O109">
    <cfRule type="expression" dxfId="4307" priority="81" stopIfTrue="1">
      <formula>IF(AK8&gt;4,0,1)</formula>
    </cfRule>
  </conditionalFormatting>
  <conditionalFormatting sqref="P24 P109">
    <cfRule type="expression" dxfId="4306" priority="82" stopIfTrue="1">
      <formula>IF(AK8&gt;4,0,1)</formula>
    </cfRule>
  </conditionalFormatting>
  <conditionalFormatting sqref="Q23:S23 Q108:S108">
    <cfRule type="expression" dxfId="4305" priority="83" stopIfTrue="1">
      <formula>IF(AK8&gt;5,0,1)</formula>
    </cfRule>
  </conditionalFormatting>
  <conditionalFormatting sqref="R24 R109">
    <cfRule type="expression" dxfId="4304" priority="84" stopIfTrue="1">
      <formula>IF(AK8&gt;5,0,1)</formula>
    </cfRule>
  </conditionalFormatting>
  <conditionalFormatting sqref="S24 S109">
    <cfRule type="expression" dxfId="4303" priority="85" stopIfTrue="1">
      <formula>IF(AK8&gt;5,0,1)</formula>
    </cfRule>
  </conditionalFormatting>
  <conditionalFormatting sqref="T23:V23 T108:V108">
    <cfRule type="expression" dxfId="4302" priority="86" stopIfTrue="1">
      <formula>IF(AK8&gt;6,0,1)</formula>
    </cfRule>
  </conditionalFormatting>
  <conditionalFormatting sqref="U24 U109">
    <cfRule type="expression" dxfId="4301" priority="87" stopIfTrue="1">
      <formula>IF(AK8&gt;6,0,1)</formula>
    </cfRule>
  </conditionalFormatting>
  <conditionalFormatting sqref="V24 V109">
    <cfRule type="expression" dxfId="4300" priority="88" stopIfTrue="1">
      <formula>IF(AK8&gt;6,0,1)</formula>
    </cfRule>
  </conditionalFormatting>
  <conditionalFormatting sqref="W23:Y23 W108:Y108">
    <cfRule type="expression" dxfId="4299" priority="89" stopIfTrue="1">
      <formula>IF(AK8&gt;7,0,1)</formula>
    </cfRule>
  </conditionalFormatting>
  <conditionalFormatting sqref="X24 X109">
    <cfRule type="expression" dxfId="4298" priority="90" stopIfTrue="1">
      <formula>IF(AK8&gt;7,0,1)</formula>
    </cfRule>
  </conditionalFormatting>
  <conditionalFormatting sqref="Y24 Y109">
    <cfRule type="expression" dxfId="4297" priority="91" stopIfTrue="1">
      <formula>IF(AK8&gt;7,0,1)</formula>
    </cfRule>
  </conditionalFormatting>
  <conditionalFormatting sqref="Z23:AB23 Z108:AB108">
    <cfRule type="expression" dxfId="4296" priority="92" stopIfTrue="1">
      <formula>IF(AK8&gt;8,0,1)</formula>
    </cfRule>
  </conditionalFormatting>
  <conditionalFormatting sqref="AA24 AA109">
    <cfRule type="expression" dxfId="4295" priority="93" stopIfTrue="1">
      <formula>IF(AK8&gt;8,0,1)</formula>
    </cfRule>
  </conditionalFormatting>
  <conditionalFormatting sqref="AB24 AB109">
    <cfRule type="expression" dxfId="4294" priority="94" stopIfTrue="1">
      <formula>IF(AK8&gt;8,0,1)</formula>
    </cfRule>
  </conditionalFormatting>
  <conditionalFormatting sqref="AC23:AE23 AC108:AE108">
    <cfRule type="expression" dxfId="4293" priority="95" stopIfTrue="1">
      <formula>IF(AK8&gt;9,0,1)</formula>
    </cfRule>
  </conditionalFormatting>
  <conditionalFormatting sqref="AD24 AD109">
    <cfRule type="expression" dxfId="4292" priority="96" stopIfTrue="1">
      <formula>IF(AK8&gt;9,0,1)</formula>
    </cfRule>
  </conditionalFormatting>
  <conditionalFormatting sqref="AE24 AE109">
    <cfRule type="expression" dxfId="4291" priority="97" stopIfTrue="1">
      <formula>IF(AK8&gt;9,0,1)</formula>
    </cfRule>
  </conditionalFormatting>
  <conditionalFormatting sqref="A26 A111">
    <cfRule type="expression" dxfId="4290" priority="98" stopIfTrue="1">
      <formula>IF(AK7&gt;1,0,1)</formula>
    </cfRule>
  </conditionalFormatting>
  <conditionalFormatting sqref="A27 A112">
    <cfRule type="expression" dxfId="4289" priority="99" stopIfTrue="1">
      <formula>IF(AK7&gt;2,0,1)</formula>
    </cfRule>
  </conditionalFormatting>
  <conditionalFormatting sqref="A28 A113">
    <cfRule type="expression" dxfId="4288" priority="100" stopIfTrue="1">
      <formula>IF(AK7&gt;3,0,1)</formula>
    </cfRule>
  </conditionalFormatting>
  <conditionalFormatting sqref="A29 A114">
    <cfRule type="expression" dxfId="4287" priority="101" stopIfTrue="1">
      <formula>IF(AK7&gt;4,0,1)</formula>
    </cfRule>
  </conditionalFormatting>
  <conditionalFormatting sqref="B25:D25 B110:D110">
    <cfRule type="expression" dxfId="4286" priority="102" stopIfTrue="1">
      <formula>IF($AK8&gt;0,0,1)</formula>
    </cfRule>
  </conditionalFormatting>
  <conditionalFormatting sqref="B26:D26 B111:D111">
    <cfRule type="expression" dxfId="4285" priority="103" stopIfTrue="1">
      <formula>IF($AK8&lt;1,1,IF($AK7&lt;2,1,0))</formula>
    </cfRule>
  </conditionalFormatting>
  <conditionalFormatting sqref="B27:D27 B112:D112">
    <cfRule type="expression" dxfId="4284" priority="104" stopIfTrue="1">
      <formula>IF($AK8&lt;1,1,IF($AK7&lt;3,1,0))</formula>
    </cfRule>
  </conditionalFormatting>
  <conditionalFormatting sqref="B28:D28 B113:D113">
    <cfRule type="expression" dxfId="4283" priority="105" stopIfTrue="1">
      <formula>IF($AK8&lt;1,1,IF($AK7&lt;4,1,0))</formula>
    </cfRule>
  </conditionalFormatting>
  <conditionalFormatting sqref="B29:D29 B114:D114">
    <cfRule type="expression" dxfId="4282" priority="106" stopIfTrue="1">
      <formula>IF($AK8&lt;1,1,IF($AK7&lt;5,1,0))</formula>
    </cfRule>
  </conditionalFormatting>
  <conditionalFormatting sqref="AG23 AG108">
    <cfRule type="expression" dxfId="4281" priority="107" stopIfTrue="1">
      <formula>IF($AK8&lt;1,1,0)</formula>
    </cfRule>
  </conditionalFormatting>
  <conditionalFormatting sqref="AH23 AH108">
    <cfRule type="expression" dxfId="4280" priority="108" stopIfTrue="1">
      <formula>IF($AK8&lt;2,1,0)</formula>
    </cfRule>
  </conditionalFormatting>
  <conditionalFormatting sqref="AI23 AI108">
    <cfRule type="expression" dxfId="4279" priority="109" stopIfTrue="1">
      <formula>IF($AK8&lt;3,1,0)</formula>
    </cfRule>
  </conditionalFormatting>
  <conditionalFormatting sqref="AJ23 AJ108">
    <cfRule type="expression" dxfId="4278" priority="110" stopIfTrue="1">
      <formula>IF($AK8&lt;4,1,0)</formula>
    </cfRule>
  </conditionalFormatting>
  <conditionalFormatting sqref="AK23 AK108">
    <cfRule type="expression" dxfId="4277" priority="111" stopIfTrue="1">
      <formula>IF($AK8&lt;5,1,0)</formula>
    </cfRule>
  </conditionalFormatting>
  <conditionalFormatting sqref="AL23 AL108">
    <cfRule type="expression" dxfId="4276" priority="112" stopIfTrue="1">
      <formula>IF($AK8&lt;6,1,0)</formula>
    </cfRule>
  </conditionalFormatting>
  <conditionalFormatting sqref="AM23 AM108">
    <cfRule type="expression" dxfId="4275" priority="113" stopIfTrue="1">
      <formula>IF($AK8&lt;7,1,0)</formula>
    </cfRule>
  </conditionalFormatting>
  <conditionalFormatting sqref="AN23 AN108">
    <cfRule type="expression" dxfId="4274" priority="114" stopIfTrue="1">
      <formula>IF($AK8&lt;8,1,0)</formula>
    </cfRule>
  </conditionalFormatting>
  <conditionalFormatting sqref="AO23 AO108">
    <cfRule type="expression" dxfId="4273" priority="115" stopIfTrue="1">
      <formula>IF($AK8&lt;9,1,0)</formula>
    </cfRule>
  </conditionalFormatting>
  <conditionalFormatting sqref="AP23 AP108">
    <cfRule type="expression" dxfId="4272" priority="116" stopIfTrue="1">
      <formula>IF($AK8&lt;10,1,0)</formula>
    </cfRule>
  </conditionalFormatting>
  <conditionalFormatting sqref="AQ24 AQ109">
    <cfRule type="expression" dxfId="4271" priority="117" stopIfTrue="1">
      <formula>IF($AK9&gt;0,0,1)</formula>
    </cfRule>
  </conditionalFormatting>
  <conditionalFormatting sqref="AQ25 AQ110">
    <cfRule type="expression" dxfId="4270" priority="118" stopIfTrue="1">
      <formula>IF($AK9&gt;1,0,1)</formula>
    </cfRule>
  </conditionalFormatting>
  <conditionalFormatting sqref="AQ26 H25:J25 AQ111 H110:J110">
    <cfRule type="expression" dxfId="4269" priority="119" stopIfTrue="1">
      <formula>IF($AK8&gt;2,0,1)</formula>
    </cfRule>
  </conditionalFormatting>
  <conditionalFormatting sqref="K25:M25 K110:M110">
    <cfRule type="expression" dxfId="4268" priority="120" stopIfTrue="1">
      <formula>IF($AK8&gt;3,0,1)</formula>
    </cfRule>
  </conditionalFormatting>
  <conditionalFormatting sqref="AQ28 AQ113">
    <cfRule type="expression" dxfId="4267" priority="121" stopIfTrue="1">
      <formula>IF($AK9&gt;4,0,1)</formula>
    </cfRule>
  </conditionalFormatting>
  <conditionalFormatting sqref="E26:G26 E111:G111">
    <cfRule type="expression" dxfId="4266" priority="122" stopIfTrue="1">
      <formula>IF($AK8&lt;2,1,IF($AK7&lt;2,1,0))</formula>
    </cfRule>
  </conditionalFormatting>
  <conditionalFormatting sqref="E27:G27 E112:G112">
    <cfRule type="expression" dxfId="4265" priority="123" stopIfTrue="1">
      <formula>IF($AK8&lt;2,1,IF($AK7&lt;3,1,0))</formula>
    </cfRule>
  </conditionalFormatting>
  <conditionalFormatting sqref="E28:G28 E113:G113">
    <cfRule type="expression" dxfId="4264" priority="124" stopIfTrue="1">
      <formula>IF($AK8&lt;2,1,IF($AK7&lt;4,1,0))</formula>
    </cfRule>
  </conditionalFormatting>
  <conditionalFormatting sqref="E29:G29 E114:G114">
    <cfRule type="expression" dxfId="4263" priority="125" stopIfTrue="1">
      <formula>IF($AK8&lt;2,1,IF($AK7&lt;5,1,0))</formula>
    </cfRule>
  </conditionalFormatting>
  <conditionalFormatting sqref="N25:P25 N110:P110">
    <cfRule type="expression" dxfId="4262" priority="126" stopIfTrue="1">
      <formula>IF($AK8&gt;4,0,1)</formula>
    </cfRule>
  </conditionalFormatting>
  <conditionalFormatting sqref="Q25:S25 Q110:S110">
    <cfRule type="expression" dxfId="4261" priority="127" stopIfTrue="1">
      <formula>IF($AK8&gt;5,0,1)</formula>
    </cfRule>
  </conditionalFormatting>
  <conditionalFormatting sqref="T25:V25 T110:V110">
    <cfRule type="expression" dxfId="4260" priority="128" stopIfTrue="1">
      <formula>IF($AK8&gt;6,0,1)</formula>
    </cfRule>
  </conditionalFormatting>
  <conditionalFormatting sqref="W25:Y25 W110:Y110">
    <cfRule type="expression" dxfId="4259" priority="129" stopIfTrue="1">
      <formula>IF($AK8&gt;7,0,1)</formula>
    </cfRule>
  </conditionalFormatting>
  <conditionalFormatting sqref="Z25:AB25 Z110:AB110">
    <cfRule type="expression" dxfId="4258" priority="130" stopIfTrue="1">
      <formula>IF($AK8&gt;8,0,1)</formula>
    </cfRule>
  </conditionalFormatting>
  <conditionalFormatting sqref="AC25:AE25 AC110:AE110">
    <cfRule type="expression" dxfId="4257" priority="131" stopIfTrue="1">
      <formula>IF($AK8&gt;9,0,1)</formula>
    </cfRule>
  </conditionalFormatting>
  <conditionalFormatting sqref="H26:J26 H111:J111">
    <cfRule type="expression" dxfId="4256" priority="132" stopIfTrue="1">
      <formula>IF($AK8&lt;3,1,IF($AK7&lt;2,1,0))</formula>
    </cfRule>
  </conditionalFormatting>
  <conditionalFormatting sqref="K26:M26 K111:M111">
    <cfRule type="expression" dxfId="4255" priority="133" stopIfTrue="1">
      <formula>IF($AK8&lt;4,1,IF($AK7&lt;2,1,0))</formula>
    </cfRule>
  </conditionalFormatting>
  <conditionalFormatting sqref="N26:P26 N111:P111">
    <cfRule type="expression" dxfId="4254" priority="134" stopIfTrue="1">
      <formula>IF($AK8&lt;5,1,IF($AK7&lt;2,1,0))</formula>
    </cfRule>
  </conditionalFormatting>
  <conditionalFormatting sqref="Q26:S26 Q111:S111">
    <cfRule type="expression" dxfId="4253" priority="135" stopIfTrue="1">
      <formula>IF($AK8&lt;6,1,IF($AK7&lt;2,1,0))</formula>
    </cfRule>
  </conditionalFormatting>
  <conditionalFormatting sqref="T26:V26 T111:V111">
    <cfRule type="expression" dxfId="4252" priority="136" stopIfTrue="1">
      <formula>IF($AK8&lt;7,1,IF($AK7&lt;2,1,0))</formula>
    </cfRule>
  </conditionalFormatting>
  <conditionalFormatting sqref="W26:Y26 W111:Y111">
    <cfRule type="expression" dxfId="4251" priority="137" stopIfTrue="1">
      <formula>IF($AK8&lt;8,1,IF($AK7&lt;2,1,0))</formula>
    </cfRule>
  </conditionalFormatting>
  <conditionalFormatting sqref="Z26:AB26 Z111:AB111">
    <cfRule type="expression" dxfId="4250" priority="138" stopIfTrue="1">
      <formula>IF($AK8&lt;9,1,IF($AK7&lt;2,1,0))</formula>
    </cfRule>
  </conditionalFormatting>
  <conditionalFormatting sqref="AC26:AE26 AC111:AE111">
    <cfRule type="expression" dxfId="4249" priority="139" stopIfTrue="1">
      <formula>IF($AK8&lt;10,1,IF($AK7&lt;2,1,0))</formula>
    </cfRule>
  </conditionalFormatting>
  <conditionalFormatting sqref="H27:J27 H112:J112">
    <cfRule type="expression" dxfId="4248" priority="140" stopIfTrue="1">
      <formula>IF($AK8&lt;3,1,IF($AK7&lt;3,1,0))</formula>
    </cfRule>
  </conditionalFormatting>
  <conditionalFormatting sqref="K27:M27 K112:M112">
    <cfRule type="expression" dxfId="4247" priority="141" stopIfTrue="1">
      <formula>IF($AK8&lt;4,1,IF($AK7&lt;3,1,0))</formula>
    </cfRule>
  </conditionalFormatting>
  <conditionalFormatting sqref="N27:P27 N112:P112">
    <cfRule type="expression" dxfId="4246" priority="142" stopIfTrue="1">
      <formula>IF($AK8&lt;5,1,IF($AK7&lt;3,1,0))</formula>
    </cfRule>
  </conditionalFormatting>
  <conditionalFormatting sqref="Q27:S27 Q112:S112">
    <cfRule type="expression" dxfId="4245" priority="143" stopIfTrue="1">
      <formula>IF($AK8&lt;6,1,IF($AK7&lt;3,1,0))</formula>
    </cfRule>
  </conditionalFormatting>
  <conditionalFormatting sqref="T27:V27 T112:V112">
    <cfRule type="expression" dxfId="4244" priority="144" stopIfTrue="1">
      <formula>IF($AK8&lt;7,1,IF($AK7&lt;3,1,0))</formula>
    </cfRule>
  </conditionalFormatting>
  <conditionalFormatting sqref="W27:Y27 W112:Y112">
    <cfRule type="expression" dxfId="4243" priority="145" stopIfTrue="1">
      <formula>IF($AK8&lt;8,1,IF($AK7&lt;3,1,0))</formula>
    </cfRule>
  </conditionalFormatting>
  <conditionalFormatting sqref="Z27:AB27 Z112:AB112">
    <cfRule type="expression" dxfId="4242" priority="146" stopIfTrue="1">
      <formula>IF($AK8&lt;9,1,IF($AK7&lt;3,1,0))</formula>
    </cfRule>
  </conditionalFormatting>
  <conditionalFormatting sqref="AC27:AE27 AC112:AE112">
    <cfRule type="expression" dxfId="4241" priority="147" stopIfTrue="1">
      <formula>IF($AK8&lt;10,1,IF($AK7&lt;3,1,0))</formula>
    </cfRule>
  </conditionalFormatting>
  <conditionalFormatting sqref="H28:J28 H113:J113">
    <cfRule type="expression" dxfId="4240" priority="148" stopIfTrue="1">
      <formula>IF($AK8&lt;3,1,IF($AK7&lt;4,1,0))</formula>
    </cfRule>
  </conditionalFormatting>
  <conditionalFormatting sqref="K28:M28 K113:M113">
    <cfRule type="expression" dxfId="4239" priority="149" stopIfTrue="1">
      <formula>IF($AK8&lt;4,1,IF($AK7&lt;4,1,0))</formula>
    </cfRule>
  </conditionalFormatting>
  <conditionalFormatting sqref="N28:P28 N113:P113">
    <cfRule type="expression" dxfId="4238" priority="150" stopIfTrue="1">
      <formula>IF($AK8&lt;5,1,IF($AK7&lt;4,1,0))</formula>
    </cfRule>
  </conditionalFormatting>
  <conditionalFormatting sqref="Q28:S28 Q113:S113">
    <cfRule type="expression" dxfId="4237" priority="151" stopIfTrue="1">
      <formula>IF($AK8&lt;6,1,IF($AK7&lt;4,1,0))</formula>
    </cfRule>
  </conditionalFormatting>
  <conditionalFormatting sqref="T28:V28 T113:V113">
    <cfRule type="expression" dxfId="4236" priority="152" stopIfTrue="1">
      <formula>IF($AK8&lt;7,1,IF($AK7&lt;4,1,0))</formula>
    </cfRule>
  </conditionalFormatting>
  <conditionalFormatting sqref="W28:Y28 W113:Y113">
    <cfRule type="expression" dxfId="4235" priority="153" stopIfTrue="1">
      <formula>IF($AK8&lt;8,1,IF($AK7&lt;4,1,0))</formula>
    </cfRule>
  </conditionalFormatting>
  <conditionalFormatting sqref="Z28:AB28 Z113:AB113">
    <cfRule type="expression" dxfId="4234" priority="154" stopIfTrue="1">
      <formula>IF($AK8&lt;9,1,IF($AK7&lt;4,1,0))</formula>
    </cfRule>
  </conditionalFormatting>
  <conditionalFormatting sqref="AC28:AE28 AC113:AE113">
    <cfRule type="expression" dxfId="4233" priority="155" stopIfTrue="1">
      <formula>IF($AK8&lt;10,1,IF($AK7&lt;4,1,0))</formula>
    </cfRule>
  </conditionalFormatting>
  <conditionalFormatting sqref="H29:J29 H114:J114">
    <cfRule type="expression" dxfId="4232" priority="156" stopIfTrue="1">
      <formula>IF($AK8&lt;3,1,IF($AK7&lt;5,1,0))</formula>
    </cfRule>
  </conditionalFormatting>
  <conditionalFormatting sqref="K29:M29 K114:M114">
    <cfRule type="expression" dxfId="4231" priority="157" stopIfTrue="1">
      <formula>IF($AK8&lt;4,1,IF($AK7&lt;5,1,0))</formula>
    </cfRule>
  </conditionalFormatting>
  <conditionalFormatting sqref="N29:P29 N114:P114">
    <cfRule type="expression" dxfId="4230" priority="158" stopIfTrue="1">
      <formula>IF($AK8&lt;5,1,IF($AK7&lt;5,1,0))</formula>
    </cfRule>
  </conditionalFormatting>
  <conditionalFormatting sqref="Q29:S29 Q114:S114">
    <cfRule type="expression" dxfId="4229" priority="159" stopIfTrue="1">
      <formula>IF($AK8&lt;6,1,IF($AK7&lt;5,1,0))</formula>
    </cfRule>
  </conditionalFormatting>
  <conditionalFormatting sqref="T29:V29 T114:V114">
    <cfRule type="expression" dxfId="4228" priority="160" stopIfTrue="1">
      <formula>IF($AK8&lt;7,1,IF($AK7&lt;5,1,0))</formula>
    </cfRule>
  </conditionalFormatting>
  <conditionalFormatting sqref="W29:Y29 W114:Y114">
    <cfRule type="expression" dxfId="4227" priority="161" stopIfTrue="1">
      <formula>IF($AK8&lt;8,1,IF($AK7&lt;5,1,0))</formula>
    </cfRule>
  </conditionalFormatting>
  <conditionalFormatting sqref="Z29:AB29 Z114:AB114">
    <cfRule type="expression" dxfId="4226" priority="162" stopIfTrue="1">
      <formula>IF($AK8&lt;9,1,IF($AK7&lt;5,1,0))</formula>
    </cfRule>
  </conditionalFormatting>
  <conditionalFormatting sqref="AC29:AE29 AC114:AE114">
    <cfRule type="expression" dxfId="4225" priority="163" stopIfTrue="1">
      <formula>IF($AK8&lt;10,1,IF($AK7&lt;5,1,0))</formula>
    </cfRule>
  </conditionalFormatting>
  <conditionalFormatting sqref="R14:AB15 AF14:AF15 L14:P15 R99:AB100 AF99:AF100 L99:P100 AG14 AG99">
    <cfRule type="expression" dxfId="4224" priority="164" stopIfTrue="1">
      <formula>IF($AK9&gt;3,0,1)</formula>
    </cfRule>
  </conditionalFormatting>
  <conditionalFormatting sqref="R16:AB17 AF16:AF17 L16:P17 R101:AB102 AF101:AF102 L101:P102 AG16 AG101">
    <cfRule type="expression" dxfId="4223" priority="165" stopIfTrue="1">
      <formula>IF($AK9&gt;4,0,1)</formula>
    </cfRule>
  </conditionalFormatting>
  <conditionalFormatting sqref="R8:AB9 AF8:AF9 L8:P9 R93:AB94 AF93:AF94 L93:P94 AG8 AG93">
    <cfRule type="expression" dxfId="4222" priority="166" stopIfTrue="1">
      <formula>IF($AK9&gt;0,0,1)</formula>
    </cfRule>
  </conditionalFormatting>
  <conditionalFormatting sqref="R10:AB11 AF10:AF11 L10:P11 R95:AB96 AF95:AF96 L95:P96 AG10 AG95">
    <cfRule type="expression" dxfId="4221" priority="167" stopIfTrue="1">
      <formula>IF($AK9&gt;1,0,1)</formula>
    </cfRule>
  </conditionalFormatting>
  <conditionalFormatting sqref="R12:AB13 AF12:AF13 L12:P13 R97:AB98 AF97:AF98 L97:P98 AG12 AG97">
    <cfRule type="expression" dxfId="4220" priority="168" stopIfTrue="1">
      <formula>IF($AK9&gt;2,0,1)</formula>
    </cfRule>
  </conditionalFormatting>
  <conditionalFormatting sqref="E24 E109">
    <cfRule type="expression" dxfId="4219" priority="169" stopIfTrue="1">
      <formula>IF(AK8&gt;1,0,1)</formula>
    </cfRule>
  </conditionalFormatting>
  <conditionalFormatting sqref="H24 H109">
    <cfRule type="expression" dxfId="4218" priority="170" stopIfTrue="1">
      <formula>IF(AK8&gt;2,0,1)</formula>
    </cfRule>
  </conditionalFormatting>
  <conditionalFormatting sqref="K24 K109">
    <cfRule type="expression" dxfId="4217" priority="171" stopIfTrue="1">
      <formula>IF(AK8&gt;3,0,1)</formula>
    </cfRule>
  </conditionalFormatting>
  <conditionalFormatting sqref="N24 N109">
    <cfRule type="expression" dxfId="4216" priority="172" stopIfTrue="1">
      <formula>IF(AK8&gt;4,0,1)</formula>
    </cfRule>
  </conditionalFormatting>
  <conditionalFormatting sqref="Q24 Q109">
    <cfRule type="expression" dxfId="4215" priority="173" stopIfTrue="1">
      <formula>IF(AK8&gt;5,0,1)</formula>
    </cfRule>
  </conditionalFormatting>
  <conditionalFormatting sqref="T24 T109">
    <cfRule type="expression" dxfId="4214" priority="174" stopIfTrue="1">
      <formula>IF(AK8&gt;6,0,1)</formula>
    </cfRule>
  </conditionalFormatting>
  <conditionalFormatting sqref="W24 W109">
    <cfRule type="expression" dxfId="4213" priority="175" stopIfTrue="1">
      <formula>IF(AK8&gt;7,0,1)</formula>
    </cfRule>
  </conditionalFormatting>
  <conditionalFormatting sqref="Z24 Z109">
    <cfRule type="expression" dxfId="4212" priority="176" stopIfTrue="1">
      <formula>IF(AK8&gt;8,0,1)</formula>
    </cfRule>
  </conditionalFormatting>
  <conditionalFormatting sqref="AC24 AC109">
    <cfRule type="expression" dxfId="4211" priority="177" stopIfTrue="1">
      <formula>IF(AK8&gt;9,0,1)</formula>
    </cfRule>
  </conditionalFormatting>
  <conditionalFormatting sqref="AQ27 AQ112">
    <cfRule type="expression" dxfId="4210" priority="178" stopIfTrue="1">
      <formula>IF($AK9&gt;3,0,1)</formula>
    </cfRule>
  </conditionalFormatting>
  <conditionalFormatting sqref="E25:G25 E110:G110">
    <cfRule type="expression" dxfId="4209" priority="179" stopIfTrue="1">
      <formula>IF($AK8&gt;1,0,1)</formula>
    </cfRule>
  </conditionalFormatting>
  <conditionalFormatting sqref="B21:D21 B106:D106">
    <cfRule type="expression" dxfId="4208" priority="180" stopIfTrue="1">
      <formula>IF(AK8&gt;0,0,1)</formula>
    </cfRule>
  </conditionalFormatting>
  <conditionalFormatting sqref="E21:G21 E106:G106">
    <cfRule type="expression" dxfId="4207" priority="181" stopIfTrue="1">
      <formula>IF(AK8&gt;1,0,1)</formula>
    </cfRule>
  </conditionalFormatting>
  <conditionalFormatting sqref="H21:J21 H106:J106">
    <cfRule type="expression" dxfId="4206" priority="182" stopIfTrue="1">
      <formula>IF(AK8&gt;2,0,1)</formula>
    </cfRule>
  </conditionalFormatting>
  <conditionalFormatting sqref="K21:M21 K106:M106">
    <cfRule type="expression" dxfId="4205" priority="183" stopIfTrue="1">
      <formula>IF(AK8&gt;3,0,1)</formula>
    </cfRule>
  </conditionalFormatting>
  <conditionalFormatting sqref="N21:P21 N106:P106">
    <cfRule type="expression" dxfId="4204" priority="184" stopIfTrue="1">
      <formula>IF(AK8&gt;4,0,1)</formula>
    </cfRule>
  </conditionalFormatting>
  <conditionalFormatting sqref="Q21:S21 Q106:S106">
    <cfRule type="expression" dxfId="4203" priority="185" stopIfTrue="1">
      <formula>IF(AK8&gt;5,0,1)</formula>
    </cfRule>
  </conditionalFormatting>
  <conditionalFormatting sqref="T21:V21 T106:V106">
    <cfRule type="expression" dxfId="4202" priority="186" stopIfTrue="1">
      <formula>IF(AK8&gt;6,0,1)</formula>
    </cfRule>
  </conditionalFormatting>
  <conditionalFormatting sqref="W21:Y21 W106:Y106">
    <cfRule type="expression" dxfId="4201" priority="187" stopIfTrue="1">
      <formula>IF(AK8&gt;7,0,1)</formula>
    </cfRule>
  </conditionalFormatting>
  <conditionalFormatting sqref="Z21:AB21 Z106:AB106">
    <cfRule type="expression" dxfId="4200" priority="188" stopIfTrue="1">
      <formula>IF(AK8&gt;8,0,1)</formula>
    </cfRule>
  </conditionalFormatting>
  <conditionalFormatting sqref="AC21:AE21 AC106:AE106">
    <cfRule type="expression" dxfId="4199" priority="189" stopIfTrue="1">
      <formula>IF(AK8&gt;9,0,1)</formula>
    </cfRule>
  </conditionalFormatting>
  <conditionalFormatting sqref="X224:X225 W215:W216 X215:Y215 W218:Y223 Z219:AE222 AA223:AA225 I223:I225 C224:C225 B215:B216 C215:D215 B218:D223 E219:J222 F223:F225 AD223:AD225">
    <cfRule type="expression" dxfId="4198" priority="190" stopIfTrue="1">
      <formula>IF(#REF!&gt;0,0,1)</formula>
    </cfRule>
  </conditionalFormatting>
  <conditionalFormatting sqref="AA215:AB215 AB223 AA218:AB218 Z223 Z215:Z218 F215:G215 G223 F218:G218 E223 E215:E218">
    <cfRule type="expression" dxfId="4197" priority="191" stopIfTrue="1">
      <formula>IF(#REF!&gt;1,0,1)</formula>
    </cfRule>
  </conditionalFormatting>
  <conditionalFormatting sqref="AC215:AC218 AD215:AE215 AE223 AD218:AE218 AC223 H223 H215:H218 I215:J215 J223 I218:J218">
    <cfRule type="expression" dxfId="4196" priority="192" stopIfTrue="1">
      <formula>IF(#REF!&gt;2,0,1)</formula>
    </cfRule>
  </conditionalFormatting>
  <conditionalFormatting sqref="W224 Y224 B224 D224">
    <cfRule type="expression" dxfId="4195" priority="193" stopIfTrue="1">
      <formula>IF(#REF!&lt;1,1,IF(#REF!&lt;2,1,0))</formula>
    </cfRule>
  </conditionalFormatting>
  <conditionalFormatting sqref="Z224 AB224 E224 G224">
    <cfRule type="expression" dxfId="4194" priority="194" stopIfTrue="1">
      <formula>IF(#REF!&lt;2,1,IF(#REF!&lt;2,1,0))</formula>
    </cfRule>
  </conditionalFormatting>
  <conditionalFormatting sqref="AC224 AE224 H224 J224">
    <cfRule type="expression" dxfId="4193" priority="195" stopIfTrue="1">
      <formula>IF(#REF!&lt;3,1,IF(#REF!&lt;2,1,0))</formula>
    </cfRule>
  </conditionalFormatting>
  <conditionalFormatting sqref="Y225 B225 D225 W225">
    <cfRule type="expression" dxfId="4192" priority="196" stopIfTrue="1">
      <formula>IF(#REF!&lt;1,1,IF(#REF!&lt;3,1,0))</formula>
    </cfRule>
  </conditionalFormatting>
  <conditionalFormatting sqref="AB225 E225 G225 Z225">
    <cfRule type="expression" dxfId="4191" priority="197" stopIfTrue="1">
      <formula>IF(#REF!&lt;2,1,IF(#REF!&lt;3,1,0))</formula>
    </cfRule>
  </conditionalFormatting>
  <conditionalFormatting sqref="AE225 H225 J225 AC225">
    <cfRule type="expression" dxfId="4190" priority="198" stopIfTrue="1">
      <formula>IF(#REF!&lt;3,1,IF(#REF!&lt;3,1,0))</formula>
    </cfRule>
  </conditionalFormatting>
  <conditionalFormatting sqref="AG24:AP28 AG109:AP113">
    <cfRule type="cellIs" dxfId="4189" priority="199" stopIfTrue="1" operator="notBetween">
      <formula>-9999</formula>
      <formula>9999</formula>
    </cfRule>
  </conditionalFormatting>
  <conditionalFormatting sqref="AC7 AC92">
    <cfRule type="expression" dxfId="4188" priority="200" stopIfTrue="1">
      <formula>IF($AK$11=0,1,0)</formula>
    </cfRule>
  </conditionalFormatting>
  <conditionalFormatting sqref="B18 B103">
    <cfRule type="expression" dxfId="4187" priority="201" stopIfTrue="1">
      <formula>IF($AK$9&gt;0,0,1)</formula>
    </cfRule>
  </conditionalFormatting>
  <conditionalFormatting sqref="B22:D23 B107:D108">
    <cfRule type="cellIs" dxfId="4186" priority="202" stopIfTrue="1" operator="equal">
      <formula>99</formula>
    </cfRule>
  </conditionalFormatting>
  <conditionalFormatting sqref="X226 AA226 C226 F226">
    <cfRule type="expression" dxfId="4185" priority="203" stopIfTrue="1">
      <formula>IF(#REF!&gt;0,0,1)</formula>
    </cfRule>
  </conditionalFormatting>
  <conditionalFormatting sqref="K215">
    <cfRule type="expression" dxfId="4184" priority="3" stopIfTrue="1">
      <formula>IF(#REF!&gt;2,0,1)</formula>
    </cfRule>
  </conditionalFormatting>
  <conditionalFormatting sqref="K215">
    <cfRule type="expression" dxfId="4183" priority="2" stopIfTrue="1">
      <formula>IF(ISNUMBER(K223),0,1)</formula>
    </cfRule>
  </conditionalFormatting>
  <conditionalFormatting sqref="AF215">
    <cfRule type="expression" dxfId="4182" priority="1" stopIfTrue="1">
      <formula>IF(ISNUMBER(AF223),0,1)</formula>
    </cfRule>
  </conditionalFormatting>
  <pageMargins left="0.25" right="0.25" top="0.25" bottom="0.25" header="0" footer="0"/>
  <pageSetup scale="80" fitToHeight="5" orientation="landscape" r:id="rId1"/>
  <headerFooter alignWithMargins="0"/>
  <rowBreaks count="2" manualBreakCount="2">
    <brk id="90" max="42" man="1"/>
    <brk id="181" max="42" man="1"/>
  </rowBreaks>
  <drawing r:id="rId2"/>
  <legacyDrawing r:id="rId3"/>
  <controls>
    <mc:AlternateContent xmlns:mc="http://schemas.openxmlformats.org/markup-compatibility/2006">
      <mc:Choice Requires="x14">
        <control shapeId="3074" r:id="rId4" name="Pool2RecalcFinish">
          <controlPr defaultSize="0" autoLine="0" r:id="rId5">
            <anchor moveWithCells="1" sizeWithCells="1">
              <from>
                <xdr:col>36</xdr:col>
                <xdr:colOff>95250</xdr:colOff>
                <xdr:row>98</xdr:row>
                <xdr:rowOff>9525</xdr:rowOff>
              </from>
              <to>
                <xdr:col>41</xdr:col>
                <xdr:colOff>209550</xdr:colOff>
                <xdr:row>101</xdr:row>
                <xdr:rowOff>104775</xdr:rowOff>
              </to>
            </anchor>
          </controlPr>
        </control>
      </mc:Choice>
      <mc:Fallback>
        <control shapeId="3074" r:id="rId4" name="Pool2RecalcFinish"/>
      </mc:Fallback>
    </mc:AlternateContent>
    <mc:AlternateContent xmlns:mc="http://schemas.openxmlformats.org/markup-compatibility/2006">
      <mc:Choice Requires="x14">
        <control shapeId="3073" r:id="rId6" name="Pool1RecalcFinish">
          <controlPr defaultSize="0" autoLine="0" r:id="rId7">
            <anchor moveWithCells="1" sizeWithCells="1">
              <from>
                <xdr:col>36</xdr:col>
                <xdr:colOff>95250</xdr:colOff>
                <xdr:row>13</xdr:row>
                <xdr:rowOff>9525</xdr:rowOff>
              </from>
              <to>
                <xdr:col>41</xdr:col>
                <xdr:colOff>209550</xdr:colOff>
                <xdr:row>16</xdr:row>
                <xdr:rowOff>104775</xdr:rowOff>
              </to>
            </anchor>
          </controlPr>
        </control>
      </mc:Choice>
      <mc:Fallback>
        <control shapeId="3073" r:id="rId6" name="Pool1RecalcFinish"/>
      </mc:Fallback>
    </mc:AlternateContent>
  </control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7">
    <tabColor rgb="FFFF0000"/>
  </sheetPr>
  <dimension ref="A1:BY658"/>
  <sheetViews>
    <sheetView topLeftCell="A180" zoomScaleNormal="100" workbookViewId="0">
      <selection activeCell="AV10" sqref="AV10"/>
    </sheetView>
  </sheetViews>
  <sheetFormatPr defaultColWidth="8.85546875" defaultRowHeight="12.75" x14ac:dyDescent="0.2"/>
  <cols>
    <col min="1" max="1" width="8.85546875" style="4"/>
    <col min="2" max="2" width="3.7109375" style="4" customWidth="1"/>
    <col min="3" max="3" width="2.28515625" style="4" customWidth="1"/>
    <col min="4" max="5" width="3.7109375" style="4" customWidth="1"/>
    <col min="6" max="6" width="2.28515625" style="4" customWidth="1"/>
    <col min="7" max="8" width="3.7109375" style="4" customWidth="1"/>
    <col min="9" max="9" width="2.28515625" style="4" customWidth="1"/>
    <col min="10" max="11" width="3.7109375" style="4" customWidth="1"/>
    <col min="12" max="12" width="2.28515625" style="4" customWidth="1"/>
    <col min="13" max="14" width="3.7109375" style="4" customWidth="1"/>
    <col min="15" max="15" width="2.28515625" style="4" customWidth="1"/>
    <col min="16" max="17" width="3.7109375" style="4" customWidth="1"/>
    <col min="18" max="18" width="2.28515625" style="4" customWidth="1"/>
    <col min="19" max="20" width="3.7109375" style="4" customWidth="1"/>
    <col min="21" max="21" width="2.28515625" style="4" customWidth="1"/>
    <col min="22" max="23" width="3.7109375" style="4" customWidth="1"/>
    <col min="24" max="24" width="2.28515625" style="4" customWidth="1"/>
    <col min="25" max="26" width="3.7109375" style="4" customWidth="1"/>
    <col min="27" max="27" width="2.28515625" style="4" customWidth="1"/>
    <col min="28" max="29" width="3.7109375" style="4" customWidth="1"/>
    <col min="30" max="30" width="2.28515625" style="4" customWidth="1"/>
    <col min="31" max="31" width="3.7109375" style="4" customWidth="1"/>
    <col min="32" max="32" width="9.7109375" style="4" customWidth="1"/>
    <col min="33" max="42" width="3.7109375" style="4" customWidth="1"/>
    <col min="43" max="43" width="11" style="4" customWidth="1"/>
    <col min="44" max="46" width="8.85546875" style="4"/>
    <col min="47" max="47" width="21" style="4" customWidth="1"/>
    <col min="48" max="48" width="24.42578125" style="4" customWidth="1"/>
    <col min="49" max="49" width="15.28515625" style="156" customWidth="1"/>
    <col min="50" max="50" width="10.42578125" style="4" customWidth="1"/>
    <col min="51" max="51" width="11.28515625" style="4" customWidth="1"/>
    <col min="52" max="52" width="25" style="4" customWidth="1"/>
    <col min="53" max="53" width="6" style="4" customWidth="1"/>
    <col min="54" max="257" width="8.85546875" style="4"/>
    <col min="258" max="258" width="3.7109375" style="4" customWidth="1"/>
    <col min="259" max="259" width="2.28515625" style="4" customWidth="1"/>
    <col min="260" max="261" width="3.7109375" style="4" customWidth="1"/>
    <col min="262" max="262" width="2.28515625" style="4" customWidth="1"/>
    <col min="263" max="264" width="3.7109375" style="4" customWidth="1"/>
    <col min="265" max="265" width="2.28515625" style="4" customWidth="1"/>
    <col min="266" max="267" width="3.7109375" style="4" customWidth="1"/>
    <col min="268" max="268" width="2.28515625" style="4" customWidth="1"/>
    <col min="269" max="270" width="3.7109375" style="4" customWidth="1"/>
    <col min="271" max="271" width="2.28515625" style="4" customWidth="1"/>
    <col min="272" max="273" width="3.7109375" style="4" customWidth="1"/>
    <col min="274" max="274" width="2.28515625" style="4" customWidth="1"/>
    <col min="275" max="276" width="3.7109375" style="4" customWidth="1"/>
    <col min="277" max="277" width="2.28515625" style="4" customWidth="1"/>
    <col min="278" max="279" width="3.7109375" style="4" customWidth="1"/>
    <col min="280" max="280" width="2.28515625" style="4" customWidth="1"/>
    <col min="281" max="282" width="3.7109375" style="4" customWidth="1"/>
    <col min="283" max="283" width="2.28515625" style="4" customWidth="1"/>
    <col min="284" max="285" width="3.7109375" style="4" customWidth="1"/>
    <col min="286" max="286" width="2.28515625" style="4" customWidth="1"/>
    <col min="287" max="287" width="3.7109375" style="4" customWidth="1"/>
    <col min="288" max="288" width="9.7109375" style="4" customWidth="1"/>
    <col min="289" max="298" width="3.7109375" style="4" customWidth="1"/>
    <col min="299" max="299" width="11" style="4" customWidth="1"/>
    <col min="300" max="302" width="8.85546875" style="4"/>
    <col min="303" max="303" width="21" style="4" customWidth="1"/>
    <col min="304" max="304" width="24.42578125" style="4" customWidth="1"/>
    <col min="305" max="305" width="15.28515625" style="4" customWidth="1"/>
    <col min="306" max="306" width="10.42578125" style="4" customWidth="1"/>
    <col min="307" max="307" width="11.28515625" style="4" customWidth="1"/>
    <col min="308" max="308" width="25" style="4" customWidth="1"/>
    <col min="309" max="309" width="6" style="4" customWidth="1"/>
    <col min="310" max="513" width="8.85546875" style="4"/>
    <col min="514" max="514" width="3.7109375" style="4" customWidth="1"/>
    <col min="515" max="515" width="2.28515625" style="4" customWidth="1"/>
    <col min="516" max="517" width="3.7109375" style="4" customWidth="1"/>
    <col min="518" max="518" width="2.28515625" style="4" customWidth="1"/>
    <col min="519" max="520" width="3.7109375" style="4" customWidth="1"/>
    <col min="521" max="521" width="2.28515625" style="4" customWidth="1"/>
    <col min="522" max="523" width="3.7109375" style="4" customWidth="1"/>
    <col min="524" max="524" width="2.28515625" style="4" customWidth="1"/>
    <col min="525" max="526" width="3.7109375" style="4" customWidth="1"/>
    <col min="527" max="527" width="2.28515625" style="4" customWidth="1"/>
    <col min="528" max="529" width="3.7109375" style="4" customWidth="1"/>
    <col min="530" max="530" width="2.28515625" style="4" customWidth="1"/>
    <col min="531" max="532" width="3.7109375" style="4" customWidth="1"/>
    <col min="533" max="533" width="2.28515625" style="4" customWidth="1"/>
    <col min="534" max="535" width="3.7109375" style="4" customWidth="1"/>
    <col min="536" max="536" width="2.28515625" style="4" customWidth="1"/>
    <col min="537" max="538" width="3.7109375" style="4" customWidth="1"/>
    <col min="539" max="539" width="2.28515625" style="4" customWidth="1"/>
    <col min="540" max="541" width="3.7109375" style="4" customWidth="1"/>
    <col min="542" max="542" width="2.28515625" style="4" customWidth="1"/>
    <col min="543" max="543" width="3.7109375" style="4" customWidth="1"/>
    <col min="544" max="544" width="9.7109375" style="4" customWidth="1"/>
    <col min="545" max="554" width="3.7109375" style="4" customWidth="1"/>
    <col min="555" max="555" width="11" style="4" customWidth="1"/>
    <col min="556" max="558" width="8.85546875" style="4"/>
    <col min="559" max="559" width="21" style="4" customWidth="1"/>
    <col min="560" max="560" width="24.42578125" style="4" customWidth="1"/>
    <col min="561" max="561" width="15.28515625" style="4" customWidth="1"/>
    <col min="562" max="562" width="10.42578125" style="4" customWidth="1"/>
    <col min="563" max="563" width="11.28515625" style="4" customWidth="1"/>
    <col min="564" max="564" width="25" style="4" customWidth="1"/>
    <col min="565" max="565" width="6" style="4" customWidth="1"/>
    <col min="566" max="769" width="8.85546875" style="4"/>
    <col min="770" max="770" width="3.7109375" style="4" customWidth="1"/>
    <col min="771" max="771" width="2.28515625" style="4" customWidth="1"/>
    <col min="772" max="773" width="3.7109375" style="4" customWidth="1"/>
    <col min="774" max="774" width="2.28515625" style="4" customWidth="1"/>
    <col min="775" max="776" width="3.7109375" style="4" customWidth="1"/>
    <col min="777" max="777" width="2.28515625" style="4" customWidth="1"/>
    <col min="778" max="779" width="3.7109375" style="4" customWidth="1"/>
    <col min="780" max="780" width="2.28515625" style="4" customWidth="1"/>
    <col min="781" max="782" width="3.7109375" style="4" customWidth="1"/>
    <col min="783" max="783" width="2.28515625" style="4" customWidth="1"/>
    <col min="784" max="785" width="3.7109375" style="4" customWidth="1"/>
    <col min="786" max="786" width="2.28515625" style="4" customWidth="1"/>
    <col min="787" max="788" width="3.7109375" style="4" customWidth="1"/>
    <col min="789" max="789" width="2.28515625" style="4" customWidth="1"/>
    <col min="790" max="791" width="3.7109375" style="4" customWidth="1"/>
    <col min="792" max="792" width="2.28515625" style="4" customWidth="1"/>
    <col min="793" max="794" width="3.7109375" style="4" customWidth="1"/>
    <col min="795" max="795" width="2.28515625" style="4" customWidth="1"/>
    <col min="796" max="797" width="3.7109375" style="4" customWidth="1"/>
    <col min="798" max="798" width="2.28515625" style="4" customWidth="1"/>
    <col min="799" max="799" width="3.7109375" style="4" customWidth="1"/>
    <col min="800" max="800" width="9.7109375" style="4" customWidth="1"/>
    <col min="801" max="810" width="3.7109375" style="4" customWidth="1"/>
    <col min="811" max="811" width="11" style="4" customWidth="1"/>
    <col min="812" max="814" width="8.85546875" style="4"/>
    <col min="815" max="815" width="21" style="4" customWidth="1"/>
    <col min="816" max="816" width="24.42578125" style="4" customWidth="1"/>
    <col min="817" max="817" width="15.28515625" style="4" customWidth="1"/>
    <col min="818" max="818" width="10.42578125" style="4" customWidth="1"/>
    <col min="819" max="819" width="11.28515625" style="4" customWidth="1"/>
    <col min="820" max="820" width="25" style="4" customWidth="1"/>
    <col min="821" max="821" width="6" style="4" customWidth="1"/>
    <col min="822" max="1025" width="8.85546875" style="4"/>
    <col min="1026" max="1026" width="3.7109375" style="4" customWidth="1"/>
    <col min="1027" max="1027" width="2.28515625" style="4" customWidth="1"/>
    <col min="1028" max="1029" width="3.7109375" style="4" customWidth="1"/>
    <col min="1030" max="1030" width="2.28515625" style="4" customWidth="1"/>
    <col min="1031" max="1032" width="3.7109375" style="4" customWidth="1"/>
    <col min="1033" max="1033" width="2.28515625" style="4" customWidth="1"/>
    <col min="1034" max="1035" width="3.7109375" style="4" customWidth="1"/>
    <col min="1036" max="1036" width="2.28515625" style="4" customWidth="1"/>
    <col min="1037" max="1038" width="3.7109375" style="4" customWidth="1"/>
    <col min="1039" max="1039" width="2.28515625" style="4" customWidth="1"/>
    <col min="1040" max="1041" width="3.7109375" style="4" customWidth="1"/>
    <col min="1042" max="1042" width="2.28515625" style="4" customWidth="1"/>
    <col min="1043" max="1044" width="3.7109375" style="4" customWidth="1"/>
    <col min="1045" max="1045" width="2.28515625" style="4" customWidth="1"/>
    <col min="1046" max="1047" width="3.7109375" style="4" customWidth="1"/>
    <col min="1048" max="1048" width="2.28515625" style="4" customWidth="1"/>
    <col min="1049" max="1050" width="3.7109375" style="4" customWidth="1"/>
    <col min="1051" max="1051" width="2.28515625" style="4" customWidth="1"/>
    <col min="1052" max="1053" width="3.7109375" style="4" customWidth="1"/>
    <col min="1054" max="1054" width="2.28515625" style="4" customWidth="1"/>
    <col min="1055" max="1055" width="3.7109375" style="4" customWidth="1"/>
    <col min="1056" max="1056" width="9.7109375" style="4" customWidth="1"/>
    <col min="1057" max="1066" width="3.7109375" style="4" customWidth="1"/>
    <col min="1067" max="1067" width="11" style="4" customWidth="1"/>
    <col min="1068" max="1070" width="8.85546875" style="4"/>
    <col min="1071" max="1071" width="21" style="4" customWidth="1"/>
    <col min="1072" max="1072" width="24.42578125" style="4" customWidth="1"/>
    <col min="1073" max="1073" width="15.28515625" style="4" customWidth="1"/>
    <col min="1074" max="1074" width="10.42578125" style="4" customWidth="1"/>
    <col min="1075" max="1075" width="11.28515625" style="4" customWidth="1"/>
    <col min="1076" max="1076" width="25" style="4" customWidth="1"/>
    <col min="1077" max="1077" width="6" style="4" customWidth="1"/>
    <col min="1078" max="1281" width="8.85546875" style="4"/>
    <col min="1282" max="1282" width="3.7109375" style="4" customWidth="1"/>
    <col min="1283" max="1283" width="2.28515625" style="4" customWidth="1"/>
    <col min="1284" max="1285" width="3.7109375" style="4" customWidth="1"/>
    <col min="1286" max="1286" width="2.28515625" style="4" customWidth="1"/>
    <col min="1287" max="1288" width="3.7109375" style="4" customWidth="1"/>
    <col min="1289" max="1289" width="2.28515625" style="4" customWidth="1"/>
    <col min="1290" max="1291" width="3.7109375" style="4" customWidth="1"/>
    <col min="1292" max="1292" width="2.28515625" style="4" customWidth="1"/>
    <col min="1293" max="1294" width="3.7109375" style="4" customWidth="1"/>
    <col min="1295" max="1295" width="2.28515625" style="4" customWidth="1"/>
    <col min="1296" max="1297" width="3.7109375" style="4" customWidth="1"/>
    <col min="1298" max="1298" width="2.28515625" style="4" customWidth="1"/>
    <col min="1299" max="1300" width="3.7109375" style="4" customWidth="1"/>
    <col min="1301" max="1301" width="2.28515625" style="4" customWidth="1"/>
    <col min="1302" max="1303" width="3.7109375" style="4" customWidth="1"/>
    <col min="1304" max="1304" width="2.28515625" style="4" customWidth="1"/>
    <col min="1305" max="1306" width="3.7109375" style="4" customWidth="1"/>
    <col min="1307" max="1307" width="2.28515625" style="4" customWidth="1"/>
    <col min="1308" max="1309" width="3.7109375" style="4" customWidth="1"/>
    <col min="1310" max="1310" width="2.28515625" style="4" customWidth="1"/>
    <col min="1311" max="1311" width="3.7109375" style="4" customWidth="1"/>
    <col min="1312" max="1312" width="9.7109375" style="4" customWidth="1"/>
    <col min="1313" max="1322" width="3.7109375" style="4" customWidth="1"/>
    <col min="1323" max="1323" width="11" style="4" customWidth="1"/>
    <col min="1324" max="1326" width="8.85546875" style="4"/>
    <col min="1327" max="1327" width="21" style="4" customWidth="1"/>
    <col min="1328" max="1328" width="24.42578125" style="4" customWidth="1"/>
    <col min="1329" max="1329" width="15.28515625" style="4" customWidth="1"/>
    <col min="1330" max="1330" width="10.42578125" style="4" customWidth="1"/>
    <col min="1331" max="1331" width="11.28515625" style="4" customWidth="1"/>
    <col min="1332" max="1332" width="25" style="4" customWidth="1"/>
    <col min="1333" max="1333" width="6" style="4" customWidth="1"/>
    <col min="1334" max="1537" width="8.85546875" style="4"/>
    <col min="1538" max="1538" width="3.7109375" style="4" customWidth="1"/>
    <col min="1539" max="1539" width="2.28515625" style="4" customWidth="1"/>
    <col min="1540" max="1541" width="3.7109375" style="4" customWidth="1"/>
    <col min="1542" max="1542" width="2.28515625" style="4" customWidth="1"/>
    <col min="1543" max="1544" width="3.7109375" style="4" customWidth="1"/>
    <col min="1545" max="1545" width="2.28515625" style="4" customWidth="1"/>
    <col min="1546" max="1547" width="3.7109375" style="4" customWidth="1"/>
    <col min="1548" max="1548" width="2.28515625" style="4" customWidth="1"/>
    <col min="1549" max="1550" width="3.7109375" style="4" customWidth="1"/>
    <col min="1551" max="1551" width="2.28515625" style="4" customWidth="1"/>
    <col min="1552" max="1553" width="3.7109375" style="4" customWidth="1"/>
    <col min="1554" max="1554" width="2.28515625" style="4" customWidth="1"/>
    <col min="1555" max="1556" width="3.7109375" style="4" customWidth="1"/>
    <col min="1557" max="1557" width="2.28515625" style="4" customWidth="1"/>
    <col min="1558" max="1559" width="3.7109375" style="4" customWidth="1"/>
    <col min="1560" max="1560" width="2.28515625" style="4" customWidth="1"/>
    <col min="1561" max="1562" width="3.7109375" style="4" customWidth="1"/>
    <col min="1563" max="1563" width="2.28515625" style="4" customWidth="1"/>
    <col min="1564" max="1565" width="3.7109375" style="4" customWidth="1"/>
    <col min="1566" max="1566" width="2.28515625" style="4" customWidth="1"/>
    <col min="1567" max="1567" width="3.7109375" style="4" customWidth="1"/>
    <col min="1568" max="1568" width="9.7109375" style="4" customWidth="1"/>
    <col min="1569" max="1578" width="3.7109375" style="4" customWidth="1"/>
    <col min="1579" max="1579" width="11" style="4" customWidth="1"/>
    <col min="1580" max="1582" width="8.85546875" style="4"/>
    <col min="1583" max="1583" width="21" style="4" customWidth="1"/>
    <col min="1584" max="1584" width="24.42578125" style="4" customWidth="1"/>
    <col min="1585" max="1585" width="15.28515625" style="4" customWidth="1"/>
    <col min="1586" max="1586" width="10.42578125" style="4" customWidth="1"/>
    <col min="1587" max="1587" width="11.28515625" style="4" customWidth="1"/>
    <col min="1588" max="1588" width="25" style="4" customWidth="1"/>
    <col min="1589" max="1589" width="6" style="4" customWidth="1"/>
    <col min="1590" max="1793" width="8.85546875" style="4"/>
    <col min="1794" max="1794" width="3.7109375" style="4" customWidth="1"/>
    <col min="1795" max="1795" width="2.28515625" style="4" customWidth="1"/>
    <col min="1796" max="1797" width="3.7109375" style="4" customWidth="1"/>
    <col min="1798" max="1798" width="2.28515625" style="4" customWidth="1"/>
    <col min="1799" max="1800" width="3.7109375" style="4" customWidth="1"/>
    <col min="1801" max="1801" width="2.28515625" style="4" customWidth="1"/>
    <col min="1802" max="1803" width="3.7109375" style="4" customWidth="1"/>
    <col min="1804" max="1804" width="2.28515625" style="4" customWidth="1"/>
    <col min="1805" max="1806" width="3.7109375" style="4" customWidth="1"/>
    <col min="1807" max="1807" width="2.28515625" style="4" customWidth="1"/>
    <col min="1808" max="1809" width="3.7109375" style="4" customWidth="1"/>
    <col min="1810" max="1810" width="2.28515625" style="4" customWidth="1"/>
    <col min="1811" max="1812" width="3.7109375" style="4" customWidth="1"/>
    <col min="1813" max="1813" width="2.28515625" style="4" customWidth="1"/>
    <col min="1814" max="1815" width="3.7109375" style="4" customWidth="1"/>
    <col min="1816" max="1816" width="2.28515625" style="4" customWidth="1"/>
    <col min="1817" max="1818" width="3.7109375" style="4" customWidth="1"/>
    <col min="1819" max="1819" width="2.28515625" style="4" customWidth="1"/>
    <col min="1820" max="1821" width="3.7109375" style="4" customWidth="1"/>
    <col min="1822" max="1822" width="2.28515625" style="4" customWidth="1"/>
    <col min="1823" max="1823" width="3.7109375" style="4" customWidth="1"/>
    <col min="1824" max="1824" width="9.7109375" style="4" customWidth="1"/>
    <col min="1825" max="1834" width="3.7109375" style="4" customWidth="1"/>
    <col min="1835" max="1835" width="11" style="4" customWidth="1"/>
    <col min="1836" max="1838" width="8.85546875" style="4"/>
    <col min="1839" max="1839" width="21" style="4" customWidth="1"/>
    <col min="1840" max="1840" width="24.42578125" style="4" customWidth="1"/>
    <col min="1841" max="1841" width="15.28515625" style="4" customWidth="1"/>
    <col min="1842" max="1842" width="10.42578125" style="4" customWidth="1"/>
    <col min="1843" max="1843" width="11.28515625" style="4" customWidth="1"/>
    <col min="1844" max="1844" width="25" style="4" customWidth="1"/>
    <col min="1845" max="1845" width="6" style="4" customWidth="1"/>
    <col min="1846" max="2049" width="8.85546875" style="4"/>
    <col min="2050" max="2050" width="3.7109375" style="4" customWidth="1"/>
    <col min="2051" max="2051" width="2.28515625" style="4" customWidth="1"/>
    <col min="2052" max="2053" width="3.7109375" style="4" customWidth="1"/>
    <col min="2054" max="2054" width="2.28515625" style="4" customWidth="1"/>
    <col min="2055" max="2056" width="3.7109375" style="4" customWidth="1"/>
    <col min="2057" max="2057" width="2.28515625" style="4" customWidth="1"/>
    <col min="2058" max="2059" width="3.7109375" style="4" customWidth="1"/>
    <col min="2060" max="2060" width="2.28515625" style="4" customWidth="1"/>
    <col min="2061" max="2062" width="3.7109375" style="4" customWidth="1"/>
    <col min="2063" max="2063" width="2.28515625" style="4" customWidth="1"/>
    <col min="2064" max="2065" width="3.7109375" style="4" customWidth="1"/>
    <col min="2066" max="2066" width="2.28515625" style="4" customWidth="1"/>
    <col min="2067" max="2068" width="3.7109375" style="4" customWidth="1"/>
    <col min="2069" max="2069" width="2.28515625" style="4" customWidth="1"/>
    <col min="2070" max="2071" width="3.7109375" style="4" customWidth="1"/>
    <col min="2072" max="2072" width="2.28515625" style="4" customWidth="1"/>
    <col min="2073" max="2074" width="3.7109375" style="4" customWidth="1"/>
    <col min="2075" max="2075" width="2.28515625" style="4" customWidth="1"/>
    <col min="2076" max="2077" width="3.7109375" style="4" customWidth="1"/>
    <col min="2078" max="2078" width="2.28515625" style="4" customWidth="1"/>
    <col min="2079" max="2079" width="3.7109375" style="4" customWidth="1"/>
    <col min="2080" max="2080" width="9.7109375" style="4" customWidth="1"/>
    <col min="2081" max="2090" width="3.7109375" style="4" customWidth="1"/>
    <col min="2091" max="2091" width="11" style="4" customWidth="1"/>
    <col min="2092" max="2094" width="8.85546875" style="4"/>
    <col min="2095" max="2095" width="21" style="4" customWidth="1"/>
    <col min="2096" max="2096" width="24.42578125" style="4" customWidth="1"/>
    <col min="2097" max="2097" width="15.28515625" style="4" customWidth="1"/>
    <col min="2098" max="2098" width="10.42578125" style="4" customWidth="1"/>
    <col min="2099" max="2099" width="11.28515625" style="4" customWidth="1"/>
    <col min="2100" max="2100" width="25" style="4" customWidth="1"/>
    <col min="2101" max="2101" width="6" style="4" customWidth="1"/>
    <col min="2102" max="2305" width="8.85546875" style="4"/>
    <col min="2306" max="2306" width="3.7109375" style="4" customWidth="1"/>
    <col min="2307" max="2307" width="2.28515625" style="4" customWidth="1"/>
    <col min="2308" max="2309" width="3.7109375" style="4" customWidth="1"/>
    <col min="2310" max="2310" width="2.28515625" style="4" customWidth="1"/>
    <col min="2311" max="2312" width="3.7109375" style="4" customWidth="1"/>
    <col min="2313" max="2313" width="2.28515625" style="4" customWidth="1"/>
    <col min="2314" max="2315" width="3.7109375" style="4" customWidth="1"/>
    <col min="2316" max="2316" width="2.28515625" style="4" customWidth="1"/>
    <col min="2317" max="2318" width="3.7109375" style="4" customWidth="1"/>
    <col min="2319" max="2319" width="2.28515625" style="4" customWidth="1"/>
    <col min="2320" max="2321" width="3.7109375" style="4" customWidth="1"/>
    <col min="2322" max="2322" width="2.28515625" style="4" customWidth="1"/>
    <col min="2323" max="2324" width="3.7109375" style="4" customWidth="1"/>
    <col min="2325" max="2325" width="2.28515625" style="4" customWidth="1"/>
    <col min="2326" max="2327" width="3.7109375" style="4" customWidth="1"/>
    <col min="2328" max="2328" width="2.28515625" style="4" customWidth="1"/>
    <col min="2329" max="2330" width="3.7109375" style="4" customWidth="1"/>
    <col min="2331" max="2331" width="2.28515625" style="4" customWidth="1"/>
    <col min="2332" max="2333" width="3.7109375" style="4" customWidth="1"/>
    <col min="2334" max="2334" width="2.28515625" style="4" customWidth="1"/>
    <col min="2335" max="2335" width="3.7109375" style="4" customWidth="1"/>
    <col min="2336" max="2336" width="9.7109375" style="4" customWidth="1"/>
    <col min="2337" max="2346" width="3.7109375" style="4" customWidth="1"/>
    <col min="2347" max="2347" width="11" style="4" customWidth="1"/>
    <col min="2348" max="2350" width="8.85546875" style="4"/>
    <col min="2351" max="2351" width="21" style="4" customWidth="1"/>
    <col min="2352" max="2352" width="24.42578125" style="4" customWidth="1"/>
    <col min="2353" max="2353" width="15.28515625" style="4" customWidth="1"/>
    <col min="2354" max="2354" width="10.42578125" style="4" customWidth="1"/>
    <col min="2355" max="2355" width="11.28515625" style="4" customWidth="1"/>
    <col min="2356" max="2356" width="25" style="4" customWidth="1"/>
    <col min="2357" max="2357" width="6" style="4" customWidth="1"/>
    <col min="2358" max="2561" width="8.85546875" style="4"/>
    <col min="2562" max="2562" width="3.7109375" style="4" customWidth="1"/>
    <col min="2563" max="2563" width="2.28515625" style="4" customWidth="1"/>
    <col min="2564" max="2565" width="3.7109375" style="4" customWidth="1"/>
    <col min="2566" max="2566" width="2.28515625" style="4" customWidth="1"/>
    <col min="2567" max="2568" width="3.7109375" style="4" customWidth="1"/>
    <col min="2569" max="2569" width="2.28515625" style="4" customWidth="1"/>
    <col min="2570" max="2571" width="3.7109375" style="4" customWidth="1"/>
    <col min="2572" max="2572" width="2.28515625" style="4" customWidth="1"/>
    <col min="2573" max="2574" width="3.7109375" style="4" customWidth="1"/>
    <col min="2575" max="2575" width="2.28515625" style="4" customWidth="1"/>
    <col min="2576" max="2577" width="3.7109375" style="4" customWidth="1"/>
    <col min="2578" max="2578" width="2.28515625" style="4" customWidth="1"/>
    <col min="2579" max="2580" width="3.7109375" style="4" customWidth="1"/>
    <col min="2581" max="2581" width="2.28515625" style="4" customWidth="1"/>
    <col min="2582" max="2583" width="3.7109375" style="4" customWidth="1"/>
    <col min="2584" max="2584" width="2.28515625" style="4" customWidth="1"/>
    <col min="2585" max="2586" width="3.7109375" style="4" customWidth="1"/>
    <col min="2587" max="2587" width="2.28515625" style="4" customWidth="1"/>
    <col min="2588" max="2589" width="3.7109375" style="4" customWidth="1"/>
    <col min="2590" max="2590" width="2.28515625" style="4" customWidth="1"/>
    <col min="2591" max="2591" width="3.7109375" style="4" customWidth="1"/>
    <col min="2592" max="2592" width="9.7109375" style="4" customWidth="1"/>
    <col min="2593" max="2602" width="3.7109375" style="4" customWidth="1"/>
    <col min="2603" max="2603" width="11" style="4" customWidth="1"/>
    <col min="2604" max="2606" width="8.85546875" style="4"/>
    <col min="2607" max="2607" width="21" style="4" customWidth="1"/>
    <col min="2608" max="2608" width="24.42578125" style="4" customWidth="1"/>
    <col min="2609" max="2609" width="15.28515625" style="4" customWidth="1"/>
    <col min="2610" max="2610" width="10.42578125" style="4" customWidth="1"/>
    <col min="2611" max="2611" width="11.28515625" style="4" customWidth="1"/>
    <col min="2612" max="2612" width="25" style="4" customWidth="1"/>
    <col min="2613" max="2613" width="6" style="4" customWidth="1"/>
    <col min="2614" max="2817" width="8.85546875" style="4"/>
    <col min="2818" max="2818" width="3.7109375" style="4" customWidth="1"/>
    <col min="2819" max="2819" width="2.28515625" style="4" customWidth="1"/>
    <col min="2820" max="2821" width="3.7109375" style="4" customWidth="1"/>
    <col min="2822" max="2822" width="2.28515625" style="4" customWidth="1"/>
    <col min="2823" max="2824" width="3.7109375" style="4" customWidth="1"/>
    <col min="2825" max="2825" width="2.28515625" style="4" customWidth="1"/>
    <col min="2826" max="2827" width="3.7109375" style="4" customWidth="1"/>
    <col min="2828" max="2828" width="2.28515625" style="4" customWidth="1"/>
    <col min="2829" max="2830" width="3.7109375" style="4" customWidth="1"/>
    <col min="2831" max="2831" width="2.28515625" style="4" customWidth="1"/>
    <col min="2832" max="2833" width="3.7109375" style="4" customWidth="1"/>
    <col min="2834" max="2834" width="2.28515625" style="4" customWidth="1"/>
    <col min="2835" max="2836" width="3.7109375" style="4" customWidth="1"/>
    <col min="2837" max="2837" width="2.28515625" style="4" customWidth="1"/>
    <col min="2838" max="2839" width="3.7109375" style="4" customWidth="1"/>
    <col min="2840" max="2840" width="2.28515625" style="4" customWidth="1"/>
    <col min="2841" max="2842" width="3.7109375" style="4" customWidth="1"/>
    <col min="2843" max="2843" width="2.28515625" style="4" customWidth="1"/>
    <col min="2844" max="2845" width="3.7109375" style="4" customWidth="1"/>
    <col min="2846" max="2846" width="2.28515625" style="4" customWidth="1"/>
    <col min="2847" max="2847" width="3.7109375" style="4" customWidth="1"/>
    <col min="2848" max="2848" width="9.7109375" style="4" customWidth="1"/>
    <col min="2849" max="2858" width="3.7109375" style="4" customWidth="1"/>
    <col min="2859" max="2859" width="11" style="4" customWidth="1"/>
    <col min="2860" max="2862" width="8.85546875" style="4"/>
    <col min="2863" max="2863" width="21" style="4" customWidth="1"/>
    <col min="2864" max="2864" width="24.42578125" style="4" customWidth="1"/>
    <col min="2865" max="2865" width="15.28515625" style="4" customWidth="1"/>
    <col min="2866" max="2866" width="10.42578125" style="4" customWidth="1"/>
    <col min="2867" max="2867" width="11.28515625" style="4" customWidth="1"/>
    <col min="2868" max="2868" width="25" style="4" customWidth="1"/>
    <col min="2869" max="2869" width="6" style="4" customWidth="1"/>
    <col min="2870" max="3073" width="8.85546875" style="4"/>
    <col min="3074" max="3074" width="3.7109375" style="4" customWidth="1"/>
    <col min="3075" max="3075" width="2.28515625" style="4" customWidth="1"/>
    <col min="3076" max="3077" width="3.7109375" style="4" customWidth="1"/>
    <col min="3078" max="3078" width="2.28515625" style="4" customWidth="1"/>
    <col min="3079" max="3080" width="3.7109375" style="4" customWidth="1"/>
    <col min="3081" max="3081" width="2.28515625" style="4" customWidth="1"/>
    <col min="3082" max="3083" width="3.7109375" style="4" customWidth="1"/>
    <col min="3084" max="3084" width="2.28515625" style="4" customWidth="1"/>
    <col min="3085" max="3086" width="3.7109375" style="4" customWidth="1"/>
    <col min="3087" max="3087" width="2.28515625" style="4" customWidth="1"/>
    <col min="3088" max="3089" width="3.7109375" style="4" customWidth="1"/>
    <col min="3090" max="3090" width="2.28515625" style="4" customWidth="1"/>
    <col min="3091" max="3092" width="3.7109375" style="4" customWidth="1"/>
    <col min="3093" max="3093" width="2.28515625" style="4" customWidth="1"/>
    <col min="3094" max="3095" width="3.7109375" style="4" customWidth="1"/>
    <col min="3096" max="3096" width="2.28515625" style="4" customWidth="1"/>
    <col min="3097" max="3098" width="3.7109375" style="4" customWidth="1"/>
    <col min="3099" max="3099" width="2.28515625" style="4" customWidth="1"/>
    <col min="3100" max="3101" width="3.7109375" style="4" customWidth="1"/>
    <col min="3102" max="3102" width="2.28515625" style="4" customWidth="1"/>
    <col min="3103" max="3103" width="3.7109375" style="4" customWidth="1"/>
    <col min="3104" max="3104" width="9.7109375" style="4" customWidth="1"/>
    <col min="3105" max="3114" width="3.7109375" style="4" customWidth="1"/>
    <col min="3115" max="3115" width="11" style="4" customWidth="1"/>
    <col min="3116" max="3118" width="8.85546875" style="4"/>
    <col min="3119" max="3119" width="21" style="4" customWidth="1"/>
    <col min="3120" max="3120" width="24.42578125" style="4" customWidth="1"/>
    <col min="3121" max="3121" width="15.28515625" style="4" customWidth="1"/>
    <col min="3122" max="3122" width="10.42578125" style="4" customWidth="1"/>
    <col min="3123" max="3123" width="11.28515625" style="4" customWidth="1"/>
    <col min="3124" max="3124" width="25" style="4" customWidth="1"/>
    <col min="3125" max="3125" width="6" style="4" customWidth="1"/>
    <col min="3126" max="3329" width="8.85546875" style="4"/>
    <col min="3330" max="3330" width="3.7109375" style="4" customWidth="1"/>
    <col min="3331" max="3331" width="2.28515625" style="4" customWidth="1"/>
    <col min="3332" max="3333" width="3.7109375" style="4" customWidth="1"/>
    <col min="3334" max="3334" width="2.28515625" style="4" customWidth="1"/>
    <col min="3335" max="3336" width="3.7109375" style="4" customWidth="1"/>
    <col min="3337" max="3337" width="2.28515625" style="4" customWidth="1"/>
    <col min="3338" max="3339" width="3.7109375" style="4" customWidth="1"/>
    <col min="3340" max="3340" width="2.28515625" style="4" customWidth="1"/>
    <col min="3341" max="3342" width="3.7109375" style="4" customWidth="1"/>
    <col min="3343" max="3343" width="2.28515625" style="4" customWidth="1"/>
    <col min="3344" max="3345" width="3.7109375" style="4" customWidth="1"/>
    <col min="3346" max="3346" width="2.28515625" style="4" customWidth="1"/>
    <col min="3347" max="3348" width="3.7109375" style="4" customWidth="1"/>
    <col min="3349" max="3349" width="2.28515625" style="4" customWidth="1"/>
    <col min="3350" max="3351" width="3.7109375" style="4" customWidth="1"/>
    <col min="3352" max="3352" width="2.28515625" style="4" customWidth="1"/>
    <col min="3353" max="3354" width="3.7109375" style="4" customWidth="1"/>
    <col min="3355" max="3355" width="2.28515625" style="4" customWidth="1"/>
    <col min="3356" max="3357" width="3.7109375" style="4" customWidth="1"/>
    <col min="3358" max="3358" width="2.28515625" style="4" customWidth="1"/>
    <col min="3359" max="3359" width="3.7109375" style="4" customWidth="1"/>
    <col min="3360" max="3360" width="9.7109375" style="4" customWidth="1"/>
    <col min="3361" max="3370" width="3.7109375" style="4" customWidth="1"/>
    <col min="3371" max="3371" width="11" style="4" customWidth="1"/>
    <col min="3372" max="3374" width="8.85546875" style="4"/>
    <col min="3375" max="3375" width="21" style="4" customWidth="1"/>
    <col min="3376" max="3376" width="24.42578125" style="4" customWidth="1"/>
    <col min="3377" max="3377" width="15.28515625" style="4" customWidth="1"/>
    <col min="3378" max="3378" width="10.42578125" style="4" customWidth="1"/>
    <col min="3379" max="3379" width="11.28515625" style="4" customWidth="1"/>
    <col min="3380" max="3380" width="25" style="4" customWidth="1"/>
    <col min="3381" max="3381" width="6" style="4" customWidth="1"/>
    <col min="3382" max="3585" width="8.85546875" style="4"/>
    <col min="3586" max="3586" width="3.7109375" style="4" customWidth="1"/>
    <col min="3587" max="3587" width="2.28515625" style="4" customWidth="1"/>
    <col min="3588" max="3589" width="3.7109375" style="4" customWidth="1"/>
    <col min="3590" max="3590" width="2.28515625" style="4" customWidth="1"/>
    <col min="3591" max="3592" width="3.7109375" style="4" customWidth="1"/>
    <col min="3593" max="3593" width="2.28515625" style="4" customWidth="1"/>
    <col min="3594" max="3595" width="3.7109375" style="4" customWidth="1"/>
    <col min="3596" max="3596" width="2.28515625" style="4" customWidth="1"/>
    <col min="3597" max="3598" width="3.7109375" style="4" customWidth="1"/>
    <col min="3599" max="3599" width="2.28515625" style="4" customWidth="1"/>
    <col min="3600" max="3601" width="3.7109375" style="4" customWidth="1"/>
    <col min="3602" max="3602" width="2.28515625" style="4" customWidth="1"/>
    <col min="3603" max="3604" width="3.7109375" style="4" customWidth="1"/>
    <col min="3605" max="3605" width="2.28515625" style="4" customWidth="1"/>
    <col min="3606" max="3607" width="3.7109375" style="4" customWidth="1"/>
    <col min="3608" max="3608" width="2.28515625" style="4" customWidth="1"/>
    <col min="3609" max="3610" width="3.7109375" style="4" customWidth="1"/>
    <col min="3611" max="3611" width="2.28515625" style="4" customWidth="1"/>
    <col min="3612" max="3613" width="3.7109375" style="4" customWidth="1"/>
    <col min="3614" max="3614" width="2.28515625" style="4" customWidth="1"/>
    <col min="3615" max="3615" width="3.7109375" style="4" customWidth="1"/>
    <col min="3616" max="3616" width="9.7109375" style="4" customWidth="1"/>
    <col min="3617" max="3626" width="3.7109375" style="4" customWidth="1"/>
    <col min="3627" max="3627" width="11" style="4" customWidth="1"/>
    <col min="3628" max="3630" width="8.85546875" style="4"/>
    <col min="3631" max="3631" width="21" style="4" customWidth="1"/>
    <col min="3632" max="3632" width="24.42578125" style="4" customWidth="1"/>
    <col min="3633" max="3633" width="15.28515625" style="4" customWidth="1"/>
    <col min="3634" max="3634" width="10.42578125" style="4" customWidth="1"/>
    <col min="3635" max="3635" width="11.28515625" style="4" customWidth="1"/>
    <col min="3636" max="3636" width="25" style="4" customWidth="1"/>
    <col min="3637" max="3637" width="6" style="4" customWidth="1"/>
    <col min="3638" max="3841" width="8.85546875" style="4"/>
    <col min="3842" max="3842" width="3.7109375" style="4" customWidth="1"/>
    <col min="3843" max="3843" width="2.28515625" style="4" customWidth="1"/>
    <col min="3844" max="3845" width="3.7109375" style="4" customWidth="1"/>
    <col min="3846" max="3846" width="2.28515625" style="4" customWidth="1"/>
    <col min="3847" max="3848" width="3.7109375" style="4" customWidth="1"/>
    <col min="3849" max="3849" width="2.28515625" style="4" customWidth="1"/>
    <col min="3850" max="3851" width="3.7109375" style="4" customWidth="1"/>
    <col min="3852" max="3852" width="2.28515625" style="4" customWidth="1"/>
    <col min="3853" max="3854" width="3.7109375" style="4" customWidth="1"/>
    <col min="3855" max="3855" width="2.28515625" style="4" customWidth="1"/>
    <col min="3856" max="3857" width="3.7109375" style="4" customWidth="1"/>
    <col min="3858" max="3858" width="2.28515625" style="4" customWidth="1"/>
    <col min="3859" max="3860" width="3.7109375" style="4" customWidth="1"/>
    <col min="3861" max="3861" width="2.28515625" style="4" customWidth="1"/>
    <col min="3862" max="3863" width="3.7109375" style="4" customWidth="1"/>
    <col min="3864" max="3864" width="2.28515625" style="4" customWidth="1"/>
    <col min="3865" max="3866" width="3.7109375" style="4" customWidth="1"/>
    <col min="3867" max="3867" width="2.28515625" style="4" customWidth="1"/>
    <col min="3868" max="3869" width="3.7109375" style="4" customWidth="1"/>
    <col min="3870" max="3870" width="2.28515625" style="4" customWidth="1"/>
    <col min="3871" max="3871" width="3.7109375" style="4" customWidth="1"/>
    <col min="3872" max="3872" width="9.7109375" style="4" customWidth="1"/>
    <col min="3873" max="3882" width="3.7109375" style="4" customWidth="1"/>
    <col min="3883" max="3883" width="11" style="4" customWidth="1"/>
    <col min="3884" max="3886" width="8.85546875" style="4"/>
    <col min="3887" max="3887" width="21" style="4" customWidth="1"/>
    <col min="3888" max="3888" width="24.42578125" style="4" customWidth="1"/>
    <col min="3889" max="3889" width="15.28515625" style="4" customWidth="1"/>
    <col min="3890" max="3890" width="10.42578125" style="4" customWidth="1"/>
    <col min="3891" max="3891" width="11.28515625" style="4" customWidth="1"/>
    <col min="3892" max="3892" width="25" style="4" customWidth="1"/>
    <col min="3893" max="3893" width="6" style="4" customWidth="1"/>
    <col min="3894" max="4097" width="8.85546875" style="4"/>
    <col min="4098" max="4098" width="3.7109375" style="4" customWidth="1"/>
    <col min="4099" max="4099" width="2.28515625" style="4" customWidth="1"/>
    <col min="4100" max="4101" width="3.7109375" style="4" customWidth="1"/>
    <col min="4102" max="4102" width="2.28515625" style="4" customWidth="1"/>
    <col min="4103" max="4104" width="3.7109375" style="4" customWidth="1"/>
    <col min="4105" max="4105" width="2.28515625" style="4" customWidth="1"/>
    <col min="4106" max="4107" width="3.7109375" style="4" customWidth="1"/>
    <col min="4108" max="4108" width="2.28515625" style="4" customWidth="1"/>
    <col min="4109" max="4110" width="3.7109375" style="4" customWidth="1"/>
    <col min="4111" max="4111" width="2.28515625" style="4" customWidth="1"/>
    <col min="4112" max="4113" width="3.7109375" style="4" customWidth="1"/>
    <col min="4114" max="4114" width="2.28515625" style="4" customWidth="1"/>
    <col min="4115" max="4116" width="3.7109375" style="4" customWidth="1"/>
    <col min="4117" max="4117" width="2.28515625" style="4" customWidth="1"/>
    <col min="4118" max="4119" width="3.7109375" style="4" customWidth="1"/>
    <col min="4120" max="4120" width="2.28515625" style="4" customWidth="1"/>
    <col min="4121" max="4122" width="3.7109375" style="4" customWidth="1"/>
    <col min="4123" max="4123" width="2.28515625" style="4" customWidth="1"/>
    <col min="4124" max="4125" width="3.7109375" style="4" customWidth="1"/>
    <col min="4126" max="4126" width="2.28515625" style="4" customWidth="1"/>
    <col min="4127" max="4127" width="3.7109375" style="4" customWidth="1"/>
    <col min="4128" max="4128" width="9.7109375" style="4" customWidth="1"/>
    <col min="4129" max="4138" width="3.7109375" style="4" customWidth="1"/>
    <col min="4139" max="4139" width="11" style="4" customWidth="1"/>
    <col min="4140" max="4142" width="8.85546875" style="4"/>
    <col min="4143" max="4143" width="21" style="4" customWidth="1"/>
    <col min="4144" max="4144" width="24.42578125" style="4" customWidth="1"/>
    <col min="4145" max="4145" width="15.28515625" style="4" customWidth="1"/>
    <col min="4146" max="4146" width="10.42578125" style="4" customWidth="1"/>
    <col min="4147" max="4147" width="11.28515625" style="4" customWidth="1"/>
    <col min="4148" max="4148" width="25" style="4" customWidth="1"/>
    <col min="4149" max="4149" width="6" style="4" customWidth="1"/>
    <col min="4150" max="4353" width="8.85546875" style="4"/>
    <col min="4354" max="4354" width="3.7109375" style="4" customWidth="1"/>
    <col min="4355" max="4355" width="2.28515625" style="4" customWidth="1"/>
    <col min="4356" max="4357" width="3.7109375" style="4" customWidth="1"/>
    <col min="4358" max="4358" width="2.28515625" style="4" customWidth="1"/>
    <col min="4359" max="4360" width="3.7109375" style="4" customWidth="1"/>
    <col min="4361" max="4361" width="2.28515625" style="4" customWidth="1"/>
    <col min="4362" max="4363" width="3.7109375" style="4" customWidth="1"/>
    <col min="4364" max="4364" width="2.28515625" style="4" customWidth="1"/>
    <col min="4365" max="4366" width="3.7109375" style="4" customWidth="1"/>
    <col min="4367" max="4367" width="2.28515625" style="4" customWidth="1"/>
    <col min="4368" max="4369" width="3.7109375" style="4" customWidth="1"/>
    <col min="4370" max="4370" width="2.28515625" style="4" customWidth="1"/>
    <col min="4371" max="4372" width="3.7109375" style="4" customWidth="1"/>
    <col min="4373" max="4373" width="2.28515625" style="4" customWidth="1"/>
    <col min="4374" max="4375" width="3.7109375" style="4" customWidth="1"/>
    <col min="4376" max="4376" width="2.28515625" style="4" customWidth="1"/>
    <col min="4377" max="4378" width="3.7109375" style="4" customWidth="1"/>
    <col min="4379" max="4379" width="2.28515625" style="4" customWidth="1"/>
    <col min="4380" max="4381" width="3.7109375" style="4" customWidth="1"/>
    <col min="4382" max="4382" width="2.28515625" style="4" customWidth="1"/>
    <col min="4383" max="4383" width="3.7109375" style="4" customWidth="1"/>
    <col min="4384" max="4384" width="9.7109375" style="4" customWidth="1"/>
    <col min="4385" max="4394" width="3.7109375" style="4" customWidth="1"/>
    <col min="4395" max="4395" width="11" style="4" customWidth="1"/>
    <col min="4396" max="4398" width="8.85546875" style="4"/>
    <col min="4399" max="4399" width="21" style="4" customWidth="1"/>
    <col min="4400" max="4400" width="24.42578125" style="4" customWidth="1"/>
    <col min="4401" max="4401" width="15.28515625" style="4" customWidth="1"/>
    <col min="4402" max="4402" width="10.42578125" style="4" customWidth="1"/>
    <col min="4403" max="4403" width="11.28515625" style="4" customWidth="1"/>
    <col min="4404" max="4404" width="25" style="4" customWidth="1"/>
    <col min="4405" max="4405" width="6" style="4" customWidth="1"/>
    <col min="4406" max="4609" width="8.85546875" style="4"/>
    <col min="4610" max="4610" width="3.7109375" style="4" customWidth="1"/>
    <col min="4611" max="4611" width="2.28515625" style="4" customWidth="1"/>
    <col min="4612" max="4613" width="3.7109375" style="4" customWidth="1"/>
    <col min="4614" max="4614" width="2.28515625" style="4" customWidth="1"/>
    <col min="4615" max="4616" width="3.7109375" style="4" customWidth="1"/>
    <col min="4617" max="4617" width="2.28515625" style="4" customWidth="1"/>
    <col min="4618" max="4619" width="3.7109375" style="4" customWidth="1"/>
    <col min="4620" max="4620" width="2.28515625" style="4" customWidth="1"/>
    <col min="4621" max="4622" width="3.7109375" style="4" customWidth="1"/>
    <col min="4623" max="4623" width="2.28515625" style="4" customWidth="1"/>
    <col min="4624" max="4625" width="3.7109375" style="4" customWidth="1"/>
    <col min="4626" max="4626" width="2.28515625" style="4" customWidth="1"/>
    <col min="4627" max="4628" width="3.7109375" style="4" customWidth="1"/>
    <col min="4629" max="4629" width="2.28515625" style="4" customWidth="1"/>
    <col min="4630" max="4631" width="3.7109375" style="4" customWidth="1"/>
    <col min="4632" max="4632" width="2.28515625" style="4" customWidth="1"/>
    <col min="4633" max="4634" width="3.7109375" style="4" customWidth="1"/>
    <col min="4635" max="4635" width="2.28515625" style="4" customWidth="1"/>
    <col min="4636" max="4637" width="3.7109375" style="4" customWidth="1"/>
    <col min="4638" max="4638" width="2.28515625" style="4" customWidth="1"/>
    <col min="4639" max="4639" width="3.7109375" style="4" customWidth="1"/>
    <col min="4640" max="4640" width="9.7109375" style="4" customWidth="1"/>
    <col min="4641" max="4650" width="3.7109375" style="4" customWidth="1"/>
    <col min="4651" max="4651" width="11" style="4" customWidth="1"/>
    <col min="4652" max="4654" width="8.85546875" style="4"/>
    <col min="4655" max="4655" width="21" style="4" customWidth="1"/>
    <col min="4656" max="4656" width="24.42578125" style="4" customWidth="1"/>
    <col min="4657" max="4657" width="15.28515625" style="4" customWidth="1"/>
    <col min="4658" max="4658" width="10.42578125" style="4" customWidth="1"/>
    <col min="4659" max="4659" width="11.28515625" style="4" customWidth="1"/>
    <col min="4660" max="4660" width="25" style="4" customWidth="1"/>
    <col min="4661" max="4661" width="6" style="4" customWidth="1"/>
    <col min="4662" max="4865" width="8.85546875" style="4"/>
    <col min="4866" max="4866" width="3.7109375" style="4" customWidth="1"/>
    <col min="4867" max="4867" width="2.28515625" style="4" customWidth="1"/>
    <col min="4868" max="4869" width="3.7109375" style="4" customWidth="1"/>
    <col min="4870" max="4870" width="2.28515625" style="4" customWidth="1"/>
    <col min="4871" max="4872" width="3.7109375" style="4" customWidth="1"/>
    <col min="4873" max="4873" width="2.28515625" style="4" customWidth="1"/>
    <col min="4874" max="4875" width="3.7109375" style="4" customWidth="1"/>
    <col min="4876" max="4876" width="2.28515625" style="4" customWidth="1"/>
    <col min="4877" max="4878" width="3.7109375" style="4" customWidth="1"/>
    <col min="4879" max="4879" width="2.28515625" style="4" customWidth="1"/>
    <col min="4880" max="4881" width="3.7109375" style="4" customWidth="1"/>
    <col min="4882" max="4882" width="2.28515625" style="4" customWidth="1"/>
    <col min="4883" max="4884" width="3.7109375" style="4" customWidth="1"/>
    <col min="4885" max="4885" width="2.28515625" style="4" customWidth="1"/>
    <col min="4886" max="4887" width="3.7109375" style="4" customWidth="1"/>
    <col min="4888" max="4888" width="2.28515625" style="4" customWidth="1"/>
    <col min="4889" max="4890" width="3.7109375" style="4" customWidth="1"/>
    <col min="4891" max="4891" width="2.28515625" style="4" customWidth="1"/>
    <col min="4892" max="4893" width="3.7109375" style="4" customWidth="1"/>
    <col min="4894" max="4894" width="2.28515625" style="4" customWidth="1"/>
    <col min="4895" max="4895" width="3.7109375" style="4" customWidth="1"/>
    <col min="4896" max="4896" width="9.7109375" style="4" customWidth="1"/>
    <col min="4897" max="4906" width="3.7109375" style="4" customWidth="1"/>
    <col min="4907" max="4907" width="11" style="4" customWidth="1"/>
    <col min="4908" max="4910" width="8.85546875" style="4"/>
    <col min="4911" max="4911" width="21" style="4" customWidth="1"/>
    <col min="4912" max="4912" width="24.42578125" style="4" customWidth="1"/>
    <col min="4913" max="4913" width="15.28515625" style="4" customWidth="1"/>
    <col min="4914" max="4914" width="10.42578125" style="4" customWidth="1"/>
    <col min="4915" max="4915" width="11.28515625" style="4" customWidth="1"/>
    <col min="4916" max="4916" width="25" style="4" customWidth="1"/>
    <col min="4917" max="4917" width="6" style="4" customWidth="1"/>
    <col min="4918" max="5121" width="8.85546875" style="4"/>
    <col min="5122" max="5122" width="3.7109375" style="4" customWidth="1"/>
    <col min="5123" max="5123" width="2.28515625" style="4" customWidth="1"/>
    <col min="5124" max="5125" width="3.7109375" style="4" customWidth="1"/>
    <col min="5126" max="5126" width="2.28515625" style="4" customWidth="1"/>
    <col min="5127" max="5128" width="3.7109375" style="4" customWidth="1"/>
    <col min="5129" max="5129" width="2.28515625" style="4" customWidth="1"/>
    <col min="5130" max="5131" width="3.7109375" style="4" customWidth="1"/>
    <col min="5132" max="5132" width="2.28515625" style="4" customWidth="1"/>
    <col min="5133" max="5134" width="3.7109375" style="4" customWidth="1"/>
    <col min="5135" max="5135" width="2.28515625" style="4" customWidth="1"/>
    <col min="5136" max="5137" width="3.7109375" style="4" customWidth="1"/>
    <col min="5138" max="5138" width="2.28515625" style="4" customWidth="1"/>
    <col min="5139" max="5140" width="3.7109375" style="4" customWidth="1"/>
    <col min="5141" max="5141" width="2.28515625" style="4" customWidth="1"/>
    <col min="5142" max="5143" width="3.7109375" style="4" customWidth="1"/>
    <col min="5144" max="5144" width="2.28515625" style="4" customWidth="1"/>
    <col min="5145" max="5146" width="3.7109375" style="4" customWidth="1"/>
    <col min="5147" max="5147" width="2.28515625" style="4" customWidth="1"/>
    <col min="5148" max="5149" width="3.7109375" style="4" customWidth="1"/>
    <col min="5150" max="5150" width="2.28515625" style="4" customWidth="1"/>
    <col min="5151" max="5151" width="3.7109375" style="4" customWidth="1"/>
    <col min="5152" max="5152" width="9.7109375" style="4" customWidth="1"/>
    <col min="5153" max="5162" width="3.7109375" style="4" customWidth="1"/>
    <col min="5163" max="5163" width="11" style="4" customWidth="1"/>
    <col min="5164" max="5166" width="8.85546875" style="4"/>
    <col min="5167" max="5167" width="21" style="4" customWidth="1"/>
    <col min="5168" max="5168" width="24.42578125" style="4" customWidth="1"/>
    <col min="5169" max="5169" width="15.28515625" style="4" customWidth="1"/>
    <col min="5170" max="5170" width="10.42578125" style="4" customWidth="1"/>
    <col min="5171" max="5171" width="11.28515625" style="4" customWidth="1"/>
    <col min="5172" max="5172" width="25" style="4" customWidth="1"/>
    <col min="5173" max="5173" width="6" style="4" customWidth="1"/>
    <col min="5174" max="5377" width="8.85546875" style="4"/>
    <col min="5378" max="5378" width="3.7109375" style="4" customWidth="1"/>
    <col min="5379" max="5379" width="2.28515625" style="4" customWidth="1"/>
    <col min="5380" max="5381" width="3.7109375" style="4" customWidth="1"/>
    <col min="5382" max="5382" width="2.28515625" style="4" customWidth="1"/>
    <col min="5383" max="5384" width="3.7109375" style="4" customWidth="1"/>
    <col min="5385" max="5385" width="2.28515625" style="4" customWidth="1"/>
    <col min="5386" max="5387" width="3.7109375" style="4" customWidth="1"/>
    <col min="5388" max="5388" width="2.28515625" style="4" customWidth="1"/>
    <col min="5389" max="5390" width="3.7109375" style="4" customWidth="1"/>
    <col min="5391" max="5391" width="2.28515625" style="4" customWidth="1"/>
    <col min="5392" max="5393" width="3.7109375" style="4" customWidth="1"/>
    <col min="5394" max="5394" width="2.28515625" style="4" customWidth="1"/>
    <col min="5395" max="5396" width="3.7109375" style="4" customWidth="1"/>
    <col min="5397" max="5397" width="2.28515625" style="4" customWidth="1"/>
    <col min="5398" max="5399" width="3.7109375" style="4" customWidth="1"/>
    <col min="5400" max="5400" width="2.28515625" style="4" customWidth="1"/>
    <col min="5401" max="5402" width="3.7109375" style="4" customWidth="1"/>
    <col min="5403" max="5403" width="2.28515625" style="4" customWidth="1"/>
    <col min="5404" max="5405" width="3.7109375" style="4" customWidth="1"/>
    <col min="5406" max="5406" width="2.28515625" style="4" customWidth="1"/>
    <col min="5407" max="5407" width="3.7109375" style="4" customWidth="1"/>
    <col min="5408" max="5408" width="9.7109375" style="4" customWidth="1"/>
    <col min="5409" max="5418" width="3.7109375" style="4" customWidth="1"/>
    <col min="5419" max="5419" width="11" style="4" customWidth="1"/>
    <col min="5420" max="5422" width="8.85546875" style="4"/>
    <col min="5423" max="5423" width="21" style="4" customWidth="1"/>
    <col min="5424" max="5424" width="24.42578125" style="4" customWidth="1"/>
    <col min="5425" max="5425" width="15.28515625" style="4" customWidth="1"/>
    <col min="5426" max="5426" width="10.42578125" style="4" customWidth="1"/>
    <col min="5427" max="5427" width="11.28515625" style="4" customWidth="1"/>
    <col min="5428" max="5428" width="25" style="4" customWidth="1"/>
    <col min="5429" max="5429" width="6" style="4" customWidth="1"/>
    <col min="5430" max="5633" width="8.85546875" style="4"/>
    <col min="5634" max="5634" width="3.7109375" style="4" customWidth="1"/>
    <col min="5635" max="5635" width="2.28515625" style="4" customWidth="1"/>
    <col min="5636" max="5637" width="3.7109375" style="4" customWidth="1"/>
    <col min="5638" max="5638" width="2.28515625" style="4" customWidth="1"/>
    <col min="5639" max="5640" width="3.7109375" style="4" customWidth="1"/>
    <col min="5641" max="5641" width="2.28515625" style="4" customWidth="1"/>
    <col min="5642" max="5643" width="3.7109375" style="4" customWidth="1"/>
    <col min="5644" max="5644" width="2.28515625" style="4" customWidth="1"/>
    <col min="5645" max="5646" width="3.7109375" style="4" customWidth="1"/>
    <col min="5647" max="5647" width="2.28515625" style="4" customWidth="1"/>
    <col min="5648" max="5649" width="3.7109375" style="4" customWidth="1"/>
    <col min="5650" max="5650" width="2.28515625" style="4" customWidth="1"/>
    <col min="5651" max="5652" width="3.7109375" style="4" customWidth="1"/>
    <col min="5653" max="5653" width="2.28515625" style="4" customWidth="1"/>
    <col min="5654" max="5655" width="3.7109375" style="4" customWidth="1"/>
    <col min="5656" max="5656" width="2.28515625" style="4" customWidth="1"/>
    <col min="5657" max="5658" width="3.7109375" style="4" customWidth="1"/>
    <col min="5659" max="5659" width="2.28515625" style="4" customWidth="1"/>
    <col min="5660" max="5661" width="3.7109375" style="4" customWidth="1"/>
    <col min="5662" max="5662" width="2.28515625" style="4" customWidth="1"/>
    <col min="5663" max="5663" width="3.7109375" style="4" customWidth="1"/>
    <col min="5664" max="5664" width="9.7109375" style="4" customWidth="1"/>
    <col min="5665" max="5674" width="3.7109375" style="4" customWidth="1"/>
    <col min="5675" max="5675" width="11" style="4" customWidth="1"/>
    <col min="5676" max="5678" width="8.85546875" style="4"/>
    <col min="5679" max="5679" width="21" style="4" customWidth="1"/>
    <col min="5680" max="5680" width="24.42578125" style="4" customWidth="1"/>
    <col min="5681" max="5681" width="15.28515625" style="4" customWidth="1"/>
    <col min="5682" max="5682" width="10.42578125" style="4" customWidth="1"/>
    <col min="5683" max="5683" width="11.28515625" style="4" customWidth="1"/>
    <col min="5684" max="5684" width="25" style="4" customWidth="1"/>
    <col min="5685" max="5685" width="6" style="4" customWidth="1"/>
    <col min="5686" max="5889" width="8.85546875" style="4"/>
    <col min="5890" max="5890" width="3.7109375" style="4" customWidth="1"/>
    <col min="5891" max="5891" width="2.28515625" style="4" customWidth="1"/>
    <col min="5892" max="5893" width="3.7109375" style="4" customWidth="1"/>
    <col min="5894" max="5894" width="2.28515625" style="4" customWidth="1"/>
    <col min="5895" max="5896" width="3.7109375" style="4" customWidth="1"/>
    <col min="5897" max="5897" width="2.28515625" style="4" customWidth="1"/>
    <col min="5898" max="5899" width="3.7109375" style="4" customWidth="1"/>
    <col min="5900" max="5900" width="2.28515625" style="4" customWidth="1"/>
    <col min="5901" max="5902" width="3.7109375" style="4" customWidth="1"/>
    <col min="5903" max="5903" width="2.28515625" style="4" customWidth="1"/>
    <col min="5904" max="5905" width="3.7109375" style="4" customWidth="1"/>
    <col min="5906" max="5906" width="2.28515625" style="4" customWidth="1"/>
    <col min="5907" max="5908" width="3.7109375" style="4" customWidth="1"/>
    <col min="5909" max="5909" width="2.28515625" style="4" customWidth="1"/>
    <col min="5910" max="5911" width="3.7109375" style="4" customWidth="1"/>
    <col min="5912" max="5912" width="2.28515625" style="4" customWidth="1"/>
    <col min="5913" max="5914" width="3.7109375" style="4" customWidth="1"/>
    <col min="5915" max="5915" width="2.28515625" style="4" customWidth="1"/>
    <col min="5916" max="5917" width="3.7109375" style="4" customWidth="1"/>
    <col min="5918" max="5918" width="2.28515625" style="4" customWidth="1"/>
    <col min="5919" max="5919" width="3.7109375" style="4" customWidth="1"/>
    <col min="5920" max="5920" width="9.7109375" style="4" customWidth="1"/>
    <col min="5921" max="5930" width="3.7109375" style="4" customWidth="1"/>
    <col min="5931" max="5931" width="11" style="4" customWidth="1"/>
    <col min="5932" max="5934" width="8.85546875" style="4"/>
    <col min="5935" max="5935" width="21" style="4" customWidth="1"/>
    <col min="5936" max="5936" width="24.42578125" style="4" customWidth="1"/>
    <col min="5937" max="5937" width="15.28515625" style="4" customWidth="1"/>
    <col min="5938" max="5938" width="10.42578125" style="4" customWidth="1"/>
    <col min="5939" max="5939" width="11.28515625" style="4" customWidth="1"/>
    <col min="5940" max="5940" width="25" style="4" customWidth="1"/>
    <col min="5941" max="5941" width="6" style="4" customWidth="1"/>
    <col min="5942" max="6145" width="8.85546875" style="4"/>
    <col min="6146" max="6146" width="3.7109375" style="4" customWidth="1"/>
    <col min="6147" max="6147" width="2.28515625" style="4" customWidth="1"/>
    <col min="6148" max="6149" width="3.7109375" style="4" customWidth="1"/>
    <col min="6150" max="6150" width="2.28515625" style="4" customWidth="1"/>
    <col min="6151" max="6152" width="3.7109375" style="4" customWidth="1"/>
    <col min="6153" max="6153" width="2.28515625" style="4" customWidth="1"/>
    <col min="6154" max="6155" width="3.7109375" style="4" customWidth="1"/>
    <col min="6156" max="6156" width="2.28515625" style="4" customWidth="1"/>
    <col min="6157" max="6158" width="3.7109375" style="4" customWidth="1"/>
    <col min="6159" max="6159" width="2.28515625" style="4" customWidth="1"/>
    <col min="6160" max="6161" width="3.7109375" style="4" customWidth="1"/>
    <col min="6162" max="6162" width="2.28515625" style="4" customWidth="1"/>
    <col min="6163" max="6164" width="3.7109375" style="4" customWidth="1"/>
    <col min="6165" max="6165" width="2.28515625" style="4" customWidth="1"/>
    <col min="6166" max="6167" width="3.7109375" style="4" customWidth="1"/>
    <col min="6168" max="6168" width="2.28515625" style="4" customWidth="1"/>
    <col min="6169" max="6170" width="3.7109375" style="4" customWidth="1"/>
    <col min="6171" max="6171" width="2.28515625" style="4" customWidth="1"/>
    <col min="6172" max="6173" width="3.7109375" style="4" customWidth="1"/>
    <col min="6174" max="6174" width="2.28515625" style="4" customWidth="1"/>
    <col min="6175" max="6175" width="3.7109375" style="4" customWidth="1"/>
    <col min="6176" max="6176" width="9.7109375" style="4" customWidth="1"/>
    <col min="6177" max="6186" width="3.7109375" style="4" customWidth="1"/>
    <col min="6187" max="6187" width="11" style="4" customWidth="1"/>
    <col min="6188" max="6190" width="8.85546875" style="4"/>
    <col min="6191" max="6191" width="21" style="4" customWidth="1"/>
    <col min="6192" max="6192" width="24.42578125" style="4" customWidth="1"/>
    <col min="6193" max="6193" width="15.28515625" style="4" customWidth="1"/>
    <col min="6194" max="6194" width="10.42578125" style="4" customWidth="1"/>
    <col min="6195" max="6195" width="11.28515625" style="4" customWidth="1"/>
    <col min="6196" max="6196" width="25" style="4" customWidth="1"/>
    <col min="6197" max="6197" width="6" style="4" customWidth="1"/>
    <col min="6198" max="6401" width="8.85546875" style="4"/>
    <col min="6402" max="6402" width="3.7109375" style="4" customWidth="1"/>
    <col min="6403" max="6403" width="2.28515625" style="4" customWidth="1"/>
    <col min="6404" max="6405" width="3.7109375" style="4" customWidth="1"/>
    <col min="6406" max="6406" width="2.28515625" style="4" customWidth="1"/>
    <col min="6407" max="6408" width="3.7109375" style="4" customWidth="1"/>
    <col min="6409" max="6409" width="2.28515625" style="4" customWidth="1"/>
    <col min="6410" max="6411" width="3.7109375" style="4" customWidth="1"/>
    <col min="6412" max="6412" width="2.28515625" style="4" customWidth="1"/>
    <col min="6413" max="6414" width="3.7109375" style="4" customWidth="1"/>
    <col min="6415" max="6415" width="2.28515625" style="4" customWidth="1"/>
    <col min="6416" max="6417" width="3.7109375" style="4" customWidth="1"/>
    <col min="6418" max="6418" width="2.28515625" style="4" customWidth="1"/>
    <col min="6419" max="6420" width="3.7109375" style="4" customWidth="1"/>
    <col min="6421" max="6421" width="2.28515625" style="4" customWidth="1"/>
    <col min="6422" max="6423" width="3.7109375" style="4" customWidth="1"/>
    <col min="6424" max="6424" width="2.28515625" style="4" customWidth="1"/>
    <col min="6425" max="6426" width="3.7109375" style="4" customWidth="1"/>
    <col min="6427" max="6427" width="2.28515625" style="4" customWidth="1"/>
    <col min="6428" max="6429" width="3.7109375" style="4" customWidth="1"/>
    <col min="6430" max="6430" width="2.28515625" style="4" customWidth="1"/>
    <col min="6431" max="6431" width="3.7109375" style="4" customWidth="1"/>
    <col min="6432" max="6432" width="9.7109375" style="4" customWidth="1"/>
    <col min="6433" max="6442" width="3.7109375" style="4" customWidth="1"/>
    <col min="6443" max="6443" width="11" style="4" customWidth="1"/>
    <col min="6444" max="6446" width="8.85546875" style="4"/>
    <col min="6447" max="6447" width="21" style="4" customWidth="1"/>
    <col min="6448" max="6448" width="24.42578125" style="4" customWidth="1"/>
    <col min="6449" max="6449" width="15.28515625" style="4" customWidth="1"/>
    <col min="6450" max="6450" width="10.42578125" style="4" customWidth="1"/>
    <col min="6451" max="6451" width="11.28515625" style="4" customWidth="1"/>
    <col min="6452" max="6452" width="25" style="4" customWidth="1"/>
    <col min="6453" max="6453" width="6" style="4" customWidth="1"/>
    <col min="6454" max="6657" width="8.85546875" style="4"/>
    <col min="6658" max="6658" width="3.7109375" style="4" customWidth="1"/>
    <col min="6659" max="6659" width="2.28515625" style="4" customWidth="1"/>
    <col min="6660" max="6661" width="3.7109375" style="4" customWidth="1"/>
    <col min="6662" max="6662" width="2.28515625" style="4" customWidth="1"/>
    <col min="6663" max="6664" width="3.7109375" style="4" customWidth="1"/>
    <col min="6665" max="6665" width="2.28515625" style="4" customWidth="1"/>
    <col min="6666" max="6667" width="3.7109375" style="4" customWidth="1"/>
    <col min="6668" max="6668" width="2.28515625" style="4" customWidth="1"/>
    <col min="6669" max="6670" width="3.7109375" style="4" customWidth="1"/>
    <col min="6671" max="6671" width="2.28515625" style="4" customWidth="1"/>
    <col min="6672" max="6673" width="3.7109375" style="4" customWidth="1"/>
    <col min="6674" max="6674" width="2.28515625" style="4" customWidth="1"/>
    <col min="6675" max="6676" width="3.7109375" style="4" customWidth="1"/>
    <col min="6677" max="6677" width="2.28515625" style="4" customWidth="1"/>
    <col min="6678" max="6679" width="3.7109375" style="4" customWidth="1"/>
    <col min="6680" max="6680" width="2.28515625" style="4" customWidth="1"/>
    <col min="6681" max="6682" width="3.7109375" style="4" customWidth="1"/>
    <col min="6683" max="6683" width="2.28515625" style="4" customWidth="1"/>
    <col min="6684" max="6685" width="3.7109375" style="4" customWidth="1"/>
    <col min="6686" max="6686" width="2.28515625" style="4" customWidth="1"/>
    <col min="6687" max="6687" width="3.7109375" style="4" customWidth="1"/>
    <col min="6688" max="6688" width="9.7109375" style="4" customWidth="1"/>
    <col min="6689" max="6698" width="3.7109375" style="4" customWidth="1"/>
    <col min="6699" max="6699" width="11" style="4" customWidth="1"/>
    <col min="6700" max="6702" width="8.85546875" style="4"/>
    <col min="6703" max="6703" width="21" style="4" customWidth="1"/>
    <col min="6704" max="6704" width="24.42578125" style="4" customWidth="1"/>
    <col min="6705" max="6705" width="15.28515625" style="4" customWidth="1"/>
    <col min="6706" max="6706" width="10.42578125" style="4" customWidth="1"/>
    <col min="6707" max="6707" width="11.28515625" style="4" customWidth="1"/>
    <col min="6708" max="6708" width="25" style="4" customWidth="1"/>
    <col min="6709" max="6709" width="6" style="4" customWidth="1"/>
    <col min="6710" max="6913" width="8.85546875" style="4"/>
    <col min="6914" max="6914" width="3.7109375" style="4" customWidth="1"/>
    <col min="6915" max="6915" width="2.28515625" style="4" customWidth="1"/>
    <col min="6916" max="6917" width="3.7109375" style="4" customWidth="1"/>
    <col min="6918" max="6918" width="2.28515625" style="4" customWidth="1"/>
    <col min="6919" max="6920" width="3.7109375" style="4" customWidth="1"/>
    <col min="6921" max="6921" width="2.28515625" style="4" customWidth="1"/>
    <col min="6922" max="6923" width="3.7109375" style="4" customWidth="1"/>
    <col min="6924" max="6924" width="2.28515625" style="4" customWidth="1"/>
    <col min="6925" max="6926" width="3.7109375" style="4" customWidth="1"/>
    <col min="6927" max="6927" width="2.28515625" style="4" customWidth="1"/>
    <col min="6928" max="6929" width="3.7109375" style="4" customWidth="1"/>
    <col min="6930" max="6930" width="2.28515625" style="4" customWidth="1"/>
    <col min="6931" max="6932" width="3.7109375" style="4" customWidth="1"/>
    <col min="6933" max="6933" width="2.28515625" style="4" customWidth="1"/>
    <col min="6934" max="6935" width="3.7109375" style="4" customWidth="1"/>
    <col min="6936" max="6936" width="2.28515625" style="4" customWidth="1"/>
    <col min="6937" max="6938" width="3.7109375" style="4" customWidth="1"/>
    <col min="6939" max="6939" width="2.28515625" style="4" customWidth="1"/>
    <col min="6940" max="6941" width="3.7109375" style="4" customWidth="1"/>
    <col min="6942" max="6942" width="2.28515625" style="4" customWidth="1"/>
    <col min="6943" max="6943" width="3.7109375" style="4" customWidth="1"/>
    <col min="6944" max="6944" width="9.7109375" style="4" customWidth="1"/>
    <col min="6945" max="6954" width="3.7109375" style="4" customWidth="1"/>
    <col min="6955" max="6955" width="11" style="4" customWidth="1"/>
    <col min="6956" max="6958" width="8.85546875" style="4"/>
    <col min="6959" max="6959" width="21" style="4" customWidth="1"/>
    <col min="6960" max="6960" width="24.42578125" style="4" customWidth="1"/>
    <col min="6961" max="6961" width="15.28515625" style="4" customWidth="1"/>
    <col min="6962" max="6962" width="10.42578125" style="4" customWidth="1"/>
    <col min="6963" max="6963" width="11.28515625" style="4" customWidth="1"/>
    <col min="6964" max="6964" width="25" style="4" customWidth="1"/>
    <col min="6965" max="6965" width="6" style="4" customWidth="1"/>
    <col min="6966" max="7169" width="8.85546875" style="4"/>
    <col min="7170" max="7170" width="3.7109375" style="4" customWidth="1"/>
    <col min="7171" max="7171" width="2.28515625" style="4" customWidth="1"/>
    <col min="7172" max="7173" width="3.7109375" style="4" customWidth="1"/>
    <col min="7174" max="7174" width="2.28515625" style="4" customWidth="1"/>
    <col min="7175" max="7176" width="3.7109375" style="4" customWidth="1"/>
    <col min="7177" max="7177" width="2.28515625" style="4" customWidth="1"/>
    <col min="7178" max="7179" width="3.7109375" style="4" customWidth="1"/>
    <col min="7180" max="7180" width="2.28515625" style="4" customWidth="1"/>
    <col min="7181" max="7182" width="3.7109375" style="4" customWidth="1"/>
    <col min="7183" max="7183" width="2.28515625" style="4" customWidth="1"/>
    <col min="7184" max="7185" width="3.7109375" style="4" customWidth="1"/>
    <col min="7186" max="7186" width="2.28515625" style="4" customWidth="1"/>
    <col min="7187" max="7188" width="3.7109375" style="4" customWidth="1"/>
    <col min="7189" max="7189" width="2.28515625" style="4" customWidth="1"/>
    <col min="7190" max="7191" width="3.7109375" style="4" customWidth="1"/>
    <col min="7192" max="7192" width="2.28515625" style="4" customWidth="1"/>
    <col min="7193" max="7194" width="3.7109375" style="4" customWidth="1"/>
    <col min="7195" max="7195" width="2.28515625" style="4" customWidth="1"/>
    <col min="7196" max="7197" width="3.7109375" style="4" customWidth="1"/>
    <col min="7198" max="7198" width="2.28515625" style="4" customWidth="1"/>
    <col min="7199" max="7199" width="3.7109375" style="4" customWidth="1"/>
    <col min="7200" max="7200" width="9.7109375" style="4" customWidth="1"/>
    <col min="7201" max="7210" width="3.7109375" style="4" customWidth="1"/>
    <col min="7211" max="7211" width="11" style="4" customWidth="1"/>
    <col min="7212" max="7214" width="8.85546875" style="4"/>
    <col min="7215" max="7215" width="21" style="4" customWidth="1"/>
    <col min="7216" max="7216" width="24.42578125" style="4" customWidth="1"/>
    <col min="7217" max="7217" width="15.28515625" style="4" customWidth="1"/>
    <col min="7218" max="7218" width="10.42578125" style="4" customWidth="1"/>
    <col min="7219" max="7219" width="11.28515625" style="4" customWidth="1"/>
    <col min="7220" max="7220" width="25" style="4" customWidth="1"/>
    <col min="7221" max="7221" width="6" style="4" customWidth="1"/>
    <col min="7222" max="7425" width="8.85546875" style="4"/>
    <col min="7426" max="7426" width="3.7109375" style="4" customWidth="1"/>
    <col min="7427" max="7427" width="2.28515625" style="4" customWidth="1"/>
    <col min="7428" max="7429" width="3.7109375" style="4" customWidth="1"/>
    <col min="7430" max="7430" width="2.28515625" style="4" customWidth="1"/>
    <col min="7431" max="7432" width="3.7109375" style="4" customWidth="1"/>
    <col min="7433" max="7433" width="2.28515625" style="4" customWidth="1"/>
    <col min="7434" max="7435" width="3.7109375" style="4" customWidth="1"/>
    <col min="7436" max="7436" width="2.28515625" style="4" customWidth="1"/>
    <col min="7437" max="7438" width="3.7109375" style="4" customWidth="1"/>
    <col min="7439" max="7439" width="2.28515625" style="4" customWidth="1"/>
    <col min="7440" max="7441" width="3.7109375" style="4" customWidth="1"/>
    <col min="7442" max="7442" width="2.28515625" style="4" customWidth="1"/>
    <col min="7443" max="7444" width="3.7109375" style="4" customWidth="1"/>
    <col min="7445" max="7445" width="2.28515625" style="4" customWidth="1"/>
    <col min="7446" max="7447" width="3.7109375" style="4" customWidth="1"/>
    <col min="7448" max="7448" width="2.28515625" style="4" customWidth="1"/>
    <col min="7449" max="7450" width="3.7109375" style="4" customWidth="1"/>
    <col min="7451" max="7451" width="2.28515625" style="4" customWidth="1"/>
    <col min="7452" max="7453" width="3.7109375" style="4" customWidth="1"/>
    <col min="7454" max="7454" width="2.28515625" style="4" customWidth="1"/>
    <col min="7455" max="7455" width="3.7109375" style="4" customWidth="1"/>
    <col min="7456" max="7456" width="9.7109375" style="4" customWidth="1"/>
    <col min="7457" max="7466" width="3.7109375" style="4" customWidth="1"/>
    <col min="7467" max="7467" width="11" style="4" customWidth="1"/>
    <col min="7468" max="7470" width="8.85546875" style="4"/>
    <col min="7471" max="7471" width="21" style="4" customWidth="1"/>
    <col min="7472" max="7472" width="24.42578125" style="4" customWidth="1"/>
    <col min="7473" max="7473" width="15.28515625" style="4" customWidth="1"/>
    <col min="7474" max="7474" width="10.42578125" style="4" customWidth="1"/>
    <col min="7475" max="7475" width="11.28515625" style="4" customWidth="1"/>
    <col min="7476" max="7476" width="25" style="4" customWidth="1"/>
    <col min="7477" max="7477" width="6" style="4" customWidth="1"/>
    <col min="7478" max="7681" width="8.85546875" style="4"/>
    <col min="7682" max="7682" width="3.7109375" style="4" customWidth="1"/>
    <col min="7683" max="7683" width="2.28515625" style="4" customWidth="1"/>
    <col min="7684" max="7685" width="3.7109375" style="4" customWidth="1"/>
    <col min="7686" max="7686" width="2.28515625" style="4" customWidth="1"/>
    <col min="7687" max="7688" width="3.7109375" style="4" customWidth="1"/>
    <col min="7689" max="7689" width="2.28515625" style="4" customWidth="1"/>
    <col min="7690" max="7691" width="3.7109375" style="4" customWidth="1"/>
    <col min="7692" max="7692" width="2.28515625" style="4" customWidth="1"/>
    <col min="7693" max="7694" width="3.7109375" style="4" customWidth="1"/>
    <col min="7695" max="7695" width="2.28515625" style="4" customWidth="1"/>
    <col min="7696" max="7697" width="3.7109375" style="4" customWidth="1"/>
    <col min="7698" max="7698" width="2.28515625" style="4" customWidth="1"/>
    <col min="7699" max="7700" width="3.7109375" style="4" customWidth="1"/>
    <col min="7701" max="7701" width="2.28515625" style="4" customWidth="1"/>
    <col min="7702" max="7703" width="3.7109375" style="4" customWidth="1"/>
    <col min="7704" max="7704" width="2.28515625" style="4" customWidth="1"/>
    <col min="7705" max="7706" width="3.7109375" style="4" customWidth="1"/>
    <col min="7707" max="7707" width="2.28515625" style="4" customWidth="1"/>
    <col min="7708" max="7709" width="3.7109375" style="4" customWidth="1"/>
    <col min="7710" max="7710" width="2.28515625" style="4" customWidth="1"/>
    <col min="7711" max="7711" width="3.7109375" style="4" customWidth="1"/>
    <col min="7712" max="7712" width="9.7109375" style="4" customWidth="1"/>
    <col min="7713" max="7722" width="3.7109375" style="4" customWidth="1"/>
    <col min="7723" max="7723" width="11" style="4" customWidth="1"/>
    <col min="7724" max="7726" width="8.85546875" style="4"/>
    <col min="7727" max="7727" width="21" style="4" customWidth="1"/>
    <col min="7728" max="7728" width="24.42578125" style="4" customWidth="1"/>
    <col min="7729" max="7729" width="15.28515625" style="4" customWidth="1"/>
    <col min="7730" max="7730" width="10.42578125" style="4" customWidth="1"/>
    <col min="7731" max="7731" width="11.28515625" style="4" customWidth="1"/>
    <col min="7732" max="7732" width="25" style="4" customWidth="1"/>
    <col min="7733" max="7733" width="6" style="4" customWidth="1"/>
    <col min="7734" max="7937" width="8.85546875" style="4"/>
    <col min="7938" max="7938" width="3.7109375" style="4" customWidth="1"/>
    <col min="7939" max="7939" width="2.28515625" style="4" customWidth="1"/>
    <col min="7940" max="7941" width="3.7109375" style="4" customWidth="1"/>
    <col min="7942" max="7942" width="2.28515625" style="4" customWidth="1"/>
    <col min="7943" max="7944" width="3.7109375" style="4" customWidth="1"/>
    <col min="7945" max="7945" width="2.28515625" style="4" customWidth="1"/>
    <col min="7946" max="7947" width="3.7109375" style="4" customWidth="1"/>
    <col min="7948" max="7948" width="2.28515625" style="4" customWidth="1"/>
    <col min="7949" max="7950" width="3.7109375" style="4" customWidth="1"/>
    <col min="7951" max="7951" width="2.28515625" style="4" customWidth="1"/>
    <col min="7952" max="7953" width="3.7109375" style="4" customWidth="1"/>
    <col min="7954" max="7954" width="2.28515625" style="4" customWidth="1"/>
    <col min="7955" max="7956" width="3.7109375" style="4" customWidth="1"/>
    <col min="7957" max="7957" width="2.28515625" style="4" customWidth="1"/>
    <col min="7958" max="7959" width="3.7109375" style="4" customWidth="1"/>
    <col min="7960" max="7960" width="2.28515625" style="4" customWidth="1"/>
    <col min="7961" max="7962" width="3.7109375" style="4" customWidth="1"/>
    <col min="7963" max="7963" width="2.28515625" style="4" customWidth="1"/>
    <col min="7964" max="7965" width="3.7109375" style="4" customWidth="1"/>
    <col min="7966" max="7966" width="2.28515625" style="4" customWidth="1"/>
    <col min="7967" max="7967" width="3.7109375" style="4" customWidth="1"/>
    <col min="7968" max="7968" width="9.7109375" style="4" customWidth="1"/>
    <col min="7969" max="7978" width="3.7109375" style="4" customWidth="1"/>
    <col min="7979" max="7979" width="11" style="4" customWidth="1"/>
    <col min="7980" max="7982" width="8.85546875" style="4"/>
    <col min="7983" max="7983" width="21" style="4" customWidth="1"/>
    <col min="7984" max="7984" width="24.42578125" style="4" customWidth="1"/>
    <col min="7985" max="7985" width="15.28515625" style="4" customWidth="1"/>
    <col min="7986" max="7986" width="10.42578125" style="4" customWidth="1"/>
    <col min="7987" max="7987" width="11.28515625" style="4" customWidth="1"/>
    <col min="7988" max="7988" width="25" style="4" customWidth="1"/>
    <col min="7989" max="7989" width="6" style="4" customWidth="1"/>
    <col min="7990" max="8193" width="8.85546875" style="4"/>
    <col min="8194" max="8194" width="3.7109375" style="4" customWidth="1"/>
    <col min="8195" max="8195" width="2.28515625" style="4" customWidth="1"/>
    <col min="8196" max="8197" width="3.7109375" style="4" customWidth="1"/>
    <col min="8198" max="8198" width="2.28515625" style="4" customWidth="1"/>
    <col min="8199" max="8200" width="3.7109375" style="4" customWidth="1"/>
    <col min="8201" max="8201" width="2.28515625" style="4" customWidth="1"/>
    <col min="8202" max="8203" width="3.7109375" style="4" customWidth="1"/>
    <col min="8204" max="8204" width="2.28515625" style="4" customWidth="1"/>
    <col min="8205" max="8206" width="3.7109375" style="4" customWidth="1"/>
    <col min="8207" max="8207" width="2.28515625" style="4" customWidth="1"/>
    <col min="8208" max="8209" width="3.7109375" style="4" customWidth="1"/>
    <col min="8210" max="8210" width="2.28515625" style="4" customWidth="1"/>
    <col min="8211" max="8212" width="3.7109375" style="4" customWidth="1"/>
    <col min="8213" max="8213" width="2.28515625" style="4" customWidth="1"/>
    <col min="8214" max="8215" width="3.7109375" style="4" customWidth="1"/>
    <col min="8216" max="8216" width="2.28515625" style="4" customWidth="1"/>
    <col min="8217" max="8218" width="3.7109375" style="4" customWidth="1"/>
    <col min="8219" max="8219" width="2.28515625" style="4" customWidth="1"/>
    <col min="8220" max="8221" width="3.7109375" style="4" customWidth="1"/>
    <col min="8222" max="8222" width="2.28515625" style="4" customWidth="1"/>
    <col min="8223" max="8223" width="3.7109375" style="4" customWidth="1"/>
    <col min="8224" max="8224" width="9.7109375" style="4" customWidth="1"/>
    <col min="8225" max="8234" width="3.7109375" style="4" customWidth="1"/>
    <col min="8235" max="8235" width="11" style="4" customWidth="1"/>
    <col min="8236" max="8238" width="8.85546875" style="4"/>
    <col min="8239" max="8239" width="21" style="4" customWidth="1"/>
    <col min="8240" max="8240" width="24.42578125" style="4" customWidth="1"/>
    <col min="8241" max="8241" width="15.28515625" style="4" customWidth="1"/>
    <col min="8242" max="8242" width="10.42578125" style="4" customWidth="1"/>
    <col min="8243" max="8243" width="11.28515625" style="4" customWidth="1"/>
    <col min="8244" max="8244" width="25" style="4" customWidth="1"/>
    <col min="8245" max="8245" width="6" style="4" customWidth="1"/>
    <col min="8246" max="8449" width="8.85546875" style="4"/>
    <col min="8450" max="8450" width="3.7109375" style="4" customWidth="1"/>
    <col min="8451" max="8451" width="2.28515625" style="4" customWidth="1"/>
    <col min="8452" max="8453" width="3.7109375" style="4" customWidth="1"/>
    <col min="8454" max="8454" width="2.28515625" style="4" customWidth="1"/>
    <col min="8455" max="8456" width="3.7109375" style="4" customWidth="1"/>
    <col min="8457" max="8457" width="2.28515625" style="4" customWidth="1"/>
    <col min="8458" max="8459" width="3.7109375" style="4" customWidth="1"/>
    <col min="8460" max="8460" width="2.28515625" style="4" customWidth="1"/>
    <col min="8461" max="8462" width="3.7109375" style="4" customWidth="1"/>
    <col min="8463" max="8463" width="2.28515625" style="4" customWidth="1"/>
    <col min="8464" max="8465" width="3.7109375" style="4" customWidth="1"/>
    <col min="8466" max="8466" width="2.28515625" style="4" customWidth="1"/>
    <col min="8467" max="8468" width="3.7109375" style="4" customWidth="1"/>
    <col min="8469" max="8469" width="2.28515625" style="4" customWidth="1"/>
    <col min="8470" max="8471" width="3.7109375" style="4" customWidth="1"/>
    <col min="8472" max="8472" width="2.28515625" style="4" customWidth="1"/>
    <col min="8473" max="8474" width="3.7109375" style="4" customWidth="1"/>
    <col min="8475" max="8475" width="2.28515625" style="4" customWidth="1"/>
    <col min="8476" max="8477" width="3.7109375" style="4" customWidth="1"/>
    <col min="8478" max="8478" width="2.28515625" style="4" customWidth="1"/>
    <col min="8479" max="8479" width="3.7109375" style="4" customWidth="1"/>
    <col min="8480" max="8480" width="9.7109375" style="4" customWidth="1"/>
    <col min="8481" max="8490" width="3.7109375" style="4" customWidth="1"/>
    <col min="8491" max="8491" width="11" style="4" customWidth="1"/>
    <col min="8492" max="8494" width="8.85546875" style="4"/>
    <col min="8495" max="8495" width="21" style="4" customWidth="1"/>
    <col min="8496" max="8496" width="24.42578125" style="4" customWidth="1"/>
    <col min="8497" max="8497" width="15.28515625" style="4" customWidth="1"/>
    <col min="8498" max="8498" width="10.42578125" style="4" customWidth="1"/>
    <col min="8499" max="8499" width="11.28515625" style="4" customWidth="1"/>
    <col min="8500" max="8500" width="25" style="4" customWidth="1"/>
    <col min="8501" max="8501" width="6" style="4" customWidth="1"/>
    <col min="8502" max="8705" width="8.85546875" style="4"/>
    <col min="8706" max="8706" width="3.7109375" style="4" customWidth="1"/>
    <col min="8707" max="8707" width="2.28515625" style="4" customWidth="1"/>
    <col min="8708" max="8709" width="3.7109375" style="4" customWidth="1"/>
    <col min="8710" max="8710" width="2.28515625" style="4" customWidth="1"/>
    <col min="8711" max="8712" width="3.7109375" style="4" customWidth="1"/>
    <col min="8713" max="8713" width="2.28515625" style="4" customWidth="1"/>
    <col min="8714" max="8715" width="3.7109375" style="4" customWidth="1"/>
    <col min="8716" max="8716" width="2.28515625" style="4" customWidth="1"/>
    <col min="8717" max="8718" width="3.7109375" style="4" customWidth="1"/>
    <col min="8719" max="8719" width="2.28515625" style="4" customWidth="1"/>
    <col min="8720" max="8721" width="3.7109375" style="4" customWidth="1"/>
    <col min="8722" max="8722" width="2.28515625" style="4" customWidth="1"/>
    <col min="8723" max="8724" width="3.7109375" style="4" customWidth="1"/>
    <col min="8725" max="8725" width="2.28515625" style="4" customWidth="1"/>
    <col min="8726" max="8727" width="3.7109375" style="4" customWidth="1"/>
    <col min="8728" max="8728" width="2.28515625" style="4" customWidth="1"/>
    <col min="8729" max="8730" width="3.7109375" style="4" customWidth="1"/>
    <col min="8731" max="8731" width="2.28515625" style="4" customWidth="1"/>
    <col min="8732" max="8733" width="3.7109375" style="4" customWidth="1"/>
    <col min="8734" max="8734" width="2.28515625" style="4" customWidth="1"/>
    <col min="8735" max="8735" width="3.7109375" style="4" customWidth="1"/>
    <col min="8736" max="8736" width="9.7109375" style="4" customWidth="1"/>
    <col min="8737" max="8746" width="3.7109375" style="4" customWidth="1"/>
    <col min="8747" max="8747" width="11" style="4" customWidth="1"/>
    <col min="8748" max="8750" width="8.85546875" style="4"/>
    <col min="8751" max="8751" width="21" style="4" customWidth="1"/>
    <col min="8752" max="8752" width="24.42578125" style="4" customWidth="1"/>
    <col min="8753" max="8753" width="15.28515625" style="4" customWidth="1"/>
    <col min="8754" max="8754" width="10.42578125" style="4" customWidth="1"/>
    <col min="8755" max="8755" width="11.28515625" style="4" customWidth="1"/>
    <col min="8756" max="8756" width="25" style="4" customWidth="1"/>
    <col min="8757" max="8757" width="6" style="4" customWidth="1"/>
    <col min="8758" max="8961" width="8.85546875" style="4"/>
    <col min="8962" max="8962" width="3.7109375" style="4" customWidth="1"/>
    <col min="8963" max="8963" width="2.28515625" style="4" customWidth="1"/>
    <col min="8964" max="8965" width="3.7109375" style="4" customWidth="1"/>
    <col min="8966" max="8966" width="2.28515625" style="4" customWidth="1"/>
    <col min="8967" max="8968" width="3.7109375" style="4" customWidth="1"/>
    <col min="8969" max="8969" width="2.28515625" style="4" customWidth="1"/>
    <col min="8970" max="8971" width="3.7109375" style="4" customWidth="1"/>
    <col min="8972" max="8972" width="2.28515625" style="4" customWidth="1"/>
    <col min="8973" max="8974" width="3.7109375" style="4" customWidth="1"/>
    <col min="8975" max="8975" width="2.28515625" style="4" customWidth="1"/>
    <col min="8976" max="8977" width="3.7109375" style="4" customWidth="1"/>
    <col min="8978" max="8978" width="2.28515625" style="4" customWidth="1"/>
    <col min="8979" max="8980" width="3.7109375" style="4" customWidth="1"/>
    <col min="8981" max="8981" width="2.28515625" style="4" customWidth="1"/>
    <col min="8982" max="8983" width="3.7109375" style="4" customWidth="1"/>
    <col min="8984" max="8984" width="2.28515625" style="4" customWidth="1"/>
    <col min="8985" max="8986" width="3.7109375" style="4" customWidth="1"/>
    <col min="8987" max="8987" width="2.28515625" style="4" customWidth="1"/>
    <col min="8988" max="8989" width="3.7109375" style="4" customWidth="1"/>
    <col min="8990" max="8990" width="2.28515625" style="4" customWidth="1"/>
    <col min="8991" max="8991" width="3.7109375" style="4" customWidth="1"/>
    <col min="8992" max="8992" width="9.7109375" style="4" customWidth="1"/>
    <col min="8993" max="9002" width="3.7109375" style="4" customWidth="1"/>
    <col min="9003" max="9003" width="11" style="4" customWidth="1"/>
    <col min="9004" max="9006" width="8.85546875" style="4"/>
    <col min="9007" max="9007" width="21" style="4" customWidth="1"/>
    <col min="9008" max="9008" width="24.42578125" style="4" customWidth="1"/>
    <col min="9009" max="9009" width="15.28515625" style="4" customWidth="1"/>
    <col min="9010" max="9010" width="10.42578125" style="4" customWidth="1"/>
    <col min="9011" max="9011" width="11.28515625" style="4" customWidth="1"/>
    <col min="9012" max="9012" width="25" style="4" customWidth="1"/>
    <col min="9013" max="9013" width="6" style="4" customWidth="1"/>
    <col min="9014" max="9217" width="8.85546875" style="4"/>
    <col min="9218" max="9218" width="3.7109375" style="4" customWidth="1"/>
    <col min="9219" max="9219" width="2.28515625" style="4" customWidth="1"/>
    <col min="9220" max="9221" width="3.7109375" style="4" customWidth="1"/>
    <col min="9222" max="9222" width="2.28515625" style="4" customWidth="1"/>
    <col min="9223" max="9224" width="3.7109375" style="4" customWidth="1"/>
    <col min="9225" max="9225" width="2.28515625" style="4" customWidth="1"/>
    <col min="9226" max="9227" width="3.7109375" style="4" customWidth="1"/>
    <col min="9228" max="9228" width="2.28515625" style="4" customWidth="1"/>
    <col min="9229" max="9230" width="3.7109375" style="4" customWidth="1"/>
    <col min="9231" max="9231" width="2.28515625" style="4" customWidth="1"/>
    <col min="9232" max="9233" width="3.7109375" style="4" customWidth="1"/>
    <col min="9234" max="9234" width="2.28515625" style="4" customWidth="1"/>
    <col min="9235" max="9236" width="3.7109375" style="4" customWidth="1"/>
    <col min="9237" max="9237" width="2.28515625" style="4" customWidth="1"/>
    <col min="9238" max="9239" width="3.7109375" style="4" customWidth="1"/>
    <col min="9240" max="9240" width="2.28515625" style="4" customWidth="1"/>
    <col min="9241" max="9242" width="3.7109375" style="4" customWidth="1"/>
    <col min="9243" max="9243" width="2.28515625" style="4" customWidth="1"/>
    <col min="9244" max="9245" width="3.7109375" style="4" customWidth="1"/>
    <col min="9246" max="9246" width="2.28515625" style="4" customWidth="1"/>
    <col min="9247" max="9247" width="3.7109375" style="4" customWidth="1"/>
    <col min="9248" max="9248" width="9.7109375" style="4" customWidth="1"/>
    <col min="9249" max="9258" width="3.7109375" style="4" customWidth="1"/>
    <col min="9259" max="9259" width="11" style="4" customWidth="1"/>
    <col min="9260" max="9262" width="8.85546875" style="4"/>
    <col min="9263" max="9263" width="21" style="4" customWidth="1"/>
    <col min="9264" max="9264" width="24.42578125" style="4" customWidth="1"/>
    <col min="9265" max="9265" width="15.28515625" style="4" customWidth="1"/>
    <col min="9266" max="9266" width="10.42578125" style="4" customWidth="1"/>
    <col min="9267" max="9267" width="11.28515625" style="4" customWidth="1"/>
    <col min="9268" max="9268" width="25" style="4" customWidth="1"/>
    <col min="9269" max="9269" width="6" style="4" customWidth="1"/>
    <col min="9270" max="9473" width="8.85546875" style="4"/>
    <col min="9474" max="9474" width="3.7109375" style="4" customWidth="1"/>
    <col min="9475" max="9475" width="2.28515625" style="4" customWidth="1"/>
    <col min="9476" max="9477" width="3.7109375" style="4" customWidth="1"/>
    <col min="9478" max="9478" width="2.28515625" style="4" customWidth="1"/>
    <col min="9479" max="9480" width="3.7109375" style="4" customWidth="1"/>
    <col min="9481" max="9481" width="2.28515625" style="4" customWidth="1"/>
    <col min="9482" max="9483" width="3.7109375" style="4" customWidth="1"/>
    <col min="9484" max="9484" width="2.28515625" style="4" customWidth="1"/>
    <col min="9485" max="9486" width="3.7109375" style="4" customWidth="1"/>
    <col min="9487" max="9487" width="2.28515625" style="4" customWidth="1"/>
    <col min="9488" max="9489" width="3.7109375" style="4" customWidth="1"/>
    <col min="9490" max="9490" width="2.28515625" style="4" customWidth="1"/>
    <col min="9491" max="9492" width="3.7109375" style="4" customWidth="1"/>
    <col min="9493" max="9493" width="2.28515625" style="4" customWidth="1"/>
    <col min="9494" max="9495" width="3.7109375" style="4" customWidth="1"/>
    <col min="9496" max="9496" width="2.28515625" style="4" customWidth="1"/>
    <col min="9497" max="9498" width="3.7109375" style="4" customWidth="1"/>
    <col min="9499" max="9499" width="2.28515625" style="4" customWidth="1"/>
    <col min="9500" max="9501" width="3.7109375" style="4" customWidth="1"/>
    <col min="9502" max="9502" width="2.28515625" style="4" customWidth="1"/>
    <col min="9503" max="9503" width="3.7109375" style="4" customWidth="1"/>
    <col min="9504" max="9504" width="9.7109375" style="4" customWidth="1"/>
    <col min="9505" max="9514" width="3.7109375" style="4" customWidth="1"/>
    <col min="9515" max="9515" width="11" style="4" customWidth="1"/>
    <col min="9516" max="9518" width="8.85546875" style="4"/>
    <col min="9519" max="9519" width="21" style="4" customWidth="1"/>
    <col min="9520" max="9520" width="24.42578125" style="4" customWidth="1"/>
    <col min="9521" max="9521" width="15.28515625" style="4" customWidth="1"/>
    <col min="9522" max="9522" width="10.42578125" style="4" customWidth="1"/>
    <col min="9523" max="9523" width="11.28515625" style="4" customWidth="1"/>
    <col min="9524" max="9524" width="25" style="4" customWidth="1"/>
    <col min="9525" max="9525" width="6" style="4" customWidth="1"/>
    <col min="9526" max="9729" width="8.85546875" style="4"/>
    <col min="9730" max="9730" width="3.7109375" style="4" customWidth="1"/>
    <col min="9731" max="9731" width="2.28515625" style="4" customWidth="1"/>
    <col min="9732" max="9733" width="3.7109375" style="4" customWidth="1"/>
    <col min="9734" max="9734" width="2.28515625" style="4" customWidth="1"/>
    <col min="9735" max="9736" width="3.7109375" style="4" customWidth="1"/>
    <col min="9737" max="9737" width="2.28515625" style="4" customWidth="1"/>
    <col min="9738" max="9739" width="3.7109375" style="4" customWidth="1"/>
    <col min="9740" max="9740" width="2.28515625" style="4" customWidth="1"/>
    <col min="9741" max="9742" width="3.7109375" style="4" customWidth="1"/>
    <col min="9743" max="9743" width="2.28515625" style="4" customWidth="1"/>
    <col min="9744" max="9745" width="3.7109375" style="4" customWidth="1"/>
    <col min="9746" max="9746" width="2.28515625" style="4" customWidth="1"/>
    <col min="9747" max="9748" width="3.7109375" style="4" customWidth="1"/>
    <col min="9749" max="9749" width="2.28515625" style="4" customWidth="1"/>
    <col min="9750" max="9751" width="3.7109375" style="4" customWidth="1"/>
    <col min="9752" max="9752" width="2.28515625" style="4" customWidth="1"/>
    <col min="9753" max="9754" width="3.7109375" style="4" customWidth="1"/>
    <col min="9755" max="9755" width="2.28515625" style="4" customWidth="1"/>
    <col min="9756" max="9757" width="3.7109375" style="4" customWidth="1"/>
    <col min="9758" max="9758" width="2.28515625" style="4" customWidth="1"/>
    <col min="9759" max="9759" width="3.7109375" style="4" customWidth="1"/>
    <col min="9760" max="9760" width="9.7109375" style="4" customWidth="1"/>
    <col min="9761" max="9770" width="3.7109375" style="4" customWidth="1"/>
    <col min="9771" max="9771" width="11" style="4" customWidth="1"/>
    <col min="9772" max="9774" width="8.85546875" style="4"/>
    <col min="9775" max="9775" width="21" style="4" customWidth="1"/>
    <col min="9776" max="9776" width="24.42578125" style="4" customWidth="1"/>
    <col min="9777" max="9777" width="15.28515625" style="4" customWidth="1"/>
    <col min="9778" max="9778" width="10.42578125" style="4" customWidth="1"/>
    <col min="9779" max="9779" width="11.28515625" style="4" customWidth="1"/>
    <col min="9780" max="9780" width="25" style="4" customWidth="1"/>
    <col min="9781" max="9781" width="6" style="4" customWidth="1"/>
    <col min="9782" max="9985" width="8.85546875" style="4"/>
    <col min="9986" max="9986" width="3.7109375" style="4" customWidth="1"/>
    <col min="9987" max="9987" width="2.28515625" style="4" customWidth="1"/>
    <col min="9988" max="9989" width="3.7109375" style="4" customWidth="1"/>
    <col min="9990" max="9990" width="2.28515625" style="4" customWidth="1"/>
    <col min="9991" max="9992" width="3.7109375" style="4" customWidth="1"/>
    <col min="9993" max="9993" width="2.28515625" style="4" customWidth="1"/>
    <col min="9994" max="9995" width="3.7109375" style="4" customWidth="1"/>
    <col min="9996" max="9996" width="2.28515625" style="4" customWidth="1"/>
    <col min="9997" max="9998" width="3.7109375" style="4" customWidth="1"/>
    <col min="9999" max="9999" width="2.28515625" style="4" customWidth="1"/>
    <col min="10000" max="10001" width="3.7109375" style="4" customWidth="1"/>
    <col min="10002" max="10002" width="2.28515625" style="4" customWidth="1"/>
    <col min="10003" max="10004" width="3.7109375" style="4" customWidth="1"/>
    <col min="10005" max="10005" width="2.28515625" style="4" customWidth="1"/>
    <col min="10006" max="10007" width="3.7109375" style="4" customWidth="1"/>
    <col min="10008" max="10008" width="2.28515625" style="4" customWidth="1"/>
    <col min="10009" max="10010" width="3.7109375" style="4" customWidth="1"/>
    <col min="10011" max="10011" width="2.28515625" style="4" customWidth="1"/>
    <col min="10012" max="10013" width="3.7109375" style="4" customWidth="1"/>
    <col min="10014" max="10014" width="2.28515625" style="4" customWidth="1"/>
    <col min="10015" max="10015" width="3.7109375" style="4" customWidth="1"/>
    <col min="10016" max="10016" width="9.7109375" style="4" customWidth="1"/>
    <col min="10017" max="10026" width="3.7109375" style="4" customWidth="1"/>
    <col min="10027" max="10027" width="11" style="4" customWidth="1"/>
    <col min="10028" max="10030" width="8.85546875" style="4"/>
    <col min="10031" max="10031" width="21" style="4" customWidth="1"/>
    <col min="10032" max="10032" width="24.42578125" style="4" customWidth="1"/>
    <col min="10033" max="10033" width="15.28515625" style="4" customWidth="1"/>
    <col min="10034" max="10034" width="10.42578125" style="4" customWidth="1"/>
    <col min="10035" max="10035" width="11.28515625" style="4" customWidth="1"/>
    <col min="10036" max="10036" width="25" style="4" customWidth="1"/>
    <col min="10037" max="10037" width="6" style="4" customWidth="1"/>
    <col min="10038" max="10241" width="8.85546875" style="4"/>
    <col min="10242" max="10242" width="3.7109375" style="4" customWidth="1"/>
    <col min="10243" max="10243" width="2.28515625" style="4" customWidth="1"/>
    <col min="10244" max="10245" width="3.7109375" style="4" customWidth="1"/>
    <col min="10246" max="10246" width="2.28515625" style="4" customWidth="1"/>
    <col min="10247" max="10248" width="3.7109375" style="4" customWidth="1"/>
    <col min="10249" max="10249" width="2.28515625" style="4" customWidth="1"/>
    <col min="10250" max="10251" width="3.7109375" style="4" customWidth="1"/>
    <col min="10252" max="10252" width="2.28515625" style="4" customWidth="1"/>
    <col min="10253" max="10254" width="3.7109375" style="4" customWidth="1"/>
    <col min="10255" max="10255" width="2.28515625" style="4" customWidth="1"/>
    <col min="10256" max="10257" width="3.7109375" style="4" customWidth="1"/>
    <col min="10258" max="10258" width="2.28515625" style="4" customWidth="1"/>
    <col min="10259" max="10260" width="3.7109375" style="4" customWidth="1"/>
    <col min="10261" max="10261" width="2.28515625" style="4" customWidth="1"/>
    <col min="10262" max="10263" width="3.7109375" style="4" customWidth="1"/>
    <col min="10264" max="10264" width="2.28515625" style="4" customWidth="1"/>
    <col min="10265" max="10266" width="3.7109375" style="4" customWidth="1"/>
    <col min="10267" max="10267" width="2.28515625" style="4" customWidth="1"/>
    <col min="10268" max="10269" width="3.7109375" style="4" customWidth="1"/>
    <col min="10270" max="10270" width="2.28515625" style="4" customWidth="1"/>
    <col min="10271" max="10271" width="3.7109375" style="4" customWidth="1"/>
    <col min="10272" max="10272" width="9.7109375" style="4" customWidth="1"/>
    <col min="10273" max="10282" width="3.7109375" style="4" customWidth="1"/>
    <col min="10283" max="10283" width="11" style="4" customWidth="1"/>
    <col min="10284" max="10286" width="8.85546875" style="4"/>
    <col min="10287" max="10287" width="21" style="4" customWidth="1"/>
    <col min="10288" max="10288" width="24.42578125" style="4" customWidth="1"/>
    <col min="10289" max="10289" width="15.28515625" style="4" customWidth="1"/>
    <col min="10290" max="10290" width="10.42578125" style="4" customWidth="1"/>
    <col min="10291" max="10291" width="11.28515625" style="4" customWidth="1"/>
    <col min="10292" max="10292" width="25" style="4" customWidth="1"/>
    <col min="10293" max="10293" width="6" style="4" customWidth="1"/>
    <col min="10294" max="10497" width="8.85546875" style="4"/>
    <col min="10498" max="10498" width="3.7109375" style="4" customWidth="1"/>
    <col min="10499" max="10499" width="2.28515625" style="4" customWidth="1"/>
    <col min="10500" max="10501" width="3.7109375" style="4" customWidth="1"/>
    <col min="10502" max="10502" width="2.28515625" style="4" customWidth="1"/>
    <col min="10503" max="10504" width="3.7109375" style="4" customWidth="1"/>
    <col min="10505" max="10505" width="2.28515625" style="4" customWidth="1"/>
    <col min="10506" max="10507" width="3.7109375" style="4" customWidth="1"/>
    <col min="10508" max="10508" width="2.28515625" style="4" customWidth="1"/>
    <col min="10509" max="10510" width="3.7109375" style="4" customWidth="1"/>
    <col min="10511" max="10511" width="2.28515625" style="4" customWidth="1"/>
    <col min="10512" max="10513" width="3.7109375" style="4" customWidth="1"/>
    <col min="10514" max="10514" width="2.28515625" style="4" customWidth="1"/>
    <col min="10515" max="10516" width="3.7109375" style="4" customWidth="1"/>
    <col min="10517" max="10517" width="2.28515625" style="4" customWidth="1"/>
    <col min="10518" max="10519" width="3.7109375" style="4" customWidth="1"/>
    <col min="10520" max="10520" width="2.28515625" style="4" customWidth="1"/>
    <col min="10521" max="10522" width="3.7109375" style="4" customWidth="1"/>
    <col min="10523" max="10523" width="2.28515625" style="4" customWidth="1"/>
    <col min="10524" max="10525" width="3.7109375" style="4" customWidth="1"/>
    <col min="10526" max="10526" width="2.28515625" style="4" customWidth="1"/>
    <col min="10527" max="10527" width="3.7109375" style="4" customWidth="1"/>
    <col min="10528" max="10528" width="9.7109375" style="4" customWidth="1"/>
    <col min="10529" max="10538" width="3.7109375" style="4" customWidth="1"/>
    <col min="10539" max="10539" width="11" style="4" customWidth="1"/>
    <col min="10540" max="10542" width="8.85546875" style="4"/>
    <col min="10543" max="10543" width="21" style="4" customWidth="1"/>
    <col min="10544" max="10544" width="24.42578125" style="4" customWidth="1"/>
    <col min="10545" max="10545" width="15.28515625" style="4" customWidth="1"/>
    <col min="10546" max="10546" width="10.42578125" style="4" customWidth="1"/>
    <col min="10547" max="10547" width="11.28515625" style="4" customWidth="1"/>
    <col min="10548" max="10548" width="25" style="4" customWidth="1"/>
    <col min="10549" max="10549" width="6" style="4" customWidth="1"/>
    <col min="10550" max="10753" width="8.85546875" style="4"/>
    <col min="10754" max="10754" width="3.7109375" style="4" customWidth="1"/>
    <col min="10755" max="10755" width="2.28515625" style="4" customWidth="1"/>
    <col min="10756" max="10757" width="3.7109375" style="4" customWidth="1"/>
    <col min="10758" max="10758" width="2.28515625" style="4" customWidth="1"/>
    <col min="10759" max="10760" width="3.7109375" style="4" customWidth="1"/>
    <col min="10761" max="10761" width="2.28515625" style="4" customWidth="1"/>
    <col min="10762" max="10763" width="3.7109375" style="4" customWidth="1"/>
    <col min="10764" max="10764" width="2.28515625" style="4" customWidth="1"/>
    <col min="10765" max="10766" width="3.7109375" style="4" customWidth="1"/>
    <col min="10767" max="10767" width="2.28515625" style="4" customWidth="1"/>
    <col min="10768" max="10769" width="3.7109375" style="4" customWidth="1"/>
    <col min="10770" max="10770" width="2.28515625" style="4" customWidth="1"/>
    <col min="10771" max="10772" width="3.7109375" style="4" customWidth="1"/>
    <col min="10773" max="10773" width="2.28515625" style="4" customWidth="1"/>
    <col min="10774" max="10775" width="3.7109375" style="4" customWidth="1"/>
    <col min="10776" max="10776" width="2.28515625" style="4" customWidth="1"/>
    <col min="10777" max="10778" width="3.7109375" style="4" customWidth="1"/>
    <col min="10779" max="10779" width="2.28515625" style="4" customWidth="1"/>
    <col min="10780" max="10781" width="3.7109375" style="4" customWidth="1"/>
    <col min="10782" max="10782" width="2.28515625" style="4" customWidth="1"/>
    <col min="10783" max="10783" width="3.7109375" style="4" customWidth="1"/>
    <col min="10784" max="10784" width="9.7109375" style="4" customWidth="1"/>
    <col min="10785" max="10794" width="3.7109375" style="4" customWidth="1"/>
    <col min="10795" max="10795" width="11" style="4" customWidth="1"/>
    <col min="10796" max="10798" width="8.85546875" style="4"/>
    <col min="10799" max="10799" width="21" style="4" customWidth="1"/>
    <col min="10800" max="10800" width="24.42578125" style="4" customWidth="1"/>
    <col min="10801" max="10801" width="15.28515625" style="4" customWidth="1"/>
    <col min="10802" max="10802" width="10.42578125" style="4" customWidth="1"/>
    <col min="10803" max="10803" width="11.28515625" style="4" customWidth="1"/>
    <col min="10804" max="10804" width="25" style="4" customWidth="1"/>
    <col min="10805" max="10805" width="6" style="4" customWidth="1"/>
    <col min="10806" max="11009" width="8.85546875" style="4"/>
    <col min="11010" max="11010" width="3.7109375" style="4" customWidth="1"/>
    <col min="11011" max="11011" width="2.28515625" style="4" customWidth="1"/>
    <col min="11012" max="11013" width="3.7109375" style="4" customWidth="1"/>
    <col min="11014" max="11014" width="2.28515625" style="4" customWidth="1"/>
    <col min="11015" max="11016" width="3.7109375" style="4" customWidth="1"/>
    <col min="11017" max="11017" width="2.28515625" style="4" customWidth="1"/>
    <col min="11018" max="11019" width="3.7109375" style="4" customWidth="1"/>
    <col min="11020" max="11020" width="2.28515625" style="4" customWidth="1"/>
    <col min="11021" max="11022" width="3.7109375" style="4" customWidth="1"/>
    <col min="11023" max="11023" width="2.28515625" style="4" customWidth="1"/>
    <col min="11024" max="11025" width="3.7109375" style="4" customWidth="1"/>
    <col min="11026" max="11026" width="2.28515625" style="4" customWidth="1"/>
    <col min="11027" max="11028" width="3.7109375" style="4" customWidth="1"/>
    <col min="11029" max="11029" width="2.28515625" style="4" customWidth="1"/>
    <col min="11030" max="11031" width="3.7109375" style="4" customWidth="1"/>
    <col min="11032" max="11032" width="2.28515625" style="4" customWidth="1"/>
    <col min="11033" max="11034" width="3.7109375" style="4" customWidth="1"/>
    <col min="11035" max="11035" width="2.28515625" style="4" customWidth="1"/>
    <col min="11036" max="11037" width="3.7109375" style="4" customWidth="1"/>
    <col min="11038" max="11038" width="2.28515625" style="4" customWidth="1"/>
    <col min="11039" max="11039" width="3.7109375" style="4" customWidth="1"/>
    <col min="11040" max="11040" width="9.7109375" style="4" customWidth="1"/>
    <col min="11041" max="11050" width="3.7109375" style="4" customWidth="1"/>
    <col min="11051" max="11051" width="11" style="4" customWidth="1"/>
    <col min="11052" max="11054" width="8.85546875" style="4"/>
    <col min="11055" max="11055" width="21" style="4" customWidth="1"/>
    <col min="11056" max="11056" width="24.42578125" style="4" customWidth="1"/>
    <col min="11057" max="11057" width="15.28515625" style="4" customWidth="1"/>
    <col min="11058" max="11058" width="10.42578125" style="4" customWidth="1"/>
    <col min="11059" max="11059" width="11.28515625" style="4" customWidth="1"/>
    <col min="11060" max="11060" width="25" style="4" customWidth="1"/>
    <col min="11061" max="11061" width="6" style="4" customWidth="1"/>
    <col min="11062" max="11265" width="8.85546875" style="4"/>
    <col min="11266" max="11266" width="3.7109375" style="4" customWidth="1"/>
    <col min="11267" max="11267" width="2.28515625" style="4" customWidth="1"/>
    <col min="11268" max="11269" width="3.7109375" style="4" customWidth="1"/>
    <col min="11270" max="11270" width="2.28515625" style="4" customWidth="1"/>
    <col min="11271" max="11272" width="3.7109375" style="4" customWidth="1"/>
    <col min="11273" max="11273" width="2.28515625" style="4" customWidth="1"/>
    <col min="11274" max="11275" width="3.7109375" style="4" customWidth="1"/>
    <col min="11276" max="11276" width="2.28515625" style="4" customWidth="1"/>
    <col min="11277" max="11278" width="3.7109375" style="4" customWidth="1"/>
    <col min="11279" max="11279" width="2.28515625" style="4" customWidth="1"/>
    <col min="11280" max="11281" width="3.7109375" style="4" customWidth="1"/>
    <col min="11282" max="11282" width="2.28515625" style="4" customWidth="1"/>
    <col min="11283" max="11284" width="3.7109375" style="4" customWidth="1"/>
    <col min="11285" max="11285" width="2.28515625" style="4" customWidth="1"/>
    <col min="11286" max="11287" width="3.7109375" style="4" customWidth="1"/>
    <col min="11288" max="11288" width="2.28515625" style="4" customWidth="1"/>
    <col min="11289" max="11290" width="3.7109375" style="4" customWidth="1"/>
    <col min="11291" max="11291" width="2.28515625" style="4" customWidth="1"/>
    <col min="11292" max="11293" width="3.7109375" style="4" customWidth="1"/>
    <col min="11294" max="11294" width="2.28515625" style="4" customWidth="1"/>
    <col min="11295" max="11295" width="3.7109375" style="4" customWidth="1"/>
    <col min="11296" max="11296" width="9.7109375" style="4" customWidth="1"/>
    <col min="11297" max="11306" width="3.7109375" style="4" customWidth="1"/>
    <col min="11307" max="11307" width="11" style="4" customWidth="1"/>
    <col min="11308" max="11310" width="8.85546875" style="4"/>
    <col min="11311" max="11311" width="21" style="4" customWidth="1"/>
    <col min="11312" max="11312" width="24.42578125" style="4" customWidth="1"/>
    <col min="11313" max="11313" width="15.28515625" style="4" customWidth="1"/>
    <col min="11314" max="11314" width="10.42578125" style="4" customWidth="1"/>
    <col min="11315" max="11315" width="11.28515625" style="4" customWidth="1"/>
    <col min="11316" max="11316" width="25" style="4" customWidth="1"/>
    <col min="11317" max="11317" width="6" style="4" customWidth="1"/>
    <col min="11318" max="11521" width="8.85546875" style="4"/>
    <col min="11522" max="11522" width="3.7109375" style="4" customWidth="1"/>
    <col min="11523" max="11523" width="2.28515625" style="4" customWidth="1"/>
    <col min="11524" max="11525" width="3.7109375" style="4" customWidth="1"/>
    <col min="11526" max="11526" width="2.28515625" style="4" customWidth="1"/>
    <col min="11527" max="11528" width="3.7109375" style="4" customWidth="1"/>
    <col min="11529" max="11529" width="2.28515625" style="4" customWidth="1"/>
    <col min="11530" max="11531" width="3.7109375" style="4" customWidth="1"/>
    <col min="11532" max="11532" width="2.28515625" style="4" customWidth="1"/>
    <col min="11533" max="11534" width="3.7109375" style="4" customWidth="1"/>
    <col min="11535" max="11535" width="2.28515625" style="4" customWidth="1"/>
    <col min="11536" max="11537" width="3.7109375" style="4" customWidth="1"/>
    <col min="11538" max="11538" width="2.28515625" style="4" customWidth="1"/>
    <col min="11539" max="11540" width="3.7109375" style="4" customWidth="1"/>
    <col min="11541" max="11541" width="2.28515625" style="4" customWidth="1"/>
    <col min="11542" max="11543" width="3.7109375" style="4" customWidth="1"/>
    <col min="11544" max="11544" width="2.28515625" style="4" customWidth="1"/>
    <col min="11545" max="11546" width="3.7109375" style="4" customWidth="1"/>
    <col min="11547" max="11547" width="2.28515625" style="4" customWidth="1"/>
    <col min="11548" max="11549" width="3.7109375" style="4" customWidth="1"/>
    <col min="11550" max="11550" width="2.28515625" style="4" customWidth="1"/>
    <col min="11551" max="11551" width="3.7109375" style="4" customWidth="1"/>
    <col min="11552" max="11552" width="9.7109375" style="4" customWidth="1"/>
    <col min="11553" max="11562" width="3.7109375" style="4" customWidth="1"/>
    <col min="11563" max="11563" width="11" style="4" customWidth="1"/>
    <col min="11564" max="11566" width="8.85546875" style="4"/>
    <col min="11567" max="11567" width="21" style="4" customWidth="1"/>
    <col min="11568" max="11568" width="24.42578125" style="4" customWidth="1"/>
    <col min="11569" max="11569" width="15.28515625" style="4" customWidth="1"/>
    <col min="11570" max="11570" width="10.42578125" style="4" customWidth="1"/>
    <col min="11571" max="11571" width="11.28515625" style="4" customWidth="1"/>
    <col min="11572" max="11572" width="25" style="4" customWidth="1"/>
    <col min="11573" max="11573" width="6" style="4" customWidth="1"/>
    <col min="11574" max="11777" width="8.85546875" style="4"/>
    <col min="11778" max="11778" width="3.7109375" style="4" customWidth="1"/>
    <col min="11779" max="11779" width="2.28515625" style="4" customWidth="1"/>
    <col min="11780" max="11781" width="3.7109375" style="4" customWidth="1"/>
    <col min="11782" max="11782" width="2.28515625" style="4" customWidth="1"/>
    <col min="11783" max="11784" width="3.7109375" style="4" customWidth="1"/>
    <col min="11785" max="11785" width="2.28515625" style="4" customWidth="1"/>
    <col min="11786" max="11787" width="3.7109375" style="4" customWidth="1"/>
    <col min="11788" max="11788" width="2.28515625" style="4" customWidth="1"/>
    <col min="11789" max="11790" width="3.7109375" style="4" customWidth="1"/>
    <col min="11791" max="11791" width="2.28515625" style="4" customWidth="1"/>
    <col min="11792" max="11793" width="3.7109375" style="4" customWidth="1"/>
    <col min="11794" max="11794" width="2.28515625" style="4" customWidth="1"/>
    <col min="11795" max="11796" width="3.7109375" style="4" customWidth="1"/>
    <col min="11797" max="11797" width="2.28515625" style="4" customWidth="1"/>
    <col min="11798" max="11799" width="3.7109375" style="4" customWidth="1"/>
    <col min="11800" max="11800" width="2.28515625" style="4" customWidth="1"/>
    <col min="11801" max="11802" width="3.7109375" style="4" customWidth="1"/>
    <col min="11803" max="11803" width="2.28515625" style="4" customWidth="1"/>
    <col min="11804" max="11805" width="3.7109375" style="4" customWidth="1"/>
    <col min="11806" max="11806" width="2.28515625" style="4" customWidth="1"/>
    <col min="11807" max="11807" width="3.7109375" style="4" customWidth="1"/>
    <col min="11808" max="11808" width="9.7109375" style="4" customWidth="1"/>
    <col min="11809" max="11818" width="3.7109375" style="4" customWidth="1"/>
    <col min="11819" max="11819" width="11" style="4" customWidth="1"/>
    <col min="11820" max="11822" width="8.85546875" style="4"/>
    <col min="11823" max="11823" width="21" style="4" customWidth="1"/>
    <col min="11824" max="11824" width="24.42578125" style="4" customWidth="1"/>
    <col min="11825" max="11825" width="15.28515625" style="4" customWidth="1"/>
    <col min="11826" max="11826" width="10.42578125" style="4" customWidth="1"/>
    <col min="11827" max="11827" width="11.28515625" style="4" customWidth="1"/>
    <col min="11828" max="11828" width="25" style="4" customWidth="1"/>
    <col min="11829" max="11829" width="6" style="4" customWidth="1"/>
    <col min="11830" max="12033" width="8.85546875" style="4"/>
    <col min="12034" max="12034" width="3.7109375" style="4" customWidth="1"/>
    <col min="12035" max="12035" width="2.28515625" style="4" customWidth="1"/>
    <col min="12036" max="12037" width="3.7109375" style="4" customWidth="1"/>
    <col min="12038" max="12038" width="2.28515625" style="4" customWidth="1"/>
    <col min="12039" max="12040" width="3.7109375" style="4" customWidth="1"/>
    <col min="12041" max="12041" width="2.28515625" style="4" customWidth="1"/>
    <col min="12042" max="12043" width="3.7109375" style="4" customWidth="1"/>
    <col min="12044" max="12044" width="2.28515625" style="4" customWidth="1"/>
    <col min="12045" max="12046" width="3.7109375" style="4" customWidth="1"/>
    <col min="12047" max="12047" width="2.28515625" style="4" customWidth="1"/>
    <col min="12048" max="12049" width="3.7109375" style="4" customWidth="1"/>
    <col min="12050" max="12050" width="2.28515625" style="4" customWidth="1"/>
    <col min="12051" max="12052" width="3.7109375" style="4" customWidth="1"/>
    <col min="12053" max="12053" width="2.28515625" style="4" customWidth="1"/>
    <col min="12054" max="12055" width="3.7109375" style="4" customWidth="1"/>
    <col min="12056" max="12056" width="2.28515625" style="4" customWidth="1"/>
    <col min="12057" max="12058" width="3.7109375" style="4" customWidth="1"/>
    <col min="12059" max="12059" width="2.28515625" style="4" customWidth="1"/>
    <col min="12060" max="12061" width="3.7109375" style="4" customWidth="1"/>
    <col min="12062" max="12062" width="2.28515625" style="4" customWidth="1"/>
    <col min="12063" max="12063" width="3.7109375" style="4" customWidth="1"/>
    <col min="12064" max="12064" width="9.7109375" style="4" customWidth="1"/>
    <col min="12065" max="12074" width="3.7109375" style="4" customWidth="1"/>
    <col min="12075" max="12075" width="11" style="4" customWidth="1"/>
    <col min="12076" max="12078" width="8.85546875" style="4"/>
    <col min="12079" max="12079" width="21" style="4" customWidth="1"/>
    <col min="12080" max="12080" width="24.42578125" style="4" customWidth="1"/>
    <col min="12081" max="12081" width="15.28515625" style="4" customWidth="1"/>
    <col min="12082" max="12082" width="10.42578125" style="4" customWidth="1"/>
    <col min="12083" max="12083" width="11.28515625" style="4" customWidth="1"/>
    <col min="12084" max="12084" width="25" style="4" customWidth="1"/>
    <col min="12085" max="12085" width="6" style="4" customWidth="1"/>
    <col min="12086" max="12289" width="8.85546875" style="4"/>
    <col min="12290" max="12290" width="3.7109375" style="4" customWidth="1"/>
    <col min="12291" max="12291" width="2.28515625" style="4" customWidth="1"/>
    <col min="12292" max="12293" width="3.7109375" style="4" customWidth="1"/>
    <col min="12294" max="12294" width="2.28515625" style="4" customWidth="1"/>
    <col min="12295" max="12296" width="3.7109375" style="4" customWidth="1"/>
    <col min="12297" max="12297" width="2.28515625" style="4" customWidth="1"/>
    <col min="12298" max="12299" width="3.7109375" style="4" customWidth="1"/>
    <col min="12300" max="12300" width="2.28515625" style="4" customWidth="1"/>
    <col min="12301" max="12302" width="3.7109375" style="4" customWidth="1"/>
    <col min="12303" max="12303" width="2.28515625" style="4" customWidth="1"/>
    <col min="12304" max="12305" width="3.7109375" style="4" customWidth="1"/>
    <col min="12306" max="12306" width="2.28515625" style="4" customWidth="1"/>
    <col min="12307" max="12308" width="3.7109375" style="4" customWidth="1"/>
    <col min="12309" max="12309" width="2.28515625" style="4" customWidth="1"/>
    <col min="12310" max="12311" width="3.7109375" style="4" customWidth="1"/>
    <col min="12312" max="12312" width="2.28515625" style="4" customWidth="1"/>
    <col min="12313" max="12314" width="3.7109375" style="4" customWidth="1"/>
    <col min="12315" max="12315" width="2.28515625" style="4" customWidth="1"/>
    <col min="12316" max="12317" width="3.7109375" style="4" customWidth="1"/>
    <col min="12318" max="12318" width="2.28515625" style="4" customWidth="1"/>
    <col min="12319" max="12319" width="3.7109375" style="4" customWidth="1"/>
    <col min="12320" max="12320" width="9.7109375" style="4" customWidth="1"/>
    <col min="12321" max="12330" width="3.7109375" style="4" customWidth="1"/>
    <col min="12331" max="12331" width="11" style="4" customWidth="1"/>
    <col min="12332" max="12334" width="8.85546875" style="4"/>
    <col min="12335" max="12335" width="21" style="4" customWidth="1"/>
    <col min="12336" max="12336" width="24.42578125" style="4" customWidth="1"/>
    <col min="12337" max="12337" width="15.28515625" style="4" customWidth="1"/>
    <col min="12338" max="12338" width="10.42578125" style="4" customWidth="1"/>
    <col min="12339" max="12339" width="11.28515625" style="4" customWidth="1"/>
    <col min="12340" max="12340" width="25" style="4" customWidth="1"/>
    <col min="12341" max="12341" width="6" style="4" customWidth="1"/>
    <col min="12342" max="12545" width="8.85546875" style="4"/>
    <col min="12546" max="12546" width="3.7109375" style="4" customWidth="1"/>
    <col min="12547" max="12547" width="2.28515625" style="4" customWidth="1"/>
    <col min="12548" max="12549" width="3.7109375" style="4" customWidth="1"/>
    <col min="12550" max="12550" width="2.28515625" style="4" customWidth="1"/>
    <col min="12551" max="12552" width="3.7109375" style="4" customWidth="1"/>
    <col min="12553" max="12553" width="2.28515625" style="4" customWidth="1"/>
    <col min="12554" max="12555" width="3.7109375" style="4" customWidth="1"/>
    <col min="12556" max="12556" width="2.28515625" style="4" customWidth="1"/>
    <col min="12557" max="12558" width="3.7109375" style="4" customWidth="1"/>
    <col min="12559" max="12559" width="2.28515625" style="4" customWidth="1"/>
    <col min="12560" max="12561" width="3.7109375" style="4" customWidth="1"/>
    <col min="12562" max="12562" width="2.28515625" style="4" customWidth="1"/>
    <col min="12563" max="12564" width="3.7109375" style="4" customWidth="1"/>
    <col min="12565" max="12565" width="2.28515625" style="4" customWidth="1"/>
    <col min="12566" max="12567" width="3.7109375" style="4" customWidth="1"/>
    <col min="12568" max="12568" width="2.28515625" style="4" customWidth="1"/>
    <col min="12569" max="12570" width="3.7109375" style="4" customWidth="1"/>
    <col min="12571" max="12571" width="2.28515625" style="4" customWidth="1"/>
    <col min="12572" max="12573" width="3.7109375" style="4" customWidth="1"/>
    <col min="12574" max="12574" width="2.28515625" style="4" customWidth="1"/>
    <col min="12575" max="12575" width="3.7109375" style="4" customWidth="1"/>
    <col min="12576" max="12576" width="9.7109375" style="4" customWidth="1"/>
    <col min="12577" max="12586" width="3.7109375" style="4" customWidth="1"/>
    <col min="12587" max="12587" width="11" style="4" customWidth="1"/>
    <col min="12588" max="12590" width="8.85546875" style="4"/>
    <col min="12591" max="12591" width="21" style="4" customWidth="1"/>
    <col min="12592" max="12592" width="24.42578125" style="4" customWidth="1"/>
    <col min="12593" max="12593" width="15.28515625" style="4" customWidth="1"/>
    <col min="12594" max="12594" width="10.42578125" style="4" customWidth="1"/>
    <col min="12595" max="12595" width="11.28515625" style="4" customWidth="1"/>
    <col min="12596" max="12596" width="25" style="4" customWidth="1"/>
    <col min="12597" max="12597" width="6" style="4" customWidth="1"/>
    <col min="12598" max="12801" width="8.85546875" style="4"/>
    <col min="12802" max="12802" width="3.7109375" style="4" customWidth="1"/>
    <col min="12803" max="12803" width="2.28515625" style="4" customWidth="1"/>
    <col min="12804" max="12805" width="3.7109375" style="4" customWidth="1"/>
    <col min="12806" max="12806" width="2.28515625" style="4" customWidth="1"/>
    <col min="12807" max="12808" width="3.7109375" style="4" customWidth="1"/>
    <col min="12809" max="12809" width="2.28515625" style="4" customWidth="1"/>
    <col min="12810" max="12811" width="3.7109375" style="4" customWidth="1"/>
    <col min="12812" max="12812" width="2.28515625" style="4" customWidth="1"/>
    <col min="12813" max="12814" width="3.7109375" style="4" customWidth="1"/>
    <col min="12815" max="12815" width="2.28515625" style="4" customWidth="1"/>
    <col min="12816" max="12817" width="3.7109375" style="4" customWidth="1"/>
    <col min="12818" max="12818" width="2.28515625" style="4" customWidth="1"/>
    <col min="12819" max="12820" width="3.7109375" style="4" customWidth="1"/>
    <col min="12821" max="12821" width="2.28515625" style="4" customWidth="1"/>
    <col min="12822" max="12823" width="3.7109375" style="4" customWidth="1"/>
    <col min="12824" max="12824" width="2.28515625" style="4" customWidth="1"/>
    <col min="12825" max="12826" width="3.7109375" style="4" customWidth="1"/>
    <col min="12827" max="12827" width="2.28515625" style="4" customWidth="1"/>
    <col min="12828" max="12829" width="3.7109375" style="4" customWidth="1"/>
    <col min="12830" max="12830" width="2.28515625" style="4" customWidth="1"/>
    <col min="12831" max="12831" width="3.7109375" style="4" customWidth="1"/>
    <col min="12832" max="12832" width="9.7109375" style="4" customWidth="1"/>
    <col min="12833" max="12842" width="3.7109375" style="4" customWidth="1"/>
    <col min="12843" max="12843" width="11" style="4" customWidth="1"/>
    <col min="12844" max="12846" width="8.85546875" style="4"/>
    <col min="12847" max="12847" width="21" style="4" customWidth="1"/>
    <col min="12848" max="12848" width="24.42578125" style="4" customWidth="1"/>
    <col min="12849" max="12849" width="15.28515625" style="4" customWidth="1"/>
    <col min="12850" max="12850" width="10.42578125" style="4" customWidth="1"/>
    <col min="12851" max="12851" width="11.28515625" style="4" customWidth="1"/>
    <col min="12852" max="12852" width="25" style="4" customWidth="1"/>
    <col min="12853" max="12853" width="6" style="4" customWidth="1"/>
    <col min="12854" max="13057" width="8.85546875" style="4"/>
    <col min="13058" max="13058" width="3.7109375" style="4" customWidth="1"/>
    <col min="13059" max="13059" width="2.28515625" style="4" customWidth="1"/>
    <col min="13060" max="13061" width="3.7109375" style="4" customWidth="1"/>
    <col min="13062" max="13062" width="2.28515625" style="4" customWidth="1"/>
    <col min="13063" max="13064" width="3.7109375" style="4" customWidth="1"/>
    <col min="13065" max="13065" width="2.28515625" style="4" customWidth="1"/>
    <col min="13066" max="13067" width="3.7109375" style="4" customWidth="1"/>
    <col min="13068" max="13068" width="2.28515625" style="4" customWidth="1"/>
    <col min="13069" max="13070" width="3.7109375" style="4" customWidth="1"/>
    <col min="13071" max="13071" width="2.28515625" style="4" customWidth="1"/>
    <col min="13072" max="13073" width="3.7109375" style="4" customWidth="1"/>
    <col min="13074" max="13074" width="2.28515625" style="4" customWidth="1"/>
    <col min="13075" max="13076" width="3.7109375" style="4" customWidth="1"/>
    <col min="13077" max="13077" width="2.28515625" style="4" customWidth="1"/>
    <col min="13078" max="13079" width="3.7109375" style="4" customWidth="1"/>
    <col min="13080" max="13080" width="2.28515625" style="4" customWidth="1"/>
    <col min="13081" max="13082" width="3.7109375" style="4" customWidth="1"/>
    <col min="13083" max="13083" width="2.28515625" style="4" customWidth="1"/>
    <col min="13084" max="13085" width="3.7109375" style="4" customWidth="1"/>
    <col min="13086" max="13086" width="2.28515625" style="4" customWidth="1"/>
    <col min="13087" max="13087" width="3.7109375" style="4" customWidth="1"/>
    <col min="13088" max="13088" width="9.7109375" style="4" customWidth="1"/>
    <col min="13089" max="13098" width="3.7109375" style="4" customWidth="1"/>
    <col min="13099" max="13099" width="11" style="4" customWidth="1"/>
    <col min="13100" max="13102" width="8.85546875" style="4"/>
    <col min="13103" max="13103" width="21" style="4" customWidth="1"/>
    <col min="13104" max="13104" width="24.42578125" style="4" customWidth="1"/>
    <col min="13105" max="13105" width="15.28515625" style="4" customWidth="1"/>
    <col min="13106" max="13106" width="10.42578125" style="4" customWidth="1"/>
    <col min="13107" max="13107" width="11.28515625" style="4" customWidth="1"/>
    <col min="13108" max="13108" width="25" style="4" customWidth="1"/>
    <col min="13109" max="13109" width="6" style="4" customWidth="1"/>
    <col min="13110" max="13313" width="8.85546875" style="4"/>
    <col min="13314" max="13314" width="3.7109375" style="4" customWidth="1"/>
    <col min="13315" max="13315" width="2.28515625" style="4" customWidth="1"/>
    <col min="13316" max="13317" width="3.7109375" style="4" customWidth="1"/>
    <col min="13318" max="13318" width="2.28515625" style="4" customWidth="1"/>
    <col min="13319" max="13320" width="3.7109375" style="4" customWidth="1"/>
    <col min="13321" max="13321" width="2.28515625" style="4" customWidth="1"/>
    <col min="13322" max="13323" width="3.7109375" style="4" customWidth="1"/>
    <col min="13324" max="13324" width="2.28515625" style="4" customWidth="1"/>
    <col min="13325" max="13326" width="3.7109375" style="4" customWidth="1"/>
    <col min="13327" max="13327" width="2.28515625" style="4" customWidth="1"/>
    <col min="13328" max="13329" width="3.7109375" style="4" customWidth="1"/>
    <col min="13330" max="13330" width="2.28515625" style="4" customWidth="1"/>
    <col min="13331" max="13332" width="3.7109375" style="4" customWidth="1"/>
    <col min="13333" max="13333" width="2.28515625" style="4" customWidth="1"/>
    <col min="13334" max="13335" width="3.7109375" style="4" customWidth="1"/>
    <col min="13336" max="13336" width="2.28515625" style="4" customWidth="1"/>
    <col min="13337" max="13338" width="3.7109375" style="4" customWidth="1"/>
    <col min="13339" max="13339" width="2.28515625" style="4" customWidth="1"/>
    <col min="13340" max="13341" width="3.7109375" style="4" customWidth="1"/>
    <col min="13342" max="13342" width="2.28515625" style="4" customWidth="1"/>
    <col min="13343" max="13343" width="3.7109375" style="4" customWidth="1"/>
    <col min="13344" max="13344" width="9.7109375" style="4" customWidth="1"/>
    <col min="13345" max="13354" width="3.7109375" style="4" customWidth="1"/>
    <col min="13355" max="13355" width="11" style="4" customWidth="1"/>
    <col min="13356" max="13358" width="8.85546875" style="4"/>
    <col min="13359" max="13359" width="21" style="4" customWidth="1"/>
    <col min="13360" max="13360" width="24.42578125" style="4" customWidth="1"/>
    <col min="13361" max="13361" width="15.28515625" style="4" customWidth="1"/>
    <col min="13362" max="13362" width="10.42578125" style="4" customWidth="1"/>
    <col min="13363" max="13363" width="11.28515625" style="4" customWidth="1"/>
    <col min="13364" max="13364" width="25" style="4" customWidth="1"/>
    <col min="13365" max="13365" width="6" style="4" customWidth="1"/>
    <col min="13366" max="13569" width="8.85546875" style="4"/>
    <col min="13570" max="13570" width="3.7109375" style="4" customWidth="1"/>
    <col min="13571" max="13571" width="2.28515625" style="4" customWidth="1"/>
    <col min="13572" max="13573" width="3.7109375" style="4" customWidth="1"/>
    <col min="13574" max="13574" width="2.28515625" style="4" customWidth="1"/>
    <col min="13575" max="13576" width="3.7109375" style="4" customWidth="1"/>
    <col min="13577" max="13577" width="2.28515625" style="4" customWidth="1"/>
    <col min="13578" max="13579" width="3.7109375" style="4" customWidth="1"/>
    <col min="13580" max="13580" width="2.28515625" style="4" customWidth="1"/>
    <col min="13581" max="13582" width="3.7109375" style="4" customWidth="1"/>
    <col min="13583" max="13583" width="2.28515625" style="4" customWidth="1"/>
    <col min="13584" max="13585" width="3.7109375" style="4" customWidth="1"/>
    <col min="13586" max="13586" width="2.28515625" style="4" customWidth="1"/>
    <col min="13587" max="13588" width="3.7109375" style="4" customWidth="1"/>
    <col min="13589" max="13589" width="2.28515625" style="4" customWidth="1"/>
    <col min="13590" max="13591" width="3.7109375" style="4" customWidth="1"/>
    <col min="13592" max="13592" width="2.28515625" style="4" customWidth="1"/>
    <col min="13593" max="13594" width="3.7109375" style="4" customWidth="1"/>
    <col min="13595" max="13595" width="2.28515625" style="4" customWidth="1"/>
    <col min="13596" max="13597" width="3.7109375" style="4" customWidth="1"/>
    <col min="13598" max="13598" width="2.28515625" style="4" customWidth="1"/>
    <col min="13599" max="13599" width="3.7109375" style="4" customWidth="1"/>
    <col min="13600" max="13600" width="9.7109375" style="4" customWidth="1"/>
    <col min="13601" max="13610" width="3.7109375" style="4" customWidth="1"/>
    <col min="13611" max="13611" width="11" style="4" customWidth="1"/>
    <col min="13612" max="13614" width="8.85546875" style="4"/>
    <col min="13615" max="13615" width="21" style="4" customWidth="1"/>
    <col min="13616" max="13616" width="24.42578125" style="4" customWidth="1"/>
    <col min="13617" max="13617" width="15.28515625" style="4" customWidth="1"/>
    <col min="13618" max="13618" width="10.42578125" style="4" customWidth="1"/>
    <col min="13619" max="13619" width="11.28515625" style="4" customWidth="1"/>
    <col min="13620" max="13620" width="25" style="4" customWidth="1"/>
    <col min="13621" max="13621" width="6" style="4" customWidth="1"/>
    <col min="13622" max="13825" width="8.85546875" style="4"/>
    <col min="13826" max="13826" width="3.7109375" style="4" customWidth="1"/>
    <col min="13827" max="13827" width="2.28515625" style="4" customWidth="1"/>
    <col min="13828" max="13829" width="3.7109375" style="4" customWidth="1"/>
    <col min="13830" max="13830" width="2.28515625" style="4" customWidth="1"/>
    <col min="13831" max="13832" width="3.7109375" style="4" customWidth="1"/>
    <col min="13833" max="13833" width="2.28515625" style="4" customWidth="1"/>
    <col min="13834" max="13835" width="3.7109375" style="4" customWidth="1"/>
    <col min="13836" max="13836" width="2.28515625" style="4" customWidth="1"/>
    <col min="13837" max="13838" width="3.7109375" style="4" customWidth="1"/>
    <col min="13839" max="13839" width="2.28515625" style="4" customWidth="1"/>
    <col min="13840" max="13841" width="3.7109375" style="4" customWidth="1"/>
    <col min="13842" max="13842" width="2.28515625" style="4" customWidth="1"/>
    <col min="13843" max="13844" width="3.7109375" style="4" customWidth="1"/>
    <col min="13845" max="13845" width="2.28515625" style="4" customWidth="1"/>
    <col min="13846" max="13847" width="3.7109375" style="4" customWidth="1"/>
    <col min="13848" max="13848" width="2.28515625" style="4" customWidth="1"/>
    <col min="13849" max="13850" width="3.7109375" style="4" customWidth="1"/>
    <col min="13851" max="13851" width="2.28515625" style="4" customWidth="1"/>
    <col min="13852" max="13853" width="3.7109375" style="4" customWidth="1"/>
    <col min="13854" max="13854" width="2.28515625" style="4" customWidth="1"/>
    <col min="13855" max="13855" width="3.7109375" style="4" customWidth="1"/>
    <col min="13856" max="13856" width="9.7109375" style="4" customWidth="1"/>
    <col min="13857" max="13866" width="3.7109375" style="4" customWidth="1"/>
    <col min="13867" max="13867" width="11" style="4" customWidth="1"/>
    <col min="13868" max="13870" width="8.85546875" style="4"/>
    <col min="13871" max="13871" width="21" style="4" customWidth="1"/>
    <col min="13872" max="13872" width="24.42578125" style="4" customWidth="1"/>
    <col min="13873" max="13873" width="15.28515625" style="4" customWidth="1"/>
    <col min="13874" max="13874" width="10.42578125" style="4" customWidth="1"/>
    <col min="13875" max="13875" width="11.28515625" style="4" customWidth="1"/>
    <col min="13876" max="13876" width="25" style="4" customWidth="1"/>
    <col min="13877" max="13877" width="6" style="4" customWidth="1"/>
    <col min="13878" max="14081" width="8.85546875" style="4"/>
    <col min="14082" max="14082" width="3.7109375" style="4" customWidth="1"/>
    <col min="14083" max="14083" width="2.28515625" style="4" customWidth="1"/>
    <col min="14084" max="14085" width="3.7109375" style="4" customWidth="1"/>
    <col min="14086" max="14086" width="2.28515625" style="4" customWidth="1"/>
    <col min="14087" max="14088" width="3.7109375" style="4" customWidth="1"/>
    <col min="14089" max="14089" width="2.28515625" style="4" customWidth="1"/>
    <col min="14090" max="14091" width="3.7109375" style="4" customWidth="1"/>
    <col min="14092" max="14092" width="2.28515625" style="4" customWidth="1"/>
    <col min="14093" max="14094" width="3.7109375" style="4" customWidth="1"/>
    <col min="14095" max="14095" width="2.28515625" style="4" customWidth="1"/>
    <col min="14096" max="14097" width="3.7109375" style="4" customWidth="1"/>
    <col min="14098" max="14098" width="2.28515625" style="4" customWidth="1"/>
    <col min="14099" max="14100" width="3.7109375" style="4" customWidth="1"/>
    <col min="14101" max="14101" width="2.28515625" style="4" customWidth="1"/>
    <col min="14102" max="14103" width="3.7109375" style="4" customWidth="1"/>
    <col min="14104" max="14104" width="2.28515625" style="4" customWidth="1"/>
    <col min="14105" max="14106" width="3.7109375" style="4" customWidth="1"/>
    <col min="14107" max="14107" width="2.28515625" style="4" customWidth="1"/>
    <col min="14108" max="14109" width="3.7109375" style="4" customWidth="1"/>
    <col min="14110" max="14110" width="2.28515625" style="4" customWidth="1"/>
    <col min="14111" max="14111" width="3.7109375" style="4" customWidth="1"/>
    <col min="14112" max="14112" width="9.7109375" style="4" customWidth="1"/>
    <col min="14113" max="14122" width="3.7109375" style="4" customWidth="1"/>
    <col min="14123" max="14123" width="11" style="4" customWidth="1"/>
    <col min="14124" max="14126" width="8.85546875" style="4"/>
    <col min="14127" max="14127" width="21" style="4" customWidth="1"/>
    <col min="14128" max="14128" width="24.42578125" style="4" customWidth="1"/>
    <col min="14129" max="14129" width="15.28515625" style="4" customWidth="1"/>
    <col min="14130" max="14130" width="10.42578125" style="4" customWidth="1"/>
    <col min="14131" max="14131" width="11.28515625" style="4" customWidth="1"/>
    <col min="14132" max="14132" width="25" style="4" customWidth="1"/>
    <col min="14133" max="14133" width="6" style="4" customWidth="1"/>
    <col min="14134" max="14337" width="8.85546875" style="4"/>
    <col min="14338" max="14338" width="3.7109375" style="4" customWidth="1"/>
    <col min="14339" max="14339" width="2.28515625" style="4" customWidth="1"/>
    <col min="14340" max="14341" width="3.7109375" style="4" customWidth="1"/>
    <col min="14342" max="14342" width="2.28515625" style="4" customWidth="1"/>
    <col min="14343" max="14344" width="3.7109375" style="4" customWidth="1"/>
    <col min="14345" max="14345" width="2.28515625" style="4" customWidth="1"/>
    <col min="14346" max="14347" width="3.7109375" style="4" customWidth="1"/>
    <col min="14348" max="14348" width="2.28515625" style="4" customWidth="1"/>
    <col min="14349" max="14350" width="3.7109375" style="4" customWidth="1"/>
    <col min="14351" max="14351" width="2.28515625" style="4" customWidth="1"/>
    <col min="14352" max="14353" width="3.7109375" style="4" customWidth="1"/>
    <col min="14354" max="14354" width="2.28515625" style="4" customWidth="1"/>
    <col min="14355" max="14356" width="3.7109375" style="4" customWidth="1"/>
    <col min="14357" max="14357" width="2.28515625" style="4" customWidth="1"/>
    <col min="14358" max="14359" width="3.7109375" style="4" customWidth="1"/>
    <col min="14360" max="14360" width="2.28515625" style="4" customWidth="1"/>
    <col min="14361" max="14362" width="3.7109375" style="4" customWidth="1"/>
    <col min="14363" max="14363" width="2.28515625" style="4" customWidth="1"/>
    <col min="14364" max="14365" width="3.7109375" style="4" customWidth="1"/>
    <col min="14366" max="14366" width="2.28515625" style="4" customWidth="1"/>
    <col min="14367" max="14367" width="3.7109375" style="4" customWidth="1"/>
    <col min="14368" max="14368" width="9.7109375" style="4" customWidth="1"/>
    <col min="14369" max="14378" width="3.7109375" style="4" customWidth="1"/>
    <col min="14379" max="14379" width="11" style="4" customWidth="1"/>
    <col min="14380" max="14382" width="8.85546875" style="4"/>
    <col min="14383" max="14383" width="21" style="4" customWidth="1"/>
    <col min="14384" max="14384" width="24.42578125" style="4" customWidth="1"/>
    <col min="14385" max="14385" width="15.28515625" style="4" customWidth="1"/>
    <col min="14386" max="14386" width="10.42578125" style="4" customWidth="1"/>
    <col min="14387" max="14387" width="11.28515625" style="4" customWidth="1"/>
    <col min="14388" max="14388" width="25" style="4" customWidth="1"/>
    <col min="14389" max="14389" width="6" style="4" customWidth="1"/>
    <col min="14390" max="14593" width="8.85546875" style="4"/>
    <col min="14594" max="14594" width="3.7109375" style="4" customWidth="1"/>
    <col min="14595" max="14595" width="2.28515625" style="4" customWidth="1"/>
    <col min="14596" max="14597" width="3.7109375" style="4" customWidth="1"/>
    <col min="14598" max="14598" width="2.28515625" style="4" customWidth="1"/>
    <col min="14599" max="14600" width="3.7109375" style="4" customWidth="1"/>
    <col min="14601" max="14601" width="2.28515625" style="4" customWidth="1"/>
    <col min="14602" max="14603" width="3.7109375" style="4" customWidth="1"/>
    <col min="14604" max="14604" width="2.28515625" style="4" customWidth="1"/>
    <col min="14605" max="14606" width="3.7109375" style="4" customWidth="1"/>
    <col min="14607" max="14607" width="2.28515625" style="4" customWidth="1"/>
    <col min="14608" max="14609" width="3.7109375" style="4" customWidth="1"/>
    <col min="14610" max="14610" width="2.28515625" style="4" customWidth="1"/>
    <col min="14611" max="14612" width="3.7109375" style="4" customWidth="1"/>
    <col min="14613" max="14613" width="2.28515625" style="4" customWidth="1"/>
    <col min="14614" max="14615" width="3.7109375" style="4" customWidth="1"/>
    <col min="14616" max="14616" width="2.28515625" style="4" customWidth="1"/>
    <col min="14617" max="14618" width="3.7109375" style="4" customWidth="1"/>
    <col min="14619" max="14619" width="2.28515625" style="4" customWidth="1"/>
    <col min="14620" max="14621" width="3.7109375" style="4" customWidth="1"/>
    <col min="14622" max="14622" width="2.28515625" style="4" customWidth="1"/>
    <col min="14623" max="14623" width="3.7109375" style="4" customWidth="1"/>
    <col min="14624" max="14624" width="9.7109375" style="4" customWidth="1"/>
    <col min="14625" max="14634" width="3.7109375" style="4" customWidth="1"/>
    <col min="14635" max="14635" width="11" style="4" customWidth="1"/>
    <col min="14636" max="14638" width="8.85546875" style="4"/>
    <col min="14639" max="14639" width="21" style="4" customWidth="1"/>
    <col min="14640" max="14640" width="24.42578125" style="4" customWidth="1"/>
    <col min="14641" max="14641" width="15.28515625" style="4" customWidth="1"/>
    <col min="14642" max="14642" width="10.42578125" style="4" customWidth="1"/>
    <col min="14643" max="14643" width="11.28515625" style="4" customWidth="1"/>
    <col min="14644" max="14644" width="25" style="4" customWidth="1"/>
    <col min="14645" max="14645" width="6" style="4" customWidth="1"/>
    <col min="14646" max="14849" width="8.85546875" style="4"/>
    <col min="14850" max="14850" width="3.7109375" style="4" customWidth="1"/>
    <col min="14851" max="14851" width="2.28515625" style="4" customWidth="1"/>
    <col min="14852" max="14853" width="3.7109375" style="4" customWidth="1"/>
    <col min="14854" max="14854" width="2.28515625" style="4" customWidth="1"/>
    <col min="14855" max="14856" width="3.7109375" style="4" customWidth="1"/>
    <col min="14857" max="14857" width="2.28515625" style="4" customWidth="1"/>
    <col min="14858" max="14859" width="3.7109375" style="4" customWidth="1"/>
    <col min="14860" max="14860" width="2.28515625" style="4" customWidth="1"/>
    <col min="14861" max="14862" width="3.7109375" style="4" customWidth="1"/>
    <col min="14863" max="14863" width="2.28515625" style="4" customWidth="1"/>
    <col min="14864" max="14865" width="3.7109375" style="4" customWidth="1"/>
    <col min="14866" max="14866" width="2.28515625" style="4" customWidth="1"/>
    <col min="14867" max="14868" width="3.7109375" style="4" customWidth="1"/>
    <col min="14869" max="14869" width="2.28515625" style="4" customWidth="1"/>
    <col min="14870" max="14871" width="3.7109375" style="4" customWidth="1"/>
    <col min="14872" max="14872" width="2.28515625" style="4" customWidth="1"/>
    <col min="14873" max="14874" width="3.7109375" style="4" customWidth="1"/>
    <col min="14875" max="14875" width="2.28515625" style="4" customWidth="1"/>
    <col min="14876" max="14877" width="3.7109375" style="4" customWidth="1"/>
    <col min="14878" max="14878" width="2.28515625" style="4" customWidth="1"/>
    <col min="14879" max="14879" width="3.7109375" style="4" customWidth="1"/>
    <col min="14880" max="14880" width="9.7109375" style="4" customWidth="1"/>
    <col min="14881" max="14890" width="3.7109375" style="4" customWidth="1"/>
    <col min="14891" max="14891" width="11" style="4" customWidth="1"/>
    <col min="14892" max="14894" width="8.85546875" style="4"/>
    <col min="14895" max="14895" width="21" style="4" customWidth="1"/>
    <col min="14896" max="14896" width="24.42578125" style="4" customWidth="1"/>
    <col min="14897" max="14897" width="15.28515625" style="4" customWidth="1"/>
    <col min="14898" max="14898" width="10.42578125" style="4" customWidth="1"/>
    <col min="14899" max="14899" width="11.28515625" style="4" customWidth="1"/>
    <col min="14900" max="14900" width="25" style="4" customWidth="1"/>
    <col min="14901" max="14901" width="6" style="4" customWidth="1"/>
    <col min="14902" max="15105" width="8.85546875" style="4"/>
    <col min="15106" max="15106" width="3.7109375" style="4" customWidth="1"/>
    <col min="15107" max="15107" width="2.28515625" style="4" customWidth="1"/>
    <col min="15108" max="15109" width="3.7109375" style="4" customWidth="1"/>
    <col min="15110" max="15110" width="2.28515625" style="4" customWidth="1"/>
    <col min="15111" max="15112" width="3.7109375" style="4" customWidth="1"/>
    <col min="15113" max="15113" width="2.28515625" style="4" customWidth="1"/>
    <col min="15114" max="15115" width="3.7109375" style="4" customWidth="1"/>
    <col min="15116" max="15116" width="2.28515625" style="4" customWidth="1"/>
    <col min="15117" max="15118" width="3.7109375" style="4" customWidth="1"/>
    <col min="15119" max="15119" width="2.28515625" style="4" customWidth="1"/>
    <col min="15120" max="15121" width="3.7109375" style="4" customWidth="1"/>
    <col min="15122" max="15122" width="2.28515625" style="4" customWidth="1"/>
    <col min="15123" max="15124" width="3.7109375" style="4" customWidth="1"/>
    <col min="15125" max="15125" width="2.28515625" style="4" customWidth="1"/>
    <col min="15126" max="15127" width="3.7109375" style="4" customWidth="1"/>
    <col min="15128" max="15128" width="2.28515625" style="4" customWidth="1"/>
    <col min="15129" max="15130" width="3.7109375" style="4" customWidth="1"/>
    <col min="15131" max="15131" width="2.28515625" style="4" customWidth="1"/>
    <col min="15132" max="15133" width="3.7109375" style="4" customWidth="1"/>
    <col min="15134" max="15134" width="2.28515625" style="4" customWidth="1"/>
    <col min="15135" max="15135" width="3.7109375" style="4" customWidth="1"/>
    <col min="15136" max="15136" width="9.7109375" style="4" customWidth="1"/>
    <col min="15137" max="15146" width="3.7109375" style="4" customWidth="1"/>
    <col min="15147" max="15147" width="11" style="4" customWidth="1"/>
    <col min="15148" max="15150" width="8.85546875" style="4"/>
    <col min="15151" max="15151" width="21" style="4" customWidth="1"/>
    <col min="15152" max="15152" width="24.42578125" style="4" customWidth="1"/>
    <col min="15153" max="15153" width="15.28515625" style="4" customWidth="1"/>
    <col min="15154" max="15154" width="10.42578125" style="4" customWidth="1"/>
    <col min="15155" max="15155" width="11.28515625" style="4" customWidth="1"/>
    <col min="15156" max="15156" width="25" style="4" customWidth="1"/>
    <col min="15157" max="15157" width="6" style="4" customWidth="1"/>
    <col min="15158" max="15361" width="8.85546875" style="4"/>
    <col min="15362" max="15362" width="3.7109375" style="4" customWidth="1"/>
    <col min="15363" max="15363" width="2.28515625" style="4" customWidth="1"/>
    <col min="15364" max="15365" width="3.7109375" style="4" customWidth="1"/>
    <col min="15366" max="15366" width="2.28515625" style="4" customWidth="1"/>
    <col min="15367" max="15368" width="3.7109375" style="4" customWidth="1"/>
    <col min="15369" max="15369" width="2.28515625" style="4" customWidth="1"/>
    <col min="15370" max="15371" width="3.7109375" style="4" customWidth="1"/>
    <col min="15372" max="15372" width="2.28515625" style="4" customWidth="1"/>
    <col min="15373" max="15374" width="3.7109375" style="4" customWidth="1"/>
    <col min="15375" max="15375" width="2.28515625" style="4" customWidth="1"/>
    <col min="15376" max="15377" width="3.7109375" style="4" customWidth="1"/>
    <col min="15378" max="15378" width="2.28515625" style="4" customWidth="1"/>
    <col min="15379" max="15380" width="3.7109375" style="4" customWidth="1"/>
    <col min="15381" max="15381" width="2.28515625" style="4" customWidth="1"/>
    <col min="15382" max="15383" width="3.7109375" style="4" customWidth="1"/>
    <col min="15384" max="15384" width="2.28515625" style="4" customWidth="1"/>
    <col min="15385" max="15386" width="3.7109375" style="4" customWidth="1"/>
    <col min="15387" max="15387" width="2.28515625" style="4" customWidth="1"/>
    <col min="15388" max="15389" width="3.7109375" style="4" customWidth="1"/>
    <col min="15390" max="15390" width="2.28515625" style="4" customWidth="1"/>
    <col min="15391" max="15391" width="3.7109375" style="4" customWidth="1"/>
    <col min="15392" max="15392" width="9.7109375" style="4" customWidth="1"/>
    <col min="15393" max="15402" width="3.7109375" style="4" customWidth="1"/>
    <col min="15403" max="15403" width="11" style="4" customWidth="1"/>
    <col min="15404" max="15406" width="8.85546875" style="4"/>
    <col min="15407" max="15407" width="21" style="4" customWidth="1"/>
    <col min="15408" max="15408" width="24.42578125" style="4" customWidth="1"/>
    <col min="15409" max="15409" width="15.28515625" style="4" customWidth="1"/>
    <col min="15410" max="15410" width="10.42578125" style="4" customWidth="1"/>
    <col min="15411" max="15411" width="11.28515625" style="4" customWidth="1"/>
    <col min="15412" max="15412" width="25" style="4" customWidth="1"/>
    <col min="15413" max="15413" width="6" style="4" customWidth="1"/>
    <col min="15414" max="15617" width="8.85546875" style="4"/>
    <col min="15618" max="15618" width="3.7109375" style="4" customWidth="1"/>
    <col min="15619" max="15619" width="2.28515625" style="4" customWidth="1"/>
    <col min="15620" max="15621" width="3.7109375" style="4" customWidth="1"/>
    <col min="15622" max="15622" width="2.28515625" style="4" customWidth="1"/>
    <col min="15623" max="15624" width="3.7109375" style="4" customWidth="1"/>
    <col min="15625" max="15625" width="2.28515625" style="4" customWidth="1"/>
    <col min="15626" max="15627" width="3.7109375" style="4" customWidth="1"/>
    <col min="15628" max="15628" width="2.28515625" style="4" customWidth="1"/>
    <col min="15629" max="15630" width="3.7109375" style="4" customWidth="1"/>
    <col min="15631" max="15631" width="2.28515625" style="4" customWidth="1"/>
    <col min="15632" max="15633" width="3.7109375" style="4" customWidth="1"/>
    <col min="15634" max="15634" width="2.28515625" style="4" customWidth="1"/>
    <col min="15635" max="15636" width="3.7109375" style="4" customWidth="1"/>
    <col min="15637" max="15637" width="2.28515625" style="4" customWidth="1"/>
    <col min="15638" max="15639" width="3.7109375" style="4" customWidth="1"/>
    <col min="15640" max="15640" width="2.28515625" style="4" customWidth="1"/>
    <col min="15641" max="15642" width="3.7109375" style="4" customWidth="1"/>
    <col min="15643" max="15643" width="2.28515625" style="4" customWidth="1"/>
    <col min="15644" max="15645" width="3.7109375" style="4" customWidth="1"/>
    <col min="15646" max="15646" width="2.28515625" style="4" customWidth="1"/>
    <col min="15647" max="15647" width="3.7109375" style="4" customWidth="1"/>
    <col min="15648" max="15648" width="9.7109375" style="4" customWidth="1"/>
    <col min="15649" max="15658" width="3.7109375" style="4" customWidth="1"/>
    <col min="15659" max="15659" width="11" style="4" customWidth="1"/>
    <col min="15660" max="15662" width="8.85546875" style="4"/>
    <col min="15663" max="15663" width="21" style="4" customWidth="1"/>
    <col min="15664" max="15664" width="24.42578125" style="4" customWidth="1"/>
    <col min="15665" max="15665" width="15.28515625" style="4" customWidth="1"/>
    <col min="15666" max="15666" width="10.42578125" style="4" customWidth="1"/>
    <col min="15667" max="15667" width="11.28515625" style="4" customWidth="1"/>
    <col min="15668" max="15668" width="25" style="4" customWidth="1"/>
    <col min="15669" max="15669" width="6" style="4" customWidth="1"/>
    <col min="15670" max="15873" width="8.85546875" style="4"/>
    <col min="15874" max="15874" width="3.7109375" style="4" customWidth="1"/>
    <col min="15875" max="15875" width="2.28515625" style="4" customWidth="1"/>
    <col min="15876" max="15877" width="3.7109375" style="4" customWidth="1"/>
    <col min="15878" max="15878" width="2.28515625" style="4" customWidth="1"/>
    <col min="15879" max="15880" width="3.7109375" style="4" customWidth="1"/>
    <col min="15881" max="15881" width="2.28515625" style="4" customWidth="1"/>
    <col min="15882" max="15883" width="3.7109375" style="4" customWidth="1"/>
    <col min="15884" max="15884" width="2.28515625" style="4" customWidth="1"/>
    <col min="15885" max="15886" width="3.7109375" style="4" customWidth="1"/>
    <col min="15887" max="15887" width="2.28515625" style="4" customWidth="1"/>
    <col min="15888" max="15889" width="3.7109375" style="4" customWidth="1"/>
    <col min="15890" max="15890" width="2.28515625" style="4" customWidth="1"/>
    <col min="15891" max="15892" width="3.7109375" style="4" customWidth="1"/>
    <col min="15893" max="15893" width="2.28515625" style="4" customWidth="1"/>
    <col min="15894" max="15895" width="3.7109375" style="4" customWidth="1"/>
    <col min="15896" max="15896" width="2.28515625" style="4" customWidth="1"/>
    <col min="15897" max="15898" width="3.7109375" style="4" customWidth="1"/>
    <col min="15899" max="15899" width="2.28515625" style="4" customWidth="1"/>
    <col min="15900" max="15901" width="3.7109375" style="4" customWidth="1"/>
    <col min="15902" max="15902" width="2.28515625" style="4" customWidth="1"/>
    <col min="15903" max="15903" width="3.7109375" style="4" customWidth="1"/>
    <col min="15904" max="15904" width="9.7109375" style="4" customWidth="1"/>
    <col min="15905" max="15914" width="3.7109375" style="4" customWidth="1"/>
    <col min="15915" max="15915" width="11" style="4" customWidth="1"/>
    <col min="15916" max="15918" width="8.85546875" style="4"/>
    <col min="15919" max="15919" width="21" style="4" customWidth="1"/>
    <col min="15920" max="15920" width="24.42578125" style="4" customWidth="1"/>
    <col min="15921" max="15921" width="15.28515625" style="4" customWidth="1"/>
    <col min="15922" max="15922" width="10.42578125" style="4" customWidth="1"/>
    <col min="15923" max="15923" width="11.28515625" style="4" customWidth="1"/>
    <col min="15924" max="15924" width="25" style="4" customWidth="1"/>
    <col min="15925" max="15925" width="6" style="4" customWidth="1"/>
    <col min="15926" max="16129" width="8.85546875" style="4"/>
    <col min="16130" max="16130" width="3.7109375" style="4" customWidth="1"/>
    <col min="16131" max="16131" width="2.28515625" style="4" customWidth="1"/>
    <col min="16132" max="16133" width="3.7109375" style="4" customWidth="1"/>
    <col min="16134" max="16134" width="2.28515625" style="4" customWidth="1"/>
    <col min="16135" max="16136" width="3.7109375" style="4" customWidth="1"/>
    <col min="16137" max="16137" width="2.28515625" style="4" customWidth="1"/>
    <col min="16138" max="16139" width="3.7109375" style="4" customWidth="1"/>
    <col min="16140" max="16140" width="2.28515625" style="4" customWidth="1"/>
    <col min="16141" max="16142" width="3.7109375" style="4" customWidth="1"/>
    <col min="16143" max="16143" width="2.28515625" style="4" customWidth="1"/>
    <col min="16144" max="16145" width="3.7109375" style="4" customWidth="1"/>
    <col min="16146" max="16146" width="2.28515625" style="4" customWidth="1"/>
    <col min="16147" max="16148" width="3.7109375" style="4" customWidth="1"/>
    <col min="16149" max="16149" width="2.28515625" style="4" customWidth="1"/>
    <col min="16150" max="16151" width="3.7109375" style="4" customWidth="1"/>
    <col min="16152" max="16152" width="2.28515625" style="4" customWidth="1"/>
    <col min="16153" max="16154" width="3.7109375" style="4" customWidth="1"/>
    <col min="16155" max="16155" width="2.28515625" style="4" customWidth="1"/>
    <col min="16156" max="16157" width="3.7109375" style="4" customWidth="1"/>
    <col min="16158" max="16158" width="2.28515625" style="4" customWidth="1"/>
    <col min="16159" max="16159" width="3.7109375" style="4" customWidth="1"/>
    <col min="16160" max="16160" width="9.7109375" style="4" customWidth="1"/>
    <col min="16161" max="16170" width="3.7109375" style="4" customWidth="1"/>
    <col min="16171" max="16171" width="11" style="4" customWidth="1"/>
    <col min="16172" max="16174" width="8.85546875" style="4"/>
    <col min="16175" max="16175" width="21" style="4" customWidth="1"/>
    <col min="16176" max="16176" width="24.42578125" style="4" customWidth="1"/>
    <col min="16177" max="16177" width="15.28515625" style="4" customWidth="1"/>
    <col min="16178" max="16178" width="10.42578125" style="4" customWidth="1"/>
    <col min="16179" max="16179" width="11.28515625" style="4" customWidth="1"/>
    <col min="16180" max="16180" width="25" style="4" customWidth="1"/>
    <col min="16181" max="16181" width="6" style="4" customWidth="1"/>
    <col min="16182" max="16384" width="8.85546875" style="4"/>
  </cols>
  <sheetData>
    <row r="1" spans="1:53" ht="13.5" thickBot="1" x14ac:dyDescent="0.25">
      <c r="A1" s="404" t="s">
        <v>0</v>
      </c>
      <c r="B1" s="404"/>
      <c r="C1" s="404"/>
      <c r="D1" s="404"/>
      <c r="E1" s="404"/>
      <c r="F1" s="404"/>
      <c r="G1" s="404"/>
      <c r="H1" s="404"/>
      <c r="I1" s="404"/>
      <c r="J1" s="404"/>
      <c r="K1" s="404"/>
      <c r="L1" s="404"/>
      <c r="M1" s="404"/>
      <c r="N1" s="404"/>
      <c r="O1" s="404"/>
      <c r="P1" s="404"/>
      <c r="Q1" s="404"/>
      <c r="R1" s="404"/>
      <c r="S1" s="404"/>
      <c r="T1" s="404"/>
      <c r="U1" s="404"/>
      <c r="V1" s="404"/>
      <c r="W1" s="404"/>
      <c r="X1" s="404"/>
      <c r="Y1" s="404"/>
      <c r="Z1" s="404"/>
      <c r="AA1" s="404"/>
      <c r="AB1" s="404"/>
      <c r="AC1" s="404"/>
      <c r="AD1" s="404"/>
      <c r="AE1" s="404"/>
      <c r="AF1" s="404"/>
      <c r="AG1" s="404"/>
      <c r="AH1" s="404"/>
      <c r="AI1" s="404"/>
      <c r="AJ1" s="1"/>
      <c r="AK1" s="1"/>
      <c r="AL1" s="1"/>
      <c r="AM1" s="1"/>
      <c r="AN1" s="1"/>
      <c r="AO1" s="1"/>
      <c r="AP1" s="1"/>
      <c r="AQ1" s="2" t="s">
        <v>1</v>
      </c>
      <c r="AR1" s="3"/>
      <c r="AT1" s="405" t="s">
        <v>2</v>
      </c>
      <c r="AU1" s="406"/>
      <c r="AV1" s="406"/>
      <c r="AW1" s="407"/>
      <c r="AX1" s="408" t="s">
        <v>3</v>
      </c>
      <c r="AY1" s="409"/>
      <c r="AZ1" s="6" t="s">
        <v>4</v>
      </c>
      <c r="BA1" s="7">
        <v>32</v>
      </c>
    </row>
    <row r="2" spans="1:53" ht="18.75" customHeight="1" thickBot="1" x14ac:dyDescent="0.3">
      <c r="A2" s="410" t="s">
        <v>5</v>
      </c>
      <c r="B2" s="411"/>
      <c r="C2" s="411"/>
      <c r="D2" s="411"/>
      <c r="E2" s="411"/>
      <c r="F2" s="411"/>
      <c r="G2" s="411"/>
      <c r="H2" s="411"/>
      <c r="I2" s="412"/>
      <c r="J2" s="413" t="s">
        <v>6</v>
      </c>
      <c r="K2" s="414"/>
      <c r="L2" s="414"/>
      <c r="M2" s="414"/>
      <c r="N2" s="414"/>
      <c r="O2" s="414"/>
      <c r="P2" s="414"/>
      <c r="Q2" s="414"/>
      <c r="R2" s="414"/>
      <c r="S2" s="414"/>
      <c r="T2" s="414"/>
      <c r="U2" s="414"/>
      <c r="V2" s="414"/>
      <c r="W2" s="414"/>
      <c r="X2" s="415"/>
      <c r="Y2" s="416" t="s">
        <v>7</v>
      </c>
      <c r="Z2" s="417"/>
      <c r="AA2" s="417"/>
      <c r="AB2" s="417"/>
      <c r="AC2" s="418"/>
      <c r="AD2" s="379" t="s">
        <v>8</v>
      </c>
      <c r="AE2" s="379"/>
      <c r="AF2" s="379"/>
      <c r="AG2" s="379"/>
      <c r="AH2" s="379"/>
      <c r="AI2" s="380"/>
      <c r="AJ2" s="8"/>
      <c r="AK2" s="8"/>
      <c r="AL2" s="8"/>
      <c r="AM2" s="8"/>
      <c r="AN2" s="8"/>
      <c r="AO2" s="8"/>
      <c r="AP2" s="8"/>
      <c r="AQ2" s="8"/>
      <c r="AR2" s="3"/>
      <c r="AT2" s="9" t="s">
        <v>9</v>
      </c>
      <c r="AU2" s="10" t="s">
        <v>10</v>
      </c>
      <c r="AV2" s="11" t="s">
        <v>11</v>
      </c>
      <c r="AW2" s="12" t="s">
        <v>12</v>
      </c>
      <c r="AX2" s="13" t="s">
        <v>13</v>
      </c>
      <c r="AY2" s="12" t="s">
        <v>14</v>
      </c>
      <c r="AZ2" s="6" t="s">
        <v>15</v>
      </c>
      <c r="BA2" s="7">
        <v>16</v>
      </c>
    </row>
    <row r="3" spans="1:53" ht="18.75" customHeight="1" thickBot="1" x14ac:dyDescent="0.3">
      <c r="A3" s="14" t="s">
        <v>16</v>
      </c>
      <c r="B3" s="384" t="s">
        <v>260</v>
      </c>
      <c r="C3" s="385"/>
      <c r="D3" s="385"/>
      <c r="E3" s="385"/>
      <c r="F3" s="385"/>
      <c r="G3" s="385"/>
      <c r="H3" s="385"/>
      <c r="I3" s="385"/>
      <c r="J3" s="385"/>
      <c r="K3" s="385"/>
      <c r="L3" s="385"/>
      <c r="M3" s="385"/>
      <c r="N3" s="385"/>
      <c r="O3" s="386"/>
      <c r="P3" s="387" t="s">
        <v>18</v>
      </c>
      <c r="Q3" s="388"/>
      <c r="R3" s="388"/>
      <c r="S3" s="389" t="s">
        <v>261</v>
      </c>
      <c r="T3" s="390"/>
      <c r="U3" s="390"/>
      <c r="V3" s="390"/>
      <c r="W3" s="390"/>
      <c r="X3" s="391"/>
      <c r="Y3" s="392" t="s">
        <v>19</v>
      </c>
      <c r="Z3" s="393"/>
      <c r="AA3" s="393"/>
      <c r="AB3" s="393"/>
      <c r="AC3" s="393"/>
      <c r="AD3" s="394"/>
      <c r="AE3" s="419" t="s">
        <v>20</v>
      </c>
      <c r="AF3" s="420"/>
      <c r="AG3" s="395" t="s">
        <v>21</v>
      </c>
      <c r="AH3" s="395"/>
      <c r="AI3" s="396"/>
      <c r="AJ3" s="8"/>
      <c r="AK3" s="8"/>
      <c r="AL3" s="8"/>
      <c r="AM3" s="8"/>
      <c r="AN3" s="8"/>
      <c r="AO3" s="8"/>
      <c r="AP3" s="8"/>
      <c r="AQ3" s="8"/>
      <c r="AR3" s="3"/>
      <c r="AT3" s="19">
        <v>1</v>
      </c>
      <c r="AU3" s="20" t="s">
        <v>262</v>
      </c>
      <c r="AV3" s="20" t="s">
        <v>263</v>
      </c>
      <c r="AW3" s="21">
        <f>VLOOKUP(AV3,Initial!G:K,5,FALSE)</f>
        <v>2531.9153909770039</v>
      </c>
      <c r="AX3" s="22">
        <f t="shared" ref="AX3:AX12" si="0">VLOOKUP(AU3,AT$79:AU$174,2,FALSE)</f>
        <v>2610.403755270524</v>
      </c>
      <c r="AY3" s="23">
        <f t="shared" ref="AY3:AY12" si="1">IF(ISNA(VLOOKUP(AU3,AT$182:AU$234,2,FALSE)),AX3,VLOOKUP(AU3,AT$182:AU$234,2,FALSE))</f>
        <v>2616.9676096987464</v>
      </c>
    </row>
    <row r="4" spans="1:53" ht="24" customHeight="1" thickBot="1" x14ac:dyDescent="0.25">
      <c r="A4" s="397" t="s">
        <v>24</v>
      </c>
      <c r="B4" s="398"/>
      <c r="C4" s="398"/>
      <c r="D4" s="399"/>
      <c r="E4" s="400" t="s">
        <v>25</v>
      </c>
      <c r="F4" s="401"/>
      <c r="G4" s="401"/>
      <c r="H4" s="401"/>
      <c r="I4" s="401"/>
      <c r="J4" s="401"/>
      <c r="K4" s="401"/>
      <c r="L4" s="401"/>
      <c r="M4" s="402"/>
      <c r="N4" s="397" t="s">
        <v>26</v>
      </c>
      <c r="O4" s="398"/>
      <c r="P4" s="398"/>
      <c r="Q4" s="399"/>
      <c r="R4" s="403" t="s">
        <v>27</v>
      </c>
      <c r="S4" s="379"/>
      <c r="T4" s="379"/>
      <c r="U4" s="379"/>
      <c r="V4" s="379"/>
      <c r="W4" s="379"/>
      <c r="X4" s="379"/>
      <c r="Y4" s="379"/>
      <c r="Z4" s="379"/>
      <c r="AA4" s="380"/>
      <c r="AB4" s="397" t="s">
        <v>28</v>
      </c>
      <c r="AC4" s="398"/>
      <c r="AD4" s="398"/>
      <c r="AE4" s="399"/>
      <c r="AF4" s="378">
        <v>42775</v>
      </c>
      <c r="AG4" s="379"/>
      <c r="AH4" s="379"/>
      <c r="AI4" s="380"/>
      <c r="AJ4" s="8"/>
      <c r="AK4" s="8"/>
      <c r="AL4" s="8"/>
      <c r="AM4" s="8"/>
      <c r="AN4" s="8"/>
      <c r="AO4" s="8"/>
      <c r="AP4" s="8"/>
      <c r="AQ4" s="8"/>
      <c r="AR4" s="3"/>
      <c r="AT4" s="24">
        <v>2</v>
      </c>
      <c r="AU4" s="20" t="s">
        <v>264</v>
      </c>
      <c r="AV4" s="20" t="s">
        <v>265</v>
      </c>
      <c r="AW4" s="21">
        <f>VLOOKUP(AV4,Initial!G:K,5,FALSE)</f>
        <v>2520.0583393752127</v>
      </c>
      <c r="AX4" s="25">
        <f t="shared" si="0"/>
        <v>2517.4666315372106</v>
      </c>
      <c r="AY4" s="26">
        <f t="shared" si="1"/>
        <v>2509.1248068497748</v>
      </c>
    </row>
    <row r="5" spans="1:53" ht="15.75" thickBot="1" x14ac:dyDescent="0.25">
      <c r="A5" s="1" t="s">
        <v>31</v>
      </c>
      <c r="B5" s="381" t="s">
        <v>31</v>
      </c>
      <c r="C5" s="382"/>
      <c r="D5" s="382"/>
      <c r="E5" s="382"/>
      <c r="F5" s="382"/>
      <c r="G5" s="382"/>
      <c r="H5" s="382"/>
      <c r="I5" s="382"/>
      <c r="J5" s="382"/>
      <c r="K5" s="383" t="s">
        <v>31</v>
      </c>
      <c r="L5" s="383"/>
      <c r="M5" s="383"/>
      <c r="N5" s="383"/>
      <c r="O5" s="383"/>
      <c r="P5" s="383"/>
      <c r="Q5" s="383"/>
      <c r="R5" s="383"/>
      <c r="S5" s="383"/>
      <c r="T5" s="383"/>
      <c r="U5" s="383"/>
      <c r="V5" s="383"/>
      <c r="W5" s="383"/>
      <c r="X5" s="383"/>
      <c r="Y5" s="383"/>
      <c r="Z5" s="383"/>
      <c r="AA5" s="383"/>
      <c r="AB5" s="383"/>
      <c r="AC5" s="383"/>
      <c r="AD5" s="383"/>
      <c r="AE5" s="383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3"/>
      <c r="AT5" s="24">
        <v>3</v>
      </c>
      <c r="AU5" s="20" t="s">
        <v>266</v>
      </c>
      <c r="AV5" s="20" t="s">
        <v>267</v>
      </c>
      <c r="AW5" s="21">
        <f>VLOOKUP(AV5,Initial!G:K,5,FALSE)</f>
        <v>2501.7317909930653</v>
      </c>
      <c r="AX5" s="25">
        <f t="shared" si="0"/>
        <v>2503.2266960748084</v>
      </c>
      <c r="AY5" s="26">
        <f t="shared" si="1"/>
        <v>2497.6191281186948</v>
      </c>
    </row>
    <row r="6" spans="1:53" ht="24" customHeight="1" thickBot="1" x14ac:dyDescent="0.25">
      <c r="A6" s="27" t="s">
        <v>34</v>
      </c>
      <c r="B6" s="28" t="s">
        <v>35</v>
      </c>
      <c r="C6" s="353" t="s">
        <v>36</v>
      </c>
      <c r="D6" s="354"/>
      <c r="E6" s="354"/>
      <c r="F6" s="354"/>
      <c r="G6" s="354"/>
      <c r="H6" s="355"/>
      <c r="I6" s="356">
        <v>1</v>
      </c>
      <c r="J6" s="357"/>
      <c r="K6" s="358" t="str">
        <f>"Pool "&amp;B6&amp;" - Round 1 - Court "&amp;I6</f>
        <v>Pool A - Round 1 - Court 1</v>
      </c>
      <c r="L6" s="359"/>
      <c r="M6" s="359"/>
      <c r="N6" s="359"/>
      <c r="O6" s="359"/>
      <c r="P6" s="359"/>
      <c r="Q6" s="359"/>
      <c r="R6" s="359"/>
      <c r="S6" s="359"/>
      <c r="T6" s="359"/>
      <c r="U6" s="359"/>
      <c r="V6" s="359"/>
      <c r="W6" s="359"/>
      <c r="X6" s="359"/>
      <c r="Y6" s="359"/>
      <c r="Z6" s="359"/>
      <c r="AA6" s="359"/>
      <c r="AB6" s="359"/>
      <c r="AC6" s="359"/>
      <c r="AD6" s="359"/>
      <c r="AE6" s="359"/>
      <c r="AF6" s="359"/>
      <c r="AG6" s="359"/>
      <c r="AH6" s="359"/>
      <c r="AI6" s="360"/>
      <c r="AJ6" s="8"/>
      <c r="AK6" s="8"/>
      <c r="AL6" s="8"/>
      <c r="AM6" s="8"/>
      <c r="AN6" s="8"/>
      <c r="AO6" s="8"/>
      <c r="AP6" s="8"/>
      <c r="AQ6" s="8"/>
      <c r="AT6" s="24">
        <v>4</v>
      </c>
      <c r="AU6" s="20" t="s">
        <v>268</v>
      </c>
      <c r="AV6" s="20" t="s">
        <v>269</v>
      </c>
      <c r="AW6" s="21">
        <f>VLOOKUP(AV6,Initial!G:K,5,FALSE)</f>
        <v>2464.3992066653695</v>
      </c>
      <c r="AX6" s="25">
        <f t="shared" si="0"/>
        <v>2502.6123297987565</v>
      </c>
      <c r="AY6" s="26">
        <f t="shared" si="1"/>
        <v>2509.9978680140835</v>
      </c>
    </row>
    <row r="7" spans="1:53" ht="27" customHeight="1" thickBot="1" x14ac:dyDescent="0.25">
      <c r="A7" s="29" t="s">
        <v>39</v>
      </c>
      <c r="B7" s="361" t="s">
        <v>10</v>
      </c>
      <c r="C7" s="362"/>
      <c r="D7" s="362"/>
      <c r="E7" s="362"/>
      <c r="F7" s="362"/>
      <c r="G7" s="362"/>
      <c r="H7" s="362"/>
      <c r="I7" s="362"/>
      <c r="J7" s="362"/>
      <c r="K7" s="362"/>
      <c r="L7" s="361" t="str">
        <f>IF($AK10=0,"Games Won","Matches Won")</f>
        <v>Games Won</v>
      </c>
      <c r="M7" s="362"/>
      <c r="N7" s="362"/>
      <c r="O7" s="362"/>
      <c r="P7" s="362"/>
      <c r="Q7" s="363"/>
      <c r="R7" s="361" t="str">
        <f>IF($AK10=0,"Games Lost","Matches Lost")</f>
        <v>Games Lost</v>
      </c>
      <c r="S7" s="364"/>
      <c r="T7" s="364"/>
      <c r="U7" s="364"/>
      <c r="V7" s="365"/>
      <c r="W7" s="366" t="s">
        <v>40</v>
      </c>
      <c r="X7" s="367"/>
      <c r="Y7" s="368"/>
      <c r="Z7" s="366" t="s">
        <v>41</v>
      </c>
      <c r="AA7" s="367"/>
      <c r="AB7" s="368"/>
      <c r="AC7" s="369" t="s">
        <v>42</v>
      </c>
      <c r="AD7" s="370"/>
      <c r="AE7" s="371"/>
      <c r="AF7" s="30" t="s">
        <v>43</v>
      </c>
      <c r="AG7" s="31" t="s">
        <v>9</v>
      </c>
      <c r="AH7" s="351" t="s">
        <v>44</v>
      </c>
      <c r="AI7" s="352"/>
      <c r="AJ7" s="32"/>
      <c r="AK7" s="33">
        <v>2</v>
      </c>
      <c r="AL7" s="34" t="s">
        <v>45</v>
      </c>
      <c r="AM7" s="34"/>
      <c r="AN7" s="34"/>
      <c r="AO7" s="34"/>
      <c r="AP7" s="34"/>
      <c r="AQ7" s="34"/>
      <c r="AR7" s="35"/>
      <c r="AT7" s="24">
        <v>5</v>
      </c>
      <c r="AU7" s="20" t="s">
        <v>270</v>
      </c>
      <c r="AV7" s="20" t="s">
        <v>271</v>
      </c>
      <c r="AW7" s="21">
        <f>VLOOKUP(AV7,Initial!G:K,5,FALSE)</f>
        <v>2450.9074358683274</v>
      </c>
      <c r="AX7" s="25">
        <f t="shared" si="0"/>
        <v>2422.5577357365946</v>
      </c>
      <c r="AY7" s="26">
        <f t="shared" si="1"/>
        <v>2439.393995156976</v>
      </c>
    </row>
    <row r="8" spans="1:53" ht="18.75" customHeight="1" thickBot="1" x14ac:dyDescent="0.25">
      <c r="A8" s="320" t="str">
        <f>IF($AK9&gt;0,"1","")</f>
        <v>1</v>
      </c>
      <c r="B8" s="348" t="s">
        <v>10</v>
      </c>
      <c r="C8" s="349"/>
      <c r="D8" s="350"/>
      <c r="E8" s="324" t="str">
        <f>AU3</f>
        <v>Vision 16-Erika &amp; Marissa</v>
      </c>
      <c r="F8" s="325"/>
      <c r="G8" s="325"/>
      <c r="H8" s="325"/>
      <c r="I8" s="325"/>
      <c r="J8" s="325"/>
      <c r="K8" s="326"/>
      <c r="L8" s="327">
        <f>IF($AK10=0,AF64,AF46)</f>
        <v>8</v>
      </c>
      <c r="M8" s="328"/>
      <c r="N8" s="328"/>
      <c r="O8" s="328"/>
      <c r="P8" s="328"/>
      <c r="Q8" s="363"/>
      <c r="R8" s="327">
        <f>IF($AK10=0,AG64,AG46)</f>
        <v>0</v>
      </c>
      <c r="S8" s="328"/>
      <c r="T8" s="328"/>
      <c r="U8" s="328"/>
      <c r="V8" s="328"/>
      <c r="W8" s="327">
        <f>AQ24</f>
        <v>44</v>
      </c>
      <c r="X8" s="328"/>
      <c r="Y8" s="328"/>
      <c r="Z8" s="300">
        <f>IF(AF58&gt;0,(AQ24/AF58),0)</f>
        <v>0.21782178217821782</v>
      </c>
      <c r="AA8" s="301"/>
      <c r="AB8" s="301"/>
      <c r="AC8" s="304">
        <f>IF(AF72=0,0,(AF64/AF72))</f>
        <v>1</v>
      </c>
      <c r="AD8" s="305"/>
      <c r="AE8" s="306"/>
      <c r="AF8" s="310">
        <v>1</v>
      </c>
      <c r="AG8" s="310">
        <v>1</v>
      </c>
      <c r="AH8" s="312"/>
      <c r="AI8" s="313"/>
      <c r="AJ8" s="32"/>
      <c r="AK8" s="33">
        <v>10</v>
      </c>
      <c r="AL8" s="34" t="s">
        <v>48</v>
      </c>
      <c r="AM8" s="34"/>
      <c r="AN8" s="34"/>
      <c r="AO8" s="34"/>
      <c r="AP8" s="34"/>
      <c r="AQ8" s="34"/>
      <c r="AR8" s="35"/>
      <c r="AT8" s="24">
        <v>6</v>
      </c>
      <c r="AU8" s="20" t="s">
        <v>272</v>
      </c>
      <c r="AV8" s="20" t="s">
        <v>273</v>
      </c>
      <c r="AW8" s="21">
        <f>VLOOKUP(AV8,Initial!G:K,5,FALSE)</f>
        <v>2438.9560736569474</v>
      </c>
      <c r="AX8" s="25">
        <f t="shared" si="0"/>
        <v>2382.5180283075724</v>
      </c>
      <c r="AY8" s="26">
        <f t="shared" si="1"/>
        <v>2382.5180283075724</v>
      </c>
    </row>
    <row r="9" spans="1:53" ht="18.75" customHeight="1" thickBot="1" x14ac:dyDescent="0.25">
      <c r="A9" s="321"/>
      <c r="B9" s="345" t="s">
        <v>11</v>
      </c>
      <c r="C9" s="346"/>
      <c r="D9" s="347"/>
      <c r="E9" s="341" t="str">
        <f>AV3</f>
        <v>fj6vison1pm</v>
      </c>
      <c r="F9" s="342"/>
      <c r="G9" s="342"/>
      <c r="H9" s="342"/>
      <c r="I9" s="342"/>
      <c r="J9" s="342"/>
      <c r="K9" s="342"/>
      <c r="L9" s="343"/>
      <c r="M9" s="344"/>
      <c r="N9" s="344"/>
      <c r="O9" s="344"/>
      <c r="P9" s="344"/>
      <c r="Q9" s="363"/>
      <c r="R9" s="343"/>
      <c r="S9" s="344"/>
      <c r="T9" s="344"/>
      <c r="U9" s="344"/>
      <c r="V9" s="344"/>
      <c r="W9" s="343"/>
      <c r="X9" s="344"/>
      <c r="Y9" s="344"/>
      <c r="Z9" s="331"/>
      <c r="AA9" s="332"/>
      <c r="AB9" s="332"/>
      <c r="AC9" s="333"/>
      <c r="AD9" s="334"/>
      <c r="AE9" s="335"/>
      <c r="AF9" s="336"/>
      <c r="AG9" s="336"/>
      <c r="AH9" s="337"/>
      <c r="AI9" s="338"/>
      <c r="AJ9" s="32"/>
      <c r="AK9" s="33">
        <v>5</v>
      </c>
      <c r="AL9" s="34" t="s">
        <v>51</v>
      </c>
      <c r="AM9" s="32"/>
      <c r="AN9" s="32"/>
      <c r="AO9" s="32"/>
      <c r="AP9" s="32"/>
      <c r="AQ9" s="32"/>
      <c r="AR9" s="3"/>
      <c r="AT9" s="24">
        <v>7</v>
      </c>
      <c r="AU9" s="20" t="s">
        <v>274</v>
      </c>
      <c r="AV9" s="20" t="s">
        <v>275</v>
      </c>
      <c r="AW9" s="21">
        <f>VLOOKUP(AV9,Initial!G:K,5,FALSE)</f>
        <v>2421.5536280299398</v>
      </c>
      <c r="AX9" s="25">
        <f t="shared" si="0"/>
        <v>2458.9621720165987</v>
      </c>
      <c r="AY9" s="26">
        <f t="shared" si="1"/>
        <v>2453.8591054747999</v>
      </c>
    </row>
    <row r="10" spans="1:53" ht="18.75" customHeight="1" thickBot="1" x14ac:dyDescent="0.25">
      <c r="A10" s="320" t="str">
        <f>IF($AK9&gt;1,"2","")</f>
        <v>2</v>
      </c>
      <c r="B10" s="348" t="s">
        <v>10</v>
      </c>
      <c r="C10" s="349"/>
      <c r="D10" s="350"/>
      <c r="E10" s="324" t="str">
        <f>AU6</f>
        <v>SC Midlands 16 Perf</v>
      </c>
      <c r="F10" s="325"/>
      <c r="G10" s="325"/>
      <c r="H10" s="325"/>
      <c r="I10" s="325"/>
      <c r="J10" s="325"/>
      <c r="K10" s="326"/>
      <c r="L10" s="327">
        <f>IF($AK10=0,AF65,AF47)</f>
        <v>6</v>
      </c>
      <c r="M10" s="328"/>
      <c r="N10" s="328"/>
      <c r="O10" s="328"/>
      <c r="P10" s="328"/>
      <c r="Q10" s="363"/>
      <c r="R10" s="327">
        <f>IF($AK10=0,AG65,AG47)</f>
        <v>2</v>
      </c>
      <c r="S10" s="328"/>
      <c r="T10" s="328"/>
      <c r="U10" s="328"/>
      <c r="V10" s="328"/>
      <c r="W10" s="327">
        <f>AQ25</f>
        <v>21</v>
      </c>
      <c r="X10" s="328"/>
      <c r="Y10" s="328"/>
      <c r="Z10" s="300">
        <f>IF(AF59&gt;0,(AQ25/AF59),0)</f>
        <v>0.105</v>
      </c>
      <c r="AA10" s="301"/>
      <c r="AB10" s="301"/>
      <c r="AC10" s="304">
        <f>IF(AF73=0,0,(AF65/AF73))</f>
        <v>0.75</v>
      </c>
      <c r="AD10" s="305"/>
      <c r="AE10" s="306"/>
      <c r="AF10" s="310">
        <v>2</v>
      </c>
      <c r="AG10" s="310">
        <v>1</v>
      </c>
      <c r="AH10" s="312"/>
      <c r="AI10" s="313"/>
      <c r="AJ10" s="32"/>
      <c r="AK10" s="33">
        <v>0</v>
      </c>
      <c r="AL10" s="34" t="s">
        <v>54</v>
      </c>
      <c r="AM10" s="34"/>
      <c r="AN10" s="34"/>
      <c r="AO10" s="34"/>
      <c r="AP10" s="34"/>
      <c r="AQ10" s="34"/>
      <c r="AR10" s="35"/>
      <c r="AT10" s="24">
        <v>8</v>
      </c>
      <c r="AU10" s="20" t="s">
        <v>276</v>
      </c>
      <c r="AV10" s="20" t="s">
        <v>277</v>
      </c>
      <c r="AW10" s="21">
        <f>VLOOKUP(AV10,Initial!G:K,5,FALSE)</f>
        <v>2376.4825129198039</v>
      </c>
      <c r="AX10" s="25">
        <f t="shared" si="0"/>
        <v>2338.3392242946156</v>
      </c>
      <c r="AY10" s="26">
        <f t="shared" si="1"/>
        <v>2333.0102076788698</v>
      </c>
    </row>
    <row r="11" spans="1:53" ht="18.75" customHeight="1" thickBot="1" x14ac:dyDescent="0.25">
      <c r="A11" s="321"/>
      <c r="B11" s="339" t="s">
        <v>11</v>
      </c>
      <c r="C11" s="340"/>
      <c r="D11" s="340"/>
      <c r="E11" s="341" t="str">
        <f>AV6</f>
        <v>fj6scmid2pm</v>
      </c>
      <c r="F11" s="342"/>
      <c r="G11" s="342"/>
      <c r="H11" s="342"/>
      <c r="I11" s="342"/>
      <c r="J11" s="342"/>
      <c r="K11" s="342"/>
      <c r="L11" s="343"/>
      <c r="M11" s="344"/>
      <c r="N11" s="344"/>
      <c r="O11" s="344"/>
      <c r="P11" s="344"/>
      <c r="Q11" s="363"/>
      <c r="R11" s="343"/>
      <c r="S11" s="344"/>
      <c r="T11" s="344"/>
      <c r="U11" s="344"/>
      <c r="V11" s="344"/>
      <c r="W11" s="343"/>
      <c r="X11" s="344"/>
      <c r="Y11" s="344"/>
      <c r="Z11" s="331"/>
      <c r="AA11" s="332"/>
      <c r="AB11" s="332"/>
      <c r="AC11" s="333"/>
      <c r="AD11" s="334"/>
      <c r="AE11" s="335"/>
      <c r="AF11" s="336"/>
      <c r="AG11" s="336"/>
      <c r="AH11" s="337"/>
      <c r="AI11" s="338"/>
      <c r="AJ11" s="32"/>
      <c r="AK11" s="33">
        <v>1</v>
      </c>
      <c r="AL11" s="34" t="s">
        <v>56</v>
      </c>
      <c r="AM11" s="32"/>
      <c r="AN11" s="32"/>
      <c r="AO11" s="32"/>
      <c r="AP11" s="32"/>
      <c r="AQ11" s="32"/>
      <c r="AR11" s="3"/>
      <c r="AT11" s="24">
        <v>9</v>
      </c>
      <c r="AU11" s="20" t="s">
        <v>278</v>
      </c>
      <c r="AV11" s="20" t="s">
        <v>279</v>
      </c>
      <c r="AW11" s="21">
        <f>VLOOKUP(AV11,Initial!G:K,5,FALSE)</f>
        <v>2334.1471641922385</v>
      </c>
      <c r="AX11" s="25">
        <f t="shared" si="0"/>
        <v>2283.9386655222524</v>
      </c>
      <c r="AY11" s="26">
        <f t="shared" si="1"/>
        <v>2283.9386655222524</v>
      </c>
    </row>
    <row r="12" spans="1:53" ht="18.75" customHeight="1" thickBot="1" x14ac:dyDescent="0.25">
      <c r="A12" s="320" t="str">
        <f>IF($AK9&gt;2,"3","")</f>
        <v>3</v>
      </c>
      <c r="B12" s="322" t="s">
        <v>10</v>
      </c>
      <c r="C12" s="323"/>
      <c r="D12" s="323"/>
      <c r="E12" s="324" t="str">
        <f>AU7</f>
        <v>Low Country 16 Power</v>
      </c>
      <c r="F12" s="325"/>
      <c r="G12" s="325"/>
      <c r="H12" s="325"/>
      <c r="I12" s="325"/>
      <c r="J12" s="325"/>
      <c r="K12" s="326"/>
      <c r="L12" s="327">
        <f>IF($AK10=0,AF66,AF48)</f>
        <v>3</v>
      </c>
      <c r="M12" s="328"/>
      <c r="N12" s="328"/>
      <c r="O12" s="328"/>
      <c r="P12" s="328"/>
      <c r="Q12" s="363"/>
      <c r="R12" s="327">
        <f>IF($AK10=0,AG66,AG48)</f>
        <v>5</v>
      </c>
      <c r="S12" s="328"/>
      <c r="T12" s="328"/>
      <c r="U12" s="328"/>
      <c r="V12" s="328"/>
      <c r="W12" s="327">
        <f>AQ26</f>
        <v>-12</v>
      </c>
      <c r="X12" s="328"/>
      <c r="Y12" s="328"/>
      <c r="Z12" s="300">
        <f>IF(AF60&gt;0,(AQ26/AF60),0)</f>
        <v>-0.06</v>
      </c>
      <c r="AA12" s="301"/>
      <c r="AB12" s="301"/>
      <c r="AC12" s="304">
        <f>IF(AF74=0,0,(AF66/AF74))</f>
        <v>0.375</v>
      </c>
      <c r="AD12" s="305"/>
      <c r="AE12" s="306"/>
      <c r="AF12" s="310">
        <v>3</v>
      </c>
      <c r="AG12" s="310">
        <v>1</v>
      </c>
      <c r="AH12" s="312"/>
      <c r="AI12" s="313"/>
      <c r="AJ12" s="43"/>
      <c r="AK12" s="33">
        <v>8</v>
      </c>
      <c r="AL12" s="44" t="s">
        <v>57</v>
      </c>
      <c r="AM12" s="34"/>
      <c r="AN12" s="34"/>
      <c r="AO12" s="34"/>
      <c r="AP12" s="34"/>
      <c r="AQ12" s="34"/>
      <c r="AR12" s="35"/>
      <c r="AT12" s="440">
        <v>10</v>
      </c>
      <c r="AU12" s="20" t="s">
        <v>280</v>
      </c>
      <c r="AV12" s="20" t="s">
        <v>281</v>
      </c>
      <c r="AW12" s="21">
        <f>VLOOKUP(AV12,Initial!G:K,5,FALSE)</f>
        <v>2332.1838374588774</v>
      </c>
      <c r="AX12" s="441">
        <f t="shared" si="0"/>
        <v>2352.3101415778524</v>
      </c>
      <c r="AY12" s="442">
        <f t="shared" si="1"/>
        <v>2345.9059653150157</v>
      </c>
    </row>
    <row r="13" spans="1:53" ht="18.75" customHeight="1" thickBot="1" x14ac:dyDescent="0.25">
      <c r="A13" s="321"/>
      <c r="B13" s="339" t="s">
        <v>11</v>
      </c>
      <c r="C13" s="340"/>
      <c r="D13" s="340"/>
      <c r="E13" s="341" t="str">
        <f>AV7</f>
        <v>fj6lowco1pm</v>
      </c>
      <c r="F13" s="342"/>
      <c r="G13" s="342"/>
      <c r="H13" s="342"/>
      <c r="I13" s="342"/>
      <c r="J13" s="342"/>
      <c r="K13" s="342"/>
      <c r="L13" s="343"/>
      <c r="M13" s="344"/>
      <c r="N13" s="344"/>
      <c r="O13" s="344"/>
      <c r="P13" s="344"/>
      <c r="Q13" s="363"/>
      <c r="R13" s="343"/>
      <c r="S13" s="344"/>
      <c r="T13" s="344"/>
      <c r="U13" s="344"/>
      <c r="V13" s="344"/>
      <c r="W13" s="343"/>
      <c r="X13" s="344"/>
      <c r="Y13" s="344"/>
      <c r="Z13" s="331"/>
      <c r="AA13" s="332"/>
      <c r="AB13" s="332"/>
      <c r="AC13" s="333"/>
      <c r="AD13" s="334"/>
      <c r="AE13" s="335"/>
      <c r="AF13" s="336"/>
      <c r="AG13" s="336"/>
      <c r="AH13" s="337"/>
      <c r="AI13" s="338"/>
      <c r="AJ13" s="43"/>
      <c r="AK13" s="51"/>
      <c r="AL13" s="52"/>
      <c r="AM13" s="52"/>
      <c r="AN13" s="52"/>
      <c r="AO13" s="52"/>
      <c r="AP13" s="52"/>
      <c r="AQ13" s="32"/>
      <c r="AR13" s="3"/>
      <c r="AT13" s="372" t="s">
        <v>58</v>
      </c>
      <c r="AU13" s="373"/>
      <c r="AV13" s="373"/>
      <c r="AW13" s="373"/>
      <c r="AX13" s="373"/>
      <c r="AY13" s="374"/>
    </row>
    <row r="14" spans="1:53" ht="18.75" customHeight="1" thickBot="1" x14ac:dyDescent="0.25">
      <c r="A14" s="320" t="str">
        <f>IF($AK9&gt;3,"4","")</f>
        <v>4</v>
      </c>
      <c r="B14" s="322" t="s">
        <v>10</v>
      </c>
      <c r="C14" s="323"/>
      <c r="D14" s="323"/>
      <c r="E14" s="324" t="str">
        <f>AU10</f>
        <v>CSRA Heat 16 Gold</v>
      </c>
      <c r="F14" s="325"/>
      <c r="G14" s="325"/>
      <c r="H14" s="325"/>
      <c r="I14" s="325"/>
      <c r="J14" s="325"/>
      <c r="K14" s="326"/>
      <c r="L14" s="327">
        <f>IF($AK10=0,AF67,AF49)</f>
        <v>2</v>
      </c>
      <c r="M14" s="328"/>
      <c r="N14" s="328"/>
      <c r="O14" s="328"/>
      <c r="P14" s="328"/>
      <c r="Q14" s="363"/>
      <c r="R14" s="327">
        <f>IF($AK10=0,AG67,AG49)</f>
        <v>6</v>
      </c>
      <c r="S14" s="328"/>
      <c r="T14" s="328"/>
      <c r="U14" s="328"/>
      <c r="V14" s="328"/>
      <c r="W14" s="327">
        <f>AQ27</f>
        <v>-12</v>
      </c>
      <c r="X14" s="328"/>
      <c r="Y14" s="328"/>
      <c r="Z14" s="300">
        <f>IF(AF61&gt;0,(AQ27/AF61),0)</f>
        <v>-5.9405940594059403E-2</v>
      </c>
      <c r="AA14" s="301"/>
      <c r="AB14" s="301"/>
      <c r="AC14" s="304">
        <f>IF(AF75=0,0,(AF67/AF75))</f>
        <v>0.25</v>
      </c>
      <c r="AD14" s="305"/>
      <c r="AE14" s="306"/>
      <c r="AF14" s="310">
        <v>4</v>
      </c>
      <c r="AG14" s="310">
        <v>1</v>
      </c>
      <c r="AH14" s="312"/>
      <c r="AI14" s="313"/>
      <c r="AJ14" s="8"/>
      <c r="AK14" s="52"/>
      <c r="AL14" s="52"/>
      <c r="AM14" s="52"/>
      <c r="AN14" s="52"/>
      <c r="AO14" s="52"/>
      <c r="AP14" s="52"/>
      <c r="AQ14" s="34"/>
      <c r="AR14" s="35"/>
      <c r="AT14" s="375"/>
      <c r="AU14" s="376"/>
      <c r="AV14" s="376"/>
      <c r="AW14" s="376"/>
      <c r="AX14" s="376"/>
      <c r="AY14" s="377"/>
    </row>
    <row r="15" spans="1:53" ht="18.75" customHeight="1" thickBot="1" x14ac:dyDescent="0.25">
      <c r="A15" s="321"/>
      <c r="B15" s="339" t="s">
        <v>11</v>
      </c>
      <c r="C15" s="340"/>
      <c r="D15" s="340"/>
      <c r="E15" s="341" t="str">
        <f>AV10</f>
        <v>fj6csrah2pm</v>
      </c>
      <c r="F15" s="342"/>
      <c r="G15" s="342"/>
      <c r="H15" s="342"/>
      <c r="I15" s="342"/>
      <c r="J15" s="342"/>
      <c r="K15" s="342"/>
      <c r="L15" s="343"/>
      <c r="M15" s="344"/>
      <c r="N15" s="344"/>
      <c r="O15" s="344"/>
      <c r="P15" s="344"/>
      <c r="Q15" s="363"/>
      <c r="R15" s="343"/>
      <c r="S15" s="344"/>
      <c r="T15" s="344"/>
      <c r="U15" s="344"/>
      <c r="V15" s="344"/>
      <c r="W15" s="343"/>
      <c r="X15" s="344"/>
      <c r="Y15" s="344"/>
      <c r="Z15" s="331"/>
      <c r="AA15" s="332"/>
      <c r="AB15" s="332"/>
      <c r="AC15" s="333"/>
      <c r="AD15" s="334"/>
      <c r="AE15" s="335"/>
      <c r="AF15" s="336"/>
      <c r="AG15" s="336"/>
      <c r="AH15" s="337"/>
      <c r="AI15" s="338"/>
      <c r="AJ15" s="8"/>
      <c r="AK15" s="52"/>
      <c r="AL15" s="52"/>
      <c r="AM15" s="52"/>
      <c r="AN15" s="52"/>
      <c r="AO15" s="52"/>
      <c r="AP15" s="52"/>
      <c r="AQ15" s="8"/>
      <c r="AR15" s="3"/>
      <c r="AW15" s="117"/>
      <c r="AX15" s="117"/>
      <c r="AY15" s="117"/>
    </row>
    <row r="16" spans="1:53" ht="18.75" customHeight="1" x14ac:dyDescent="0.2">
      <c r="A16" s="320" t="str">
        <f>IF($AK9&gt;4,"5","")</f>
        <v>5</v>
      </c>
      <c r="B16" s="322" t="s">
        <v>10</v>
      </c>
      <c r="C16" s="323"/>
      <c r="D16" s="323"/>
      <c r="E16" s="324" t="str">
        <f>AU11</f>
        <v>MOTO 16-2 IGNITE</v>
      </c>
      <c r="F16" s="325"/>
      <c r="G16" s="325"/>
      <c r="H16" s="325"/>
      <c r="I16" s="325"/>
      <c r="J16" s="325"/>
      <c r="K16" s="326"/>
      <c r="L16" s="327">
        <f>IF($AK10=0,AF68,AF50)</f>
        <v>1</v>
      </c>
      <c r="M16" s="328"/>
      <c r="N16" s="328"/>
      <c r="O16" s="328"/>
      <c r="P16" s="328"/>
      <c r="Q16" s="363"/>
      <c r="R16" s="327">
        <f>IF($AK10=0,AG68,AG50)</f>
        <v>7</v>
      </c>
      <c r="S16" s="328"/>
      <c r="T16" s="328"/>
      <c r="U16" s="328"/>
      <c r="V16" s="328"/>
      <c r="W16" s="327">
        <f>AQ28</f>
        <v>-41</v>
      </c>
      <c r="X16" s="328"/>
      <c r="Y16" s="328"/>
      <c r="Z16" s="300">
        <f>IF(AF62&gt;0,(AQ28/AF62),0)</f>
        <v>-0.20499999999999999</v>
      </c>
      <c r="AA16" s="301"/>
      <c r="AB16" s="301"/>
      <c r="AC16" s="304">
        <f>IF(AF76=0,0,(AF68/AF76))</f>
        <v>0.125</v>
      </c>
      <c r="AD16" s="305"/>
      <c r="AE16" s="306"/>
      <c r="AF16" s="310">
        <v>5</v>
      </c>
      <c r="AG16" s="310">
        <v>1</v>
      </c>
      <c r="AH16" s="312"/>
      <c r="AI16" s="313"/>
      <c r="AJ16" s="8"/>
      <c r="AK16" s="52"/>
      <c r="AL16" s="52"/>
      <c r="AM16" s="52"/>
      <c r="AN16" s="52"/>
      <c r="AO16" s="52"/>
      <c r="AP16" s="52"/>
      <c r="AQ16" s="8"/>
      <c r="AR16" s="3"/>
      <c r="AT16" s="53"/>
      <c r="AU16" s="117"/>
      <c r="AV16" s="117"/>
      <c r="AW16" s="117"/>
      <c r="AX16" s="117"/>
      <c r="AY16" s="117"/>
    </row>
    <row r="17" spans="1:51" ht="18.75" customHeight="1" thickBot="1" x14ac:dyDescent="0.25">
      <c r="A17" s="321"/>
      <c r="B17" s="316" t="s">
        <v>11</v>
      </c>
      <c r="C17" s="317"/>
      <c r="D17" s="317"/>
      <c r="E17" s="318" t="str">
        <f>AV11</f>
        <v>fj6motojdpm</v>
      </c>
      <c r="F17" s="319"/>
      <c r="G17" s="319"/>
      <c r="H17" s="319"/>
      <c r="I17" s="319"/>
      <c r="J17" s="319"/>
      <c r="K17" s="319"/>
      <c r="L17" s="329"/>
      <c r="M17" s="330"/>
      <c r="N17" s="330"/>
      <c r="O17" s="330"/>
      <c r="P17" s="330"/>
      <c r="Q17" s="363"/>
      <c r="R17" s="329"/>
      <c r="S17" s="330"/>
      <c r="T17" s="330"/>
      <c r="U17" s="330"/>
      <c r="V17" s="330"/>
      <c r="W17" s="329"/>
      <c r="X17" s="330"/>
      <c r="Y17" s="330"/>
      <c r="Z17" s="302"/>
      <c r="AA17" s="303"/>
      <c r="AB17" s="303"/>
      <c r="AC17" s="307"/>
      <c r="AD17" s="308"/>
      <c r="AE17" s="309"/>
      <c r="AF17" s="311"/>
      <c r="AG17" s="311"/>
      <c r="AH17" s="314"/>
      <c r="AI17" s="315"/>
      <c r="AJ17" s="8"/>
      <c r="AK17" s="52"/>
      <c r="AL17" s="52"/>
      <c r="AM17" s="52"/>
      <c r="AN17" s="52"/>
      <c r="AO17" s="52"/>
      <c r="AP17" s="52"/>
      <c r="AQ17" s="8"/>
      <c r="AR17" s="3"/>
      <c r="AT17" s="53"/>
      <c r="AU17" s="117"/>
      <c r="AV17" s="117"/>
      <c r="AW17" s="117"/>
      <c r="AX17" s="117"/>
      <c r="AY17" s="117"/>
    </row>
    <row r="18" spans="1:51" ht="21" customHeight="1" thickTop="1" thickBot="1" x14ac:dyDescent="0.25">
      <c r="A18" s="55"/>
      <c r="B18" s="297" t="s">
        <v>195</v>
      </c>
      <c r="C18" s="298"/>
      <c r="D18" s="298"/>
      <c r="E18" s="298"/>
      <c r="F18" s="298"/>
      <c r="G18" s="298"/>
      <c r="H18" s="298"/>
      <c r="I18" s="298"/>
      <c r="J18" s="298"/>
      <c r="K18" s="298"/>
      <c r="L18" s="298"/>
      <c r="M18" s="298"/>
      <c r="N18" s="298"/>
      <c r="O18" s="298"/>
      <c r="P18" s="298"/>
      <c r="Q18" s="298"/>
      <c r="R18" s="298"/>
      <c r="S18" s="298"/>
      <c r="T18" s="298"/>
      <c r="U18" s="298"/>
      <c r="V18" s="298"/>
      <c r="W18" s="298"/>
      <c r="X18" s="298"/>
      <c r="Y18" s="298"/>
      <c r="Z18" s="298"/>
      <c r="AA18" s="298"/>
      <c r="AB18" s="298"/>
      <c r="AC18" s="298"/>
      <c r="AD18" s="298"/>
      <c r="AE18" s="298"/>
      <c r="AF18" s="298"/>
      <c r="AG18" s="298"/>
      <c r="AH18" s="298"/>
      <c r="AI18" s="299"/>
      <c r="AJ18" s="8"/>
      <c r="AK18" s="52"/>
      <c r="AL18" s="52"/>
      <c r="AM18" s="52"/>
      <c r="AN18" s="52"/>
      <c r="AO18" s="52"/>
      <c r="AP18" s="52"/>
      <c r="AQ18" s="8"/>
      <c r="AR18" s="3"/>
      <c r="AT18" s="53"/>
      <c r="AU18" s="117"/>
      <c r="AV18" s="117"/>
      <c r="AW18" s="4"/>
    </row>
    <row r="19" spans="1:51" ht="13.5" thickTop="1" x14ac:dyDescent="0.2">
      <c r="A19" s="4" t="s">
        <v>60</v>
      </c>
      <c r="B19" s="286">
        <v>0.35416666666666669</v>
      </c>
      <c r="C19" s="287"/>
      <c r="D19" s="288"/>
      <c r="E19" s="286">
        <v>0.38541666666666669</v>
      </c>
      <c r="F19" s="287"/>
      <c r="G19" s="288"/>
      <c r="H19" s="286">
        <v>0.41666666666666669</v>
      </c>
      <c r="I19" s="287"/>
      <c r="J19" s="288"/>
      <c r="K19" s="286">
        <v>0.44791666666666669</v>
      </c>
      <c r="L19" s="287"/>
      <c r="M19" s="288"/>
      <c r="N19" s="286">
        <v>0.47916666666666669</v>
      </c>
      <c r="O19" s="287"/>
      <c r="P19" s="288"/>
      <c r="Q19" s="286">
        <v>0.51041666666666663</v>
      </c>
      <c r="R19" s="287"/>
      <c r="S19" s="288"/>
      <c r="T19" s="286">
        <v>4.1666666666666664E-2</v>
      </c>
      <c r="U19" s="287"/>
      <c r="V19" s="288"/>
      <c r="W19" s="286">
        <v>7.2916666666666671E-2</v>
      </c>
      <c r="X19" s="287"/>
      <c r="Y19" s="288"/>
      <c r="Z19" s="286">
        <v>0.10416666666666667</v>
      </c>
      <c r="AA19" s="287"/>
      <c r="AB19" s="288"/>
      <c r="AC19" s="286">
        <v>0.13541666666666666</v>
      </c>
      <c r="AD19" s="287"/>
      <c r="AE19" s="288"/>
      <c r="AF19" s="289" t="s">
        <v>61</v>
      </c>
      <c r="AG19" s="290"/>
      <c r="AH19" s="290"/>
      <c r="AI19" s="290"/>
      <c r="AJ19" s="291"/>
      <c r="AK19" s="291"/>
      <c r="AL19" s="291"/>
      <c r="AM19" s="291"/>
      <c r="AN19" s="291"/>
      <c r="AO19" s="291"/>
      <c r="AP19" s="291"/>
      <c r="AQ19" s="292"/>
      <c r="AT19" s="53"/>
      <c r="AU19" s="117"/>
      <c r="AV19" s="117"/>
      <c r="AW19" s="4"/>
    </row>
    <row r="20" spans="1:51" x14ac:dyDescent="0.2">
      <c r="A20" s="56" t="s">
        <v>62</v>
      </c>
      <c r="B20" s="283"/>
      <c r="C20" s="284"/>
      <c r="D20" s="285"/>
      <c r="E20" s="283"/>
      <c r="F20" s="284"/>
      <c r="G20" s="285"/>
      <c r="H20" s="283"/>
      <c r="I20" s="284"/>
      <c r="J20" s="285"/>
      <c r="K20" s="283"/>
      <c r="L20" s="284"/>
      <c r="M20" s="285"/>
      <c r="N20" s="283"/>
      <c r="O20" s="284"/>
      <c r="P20" s="285"/>
      <c r="Q20" s="283"/>
      <c r="R20" s="284"/>
      <c r="S20" s="285"/>
      <c r="T20" s="283"/>
      <c r="U20" s="284"/>
      <c r="V20" s="285"/>
      <c r="W20" s="283"/>
      <c r="X20" s="284"/>
      <c r="Y20" s="285"/>
      <c r="Z20" s="283"/>
      <c r="AA20" s="284"/>
      <c r="AB20" s="285"/>
      <c r="AC20" s="283"/>
      <c r="AD20" s="284"/>
      <c r="AE20" s="285"/>
      <c r="AF20" s="289"/>
      <c r="AG20" s="290"/>
      <c r="AH20" s="290"/>
      <c r="AI20" s="290"/>
      <c r="AJ20" s="290"/>
      <c r="AK20" s="290"/>
      <c r="AL20" s="290"/>
      <c r="AM20" s="290"/>
      <c r="AN20" s="290"/>
      <c r="AO20" s="290"/>
      <c r="AP20" s="290"/>
      <c r="AQ20" s="293"/>
      <c r="AT20" s="53"/>
      <c r="AU20" s="117"/>
      <c r="AV20" s="117"/>
      <c r="AW20" s="4"/>
    </row>
    <row r="21" spans="1:51" x14ac:dyDescent="0.2">
      <c r="A21" s="56" t="s">
        <v>63</v>
      </c>
      <c r="B21" s="283"/>
      <c r="C21" s="284"/>
      <c r="D21" s="285"/>
      <c r="E21" s="283"/>
      <c r="F21" s="284"/>
      <c r="G21" s="285"/>
      <c r="H21" s="283"/>
      <c r="I21" s="284"/>
      <c r="J21" s="285"/>
      <c r="K21" s="283"/>
      <c r="L21" s="284"/>
      <c r="M21" s="285"/>
      <c r="N21" s="283"/>
      <c r="O21" s="284"/>
      <c r="P21" s="285"/>
      <c r="Q21" s="283"/>
      <c r="R21" s="284"/>
      <c r="S21" s="285"/>
      <c r="T21" s="283"/>
      <c r="U21" s="284"/>
      <c r="V21" s="285"/>
      <c r="W21" s="283"/>
      <c r="X21" s="284"/>
      <c r="Y21" s="285"/>
      <c r="Z21" s="283"/>
      <c r="AA21" s="284"/>
      <c r="AB21" s="285"/>
      <c r="AC21" s="283"/>
      <c r="AD21" s="284"/>
      <c r="AE21" s="285"/>
      <c r="AF21" s="289"/>
      <c r="AG21" s="290"/>
      <c r="AH21" s="290"/>
      <c r="AI21" s="290"/>
      <c r="AJ21" s="290"/>
      <c r="AK21" s="290"/>
      <c r="AL21" s="290"/>
      <c r="AM21" s="290"/>
      <c r="AN21" s="290"/>
      <c r="AO21" s="290"/>
      <c r="AP21" s="290"/>
      <c r="AQ21" s="293"/>
      <c r="AT21" s="7"/>
      <c r="AU21" s="7"/>
      <c r="AV21" s="7"/>
      <c r="AW21" s="4"/>
    </row>
    <row r="22" spans="1:51" ht="13.5" thickBot="1" x14ac:dyDescent="0.25">
      <c r="A22" s="8"/>
      <c r="B22" s="173" t="s">
        <v>64</v>
      </c>
      <c r="C22" s="174"/>
      <c r="D22" s="180"/>
      <c r="E22" s="173" t="str">
        <f>IF($AK8&gt;1,"Match 2","")</f>
        <v>Match 2</v>
      </c>
      <c r="F22" s="174"/>
      <c r="G22" s="180"/>
      <c r="H22" s="173" t="str">
        <f>IF($AK8&gt;2,"Match 3","")</f>
        <v>Match 3</v>
      </c>
      <c r="I22" s="174"/>
      <c r="J22" s="180"/>
      <c r="K22" s="173" t="str">
        <f>IF($AK8&gt;3,"Match 4","")</f>
        <v>Match 4</v>
      </c>
      <c r="L22" s="174"/>
      <c r="M22" s="180"/>
      <c r="N22" s="173" t="str">
        <f>IF($AK8&gt;4,"Match 5","")</f>
        <v>Match 5</v>
      </c>
      <c r="O22" s="174"/>
      <c r="P22" s="180"/>
      <c r="Q22" s="173" t="str">
        <f>IF($AK8&gt;5,"Match 6","")</f>
        <v>Match 6</v>
      </c>
      <c r="R22" s="174"/>
      <c r="S22" s="180"/>
      <c r="T22" s="173" t="str">
        <f>IF($AK8&gt;6,"Match 7","")</f>
        <v>Match 7</v>
      </c>
      <c r="U22" s="174"/>
      <c r="V22" s="180"/>
      <c r="W22" s="173" t="str">
        <f>IF($AK8&gt;7,"Match 8","")</f>
        <v>Match 8</v>
      </c>
      <c r="X22" s="174"/>
      <c r="Y22" s="180"/>
      <c r="Z22" s="173" t="str">
        <f>IF($AK8&gt;8,"Match 9","")</f>
        <v>Match 9</v>
      </c>
      <c r="AA22" s="174"/>
      <c r="AB22" s="180"/>
      <c r="AC22" s="173" t="str">
        <f>IF($AK8&gt;9,"Match 10","")</f>
        <v>Match 10</v>
      </c>
      <c r="AD22" s="174"/>
      <c r="AE22" s="180"/>
      <c r="AF22" s="294"/>
      <c r="AG22" s="295"/>
      <c r="AH22" s="295"/>
      <c r="AI22" s="295"/>
      <c r="AJ22" s="295"/>
      <c r="AK22" s="295"/>
      <c r="AL22" s="295"/>
      <c r="AM22" s="295"/>
      <c r="AN22" s="295"/>
      <c r="AO22" s="295"/>
      <c r="AP22" s="295"/>
      <c r="AQ22" s="296"/>
      <c r="AT22" s="53"/>
      <c r="AU22" s="117"/>
      <c r="AV22" s="117"/>
      <c r="AW22" s="4"/>
    </row>
    <row r="23" spans="1:51" ht="15.75" x14ac:dyDescent="0.25">
      <c r="A23" s="8"/>
      <c r="B23" s="277" t="s">
        <v>68</v>
      </c>
      <c r="C23" s="278"/>
      <c r="D23" s="279"/>
      <c r="E23" s="277" t="s">
        <v>67</v>
      </c>
      <c r="F23" s="278"/>
      <c r="G23" s="279"/>
      <c r="H23" s="277" t="s">
        <v>65</v>
      </c>
      <c r="I23" s="278"/>
      <c r="J23" s="279"/>
      <c r="K23" s="277" t="s">
        <v>204</v>
      </c>
      <c r="L23" s="278"/>
      <c r="M23" s="279"/>
      <c r="N23" s="277" t="s">
        <v>66</v>
      </c>
      <c r="O23" s="278"/>
      <c r="P23" s="279"/>
      <c r="Q23" s="277" t="s">
        <v>65</v>
      </c>
      <c r="R23" s="278"/>
      <c r="S23" s="279"/>
      <c r="T23" s="277" t="s">
        <v>68</v>
      </c>
      <c r="U23" s="278"/>
      <c r="V23" s="279"/>
      <c r="W23" s="277" t="s">
        <v>66</v>
      </c>
      <c r="X23" s="278"/>
      <c r="Y23" s="279"/>
      <c r="Z23" s="277" t="s">
        <v>204</v>
      </c>
      <c r="AA23" s="278"/>
      <c r="AB23" s="279"/>
      <c r="AC23" s="277" t="s">
        <v>67</v>
      </c>
      <c r="AD23" s="278"/>
      <c r="AE23" s="279"/>
      <c r="AF23" s="57" t="s">
        <v>70</v>
      </c>
      <c r="AG23" s="58">
        <v>1</v>
      </c>
      <c r="AH23" s="58">
        <v>2</v>
      </c>
      <c r="AI23" s="58">
        <v>3</v>
      </c>
      <c r="AJ23" s="58">
        <v>4</v>
      </c>
      <c r="AK23" s="58">
        <v>5</v>
      </c>
      <c r="AL23" s="58">
        <v>6</v>
      </c>
      <c r="AM23" s="58">
        <v>7</v>
      </c>
      <c r="AN23" s="58">
        <v>8</v>
      </c>
      <c r="AO23" s="58">
        <v>9</v>
      </c>
      <c r="AP23" s="58">
        <v>10</v>
      </c>
      <c r="AQ23" s="59" t="s">
        <v>71</v>
      </c>
      <c r="AT23" s="53"/>
      <c r="AU23" s="117"/>
      <c r="AV23" s="117"/>
      <c r="AW23" s="117"/>
      <c r="AX23" s="117"/>
      <c r="AY23" s="117"/>
    </row>
    <row r="24" spans="1:51" ht="15.75" x14ac:dyDescent="0.25">
      <c r="A24" s="8"/>
      <c r="B24" s="61">
        <v>2</v>
      </c>
      <c r="C24" s="62" t="s">
        <v>72</v>
      </c>
      <c r="D24" s="63">
        <v>5</v>
      </c>
      <c r="E24" s="61">
        <v>1</v>
      </c>
      <c r="F24" s="62" t="str">
        <f>IF($AK8&gt;1,"v","")</f>
        <v>v</v>
      </c>
      <c r="G24" s="63">
        <v>4</v>
      </c>
      <c r="H24" s="61">
        <v>3</v>
      </c>
      <c r="I24" s="62" t="str">
        <f>IF($AK8&gt;2,"v","")</f>
        <v>v</v>
      </c>
      <c r="J24" s="63">
        <v>5</v>
      </c>
      <c r="K24" s="61">
        <v>2</v>
      </c>
      <c r="L24" s="62" t="str">
        <f>IF($AK8&gt;3,"v","")</f>
        <v>v</v>
      </c>
      <c r="M24" s="63">
        <v>4</v>
      </c>
      <c r="N24" s="61">
        <v>1</v>
      </c>
      <c r="O24" s="62" t="str">
        <f>IF($AK8&gt;4,"v","")</f>
        <v>v</v>
      </c>
      <c r="P24" s="63">
        <v>3</v>
      </c>
      <c r="Q24" s="61">
        <v>4</v>
      </c>
      <c r="R24" s="62" t="str">
        <f>IF($AK8&gt;5,"v","")</f>
        <v>v</v>
      </c>
      <c r="S24" s="63">
        <v>5</v>
      </c>
      <c r="T24" s="61">
        <v>2</v>
      </c>
      <c r="U24" s="62" t="str">
        <f>IF($AK8&gt;6,"v","")</f>
        <v>v</v>
      </c>
      <c r="V24" s="63">
        <v>3</v>
      </c>
      <c r="W24" s="61">
        <v>1</v>
      </c>
      <c r="X24" s="62" t="str">
        <f>IF($AK8&gt;7,"v","")</f>
        <v>v</v>
      </c>
      <c r="Y24" s="63">
        <v>5</v>
      </c>
      <c r="Z24" s="61">
        <v>3</v>
      </c>
      <c r="AA24" s="62" t="str">
        <f>IF($AK8&gt;8,"v","")</f>
        <v>v</v>
      </c>
      <c r="AB24" s="63">
        <v>4</v>
      </c>
      <c r="AC24" s="61">
        <v>1</v>
      </c>
      <c r="AD24" s="62" t="str">
        <f>IF($AK8&gt;9,"v","")</f>
        <v>v</v>
      </c>
      <c r="AE24" s="63">
        <v>2</v>
      </c>
      <c r="AF24" s="57" t="str">
        <f>IF($AK9&gt;0,"Team 1","")</f>
        <v>Team 1</v>
      </c>
      <c r="AG24" s="64" t="str">
        <f>IF($AK9&lt;1,"",IF($AK8&lt;1,"",IF(B24=1,B30-D30,IF(D24=1,D30-B30,""))))</f>
        <v/>
      </c>
      <c r="AH24" s="64">
        <f>IF($AK9&lt;1,"",IF($AK8&lt;2,"",IF(E24=1,E30-G30,IF(G24=1,G30-E30,""))))</f>
        <v>8</v>
      </c>
      <c r="AI24" s="64" t="str">
        <f>IF($AK9&lt;1,"",IF($AK8&lt;3,"",IF(H24=1,H30-J30,IF(J24=1,J30-H30,""))))</f>
        <v/>
      </c>
      <c r="AJ24" s="64" t="str">
        <f>IF($AK9&lt;1,"",IF($AK8&lt;4,"",IF(K24=1,K30-M30,IF(M24=1,M30-K30,""))))</f>
        <v/>
      </c>
      <c r="AK24" s="64">
        <f>IF($AK9&lt;1,"",IF($AK8&lt;5,"",IF(N24=1,N30-P30,IF(P24=1,P30-N30,""))))</f>
        <v>13</v>
      </c>
      <c r="AL24" s="64" t="str">
        <f>IF($AK9&lt;1,"",IF($AK8&lt;6,"",IF(Q24=1,Q30-S30,IF(S24=1,S30-Q30,""))))</f>
        <v/>
      </c>
      <c r="AM24" s="64" t="str">
        <f>IF($AK9&lt;1,"",IF($AK8&lt;7,"",IF(T24=1,T30-V30,IF(V24=1,V30-T30,""))))</f>
        <v/>
      </c>
      <c r="AN24" s="64">
        <f>IF($AK9&lt;1,"",IF($AK8&lt;8,"",IF(W24=1,W30-Y30,IF(Y24=1,Y30-W30,""))))</f>
        <v>12</v>
      </c>
      <c r="AO24" s="64" t="str">
        <f>IF($AK9&lt;1,"",IF($AK8&lt;9,"",IF(Z24=1,Z30-AB30,IF(AB24=1,AB30-Z30,""))))</f>
        <v/>
      </c>
      <c r="AP24" s="64">
        <f>IF($AK9&lt;1,"",IF($AK8&lt;10,"",IF(AC24=1,AC30-AE30,IF(AE24=1,AE30-AC30,""))))</f>
        <v>11</v>
      </c>
      <c r="AQ24" s="59">
        <f>SUM(AG24:AP24)</f>
        <v>44</v>
      </c>
      <c r="AT24" s="53"/>
      <c r="AU24" s="117"/>
      <c r="AV24" s="117"/>
      <c r="AW24" s="117"/>
      <c r="AX24" s="117"/>
      <c r="AY24" s="117"/>
    </row>
    <row r="25" spans="1:51" ht="15" x14ac:dyDescent="0.2">
      <c r="A25" s="4" t="s">
        <v>73</v>
      </c>
      <c r="B25" s="65">
        <v>25</v>
      </c>
      <c r="C25" s="66" t="s">
        <v>74</v>
      </c>
      <c r="D25" s="67">
        <v>16</v>
      </c>
      <c r="E25" s="65">
        <v>25</v>
      </c>
      <c r="F25" s="66" t="str">
        <f>IF($AK8&gt;1,"/","")</f>
        <v>/</v>
      </c>
      <c r="G25" s="67">
        <v>18</v>
      </c>
      <c r="H25" s="65">
        <v>18</v>
      </c>
      <c r="I25" s="66" t="str">
        <f>IF($AK8&gt;2,"/","")</f>
        <v>/</v>
      </c>
      <c r="J25" s="67">
        <v>25</v>
      </c>
      <c r="K25" s="65">
        <v>25</v>
      </c>
      <c r="L25" s="66" t="str">
        <f>IF($AK8&gt;3,"/","")</f>
        <v>/</v>
      </c>
      <c r="M25" s="67">
        <v>14</v>
      </c>
      <c r="N25" s="65">
        <v>25</v>
      </c>
      <c r="O25" s="66" t="str">
        <f>IF($AK8&gt;4,"/","")</f>
        <v>/</v>
      </c>
      <c r="P25" s="67">
        <v>14</v>
      </c>
      <c r="Q25" s="65">
        <v>25</v>
      </c>
      <c r="R25" s="66" t="str">
        <f>IF($AK8&gt;5,"/","")</f>
        <v>/</v>
      </c>
      <c r="S25" s="67">
        <v>15</v>
      </c>
      <c r="T25" s="65">
        <v>25</v>
      </c>
      <c r="U25" s="66" t="str">
        <f>IF($AK8&gt;6,"/","")</f>
        <v>/</v>
      </c>
      <c r="V25" s="67">
        <v>23</v>
      </c>
      <c r="W25" s="65">
        <v>25</v>
      </c>
      <c r="X25" s="66" t="str">
        <f>IF($AK8&gt;7,"/","")</f>
        <v>/</v>
      </c>
      <c r="Y25" s="67">
        <v>17</v>
      </c>
      <c r="Z25" s="65">
        <v>25</v>
      </c>
      <c r="AA25" s="66" t="str">
        <f>IF($AK8&gt;8,"/","")</f>
        <v>/</v>
      </c>
      <c r="AB25" s="67">
        <v>21</v>
      </c>
      <c r="AC25" s="65">
        <v>25</v>
      </c>
      <c r="AD25" s="66" t="str">
        <f>IF($AK8&gt;9,"/","")</f>
        <v>/</v>
      </c>
      <c r="AE25" s="67">
        <v>21</v>
      </c>
      <c r="AF25" s="57" t="str">
        <f>IF($AK9&gt;1,"Team 2","")</f>
        <v>Team 2</v>
      </c>
      <c r="AG25" s="64">
        <f>IF($AK9&lt;2,"",IF($AK8&lt;1,"",IF(B24=2,B30-D30,IF(D24=2,D30-B30,""))))</f>
        <v>13</v>
      </c>
      <c r="AH25" s="64" t="str">
        <f>IF($AK9&lt;2,"",IF($AK8&lt;2,"",IF(E24=2,E30-G30,IF(G24=2,G30-E30,""))))</f>
        <v/>
      </c>
      <c r="AI25" s="64" t="str">
        <f>IF($AK9&lt;2,"",IF($AK8&lt;3,"",IF(H24=2,H30-J30,IF(J24=2,J30-H30,""))))</f>
        <v/>
      </c>
      <c r="AJ25" s="64">
        <f>IF($AK9&lt;2,"",IF($AK8&lt;4,"",IF(K24=2,K30-M30,IF(M24=2,M30-K30,""))))</f>
        <v>14</v>
      </c>
      <c r="AK25" s="64" t="str">
        <f>IF($AK9&lt;2,"",IF($AK8&lt;5,"",IF(N24=2,N30-P30,IF(P24=2,P30-N30,""))))</f>
        <v/>
      </c>
      <c r="AL25" s="64" t="str">
        <f>IF($AK9&lt;2,"",IF($AK8&lt;6,"",IF(Q24=2,Q30-S30,IF(S24=2,S30-Q30,""))))</f>
        <v/>
      </c>
      <c r="AM25" s="64">
        <f>IF($AK9&lt;2,"",IF($AK8&lt;7,"",IF(T24=2,T30-V30,IF(V24=2,V30-T30,""))))</f>
        <v>5</v>
      </c>
      <c r="AN25" s="64" t="str">
        <f>IF($AK9&lt;2,"",IF($AK8&lt;8,"",IF(W24=2,W30-Y30,IF(Y24=2,Y30-W30,""))))</f>
        <v/>
      </c>
      <c r="AO25" s="64" t="str">
        <f>IF($AK9&lt;2,"",IF($AK8&lt;9,"",IF(Z24=2,Z30-AB30,IF(AB24=2,AB30-Z30,""))))</f>
        <v/>
      </c>
      <c r="AP25" s="64">
        <f>IF($AK9&lt;2,"",IF($AK8&lt;10,"",IF(AC24=2,AC30-AE30,IF(AE24=2,AE30-AC30,""))))</f>
        <v>-11</v>
      </c>
      <c r="AQ25" s="59">
        <f>SUM(AG25:AP25)</f>
        <v>21</v>
      </c>
      <c r="AW25" s="4"/>
    </row>
    <row r="26" spans="1:51" ht="15" x14ac:dyDescent="0.2">
      <c r="A26" s="3" t="str">
        <f>IF($AK7&gt;1,"Game 2","")</f>
        <v>Game 2</v>
      </c>
      <c r="B26" s="65">
        <v>25</v>
      </c>
      <c r="C26" s="66" t="s">
        <v>74</v>
      </c>
      <c r="D26" s="67">
        <v>21</v>
      </c>
      <c r="E26" s="65">
        <v>27</v>
      </c>
      <c r="F26" s="66" t="str">
        <f>IF($AK8&gt;1,IF($AK7&gt;1,"/",""),"")</f>
        <v>/</v>
      </c>
      <c r="G26" s="67">
        <v>26</v>
      </c>
      <c r="H26" s="65">
        <v>25</v>
      </c>
      <c r="I26" s="66" t="str">
        <f>IF($AK8&gt;2,IF($AK7&gt;1,"/",""),"")</f>
        <v>/</v>
      </c>
      <c r="J26" s="67">
        <v>23</v>
      </c>
      <c r="K26" s="65">
        <v>25</v>
      </c>
      <c r="L26" s="66" t="str">
        <f>IF($AK8&gt;3,IF($AK7&gt;1,"/",""),"")</f>
        <v>/</v>
      </c>
      <c r="M26" s="67">
        <v>22</v>
      </c>
      <c r="N26" s="65">
        <v>25</v>
      </c>
      <c r="O26" s="66" t="str">
        <f>IF($AK8&gt;4,IF($AK7&gt;1,"/",""),"")</f>
        <v>/</v>
      </c>
      <c r="P26" s="67">
        <v>23</v>
      </c>
      <c r="Q26" s="65">
        <v>25</v>
      </c>
      <c r="R26" s="66" t="str">
        <f>IF($AK8&gt;5,IF($AK7&gt;1,"/",""),"")</f>
        <v>/</v>
      </c>
      <c r="S26" s="67">
        <v>14</v>
      </c>
      <c r="T26" s="65">
        <v>25</v>
      </c>
      <c r="U26" s="66" t="str">
        <f>IF($AK8&gt;6,IF($AK7&gt;1,"/",""),"")</f>
        <v>/</v>
      </c>
      <c r="V26" s="67">
        <v>22</v>
      </c>
      <c r="W26" s="65">
        <v>25</v>
      </c>
      <c r="X26" s="66" t="str">
        <f>IF($AK8&gt;7,IF($AK7&gt;1,"/",""),"")</f>
        <v>/</v>
      </c>
      <c r="Y26" s="67">
        <v>21</v>
      </c>
      <c r="Z26" s="65">
        <v>25</v>
      </c>
      <c r="AA26" s="66" t="str">
        <f>IF($AK8&gt;8,IF($AK7&gt;1,"/",""),"")</f>
        <v>/</v>
      </c>
      <c r="AB26" s="67">
        <v>18</v>
      </c>
      <c r="AC26" s="65">
        <v>25</v>
      </c>
      <c r="AD26" s="66" t="str">
        <f>IF($AK8&gt;9,IF($AK7&gt;1,"/",""),"")</f>
        <v>/</v>
      </c>
      <c r="AE26" s="67">
        <v>18</v>
      </c>
      <c r="AF26" s="57" t="str">
        <f>IF($AK9&gt;2,"Team 3","")</f>
        <v>Team 3</v>
      </c>
      <c r="AG26" s="64" t="str">
        <f>IF($AK9&lt;3,"",IF($AK8&lt;1,"",IF(B24=3,B30-D30,IF(D24=3,D30-B30,""))))</f>
        <v/>
      </c>
      <c r="AH26" s="64" t="str">
        <f>IF($AK9&lt;3,"",IF($AK8&lt;2,"",IF(E24=3,E30-G30,IF(G24=3,G30-E30,""))))</f>
        <v/>
      </c>
      <c r="AI26" s="64">
        <f>IF($AK9&lt;3,"",IF($AK8&lt;3,"",IF(H24=3,H30-J30,IF(J24=3,J30-H30,""))))</f>
        <v>-5</v>
      </c>
      <c r="AJ26" s="64" t="str">
        <f>IF($AK9&lt;3,"",IF($AK8&lt;4,"",IF(K24=3,K30-M30,IF(M24=3,M30-K30,""))))</f>
        <v/>
      </c>
      <c r="AK26" s="64">
        <f>IF($AK9&lt;3,"",IF($AK8&lt;5,"",IF(N24=3,N30-P30,IF(P24=3,P30-N30,""))))</f>
        <v>-13</v>
      </c>
      <c r="AL26" s="64" t="str">
        <f>IF($AK9&lt;3,"",IF($AK8&lt;6,"",IF(Q24=3,Q30-S30,IF(S24=3,S30-Q30,""))))</f>
        <v/>
      </c>
      <c r="AM26" s="64">
        <f>IF($AK9&lt;3,"",IF($AK8&lt;7,"",IF(T24=3,T30-V30,IF(V24=3,V30-T30,""))))</f>
        <v>-5</v>
      </c>
      <c r="AN26" s="64" t="str">
        <f>IF($AK9&lt;3,"",IF($AK8&lt;8,"",IF(W24=3,W30-Y30,IF(Y24=3,Y30-W30,""))))</f>
        <v/>
      </c>
      <c r="AO26" s="64">
        <f>IF($AK9&lt;3,"",IF($AK8&lt;9,"",IF(Z24=3,Z30-AB30,IF(AB24=3,AB30-Z30,""))))</f>
        <v>11</v>
      </c>
      <c r="AP26" s="64" t="str">
        <f>IF($AK9&lt;3,"",IF($AK8&lt;9,"",IF(AC24=3,AC30-AE30,IF(AE24=3,AE30-AC30,""))))</f>
        <v/>
      </c>
      <c r="AQ26" s="59">
        <f>SUM(AG26:AP26)</f>
        <v>-12</v>
      </c>
      <c r="AW26" s="4"/>
    </row>
    <row r="27" spans="1:51" ht="15" x14ac:dyDescent="0.2">
      <c r="A27" s="3" t="str">
        <f>IF($AK7&gt;2,"Game 3","")</f>
        <v/>
      </c>
      <c r="B27" s="65"/>
      <c r="C27" s="66" t="s">
        <v>74</v>
      </c>
      <c r="D27" s="67"/>
      <c r="E27" s="65"/>
      <c r="F27" s="66" t="str">
        <f>IF($AK8&gt;1,IF($AK7&gt;2,"/",""),"")</f>
        <v/>
      </c>
      <c r="G27" s="67"/>
      <c r="H27" s="65"/>
      <c r="I27" s="66" t="str">
        <f>IF($AK8&gt;2,IF($AK7&gt;2,"/",""),"")</f>
        <v/>
      </c>
      <c r="J27" s="67"/>
      <c r="K27" s="65"/>
      <c r="L27" s="66" t="str">
        <f>IF($AK8&gt;3,IF($AK7&gt;2,"/",""),"")</f>
        <v/>
      </c>
      <c r="M27" s="67"/>
      <c r="N27" s="65"/>
      <c r="O27" s="66" t="str">
        <f>IF($AK8&gt;4,IF($AK7&gt;2,"/",""),"")</f>
        <v/>
      </c>
      <c r="P27" s="67"/>
      <c r="Q27" s="65"/>
      <c r="R27" s="66" t="str">
        <f>IF($AK8&gt;5,IF($AK7&gt;2,"/",""),"")</f>
        <v/>
      </c>
      <c r="S27" s="67"/>
      <c r="T27" s="65"/>
      <c r="U27" s="66" t="str">
        <f>IF($AK8&gt;6,IF($AK7&gt;2,"/",""),"")</f>
        <v/>
      </c>
      <c r="V27" s="67"/>
      <c r="W27" s="65"/>
      <c r="X27" s="66" t="str">
        <f>IF($AK8&gt;7,IF($AK7&gt;2,"/",""),"")</f>
        <v/>
      </c>
      <c r="Y27" s="67"/>
      <c r="Z27" s="65"/>
      <c r="AA27" s="66" t="str">
        <f>IF($AK8&gt;8,IF($AK7&gt;2,"/",""),"")</f>
        <v/>
      </c>
      <c r="AB27" s="67"/>
      <c r="AC27" s="65"/>
      <c r="AD27" s="66" t="str">
        <f>IF($AK8&gt;9,IF($AK7&gt;2,"/",""),"")</f>
        <v/>
      </c>
      <c r="AE27" s="67"/>
      <c r="AF27" s="57" t="str">
        <f>IF($AK9&gt;3,"Team 4","")</f>
        <v>Team 4</v>
      </c>
      <c r="AG27" s="64" t="str">
        <f>IF($AK9&lt;4,"",IF($AK8&lt;1,"",IF(B24=4,B30-D30,IF(D24=4,D30-B30,""))))</f>
        <v/>
      </c>
      <c r="AH27" s="64">
        <f>IF($AK9&lt;4,"",IF($AK8&lt;2,"",IF(E24=4,E30-G30,IF(G24=4,G30-E30,""))))</f>
        <v>-8</v>
      </c>
      <c r="AI27" s="64" t="str">
        <f>IF($AK9&lt;4,"",IF($AK8&lt;3,"",IF(H24=4,H30-J30,IF(J24=4,J30-H30,""))))</f>
        <v/>
      </c>
      <c r="AJ27" s="64">
        <f>IF($AK9&lt;4,"",IF($AK8&lt;4,"",IF(K24=4,K30-M30,IF(M24=4,M30-K30,""))))</f>
        <v>-14</v>
      </c>
      <c r="AK27" s="64" t="str">
        <f>IF($AK9&lt;4,"",IF($AK8&lt;5,"",IF(N24=4,N30-P30,IF(P24=4,P30-N30,""))))</f>
        <v/>
      </c>
      <c r="AL27" s="64">
        <f>IF($AK9&lt;4,"",IF($AK8&lt;6,"",IF(Q24=4,Q30-S30,IF(S24=4,S30-Q30,""))))</f>
        <v>21</v>
      </c>
      <c r="AM27" s="64" t="str">
        <f>IF($AK9&lt;4,"",IF($AK8&lt;7,"",IF(T24=4,T30-V30,IF(V24=4,V30-T30,""))))</f>
        <v/>
      </c>
      <c r="AN27" s="64" t="str">
        <f>IF($AK9&lt;4,"",IF($AK8&lt;8,"",IF(W24=4,W30-Y30,IF(Y24=4,Y30-W30,""))))</f>
        <v/>
      </c>
      <c r="AO27" s="64">
        <f>IF($AK9&lt;4,"",IF($AK8&lt;9,"",IF(Z24=4,Z30-AB30,IF(AB24=4,AB30-Z30,""))))</f>
        <v>-11</v>
      </c>
      <c r="AP27" s="64" t="str">
        <f>IF($AK9&lt;4,"",IF($AK8&lt;10,"",IF(AC24=4,AC30-AE30,IF(AE24=4,AE30-AC30,""))))</f>
        <v/>
      </c>
      <c r="AQ27" s="59">
        <f>SUM(AG27:AP27)</f>
        <v>-12</v>
      </c>
      <c r="AW27" s="4"/>
    </row>
    <row r="28" spans="1:51" ht="15" x14ac:dyDescent="0.2">
      <c r="A28" s="3" t="str">
        <f>IF($AK7&gt;3,"Game 4","")</f>
        <v/>
      </c>
      <c r="B28" s="65"/>
      <c r="C28" s="66" t="s">
        <v>74</v>
      </c>
      <c r="D28" s="67"/>
      <c r="E28" s="65"/>
      <c r="F28" s="66" t="str">
        <f>IF($AK8&gt;1,IF($AK7&gt;3,"/",""),"")</f>
        <v/>
      </c>
      <c r="G28" s="67"/>
      <c r="H28" s="65"/>
      <c r="I28" s="66" t="str">
        <f>IF($AK8&gt;2,IF($AK7&gt;3,"/",""),"")</f>
        <v/>
      </c>
      <c r="J28" s="67"/>
      <c r="K28" s="65"/>
      <c r="L28" s="66" t="str">
        <f>IF($AK8&gt;3,IF($AK7&gt;3,"/",""),"")</f>
        <v/>
      </c>
      <c r="M28" s="67"/>
      <c r="N28" s="65"/>
      <c r="O28" s="66" t="str">
        <f>IF($AK8&gt;4,IF($AK7&gt;3,"/",""),"")</f>
        <v/>
      </c>
      <c r="P28" s="67"/>
      <c r="Q28" s="65"/>
      <c r="R28" s="66" t="str">
        <f>IF($AK8&gt;5,IF($AK7&gt;3,"/",""),"")</f>
        <v/>
      </c>
      <c r="S28" s="67"/>
      <c r="T28" s="65"/>
      <c r="U28" s="66" t="str">
        <f>IF($AK8&gt;6,IF($AK7&gt;3,"/",""),"")</f>
        <v/>
      </c>
      <c r="V28" s="67"/>
      <c r="W28" s="65"/>
      <c r="X28" s="66" t="str">
        <f>IF($AK8&gt;7,IF($AK7&gt;3,"/",""),"")</f>
        <v/>
      </c>
      <c r="Y28" s="67"/>
      <c r="Z28" s="65"/>
      <c r="AA28" s="66" t="str">
        <f>IF($AK8&gt;8,IF($AK7&gt;3,"/",""),"")</f>
        <v/>
      </c>
      <c r="AB28" s="67"/>
      <c r="AC28" s="65"/>
      <c r="AD28" s="66" t="str">
        <f>IF($AK8&gt;9,IF($AK7&gt;3,"/",""),"")</f>
        <v/>
      </c>
      <c r="AE28" s="67"/>
      <c r="AF28" s="57" t="str">
        <f>IF($AK9&gt;4,"Team 5","")</f>
        <v>Team 5</v>
      </c>
      <c r="AG28" s="68">
        <f>IF($AK9&lt;5,"",IF($AK8&lt;1,"",IF(B24=5,B30-D30,IF(D24=5,D30-B30,""))))</f>
        <v>-13</v>
      </c>
      <c r="AH28" s="64" t="str">
        <f>IF($AK9&lt;5,"",IF($AK8&lt;2,"",IF(E24=5,E30-G30,IF(G24=5,G30-E30,""))))</f>
        <v/>
      </c>
      <c r="AI28" s="64">
        <f>IF($AK9&lt;5,"",IF($AK8&lt;3,"",IF(H24=5,H30-J30,IF(J24=5,J30-H30,""))))</f>
        <v>5</v>
      </c>
      <c r="AJ28" s="64" t="str">
        <f>IF($AK9&lt;5,"",IF($AK8&lt;4,"",IF(K24=5,K30-M30,IF(M24=5,M30-K30,""))))</f>
        <v/>
      </c>
      <c r="AK28" s="64" t="str">
        <f>IF($AK9&lt;5,"",IF($AK8&lt;5,"",IF(N24=5,N30-P30,IF(P24=5,P30-N30,""))))</f>
        <v/>
      </c>
      <c r="AL28" s="64">
        <f>IF($AK9&lt;5,"",IF($AK8&lt;6,"",IF(Q24=5,Q30-S30,IF(S24=5,S30-Q30,""))))</f>
        <v>-21</v>
      </c>
      <c r="AM28" s="64" t="str">
        <f>IF($AK9&lt;5,"",IF($AK8&lt;7,"",IF(T24=5,T30-V30,IF(V24=5,V30-T30,""))))</f>
        <v/>
      </c>
      <c r="AN28" s="64">
        <f>IF($AK9&lt;5,"",IF($AK8&lt;8,"",IF(W24=5,W30-Y30,IF(Y24=5,Y30-W30,""))))</f>
        <v>-12</v>
      </c>
      <c r="AO28" s="64" t="str">
        <f>IF($AK9&lt;5,"",IF($AK8&lt;9,"",IF(Z24=5,Z30-AB30,IF(AB24=5,AB30-Z30,""))))</f>
        <v/>
      </c>
      <c r="AP28" s="64" t="str">
        <f>IF($AK9&lt;5,"",IF($AK8&lt;10,"",IF(AC24=5,AC30-AE30,IF(AE24=5,AE30-AC30,""))))</f>
        <v/>
      </c>
      <c r="AQ28" s="59">
        <f>SUM(AG28:AP28)</f>
        <v>-41</v>
      </c>
      <c r="AW28" s="7"/>
      <c r="AX28" s="7"/>
      <c r="AY28" s="7"/>
    </row>
    <row r="29" spans="1:51" ht="15" x14ac:dyDescent="0.2">
      <c r="A29" s="3" t="str">
        <f>IF($AK7&gt;4,"Game 5","")</f>
        <v/>
      </c>
      <c r="B29" s="65"/>
      <c r="C29" s="66" t="s">
        <v>74</v>
      </c>
      <c r="D29" s="67"/>
      <c r="E29" s="65"/>
      <c r="F29" s="66" t="str">
        <f>IF($AK8&gt;1,IF($AK7&gt;4,"/",""),"")</f>
        <v/>
      </c>
      <c r="G29" s="67"/>
      <c r="H29" s="65"/>
      <c r="I29" s="66" t="str">
        <f>IF($AK8&gt;2,IF($AK7&gt;4,"/",""),"")</f>
        <v/>
      </c>
      <c r="J29" s="67"/>
      <c r="K29" s="65"/>
      <c r="L29" s="66" t="str">
        <f>IF($AK8&gt;3,IF($AK7&gt;4,"/",""),"")</f>
        <v/>
      </c>
      <c r="M29" s="67"/>
      <c r="N29" s="65"/>
      <c r="O29" s="66" t="str">
        <f>IF($AK8&gt;4,IF($AK7&gt;4,"/",""),"")</f>
        <v/>
      </c>
      <c r="P29" s="67"/>
      <c r="Q29" s="65"/>
      <c r="R29" s="66" t="str">
        <f>IF($AK8&gt;5,IF($AK7&gt;4,"/",""),"")</f>
        <v/>
      </c>
      <c r="S29" s="67"/>
      <c r="T29" s="65"/>
      <c r="U29" s="66" t="str">
        <f>IF($AK8&gt;6,IF($AK7&gt;4,"/",""),"")</f>
        <v/>
      </c>
      <c r="V29" s="67"/>
      <c r="W29" s="65"/>
      <c r="X29" s="66" t="str">
        <f>IF($AK8&gt;7,IF($AK7&gt;4,"/",""),"")</f>
        <v/>
      </c>
      <c r="Y29" s="67"/>
      <c r="Z29" s="65"/>
      <c r="AA29" s="66" t="str">
        <f>IF($AK8&gt;8,IF($AK7&gt;4,"/",""),"")</f>
        <v/>
      </c>
      <c r="AB29" s="67"/>
      <c r="AC29" s="65"/>
      <c r="AD29" s="66" t="str">
        <f>IF($AK8&gt;9,IF($AK7&gt;4,"/",""),"")</f>
        <v/>
      </c>
      <c r="AE29" s="67"/>
      <c r="AF29" s="8"/>
      <c r="AG29" s="8"/>
      <c r="AH29" s="8"/>
      <c r="AI29" s="8"/>
      <c r="AJ29" s="8"/>
      <c r="AK29" s="8"/>
      <c r="AL29" s="8"/>
      <c r="AM29" s="8"/>
      <c r="AN29" s="8"/>
      <c r="AO29" s="8"/>
      <c r="AP29" s="8"/>
      <c r="AQ29" s="8"/>
      <c r="AW29" s="7"/>
      <c r="AX29" s="7"/>
      <c r="AY29" s="7"/>
    </row>
    <row r="30" spans="1:51" hidden="1" x14ac:dyDescent="0.2">
      <c r="A30" s="69"/>
      <c r="B30" s="69">
        <f>IF($AK7=5,SUM(B25:B29),IF($AK7=4,SUM(B25:B28),IF($AK7=3,SUM(B25:B27),IF($AK7=2,SUM(B25:B26),B25))))</f>
        <v>50</v>
      </c>
      <c r="C30" s="69"/>
      <c r="D30" s="69">
        <f>IF($AK7=5,SUM(D25:D29),IF($AK7=4,SUM(D25:D28),IF($AK7=3,SUM(D25:D27),IF($AK7=2,SUM(D25:D26),D25))))</f>
        <v>37</v>
      </c>
      <c r="E30" s="69">
        <f>IF($AK7=5,SUM(E25:E29),IF($AK7=4,SUM(E25:E28),IF($AK7=3,SUM(E25:E27),IF($AK7=2,SUM(E25:E26),E25))))</f>
        <v>52</v>
      </c>
      <c r="F30" s="69"/>
      <c r="G30" s="69">
        <f>IF($AK7=5,SUM(G25:G29),IF($AK7=4,SUM(G25:G28),IF($AK7=3,SUM(G25:G27),IF($AK7=2,SUM(G25:G26),G25))))</f>
        <v>44</v>
      </c>
      <c r="H30" s="69">
        <f>IF($AK7=5,SUM(H25:H29),IF($AK7=4,SUM(H25:H28),IF($AK7=3,SUM(H25:H27),IF($AK7=2,SUM(H25:H26),H25))))</f>
        <v>43</v>
      </c>
      <c r="I30" s="69"/>
      <c r="J30" s="69">
        <f>IF($AK7=5,SUM(J25:J29),IF($AK7=4,SUM(J25:J28),IF($AK7=3,SUM(J25:J27),IF($AK7=2,SUM(J25:J26),J25))))</f>
        <v>48</v>
      </c>
      <c r="K30" s="69">
        <f>IF($AK7=5,SUM(K25:K29),IF($AK7=4,SUM(K25:K28),IF($AK7=3,SUM(K25:K27),IF($AK7=2,SUM(K25:K26),K25))))</f>
        <v>50</v>
      </c>
      <c r="L30" s="69"/>
      <c r="M30" s="69">
        <f>IF($AK7=5,SUM(M25:M29),IF($AK7=4,SUM(M25:M28),IF($AK7=3,SUM(M25:M27),IF($AK7=2,SUM(M25:M26),M25))))</f>
        <v>36</v>
      </c>
      <c r="N30" s="69">
        <f>IF($AK7=5,SUM(N25:N29),IF($AK7=4,SUM(N25:N28),IF($AK7=3,SUM(N25:N27),IF($AK7=2,SUM(N25:N26),N25))))</f>
        <v>50</v>
      </c>
      <c r="O30" s="69"/>
      <c r="P30" s="69">
        <f>IF($AK7=5,SUM(P25:P29),IF($AK7=4,SUM(P25:P28),IF($AK7=3,SUM(P25:P27),IF($AK7=2,SUM(P25:P26),P25))))</f>
        <v>37</v>
      </c>
      <c r="Q30" s="69">
        <f>IF($AK7=5,SUM(Q25:Q29),IF($AK7=4,SUM(Q25:Q28),IF($AK7=3,SUM(Q25:Q27),IF($AK7=2,SUM(Q25:Q26),Q25))))</f>
        <v>50</v>
      </c>
      <c r="R30" s="69"/>
      <c r="S30" s="69">
        <f>IF($AK7=5,SUM(S25:S29),IF($AK7=4,SUM(S25:S28),IF($AK7=3,SUM(S25:S27),IF($AK7=2,SUM(S25:S26),S25))))</f>
        <v>29</v>
      </c>
      <c r="T30" s="69">
        <f>IF($AK7=5,SUM(T25:T29),IF($AK7=4,SUM(T25:T28),IF($AK7=3,SUM(T25:T27),IF($AK7=2,SUM(T25:T26),T25))))</f>
        <v>50</v>
      </c>
      <c r="U30" s="69"/>
      <c r="V30" s="69">
        <f>IF($AK7=5,SUM(V25:V29),IF($AK7=4,SUM(V25:V28),IF($AK7=3,SUM(V25:V27),IF($AK7=2,SUM(V25:V26),V25))))</f>
        <v>45</v>
      </c>
      <c r="W30" s="69">
        <f>IF($AK7=5,SUM(W25:W29),IF($AK7=4,SUM(W25:W28),IF($AK7=3,SUM(W25:W27),IF($AK7=2,SUM(W25:W26),W25))))</f>
        <v>50</v>
      </c>
      <c r="X30" s="69"/>
      <c r="Y30" s="69">
        <f>IF($AK7=5,SUM(Y25:Y29),IF($AK7=4,SUM(Y25:Y28),IF($AK7=3,SUM(Y25:Y27),IF($AK7=2,SUM(Y25:Y26),Y25))))</f>
        <v>38</v>
      </c>
      <c r="Z30" s="69">
        <f>IF($AK7=5,SUM(Z25:Z29),IF($AK7=4,SUM(Z25:Z28),IF($AK7=3,SUM(Z25:Z27),IF($AK7=2,SUM(Z25:Z26),Z25))))</f>
        <v>50</v>
      </c>
      <c r="AA30" s="69"/>
      <c r="AB30" s="69">
        <f>IF($AK7=5,SUM(AB25:AB29),IF($AK7=4,SUM(AB25:AB28),IF($AK7=3,SUM(AB25:AB27),IF($AK7=2,SUM(AB25:AB26),AB25))))</f>
        <v>39</v>
      </c>
      <c r="AC30" s="69">
        <f>IF($AK7=5,SUM(AC25:AC29),IF($AK7=4,SUM(AC25:AC28),IF($AK7=3,SUM(AC25:AC27),IF($AK7=2,SUM(AC25:AC26),AC25))))</f>
        <v>50</v>
      </c>
      <c r="AD30" s="69"/>
      <c r="AE30" s="69">
        <f>IF($AK7=5,SUM(AE25:AE29),IF($AK7=4,SUM(AE25:AE28),IF($AK7=3,SUM(AE25:AE27),IF($AK7=2,SUM(AE25:AE26),AE25))))</f>
        <v>39</v>
      </c>
      <c r="AF30" s="8"/>
      <c r="AG30" s="8"/>
      <c r="AH30" s="8"/>
      <c r="AI30" s="8"/>
      <c r="AJ30" s="8"/>
      <c r="AK30" s="8"/>
      <c r="AL30" s="8"/>
      <c r="AM30" s="8"/>
      <c r="AN30" s="8"/>
      <c r="AO30" s="8"/>
      <c r="AP30" s="8"/>
      <c r="AQ30" s="8"/>
    </row>
    <row r="31" spans="1:51" s="70" customFormat="1" ht="12.75" hidden="1" customHeight="1" x14ac:dyDescent="0.2">
      <c r="A31" s="70" t="s">
        <v>75</v>
      </c>
      <c r="B31" s="71">
        <f>IF(AND(B25&gt;D25,$AK8&gt;0,ISNUMBER(B25),ISNUMBER(D25)),1,0)</f>
        <v>1</v>
      </c>
      <c r="C31" s="71"/>
      <c r="D31" s="72">
        <f>IF(AND(D25&gt;B25,$AK8&gt;0,ISNUMBER(B25),ISNUMBER(D25)),1,0)</f>
        <v>0</v>
      </c>
      <c r="E31" s="71">
        <f>IF(AND(E25&gt;G25,$AK8&gt;1,ISNUMBER(E25),ISNUMBER(G25)),1,0)</f>
        <v>1</v>
      </c>
      <c r="F31" s="71"/>
      <c r="G31" s="72">
        <f>IF(AND(G25&gt;E25,$AK8&gt;1,ISNUMBER(E25),ISNUMBER(G25)),1,0)</f>
        <v>0</v>
      </c>
      <c r="H31" s="71">
        <f>IF(AND(H25&gt;J25,$AK8&gt;2,ISNUMBER(H25),ISNUMBER(J25)),1,0)</f>
        <v>0</v>
      </c>
      <c r="I31" s="71"/>
      <c r="J31" s="72">
        <f>IF(AND(J25&gt;H25,$AK8&gt;2,ISNUMBER(H25),ISNUMBER(J25)),1,0)</f>
        <v>1</v>
      </c>
      <c r="K31" s="71">
        <f>IF(AND(K25&gt;M25,$AK8&gt;3,ISNUMBER(K25),ISNUMBER(M25)),1,0)</f>
        <v>1</v>
      </c>
      <c r="L31" s="71"/>
      <c r="M31" s="72">
        <f>IF(AND(M25&gt;K25,$AK8&gt;3,ISNUMBER(K25),ISNUMBER(M25)),1,0)</f>
        <v>0</v>
      </c>
      <c r="N31" s="71">
        <f>IF(AND(N25&gt;P25,$AK8&gt;4,ISNUMBER(N25),ISNUMBER(P25)),1,0)</f>
        <v>1</v>
      </c>
      <c r="O31" s="71"/>
      <c r="P31" s="72">
        <f>IF(AND(P25&gt;N25,$AK8&gt;4,ISNUMBER(N25),ISNUMBER(P25)),1,0)</f>
        <v>0</v>
      </c>
      <c r="Q31" s="71">
        <f>IF(AND(Q25&gt;S25,$AK8&gt;5,ISNUMBER(Q25),ISNUMBER(S25)),1,0)</f>
        <v>1</v>
      </c>
      <c r="R31" s="71"/>
      <c r="S31" s="72">
        <f>IF(AND(S25&gt;Q25,$AK8&gt;5,ISNUMBER(Q25),ISNUMBER(S25)),1,0)</f>
        <v>0</v>
      </c>
      <c r="T31" s="71">
        <f>IF(AND(T25&gt;V25,$AK8&gt;6,ISNUMBER(T25),ISNUMBER(V25)),1,0)</f>
        <v>1</v>
      </c>
      <c r="U31" s="71"/>
      <c r="V31" s="72">
        <f>IF(AND(V25&gt;T25,$AK8&gt;6,ISNUMBER(T25),ISNUMBER(V25)),1,0)</f>
        <v>0</v>
      </c>
      <c r="W31" s="71">
        <f>IF(AND(W25&gt;Y25,$AK8&gt;7,ISNUMBER(W25),ISNUMBER(Y25)),1,0)</f>
        <v>1</v>
      </c>
      <c r="X31" s="71"/>
      <c r="Y31" s="72">
        <f>IF(AND(Y25&gt;W25,$AK8&gt;7,ISNUMBER(W25),ISNUMBER(Y25)),1,0)</f>
        <v>0</v>
      </c>
      <c r="Z31" s="71">
        <f>IF(AND(Z25&gt;AB25,$AK8&gt;8,ISNUMBER(Z25),ISNUMBER(AB25)),1,0)</f>
        <v>1</v>
      </c>
      <c r="AA31" s="71"/>
      <c r="AB31" s="72">
        <f>IF(AND(AB25&gt;Z25,$AK8&gt;8,ISNUMBER(Z25),ISNUMBER(AB25)),1,0)</f>
        <v>0</v>
      </c>
      <c r="AC31" s="71">
        <f>IF(AND(AC25&gt;AE25,$AK8&gt;9,ISNUMBER(AC25),ISNUMBER(AE25)),1,0)</f>
        <v>1</v>
      </c>
      <c r="AD31" s="71"/>
      <c r="AE31" s="72">
        <f>IF(AND(AE25&gt;AC25,$AK8&gt;9,ISNUMBER(AC25),ISNUMBER(AE25)),1,0)</f>
        <v>0</v>
      </c>
      <c r="AW31" s="154"/>
    </row>
    <row r="32" spans="1:51" s="70" customFormat="1" ht="12.75" hidden="1" customHeight="1" x14ac:dyDescent="0.2">
      <c r="A32" s="70" t="s">
        <v>76</v>
      </c>
      <c r="B32" s="71">
        <f>IF(AND(B26&gt;D26,$AK8&gt;0,$AK7&gt;1,ISNUMBER(B26),ISNUMBER(D26)),1,0)</f>
        <v>1</v>
      </c>
      <c r="C32" s="71"/>
      <c r="D32" s="72">
        <f>IF(AND(D26&gt;B26,$AK8&gt;0,$AK7&gt;1,ISNUMBER(B26),ISNUMBER(D26)),1,0)</f>
        <v>0</v>
      </c>
      <c r="E32" s="71">
        <f>IF(AND(E26&gt;G26,$AK8&gt;1,$AK7&gt;1,ISNUMBER(E26),ISNUMBER(G26)),1,0)</f>
        <v>1</v>
      </c>
      <c r="F32" s="71"/>
      <c r="G32" s="72">
        <f>IF(AND(G26&gt;E26,$AK8&gt;1,$AK7&gt;1,ISNUMBER(E26),ISNUMBER(G26)),1,0)</f>
        <v>0</v>
      </c>
      <c r="H32" s="71">
        <f>IF(AND(H26&gt;J26,$AK8&gt;2,$AK7&gt;1,ISNUMBER(H26),ISNUMBER(J26)),1,0)</f>
        <v>1</v>
      </c>
      <c r="I32" s="71"/>
      <c r="J32" s="72">
        <f>IF(AND(J26&gt;H26,$AK8&gt;2,$AK7&gt;1,ISNUMBER(H26),ISNUMBER(J26)),1,0)</f>
        <v>0</v>
      </c>
      <c r="K32" s="71">
        <f>IF(AND(K26&gt;M26,$AK8&gt;3,$AK7&gt;1,ISNUMBER(K26),ISNUMBER(M26)),1,0)</f>
        <v>1</v>
      </c>
      <c r="L32" s="71"/>
      <c r="M32" s="72">
        <f>IF(AND(M26&gt;K26,$AK8&gt;3,$AK7&gt;1,ISNUMBER(K26),ISNUMBER(M26)),1,0)</f>
        <v>0</v>
      </c>
      <c r="N32" s="71">
        <f>IF(AND(N26&gt;P26,$AK8&gt;4,$AK7&gt;1,ISNUMBER(N26),ISNUMBER(P26)),1,0)</f>
        <v>1</v>
      </c>
      <c r="O32" s="71"/>
      <c r="P32" s="72">
        <f>IF(AND(P26&gt;N26,$AK8&gt;4,$AK7&gt;1,ISNUMBER(N26),ISNUMBER(P26)),1,0)</f>
        <v>0</v>
      </c>
      <c r="Q32" s="71">
        <f>IF(AND(Q26&gt;S26,$AK8&gt;5,$AK7&gt;1,ISNUMBER(Q26),ISNUMBER(S26)),1,0)</f>
        <v>1</v>
      </c>
      <c r="R32" s="71"/>
      <c r="S32" s="72">
        <f>IF(AND(S26&gt;Q26,$AK8&gt;5,$AK7&gt;1,ISNUMBER(Q26),ISNUMBER(S26)),1,0)</f>
        <v>0</v>
      </c>
      <c r="T32" s="71">
        <f>IF(AND(T26&gt;V26,$AK8&gt;6,$AK7&gt;1,ISNUMBER(T26),ISNUMBER(V26)),1,0)</f>
        <v>1</v>
      </c>
      <c r="U32" s="71"/>
      <c r="V32" s="72">
        <f>IF(AND(V26&gt;T26,$AK8&gt;6,$AK7&gt;1,ISNUMBER(T26),ISNUMBER(V26)),1,0)</f>
        <v>0</v>
      </c>
      <c r="W32" s="71">
        <f>IF(AND(W26&gt;Y26,$AK8&gt;7,$AK7&gt;1,ISNUMBER(W26),ISNUMBER(Y26)),1,0)</f>
        <v>1</v>
      </c>
      <c r="X32" s="71"/>
      <c r="Y32" s="72">
        <f>IF(AND(Y26&gt;W26,$AK8&gt;7,$AK7&gt;1,ISNUMBER(W26),ISNUMBER(Y26)),1,0)</f>
        <v>0</v>
      </c>
      <c r="Z32" s="71">
        <f>IF(AND(Z26&gt;AB26,$AK8&gt;8,$AK7&gt;1,ISNUMBER(Z26),ISNUMBER(AB26)),1,0)</f>
        <v>1</v>
      </c>
      <c r="AA32" s="71"/>
      <c r="AB32" s="72">
        <f>IF(AND(AB26&gt;Z26,$AK8&gt;8,$AK7&gt;1,ISNUMBER(Z26),ISNUMBER(AB26)),1,0)</f>
        <v>0</v>
      </c>
      <c r="AC32" s="71">
        <f>IF(AND(AC26&gt;AE26,$AK8&gt;9,$AK7&gt;1,ISNUMBER(AC26),ISNUMBER(AE26)),1,0)</f>
        <v>1</v>
      </c>
      <c r="AD32" s="71"/>
      <c r="AE32" s="72">
        <f>IF(AND(AE26&gt;AC26,$AK8&gt;9,$AK7&gt;1,ISNUMBER(AC26),ISNUMBER(AE26)),1,0)</f>
        <v>0</v>
      </c>
      <c r="AW32" s="154"/>
    </row>
    <row r="33" spans="1:49" s="70" customFormat="1" ht="12.75" hidden="1" customHeight="1" x14ac:dyDescent="0.2">
      <c r="A33" s="70" t="s">
        <v>77</v>
      </c>
      <c r="B33" s="71">
        <f>IF(AND(B27&gt;D27,$AK8&gt;0,$AK7&gt;2,ISNUMBER(B27),ISNUMBER(D27)),1,0)</f>
        <v>0</v>
      </c>
      <c r="C33" s="71"/>
      <c r="D33" s="72">
        <f>IF(AND(D27&gt;B27,$AK8&gt;0,$AK7&gt;2,ISNUMBER(B27),ISNUMBER(D27)),1,0)</f>
        <v>0</v>
      </c>
      <c r="E33" s="71">
        <f>IF(AND(E27&gt;G27,$AK8&gt;1,$AK7&gt;2,ISNUMBER(E27),ISNUMBER(G27)),1,0)</f>
        <v>0</v>
      </c>
      <c r="F33" s="71"/>
      <c r="G33" s="72">
        <f>IF(AND(G27&gt;E27,$AK8&gt;1,$AK7&gt;2,ISNUMBER(E27),ISNUMBER(G27)),1,0)</f>
        <v>0</v>
      </c>
      <c r="H33" s="71">
        <f>IF(AND(H27&gt;J27,$AK8&gt;2,$AK7&gt;2,ISNUMBER(H27),ISNUMBER(J27)),1,0)</f>
        <v>0</v>
      </c>
      <c r="I33" s="71"/>
      <c r="J33" s="72">
        <f>IF(AND(J27&gt;H27,$AK8&gt;2,$AK7&gt;2,ISNUMBER(H27),ISNUMBER(J27)),1,0)</f>
        <v>0</v>
      </c>
      <c r="K33" s="71">
        <f>IF(AND(K27&gt;M27,$AK8&gt;3,$AK7&gt;2,ISNUMBER(K27),ISNUMBER(M27)),1,0)</f>
        <v>0</v>
      </c>
      <c r="L33" s="71"/>
      <c r="M33" s="72">
        <f>IF(AND(M27&gt;K27,$AK8&gt;3,$AK7&gt;2,ISNUMBER(K27),ISNUMBER(M27)),1,0)</f>
        <v>0</v>
      </c>
      <c r="N33" s="71">
        <f>IF(AND(N27&gt;P27,$AK8&gt;4,$AK7&gt;2,ISNUMBER(N27),ISNUMBER(P27)),1,0)</f>
        <v>0</v>
      </c>
      <c r="O33" s="71"/>
      <c r="P33" s="72">
        <f>IF(AND(P27&gt;N27,$AK8&gt;4,$AK7&gt;2,ISNUMBER(N27),ISNUMBER(P27)),1,0)</f>
        <v>0</v>
      </c>
      <c r="Q33" s="71">
        <f>IF(AND(Q27&gt;S27,$AK8&gt;5,$AK7&gt;2,ISNUMBER(Q27),ISNUMBER(S27)),1,0)</f>
        <v>0</v>
      </c>
      <c r="R33" s="71"/>
      <c r="S33" s="72">
        <f>IF(AND(S27&gt;Q27,$AK8&gt;5,$AK7&gt;2,ISNUMBER(Q27),ISNUMBER(S27)),1,0)</f>
        <v>0</v>
      </c>
      <c r="T33" s="71">
        <f>IF(AND(T27&gt;V27,$AK8&gt;6,$AK7&gt;2,ISNUMBER(T27),ISNUMBER(V27)),1,0)</f>
        <v>0</v>
      </c>
      <c r="U33" s="71"/>
      <c r="V33" s="72">
        <f>IF(AND(V27&gt;T27,$AK8&gt;6,$AK7&gt;2,ISNUMBER(T27),ISNUMBER(V27)),1,0)</f>
        <v>0</v>
      </c>
      <c r="W33" s="71">
        <f>IF(AND(W27&gt;Y27,$AK8&gt;7,$AK7&gt;2,ISNUMBER(W27),ISNUMBER(Y27)),1,0)</f>
        <v>0</v>
      </c>
      <c r="X33" s="71"/>
      <c r="Y33" s="72">
        <f>IF(AND(Y27&gt;W27,$AK8&gt;7,$AK7&gt;2,ISNUMBER(W27),ISNUMBER(Y27)),1,0)</f>
        <v>0</v>
      </c>
      <c r="Z33" s="71">
        <f>IF(AND(Z27&gt;AB27,$AK8&gt;8,$AK7&gt;2,ISNUMBER(Z27),ISNUMBER(AB27)),1,0)</f>
        <v>0</v>
      </c>
      <c r="AA33" s="71"/>
      <c r="AB33" s="72">
        <f>IF(AND(AB27&gt;Z27,$AK8&gt;8,$AK7&gt;2,ISNUMBER(Z27),ISNUMBER(AB27)),1,0)</f>
        <v>0</v>
      </c>
      <c r="AC33" s="71">
        <f>IF(AND(AC27&gt;AE27,$AK8&gt;9,$AK7&gt;2,ISNUMBER(AC27),ISNUMBER(AE27)),1,0)</f>
        <v>0</v>
      </c>
      <c r="AD33" s="71"/>
      <c r="AE33" s="72">
        <f>IF(AND(AE27&gt;AC27,$AK8&gt;9,$AK7&gt;2,ISNUMBER(AC27),ISNUMBER(AE27)),1,0)</f>
        <v>0</v>
      </c>
      <c r="AW33" s="154"/>
    </row>
    <row r="34" spans="1:49" s="70" customFormat="1" ht="12.75" hidden="1" customHeight="1" x14ac:dyDescent="0.2">
      <c r="A34" s="70" t="s">
        <v>78</v>
      </c>
      <c r="B34" s="71">
        <f>IF(AND(B28&gt;D28,$AK8&gt;0,$AK7&gt;3,ISNUMBER(B28),ISNUMBER(D28)),1,0)</f>
        <v>0</v>
      </c>
      <c r="C34" s="71"/>
      <c r="D34" s="72">
        <f>IF(AND(D28&gt;B28,$AK8&gt;0,$AK7&gt;3,ISNUMBER(B28),ISNUMBER(D28)),1,0)</f>
        <v>0</v>
      </c>
      <c r="E34" s="71">
        <f>IF(AND(E28&gt;G28,$AK8&gt;1,$AK7&gt;3,ISNUMBER(E28),ISNUMBER(G28)),1,0)</f>
        <v>0</v>
      </c>
      <c r="F34" s="71"/>
      <c r="G34" s="72">
        <f>IF(AND(G28&gt;E28,$AK8&gt;1,$AK7&gt;3,ISNUMBER(E28),ISNUMBER(G28)),1,0)</f>
        <v>0</v>
      </c>
      <c r="H34" s="71">
        <f>IF(AND(H28&gt;J28,$AK8&gt;2,$AK7&gt;3,ISNUMBER(H28),ISNUMBER(J28)),1,0)</f>
        <v>0</v>
      </c>
      <c r="I34" s="71"/>
      <c r="J34" s="72">
        <f>IF(AND(J28&gt;H28,$AK8&gt;2,$AK7&gt;3,ISNUMBER(H28),ISNUMBER(J28)),1,0)</f>
        <v>0</v>
      </c>
      <c r="K34" s="71">
        <f>IF(AND(K28&gt;M28,$AK8&gt;3,$AK7&gt;3,ISNUMBER(K28),ISNUMBER(M28)),1,0)</f>
        <v>0</v>
      </c>
      <c r="L34" s="71"/>
      <c r="M34" s="72">
        <f>IF(AND(M28&gt;K28,$AK8&gt;3,$AK7&gt;3,ISNUMBER(K28),ISNUMBER(M28)),1,0)</f>
        <v>0</v>
      </c>
      <c r="N34" s="71">
        <f>IF(AND(N28&gt;P28,$AK8&gt;4,$AK7&gt;3,ISNUMBER(N28),ISNUMBER(P28)),1,0)</f>
        <v>0</v>
      </c>
      <c r="O34" s="71"/>
      <c r="P34" s="72">
        <f>IF(AND(P28&gt;N28,$AK8&gt;4,$AK7&gt;3,ISNUMBER(N28),ISNUMBER(P28)),1,0)</f>
        <v>0</v>
      </c>
      <c r="Q34" s="71">
        <f>IF(AND(Q28&gt;S28,$AK8&gt;5,$AK7&gt;3,ISNUMBER(Q28),ISNUMBER(S28)),1,0)</f>
        <v>0</v>
      </c>
      <c r="R34" s="71"/>
      <c r="S34" s="72">
        <f>IF(AND(S28&gt;Q28,$AK8&gt;5,$AK7&gt;3,ISNUMBER(Q28),ISNUMBER(S28)),1,0)</f>
        <v>0</v>
      </c>
      <c r="T34" s="71">
        <f>IF(AND(T28&gt;V28,$AK8&gt;6,$AK7&gt;3,ISNUMBER(T28),ISNUMBER(V28)),1,0)</f>
        <v>0</v>
      </c>
      <c r="U34" s="71"/>
      <c r="V34" s="72">
        <f>IF(AND(V28&gt;T28,$AK8&gt;6,$AK7&gt;3,ISNUMBER(T28),ISNUMBER(V28)),1,0)</f>
        <v>0</v>
      </c>
      <c r="W34" s="71">
        <f>IF(AND(W28&gt;Y28,$AK8&gt;7,$AK7&gt;3,ISNUMBER(W28),ISNUMBER(Y28)),1,0)</f>
        <v>0</v>
      </c>
      <c r="X34" s="71"/>
      <c r="Y34" s="72">
        <f>IF(AND(Y28&gt;W28,$AK8&gt;7,$AK7&gt;3,ISNUMBER(W28),ISNUMBER(Y28)),1,0)</f>
        <v>0</v>
      </c>
      <c r="Z34" s="71">
        <f>IF(AND(Z28&gt;AB28,$AK8&gt;8,$AK7&gt;3,ISNUMBER(Z28),ISNUMBER(AB28)),1,0)</f>
        <v>0</v>
      </c>
      <c r="AA34" s="71"/>
      <c r="AB34" s="72">
        <f>IF(AND(AB28&gt;Z28,$AK8&gt;8,$AK7&gt;3,ISNUMBER(Z28),ISNUMBER(AB28)),1,0)</f>
        <v>0</v>
      </c>
      <c r="AC34" s="71">
        <f>IF(AND(AC28&gt;AE28,$AK8&gt;9,$AK7&gt;3,ISNUMBER(AC28),ISNUMBER(AE28)),1,0)</f>
        <v>0</v>
      </c>
      <c r="AD34" s="71"/>
      <c r="AE34" s="72">
        <f>IF(AND(AE28&gt;AC28,$AK8&gt;9,$AK7&gt;3,ISNUMBER(AC28),ISNUMBER(AE28)),1,0)</f>
        <v>0</v>
      </c>
      <c r="AW34" s="154"/>
    </row>
    <row r="35" spans="1:49" s="70" customFormat="1" ht="12.75" hidden="1" customHeight="1" x14ac:dyDescent="0.2">
      <c r="A35" s="70" t="s">
        <v>79</v>
      </c>
      <c r="B35" s="71">
        <f>IF(AND(B29&gt;D29,$AK8&gt;0,$AK7&gt;4,ISNUMBER(B29),ISNUMBER(D29)),1,0)</f>
        <v>0</v>
      </c>
      <c r="C35" s="71"/>
      <c r="D35" s="72">
        <f>IF(AND(D29&gt;B29,$AK8&gt;0,$AK7&gt;4,ISNUMBER(B29),ISNUMBER(D29)),1,0)</f>
        <v>0</v>
      </c>
      <c r="E35" s="71">
        <f>IF(AND(E29&gt;G29,$AK8&gt;1,$AK7&gt;4,ISNUMBER(E29),ISNUMBER(G29)),1,0)</f>
        <v>0</v>
      </c>
      <c r="F35" s="71"/>
      <c r="G35" s="72">
        <f>IF(AND(G29&gt;E29,$AK8&gt;1,$AK7&gt;4,ISNUMBER(E29),ISNUMBER(G29)),1,0)</f>
        <v>0</v>
      </c>
      <c r="H35" s="71">
        <f>IF(AND(H29&gt;J29,$AK8&gt;2,$AK7&gt;4,ISNUMBER(H29),ISNUMBER(J29)),1,0)</f>
        <v>0</v>
      </c>
      <c r="I35" s="71"/>
      <c r="J35" s="72">
        <f>IF(AND(J29&gt;H29,$AK8&gt;2,$AK7&gt;4,ISNUMBER(H29),ISNUMBER(J29)),1,0)</f>
        <v>0</v>
      </c>
      <c r="K35" s="71">
        <f>IF(AND(K29&gt;M29,$AK8&gt;3,$AK7&gt;4,ISNUMBER(K29),ISNUMBER(M29)),1,0)</f>
        <v>0</v>
      </c>
      <c r="L35" s="71"/>
      <c r="M35" s="72">
        <f>IF(AND(M29&gt;K29,$AK8&gt;3,$AK7&gt;4,ISNUMBER(K29),ISNUMBER(M29)),1,0)</f>
        <v>0</v>
      </c>
      <c r="N35" s="71">
        <f>IF(AND(N29&gt;P29,$AK8&gt;4,$AK7&gt;4,ISNUMBER(N29),ISNUMBER(P29)),1,0)</f>
        <v>0</v>
      </c>
      <c r="O35" s="71"/>
      <c r="P35" s="72">
        <f>IF(AND(P29&gt;N29,$AK8&gt;4,$AK7&gt;4,ISNUMBER(N29),ISNUMBER(P29)),1,0)</f>
        <v>0</v>
      </c>
      <c r="Q35" s="71">
        <f>IF(AND(Q29&gt;S29,$AK8&gt;5,$AK7&gt;4,ISNUMBER(Q29),ISNUMBER(S29)),1,0)</f>
        <v>0</v>
      </c>
      <c r="R35" s="71"/>
      <c r="S35" s="72">
        <f>IF(AND(S29&gt;Q29,$AK8&gt;5,$AK7&gt;4,ISNUMBER(Q29),ISNUMBER(S29)),1,0)</f>
        <v>0</v>
      </c>
      <c r="T35" s="71">
        <f>IF(AND(T29&gt;V29,$AK8&gt;6,$AK7&gt;4,ISNUMBER(T29),ISNUMBER(V29)),1,0)</f>
        <v>0</v>
      </c>
      <c r="U35" s="71"/>
      <c r="V35" s="72">
        <f>IF(AND(V29&gt;T29,$AK8&gt;6,$AK7&gt;4,ISNUMBER(T29),ISNUMBER(V29)),1,0)</f>
        <v>0</v>
      </c>
      <c r="W35" s="71">
        <f>IF(AND(W29&gt;Y29,$AK8&gt;7,$AK7&gt;4,ISNUMBER(W29),ISNUMBER(Y29)),1,0)</f>
        <v>0</v>
      </c>
      <c r="X35" s="71"/>
      <c r="Y35" s="72">
        <f>IF(AND(Y29&gt;W29,$AK8&gt;7,$AK7&gt;4,ISNUMBER(W29),ISNUMBER(Y29)),1,0)</f>
        <v>0</v>
      </c>
      <c r="Z35" s="71">
        <f>IF(AND(Z29&gt;AB29,$AK8&gt;8,$AK7&gt;4,ISNUMBER(Z29),ISNUMBER(AB29)),1,0)</f>
        <v>0</v>
      </c>
      <c r="AA35" s="71"/>
      <c r="AB35" s="72">
        <f>IF(AND(AB29&gt;Z29,$AK8&gt;8,$AK7&gt;4,ISNUMBER(Z29),ISNUMBER(AB29)),1,0)</f>
        <v>0</v>
      </c>
      <c r="AC35" s="71">
        <f>IF(AND(AC29&gt;AE29,$AK8&gt;9,$AK7&gt;4,ISNUMBER(AC29),ISNUMBER(AE29)),1,0)</f>
        <v>0</v>
      </c>
      <c r="AD35" s="71"/>
      <c r="AE35" s="72">
        <f>IF(AND(AE29&gt;AC29,$AK8&gt;9,$AK7&gt;4,ISNUMBER(AC29),ISNUMBER(AE29)),1,0)</f>
        <v>0</v>
      </c>
      <c r="AW35" s="154"/>
    </row>
    <row r="36" spans="1:49" s="70" customFormat="1" ht="38.25" hidden="1" customHeight="1" x14ac:dyDescent="0.2">
      <c r="A36" s="73" t="s">
        <v>80</v>
      </c>
      <c r="B36" s="70">
        <f>SUM(B31:B35)</f>
        <v>2</v>
      </c>
      <c r="D36" s="74">
        <f>SUM(D31:D35)</f>
        <v>0</v>
      </c>
      <c r="E36" s="70">
        <f>SUM(E31:E35)</f>
        <v>2</v>
      </c>
      <c r="G36" s="74">
        <f>SUM(G31:G35)</f>
        <v>0</v>
      </c>
      <c r="H36" s="70">
        <f>SUM(H31:H35)</f>
        <v>1</v>
      </c>
      <c r="J36" s="74">
        <f>SUM(J31:J35)</f>
        <v>1</v>
      </c>
      <c r="K36" s="70">
        <f>SUM(K31:K35)</f>
        <v>2</v>
      </c>
      <c r="M36" s="74">
        <f>SUM(M31:M35)</f>
        <v>0</v>
      </c>
      <c r="N36" s="70">
        <f>SUM(N31:N35)</f>
        <v>2</v>
      </c>
      <c r="P36" s="74">
        <f>SUM(P31:P35)</f>
        <v>0</v>
      </c>
      <c r="Q36" s="70">
        <f>SUM(Q31:Q35)</f>
        <v>2</v>
      </c>
      <c r="S36" s="74">
        <f>SUM(S31:S35)</f>
        <v>0</v>
      </c>
      <c r="T36" s="70">
        <f>SUM(T31:T35)</f>
        <v>2</v>
      </c>
      <c r="V36" s="74">
        <f>SUM(V31:V35)</f>
        <v>0</v>
      </c>
      <c r="W36" s="70">
        <f>SUM(W31:W35)</f>
        <v>2</v>
      </c>
      <c r="Y36" s="74">
        <f>SUM(Y31:Y35)</f>
        <v>0</v>
      </c>
      <c r="Z36" s="70">
        <f>SUM(Z31:Z35)</f>
        <v>2</v>
      </c>
      <c r="AB36" s="74">
        <f>SUM(AB31:AB35)</f>
        <v>0</v>
      </c>
      <c r="AC36" s="70">
        <f>SUM(AC31:AC35)</f>
        <v>2</v>
      </c>
      <c r="AE36" s="74">
        <f>SUM(AE31:AE35)</f>
        <v>0</v>
      </c>
      <c r="AW36" s="154"/>
    </row>
    <row r="37" spans="1:49" s="70" customFormat="1" ht="25.5" hidden="1" customHeight="1" x14ac:dyDescent="0.2">
      <c r="A37" s="73" t="s">
        <v>81</v>
      </c>
      <c r="B37" s="70">
        <f>IF(B36&gt;D36,IF(C71=AK7,1,IF(C71=AK7-1,1,0)),0)</f>
        <v>1</v>
      </c>
      <c r="C37" s="70">
        <f>B37+D37</f>
        <v>1</v>
      </c>
      <c r="D37" s="74">
        <f>IF(D36&gt;B36,IF(C71=AK7,1,IF(C71=AK7-1,1,0)),0)</f>
        <v>0</v>
      </c>
      <c r="E37" s="70">
        <f>IF(E36&gt;G36,IF(F71=AK7,1,IF(F71=AK7-1,1,0)),0)</f>
        <v>1</v>
      </c>
      <c r="F37" s="70">
        <f>E37+G37</f>
        <v>1</v>
      </c>
      <c r="G37" s="74">
        <f>IF(G36&gt;E36,IF(F71=AK7,1,IF(F71=AK7-1,1,0)),0)</f>
        <v>0</v>
      </c>
      <c r="H37" s="70">
        <f>IF(H36&gt;J36,IF(I71=AK7,1,IF(I71=AK7-1,1,0)),0)</f>
        <v>0</v>
      </c>
      <c r="I37" s="70">
        <f>H37+J37</f>
        <v>0</v>
      </c>
      <c r="J37" s="74">
        <f>IF(J36&gt;H36,IF(I71=AK7,1,IF(I71=AK7-1,1,0)),0)</f>
        <v>0</v>
      </c>
      <c r="K37" s="70">
        <f>IF(K36&gt;M36,IF(L71=AK7,1,IF(L71=AK7-1,1,0)),0)</f>
        <v>1</v>
      </c>
      <c r="L37" s="70">
        <f>K37+M37</f>
        <v>1</v>
      </c>
      <c r="M37" s="74">
        <f>IF(M36&gt;K36,IF(L71=AK7,1,IF(L71=AK7-1,1,0)),0)</f>
        <v>0</v>
      </c>
      <c r="N37" s="70">
        <f>IF(N36&gt;P36,IF(O71=AK7,1,IF(O71=AK7-1,1,0)),0)</f>
        <v>1</v>
      </c>
      <c r="O37" s="70">
        <f>N37+P37</f>
        <v>1</v>
      </c>
      <c r="P37" s="74">
        <f>IF(P36&gt;N36,IF(O71=AK7,1,IF(O71=AK7-1,1,0)),0)</f>
        <v>0</v>
      </c>
      <c r="Q37" s="70">
        <f>IF(Q36&gt;S36,IF(R71=AK7,1,IF(R71=AK7-1,1,0)),0)</f>
        <v>1</v>
      </c>
      <c r="R37" s="70">
        <f>Q37+S37</f>
        <v>1</v>
      </c>
      <c r="S37" s="74">
        <f>IF(S36&gt;Q36,IF(R71=AK7,1,IF(R71=AK7-1,1,0)),0)</f>
        <v>0</v>
      </c>
      <c r="T37" s="70">
        <f>IF(T36&gt;V36,IF(U71=AK7,1,IF(U71=AK7-1,1,0)),0)</f>
        <v>1</v>
      </c>
      <c r="U37" s="70">
        <f>T37+V37</f>
        <v>1</v>
      </c>
      <c r="V37" s="74">
        <f>IF(V36&gt;T36,IF(U71=AK7,1,IF(U71=AK7-1,1,0)),0)</f>
        <v>0</v>
      </c>
      <c r="W37" s="70">
        <f>IF(W36&gt;Y36,IF(X71=AK7,1,IF(X71=AK7-1,1,0)),0)</f>
        <v>1</v>
      </c>
      <c r="X37" s="70">
        <f>W37+Y37</f>
        <v>1</v>
      </c>
      <c r="Y37" s="74">
        <f>IF(Y36&gt;W36,IF(X71=AK7,1,IF(X71=AK7-1,1,0)),0)</f>
        <v>0</v>
      </c>
      <c r="Z37" s="70">
        <f>IF(Z36&gt;AB36,IF(AA71=AK7,1,IF(AA71=AK7-1,1,0)),0)</f>
        <v>1</v>
      </c>
      <c r="AA37" s="70">
        <f>Z37+AB37</f>
        <v>1</v>
      </c>
      <c r="AB37" s="74">
        <f>IF(AB36&gt;Z36,IF(AA71=AK7,1,IF(AA71=AK7-1,1,0)),0)</f>
        <v>0</v>
      </c>
      <c r="AC37" s="70">
        <f>IF(AC36&gt;AE36,IF(AD71=AK7,1,IF(AD71=AK7-1,1,0)),0)</f>
        <v>1</v>
      </c>
      <c r="AD37" s="70">
        <f>AC37+AE37</f>
        <v>1</v>
      </c>
      <c r="AE37" s="74">
        <f>IF(AE36&gt;AC36,IF(AD71=AK7,1,IF(AD71=AK7-1,1,0)),0)</f>
        <v>0</v>
      </c>
      <c r="AW37" s="154"/>
    </row>
    <row r="38" spans="1:49" s="70" customFormat="1" ht="25.5" hidden="1" customHeight="1" x14ac:dyDescent="0.2">
      <c r="A38" s="73"/>
      <c r="D38" s="74"/>
      <c r="G38" s="74"/>
      <c r="J38" s="74"/>
      <c r="M38" s="74"/>
      <c r="P38" s="74"/>
      <c r="S38" s="74"/>
      <c r="V38" s="74"/>
      <c r="Y38" s="74"/>
      <c r="AB38" s="74"/>
      <c r="AE38" s="74"/>
      <c r="AW38" s="154"/>
    </row>
    <row r="39" spans="1:49" s="70" customFormat="1" ht="12.75" hidden="1" customHeight="1" x14ac:dyDescent="0.2">
      <c r="A39" s="70" t="s">
        <v>82</v>
      </c>
      <c r="B39" s="70">
        <f>IF(B31=1,B25,0)</f>
        <v>25</v>
      </c>
      <c r="D39" s="74">
        <f t="shared" ref="D39:E43" si="2">IF(D31=1,D25,0)</f>
        <v>0</v>
      </c>
      <c r="E39" s="70">
        <f t="shared" si="2"/>
        <v>25</v>
      </c>
      <c r="G39" s="74">
        <f t="shared" ref="G39:H43" si="3">IF(G31=1,G25,0)</f>
        <v>0</v>
      </c>
      <c r="H39" s="70">
        <f t="shared" si="3"/>
        <v>0</v>
      </c>
      <c r="J39" s="74">
        <f t="shared" ref="J39:K43" si="4">IF(J31=1,J25,0)</f>
        <v>25</v>
      </c>
      <c r="K39" s="70">
        <f t="shared" si="4"/>
        <v>25</v>
      </c>
      <c r="M39" s="74">
        <f t="shared" ref="M39:N43" si="5">IF(M31=1,M25,0)</f>
        <v>0</v>
      </c>
      <c r="N39" s="70">
        <f t="shared" si="5"/>
        <v>25</v>
      </c>
      <c r="P39" s="74">
        <f t="shared" ref="P39:Q43" si="6">IF(P31=1,P25,0)</f>
        <v>0</v>
      </c>
      <c r="Q39" s="70">
        <f t="shared" si="6"/>
        <v>25</v>
      </c>
      <c r="S39" s="74">
        <f t="shared" ref="S39:T43" si="7">IF(S31=1,S25,0)</f>
        <v>0</v>
      </c>
      <c r="T39" s="70">
        <f t="shared" si="7"/>
        <v>25</v>
      </c>
      <c r="V39" s="74">
        <f t="shared" ref="V39:W43" si="8">IF(V31=1,V25,0)</f>
        <v>0</v>
      </c>
      <c r="W39" s="70">
        <f t="shared" si="8"/>
        <v>25</v>
      </c>
      <c r="Y39" s="74">
        <f t="shared" ref="Y39:Z43" si="9">IF(Y31=1,Y25,0)</f>
        <v>0</v>
      </c>
      <c r="Z39" s="70">
        <f t="shared" si="9"/>
        <v>25</v>
      </c>
      <c r="AB39" s="74">
        <f t="shared" ref="AB39:AC43" si="10">IF(AB31=1,AB25,0)</f>
        <v>0</v>
      </c>
      <c r="AC39" s="70">
        <f t="shared" si="10"/>
        <v>25</v>
      </c>
      <c r="AE39" s="74">
        <f>IF(AE31=1,AE25,0)</f>
        <v>0</v>
      </c>
      <c r="AW39" s="154"/>
    </row>
    <row r="40" spans="1:49" s="70" customFormat="1" ht="12.75" hidden="1" customHeight="1" x14ac:dyDescent="0.2">
      <c r="A40" s="70" t="s">
        <v>83</v>
      </c>
      <c r="B40" s="70">
        <f>IF(B32=1,B26,0)</f>
        <v>25</v>
      </c>
      <c r="D40" s="74">
        <f t="shared" si="2"/>
        <v>0</v>
      </c>
      <c r="E40" s="70">
        <f t="shared" si="2"/>
        <v>27</v>
      </c>
      <c r="G40" s="74">
        <f t="shared" si="3"/>
        <v>0</v>
      </c>
      <c r="H40" s="70">
        <f t="shared" si="3"/>
        <v>25</v>
      </c>
      <c r="J40" s="74">
        <f t="shared" si="4"/>
        <v>0</v>
      </c>
      <c r="K40" s="70">
        <f t="shared" si="4"/>
        <v>25</v>
      </c>
      <c r="M40" s="74">
        <f t="shared" si="5"/>
        <v>0</v>
      </c>
      <c r="N40" s="70">
        <f t="shared" si="5"/>
        <v>25</v>
      </c>
      <c r="P40" s="74">
        <f t="shared" si="6"/>
        <v>0</v>
      </c>
      <c r="Q40" s="70">
        <f t="shared" si="6"/>
        <v>25</v>
      </c>
      <c r="S40" s="74">
        <f t="shared" si="7"/>
        <v>0</v>
      </c>
      <c r="T40" s="70">
        <f t="shared" si="7"/>
        <v>25</v>
      </c>
      <c r="V40" s="74">
        <f t="shared" si="8"/>
        <v>0</v>
      </c>
      <c r="W40" s="70">
        <f t="shared" si="8"/>
        <v>25</v>
      </c>
      <c r="Y40" s="74">
        <f t="shared" si="9"/>
        <v>0</v>
      </c>
      <c r="Z40" s="70">
        <f t="shared" si="9"/>
        <v>25</v>
      </c>
      <c r="AB40" s="74">
        <f t="shared" si="10"/>
        <v>0</v>
      </c>
      <c r="AC40" s="70">
        <f t="shared" si="10"/>
        <v>25</v>
      </c>
      <c r="AE40" s="74">
        <f>IF(AE32=1,AE26,0)</f>
        <v>0</v>
      </c>
      <c r="AW40" s="154"/>
    </row>
    <row r="41" spans="1:49" s="70" customFormat="1" ht="12.75" hidden="1" customHeight="1" x14ac:dyDescent="0.2">
      <c r="A41" s="70" t="s">
        <v>84</v>
      </c>
      <c r="B41" s="70">
        <f>IF(B33=1,B27,0)</f>
        <v>0</v>
      </c>
      <c r="D41" s="74">
        <f t="shared" si="2"/>
        <v>0</v>
      </c>
      <c r="E41" s="70">
        <f t="shared" si="2"/>
        <v>0</v>
      </c>
      <c r="G41" s="74">
        <f t="shared" si="3"/>
        <v>0</v>
      </c>
      <c r="H41" s="70">
        <f t="shared" si="3"/>
        <v>0</v>
      </c>
      <c r="J41" s="74">
        <f t="shared" si="4"/>
        <v>0</v>
      </c>
      <c r="K41" s="70">
        <f t="shared" si="4"/>
        <v>0</v>
      </c>
      <c r="M41" s="74">
        <f t="shared" si="5"/>
        <v>0</v>
      </c>
      <c r="N41" s="70">
        <f t="shared" si="5"/>
        <v>0</v>
      </c>
      <c r="P41" s="74">
        <f t="shared" si="6"/>
        <v>0</v>
      </c>
      <c r="Q41" s="70">
        <f t="shared" si="6"/>
        <v>0</v>
      </c>
      <c r="S41" s="74">
        <f t="shared" si="7"/>
        <v>0</v>
      </c>
      <c r="T41" s="70">
        <f t="shared" si="7"/>
        <v>0</v>
      </c>
      <c r="V41" s="74">
        <f t="shared" si="8"/>
        <v>0</v>
      </c>
      <c r="W41" s="70">
        <f t="shared" si="8"/>
        <v>0</v>
      </c>
      <c r="Y41" s="74">
        <f t="shared" si="9"/>
        <v>0</v>
      </c>
      <c r="Z41" s="70">
        <f t="shared" si="9"/>
        <v>0</v>
      </c>
      <c r="AB41" s="74">
        <f t="shared" si="10"/>
        <v>0</v>
      </c>
      <c r="AC41" s="70">
        <f t="shared" si="10"/>
        <v>0</v>
      </c>
      <c r="AE41" s="74">
        <f>IF(AE33=1,AE27,0)</f>
        <v>0</v>
      </c>
      <c r="AW41" s="154"/>
    </row>
    <row r="42" spans="1:49" s="70" customFormat="1" ht="12.75" hidden="1" customHeight="1" x14ac:dyDescent="0.2">
      <c r="A42" s="70" t="s">
        <v>85</v>
      </c>
      <c r="B42" s="70">
        <f>IF(B34=1,B28,0)</f>
        <v>0</v>
      </c>
      <c r="D42" s="74">
        <f t="shared" si="2"/>
        <v>0</v>
      </c>
      <c r="E42" s="70">
        <f t="shared" si="2"/>
        <v>0</v>
      </c>
      <c r="G42" s="74">
        <f t="shared" si="3"/>
        <v>0</v>
      </c>
      <c r="H42" s="70">
        <f t="shared" si="3"/>
        <v>0</v>
      </c>
      <c r="J42" s="74">
        <f t="shared" si="4"/>
        <v>0</v>
      </c>
      <c r="K42" s="70">
        <f t="shared" si="4"/>
        <v>0</v>
      </c>
      <c r="M42" s="74">
        <f t="shared" si="5"/>
        <v>0</v>
      </c>
      <c r="N42" s="70">
        <f t="shared" si="5"/>
        <v>0</v>
      </c>
      <c r="P42" s="74">
        <f t="shared" si="6"/>
        <v>0</v>
      </c>
      <c r="Q42" s="70">
        <f t="shared" si="6"/>
        <v>0</v>
      </c>
      <c r="S42" s="74">
        <f t="shared" si="7"/>
        <v>0</v>
      </c>
      <c r="T42" s="70">
        <f t="shared" si="7"/>
        <v>0</v>
      </c>
      <c r="V42" s="74">
        <f t="shared" si="8"/>
        <v>0</v>
      </c>
      <c r="W42" s="70">
        <f t="shared" si="8"/>
        <v>0</v>
      </c>
      <c r="Y42" s="74">
        <f t="shared" si="9"/>
        <v>0</v>
      </c>
      <c r="Z42" s="70">
        <f t="shared" si="9"/>
        <v>0</v>
      </c>
      <c r="AB42" s="74">
        <f t="shared" si="10"/>
        <v>0</v>
      </c>
      <c r="AC42" s="70">
        <f t="shared" si="10"/>
        <v>0</v>
      </c>
      <c r="AE42" s="74">
        <f>IF(AE34=1,AE28,0)</f>
        <v>0</v>
      </c>
      <c r="AW42" s="154"/>
    </row>
    <row r="43" spans="1:49" s="70" customFormat="1" ht="12.75" hidden="1" customHeight="1" x14ac:dyDescent="0.2">
      <c r="A43" s="70" t="s">
        <v>86</v>
      </c>
      <c r="B43" s="70">
        <f>IF(B35=1,B29,0)</f>
        <v>0</v>
      </c>
      <c r="D43" s="74">
        <f t="shared" si="2"/>
        <v>0</v>
      </c>
      <c r="E43" s="70">
        <f t="shared" si="2"/>
        <v>0</v>
      </c>
      <c r="G43" s="74">
        <f t="shared" si="3"/>
        <v>0</v>
      </c>
      <c r="H43" s="70">
        <f t="shared" si="3"/>
        <v>0</v>
      </c>
      <c r="J43" s="74">
        <f t="shared" si="4"/>
        <v>0</v>
      </c>
      <c r="K43" s="70">
        <f t="shared" si="4"/>
        <v>0</v>
      </c>
      <c r="M43" s="74">
        <f t="shared" si="5"/>
        <v>0</v>
      </c>
      <c r="N43" s="70">
        <f t="shared" si="5"/>
        <v>0</v>
      </c>
      <c r="P43" s="74">
        <f t="shared" si="6"/>
        <v>0</v>
      </c>
      <c r="Q43" s="70">
        <f t="shared" si="6"/>
        <v>0</v>
      </c>
      <c r="S43" s="74">
        <f t="shared" si="7"/>
        <v>0</v>
      </c>
      <c r="T43" s="70">
        <f t="shared" si="7"/>
        <v>0</v>
      </c>
      <c r="V43" s="74">
        <f t="shared" si="8"/>
        <v>0</v>
      </c>
      <c r="W43" s="70">
        <f t="shared" si="8"/>
        <v>0</v>
      </c>
      <c r="Y43" s="74">
        <f t="shared" si="9"/>
        <v>0</v>
      </c>
      <c r="Z43" s="70">
        <f t="shared" si="9"/>
        <v>0</v>
      </c>
      <c r="AB43" s="74">
        <f t="shared" si="10"/>
        <v>0</v>
      </c>
      <c r="AC43" s="70">
        <f t="shared" si="10"/>
        <v>0</v>
      </c>
      <c r="AE43" s="74">
        <f>IF(AE35=1,AE29,0)</f>
        <v>0</v>
      </c>
      <c r="AW43" s="154"/>
    </row>
    <row r="44" spans="1:49" s="70" customFormat="1" ht="38.25" hidden="1" customHeight="1" x14ac:dyDescent="0.2">
      <c r="A44" s="73" t="s">
        <v>87</v>
      </c>
      <c r="B44" s="70">
        <f>SUM(B39:D43)</f>
        <v>50</v>
      </c>
      <c r="D44" s="74"/>
      <c r="E44" s="70">
        <f>SUM(E39:G43)</f>
        <v>52</v>
      </c>
      <c r="G44" s="74"/>
      <c r="H44" s="70">
        <f>SUM(H39:J43)</f>
        <v>50</v>
      </c>
      <c r="J44" s="74"/>
      <c r="K44" s="70">
        <f>SUM(K39:M43)</f>
        <v>50</v>
      </c>
      <c r="M44" s="74"/>
      <c r="N44" s="70">
        <f>SUM(N39:P43)</f>
        <v>50</v>
      </c>
      <c r="P44" s="74"/>
      <c r="Q44" s="70">
        <f>SUM(Q39:S43)</f>
        <v>50</v>
      </c>
      <c r="S44" s="74"/>
      <c r="T44" s="70">
        <f>SUM(T39:V43)</f>
        <v>50</v>
      </c>
      <c r="V44" s="74"/>
      <c r="W44" s="70">
        <f>SUM(W39:Y43)</f>
        <v>50</v>
      </c>
      <c r="Y44" s="74"/>
      <c r="Z44" s="70">
        <f>SUM(Z39:AB43)</f>
        <v>50</v>
      </c>
      <c r="AB44" s="74"/>
      <c r="AC44" s="70">
        <f>SUM(AC39:AE43)</f>
        <v>50</v>
      </c>
      <c r="AE44" s="74"/>
      <c r="AW44" s="154"/>
    </row>
    <row r="45" spans="1:49" s="70" customFormat="1" ht="38.25" hidden="1" customHeight="1" x14ac:dyDescent="0.2">
      <c r="A45" s="70" t="s">
        <v>88</v>
      </c>
      <c r="D45" s="74"/>
      <c r="G45" s="74"/>
      <c r="J45" s="74"/>
      <c r="M45" s="74"/>
      <c r="P45" s="74"/>
      <c r="S45" s="74"/>
      <c r="V45" s="74"/>
      <c r="Y45" s="74"/>
      <c r="AB45" s="74"/>
      <c r="AE45" s="74"/>
      <c r="AF45" s="73" t="s">
        <v>89</v>
      </c>
      <c r="AG45" s="70" t="s">
        <v>90</v>
      </c>
      <c r="AW45" s="154"/>
    </row>
    <row r="46" spans="1:49" s="70" customFormat="1" ht="12.75" hidden="1" customHeight="1" x14ac:dyDescent="0.2">
      <c r="A46" s="70" t="s">
        <v>91</v>
      </c>
      <c r="B46" s="70">
        <f>IF(B24=1,IF(B37=1,1,0),0)</f>
        <v>0</v>
      </c>
      <c r="D46" s="74">
        <f>IF(D24=1,IF(D37=1,1,0),0)</f>
        <v>0</v>
      </c>
      <c r="E46" s="70">
        <f>IF(E24=1,IF(E37=1,1,0),0)</f>
        <v>1</v>
      </c>
      <c r="G46" s="74">
        <f>IF(G24=1,IF(G37=1,1,0),0)</f>
        <v>0</v>
      </c>
      <c r="H46" s="70">
        <f>IF(H24=1,IF(H37=1,1,0),0)</f>
        <v>0</v>
      </c>
      <c r="J46" s="74">
        <f>IF(J24=1,IF(J37=1,1,0),0)</f>
        <v>0</v>
      </c>
      <c r="K46" s="70">
        <f>IF(K24=1,IF(K37=1,1,0),0)</f>
        <v>0</v>
      </c>
      <c r="M46" s="74">
        <f>IF(M24=1,IF(M37=1,1,0),0)</f>
        <v>0</v>
      </c>
      <c r="N46" s="70">
        <f>IF(N24=1,IF(N37=1,1,0),0)</f>
        <v>1</v>
      </c>
      <c r="P46" s="74">
        <f>IF(P24=1,IF(P37=1,1,0),0)</f>
        <v>0</v>
      </c>
      <c r="Q46" s="70">
        <f>IF(Q24=1,IF(Q37=1,1,0),0)</f>
        <v>0</v>
      </c>
      <c r="S46" s="74">
        <f>IF(S24=1,IF(S37=1,1,0),0)</f>
        <v>0</v>
      </c>
      <c r="T46" s="70">
        <f>IF(T24=1,IF(T37=1,1,0),0)</f>
        <v>0</v>
      </c>
      <c r="V46" s="74">
        <f>IF(V24=1,IF(V37=1,1,0),0)</f>
        <v>0</v>
      </c>
      <c r="W46" s="70">
        <f>IF(W24=1,IF(W37=1,1,0),0)</f>
        <v>1</v>
      </c>
      <c r="Y46" s="74">
        <f>IF(Y24=1,IF(Y37=1,1,0),0)</f>
        <v>0</v>
      </c>
      <c r="Z46" s="70">
        <f>IF(Z24=1,IF(Z37=1,1,0),0)</f>
        <v>0</v>
      </c>
      <c r="AB46" s="74">
        <f>IF(AB24=1,IF(AB37=1,1,0),0)</f>
        <v>0</v>
      </c>
      <c r="AC46" s="70">
        <f>IF(AC24=1,IF(AC37=1,1,0),0)</f>
        <v>1</v>
      </c>
      <c r="AE46" s="74">
        <f>IF(AE24=1,IF(AE37=1,1,0),0)</f>
        <v>0</v>
      </c>
      <c r="AF46" s="70">
        <f>SUM(B46:AE46)</f>
        <v>4</v>
      </c>
      <c r="AG46" s="70">
        <f>AF52-AF46</f>
        <v>0</v>
      </c>
      <c r="AW46" s="154"/>
    </row>
    <row r="47" spans="1:49" s="70" customFormat="1" ht="12.75" hidden="1" customHeight="1" x14ac:dyDescent="0.2">
      <c r="A47" s="70" t="s">
        <v>92</v>
      </c>
      <c r="B47" s="70">
        <f>IF(B24=2,IF(B37=1,1,0),0)</f>
        <v>1</v>
      </c>
      <c r="D47" s="74">
        <f>IF(D24=2,IF(D37=1,1,0),0)</f>
        <v>0</v>
      </c>
      <c r="E47" s="70">
        <f>IF(E24=2,IF(E37=1,1,0),0)</f>
        <v>0</v>
      </c>
      <c r="G47" s="74">
        <f>IF(G24=2,IF(G37=1,1,0),0)</f>
        <v>0</v>
      </c>
      <c r="H47" s="70">
        <f>IF(H24=2,IF(H37=1,1,0),0)</f>
        <v>0</v>
      </c>
      <c r="J47" s="74">
        <f>IF(J24=2,IF(J37=1,1,0),0)</f>
        <v>0</v>
      </c>
      <c r="K47" s="70">
        <f>IF(K24=2,IF(K37=1,1,0),0)</f>
        <v>1</v>
      </c>
      <c r="M47" s="74">
        <f>IF(M24=2,IF(M37=1,1,0),0)</f>
        <v>0</v>
      </c>
      <c r="N47" s="70">
        <f>IF(N24=2,IF(N37=1,1,0),0)</f>
        <v>0</v>
      </c>
      <c r="P47" s="74">
        <f>IF(P24=2,IF(P37=1,1,0),0)</f>
        <v>0</v>
      </c>
      <c r="Q47" s="70">
        <f>IF(Q24=2,IF(Q37=1,1,0),0)</f>
        <v>0</v>
      </c>
      <c r="S47" s="74">
        <f>IF(S24=2,IF(S37=1,1,0),0)</f>
        <v>0</v>
      </c>
      <c r="T47" s="70">
        <f>IF(T24=2,IF(T37=1,1,0),0)</f>
        <v>1</v>
      </c>
      <c r="V47" s="74">
        <f>IF(V24=2,IF(V37=1,1,0),0)</f>
        <v>0</v>
      </c>
      <c r="W47" s="70">
        <f>IF(W24=2,IF(W37=1,1,0),0)</f>
        <v>0</v>
      </c>
      <c r="Y47" s="74">
        <f>IF(Y24=2,IF(Y37=1,1,0),0)</f>
        <v>0</v>
      </c>
      <c r="Z47" s="70">
        <f>IF(Z24=2,IF(Z37=1,1,0),0)</f>
        <v>0</v>
      </c>
      <c r="AB47" s="74">
        <f>IF(AB24=2,IF(AB37=1,1,0),0)</f>
        <v>0</v>
      </c>
      <c r="AC47" s="70">
        <f>IF(AC24=2,IF(AC37=1,1,0),0)</f>
        <v>0</v>
      </c>
      <c r="AE47" s="74">
        <f>IF(AE24=2,IF(AE37=1,1,0),0)</f>
        <v>0</v>
      </c>
      <c r="AF47" s="70">
        <f>SUM(B47:AE47)</f>
        <v>3</v>
      </c>
      <c r="AG47" s="70">
        <f>AF53-AF47</f>
        <v>1</v>
      </c>
      <c r="AW47" s="154"/>
    </row>
    <row r="48" spans="1:49" s="70" customFormat="1" ht="12.75" hidden="1" customHeight="1" x14ac:dyDescent="0.2">
      <c r="A48" s="70" t="s">
        <v>93</v>
      </c>
      <c r="B48" s="70">
        <f>IF(B24=3,IF(B37=1,1,0),0)</f>
        <v>0</v>
      </c>
      <c r="D48" s="74">
        <f>IF(D24=3,IF(D37=1,1,0),0)</f>
        <v>0</v>
      </c>
      <c r="E48" s="70">
        <f>IF(E24=3,IF(E37=1,1,0),0)</f>
        <v>0</v>
      </c>
      <c r="G48" s="74">
        <f>IF(G24=3,IF(G37=1,1,0),0)</f>
        <v>0</v>
      </c>
      <c r="H48" s="70">
        <f>IF(H24=3,IF(H37=1,1,0),0)</f>
        <v>0</v>
      </c>
      <c r="J48" s="74">
        <f>IF(J24=3,IF(J37=1,1,0),0)</f>
        <v>0</v>
      </c>
      <c r="K48" s="70">
        <f>IF(K24=3,IF(K37=1,1,0),0)</f>
        <v>0</v>
      </c>
      <c r="M48" s="74">
        <f>IF(M24=3,IF(M37=1,1,0),0)</f>
        <v>0</v>
      </c>
      <c r="N48" s="70">
        <f>IF(N24=3,IF(N37=1,1,0),0)</f>
        <v>0</v>
      </c>
      <c r="P48" s="74">
        <f>IF(P24=3,IF(P37=1,1,0),0)</f>
        <v>0</v>
      </c>
      <c r="Q48" s="70">
        <f>IF(Q24=3,IF(Q37=1,1,0),0)</f>
        <v>0</v>
      </c>
      <c r="S48" s="74">
        <f>IF(S24=3,IF(S37=1,1,0),0)</f>
        <v>0</v>
      </c>
      <c r="T48" s="70">
        <f>IF(T24=3,IF(T37=1,1,0),0)</f>
        <v>0</v>
      </c>
      <c r="V48" s="74">
        <f>IF(V24=3,IF(V37=1,1,0),0)</f>
        <v>0</v>
      </c>
      <c r="W48" s="70">
        <f>IF(W24=3,IF(W37=1,1,0),0)</f>
        <v>0</v>
      </c>
      <c r="Y48" s="74">
        <f>IF(Y24=3,IF(Y37=1,1,0),0)</f>
        <v>0</v>
      </c>
      <c r="Z48" s="70">
        <f>IF(Z24=3,IF(Z37=1,1,0),0)</f>
        <v>1</v>
      </c>
      <c r="AB48" s="74">
        <f>IF(AB24=3,IF(AB37=1,1,0),0)</f>
        <v>0</v>
      </c>
      <c r="AC48" s="70">
        <f>IF(AC24=3,IF(AC37=1,1,0),0)</f>
        <v>0</v>
      </c>
      <c r="AE48" s="74">
        <f>IF(AE24=3,IF(AE37=1,1,0),0)</f>
        <v>0</v>
      </c>
      <c r="AF48" s="70">
        <f>SUM(B48:AE48)</f>
        <v>1</v>
      </c>
      <c r="AG48" s="70">
        <f>AF54-AF48</f>
        <v>2</v>
      </c>
      <c r="AW48" s="154"/>
    </row>
    <row r="49" spans="1:49" s="70" customFormat="1" ht="12.75" hidden="1" customHeight="1" x14ac:dyDescent="0.2">
      <c r="A49" s="70" t="s">
        <v>94</v>
      </c>
      <c r="B49" s="70">
        <f>IF(B24=4,IF(B37=1,1,0),0)</f>
        <v>0</v>
      </c>
      <c r="D49" s="74">
        <f>IF(D24=4,IF(D37=1,1,0),0)</f>
        <v>0</v>
      </c>
      <c r="E49" s="70">
        <f>IF(E24=4,IF(E37=1,1,0),0)</f>
        <v>0</v>
      </c>
      <c r="G49" s="74">
        <f>IF(G24=4,IF(G37=1,1,0),0)</f>
        <v>0</v>
      </c>
      <c r="H49" s="70">
        <f>IF(H24=4,IF(H37=1,1,0),0)</f>
        <v>0</v>
      </c>
      <c r="J49" s="74">
        <f>IF(J24=4,IF(J37=1,1,0),0)</f>
        <v>0</v>
      </c>
      <c r="K49" s="70">
        <f>IF(K24=4,IF(K37=1,1,0),0)</f>
        <v>0</v>
      </c>
      <c r="M49" s="74">
        <f>IF(M24=4,IF(M37=1,1,0),0)</f>
        <v>0</v>
      </c>
      <c r="N49" s="70">
        <f>IF(N24=4,IF(N37=1,1,0),0)</f>
        <v>0</v>
      </c>
      <c r="P49" s="74">
        <f>IF(P24=4,IF(P37=1,1,0),0)</f>
        <v>0</v>
      </c>
      <c r="Q49" s="70">
        <f>IF(Q24=4,IF(Q37=1,1,0),0)</f>
        <v>1</v>
      </c>
      <c r="S49" s="74">
        <f>IF(S24=4,IF(S37=1,1,0),0)</f>
        <v>0</v>
      </c>
      <c r="T49" s="70">
        <f>IF(T24=4,IF(T37=1,1,0),0)</f>
        <v>0</v>
      </c>
      <c r="V49" s="74">
        <f>IF(V24=4,IF(V37=1,1,0),0)</f>
        <v>0</v>
      </c>
      <c r="W49" s="70">
        <f>IF(W24=4,IF(W37=1,1,0),0)</f>
        <v>0</v>
      </c>
      <c r="Y49" s="74">
        <f>IF(Y24=4,IF(Y37=1,1,0),0)</f>
        <v>0</v>
      </c>
      <c r="Z49" s="70">
        <f>IF(Z24=4,IF(Z37=1,1,0),0)</f>
        <v>0</v>
      </c>
      <c r="AB49" s="74">
        <f>IF(AB24=4,IF(AB37=1,1,0),0)</f>
        <v>0</v>
      </c>
      <c r="AC49" s="70">
        <f>IF(AC24=4,IF(AC37=1,1,0),0)</f>
        <v>0</v>
      </c>
      <c r="AE49" s="74">
        <f>IF(AE24=4,IF(AE37=1,1,0),0)</f>
        <v>0</v>
      </c>
      <c r="AF49" s="70">
        <f>SUM(B49:AE49)</f>
        <v>1</v>
      </c>
      <c r="AG49" s="70">
        <f>AF55-AF49</f>
        <v>3</v>
      </c>
      <c r="AW49" s="154"/>
    </row>
    <row r="50" spans="1:49" s="70" customFormat="1" ht="12.75" hidden="1" customHeight="1" x14ac:dyDescent="0.2">
      <c r="A50" s="70" t="s">
        <v>95</v>
      </c>
      <c r="B50" s="70">
        <f>IF(B24=5,IF(B37=1,1,0),0)</f>
        <v>0</v>
      </c>
      <c r="D50" s="74">
        <f>IF(D24=5,IF(D37=1,1,0),0)</f>
        <v>0</v>
      </c>
      <c r="E50" s="70">
        <f>IF(E24=5,IF(E37=1,1,0),0)</f>
        <v>0</v>
      </c>
      <c r="G50" s="74">
        <f>IF(G24=5,IF(G37=1,1,0),0)</f>
        <v>0</v>
      </c>
      <c r="H50" s="70">
        <f>IF(H24=5,IF(H37=1,1,0),0)</f>
        <v>0</v>
      </c>
      <c r="J50" s="74">
        <f>IF(J24=5,IF(J37=1,1,0),0)</f>
        <v>0</v>
      </c>
      <c r="K50" s="70">
        <f>IF(K24=5,IF(K37=1,1,0),0)</f>
        <v>0</v>
      </c>
      <c r="M50" s="74">
        <f>IF(M24=5,IF(M37=1,1,0),0)</f>
        <v>0</v>
      </c>
      <c r="N50" s="70">
        <f>IF(N24=5,IF(N37=1,1,0),0)</f>
        <v>0</v>
      </c>
      <c r="P50" s="74">
        <f>IF(P24=5,IF(P37=1,1,0),0)</f>
        <v>0</v>
      </c>
      <c r="Q50" s="70">
        <f>IF(Q24=5,IF(Q37=1,1,0),0)</f>
        <v>0</v>
      </c>
      <c r="S50" s="74">
        <f>IF(S24=5,IF(S37=1,1,0),0)</f>
        <v>0</v>
      </c>
      <c r="T50" s="70">
        <f>IF(T24=5,IF(T37=1,1,0),0)</f>
        <v>0</v>
      </c>
      <c r="V50" s="74">
        <f>IF(V24=5,IF(V37=1,1,0),0)</f>
        <v>0</v>
      </c>
      <c r="W50" s="70">
        <f>IF(W24=5,IF(W37=1,1,0),0)</f>
        <v>0</v>
      </c>
      <c r="Y50" s="74">
        <f>IF(Y24=5,IF(Y37=1,1,0),0)</f>
        <v>0</v>
      </c>
      <c r="Z50" s="70">
        <f>IF(Z24=5,IF(Z37=1,1,0),0)</f>
        <v>0</v>
      </c>
      <c r="AB50" s="74">
        <f>IF(AB24=5,IF(AB37=1,1,0),0)</f>
        <v>0</v>
      </c>
      <c r="AC50" s="70">
        <f>IF(AC24=5,IF(AC37=1,1,0),0)</f>
        <v>0</v>
      </c>
      <c r="AE50" s="74">
        <f>IF(AE24=5,IF(AE37=1,1,0),0)</f>
        <v>0</v>
      </c>
      <c r="AF50" s="70">
        <f>SUM(B50:AE50)</f>
        <v>0</v>
      </c>
      <c r="AG50" s="70">
        <f>AF56-AF50</f>
        <v>3</v>
      </c>
      <c r="AW50" s="154"/>
    </row>
    <row r="51" spans="1:49" s="70" customFormat="1" ht="38.25" hidden="1" customHeight="1" x14ac:dyDescent="0.2">
      <c r="A51" s="73"/>
      <c r="D51" s="74"/>
      <c r="G51" s="74"/>
      <c r="J51" s="74"/>
      <c r="M51" s="74"/>
      <c r="P51" s="74"/>
      <c r="S51" s="74"/>
      <c r="V51" s="74"/>
      <c r="Y51" s="74"/>
      <c r="AB51" s="74"/>
      <c r="AE51" s="74"/>
      <c r="AF51" s="73" t="s">
        <v>96</v>
      </c>
      <c r="AW51" s="154"/>
    </row>
    <row r="52" spans="1:49" s="70" customFormat="1" ht="12.75" hidden="1" customHeight="1" x14ac:dyDescent="0.2">
      <c r="A52" s="70" t="s">
        <v>97</v>
      </c>
      <c r="B52" s="70">
        <f>IF(B24=1,IF(C37=1,1,0),0)</f>
        <v>0</v>
      </c>
      <c r="D52" s="74">
        <f>IF(D24=1,IF(C37=1,1,0),0)</f>
        <v>0</v>
      </c>
      <c r="E52" s="70">
        <f>IF(E24=1,IF(F37=1,1,0),0)</f>
        <v>1</v>
      </c>
      <c r="G52" s="74">
        <f>IF(G24=1,IF(F37=1,1,0),0)</f>
        <v>0</v>
      </c>
      <c r="H52" s="70">
        <f>IF(H24=1,IF(I37=1,1,0),0)</f>
        <v>0</v>
      </c>
      <c r="J52" s="74">
        <f>IF(J24=1,IF(I37=1,1,0),0)</f>
        <v>0</v>
      </c>
      <c r="K52" s="70">
        <f>IF(K24=1,IF(L37=1,1,0),0)</f>
        <v>0</v>
      </c>
      <c r="M52" s="74">
        <f>IF(M24=1,IF(L37=1,1,0),0)</f>
        <v>0</v>
      </c>
      <c r="N52" s="70">
        <f>IF(N24=1,IF(O37=1,1,0),0)</f>
        <v>1</v>
      </c>
      <c r="P52" s="74">
        <f>IF(P24=1,IF(O37=1,1,0),0)</f>
        <v>0</v>
      </c>
      <c r="Q52" s="70">
        <f>IF(Q24=1,IF(R37=1,1,0),0)</f>
        <v>0</v>
      </c>
      <c r="S52" s="74">
        <f>IF(S24=1,IF(R37=1,1,0),0)</f>
        <v>0</v>
      </c>
      <c r="T52" s="70">
        <f>IF(T24=1,IF(U37=1,1,0),0)</f>
        <v>0</v>
      </c>
      <c r="V52" s="74">
        <f>IF(V24=1,IF(U37=1,1,0),0)</f>
        <v>0</v>
      </c>
      <c r="W52" s="70">
        <f>IF(W24=1,IF(X37=1,1,0),0)</f>
        <v>1</v>
      </c>
      <c r="Y52" s="74">
        <f>IF(Y24=1,IF(X37=1,1,0),0)</f>
        <v>0</v>
      </c>
      <c r="Z52" s="70">
        <f>IF(Z24=1,IF(AA37=1,1,0),0)</f>
        <v>0</v>
      </c>
      <c r="AB52" s="74">
        <f>IF(AB24=1,IF(AA37=1,1,0),0)</f>
        <v>0</v>
      </c>
      <c r="AC52" s="70">
        <f>IF(AC24=1,IF(AD37=1,1,0),0)</f>
        <v>1</v>
      </c>
      <c r="AE52" s="74">
        <f>IF(AE24=1,IF(AD37=1,1,0),0)</f>
        <v>0</v>
      </c>
      <c r="AF52" s="70">
        <f>SUM(B52:AE52)</f>
        <v>4</v>
      </c>
      <c r="AW52" s="154"/>
    </row>
    <row r="53" spans="1:49" s="70" customFormat="1" ht="12.75" hidden="1" customHeight="1" x14ac:dyDescent="0.2">
      <c r="A53" s="70" t="s">
        <v>98</v>
      </c>
      <c r="B53" s="70">
        <f>IF(B24=2,IF(C37=1,1,0),0)</f>
        <v>1</v>
      </c>
      <c r="D53" s="74">
        <f>IF(D24=2,IF(C37=1,1,0),0)</f>
        <v>0</v>
      </c>
      <c r="E53" s="70">
        <f>IF(E24=2,IF(F37=1,1,0),0)</f>
        <v>0</v>
      </c>
      <c r="G53" s="74">
        <f>IF(G24=2,IF(F37=1,1,0),0)</f>
        <v>0</v>
      </c>
      <c r="H53" s="70">
        <f>IF(H24=2,IF(I37=1,1,0),0)</f>
        <v>0</v>
      </c>
      <c r="J53" s="74">
        <f>IF(J24=2,IF(I37=1,1,0),0)</f>
        <v>0</v>
      </c>
      <c r="K53" s="70">
        <f>IF(K24=2,IF(L37=1,1,0),0)</f>
        <v>1</v>
      </c>
      <c r="M53" s="74">
        <f>IF(M24=2,IF(L37=1,1,0),0)</f>
        <v>0</v>
      </c>
      <c r="N53" s="70">
        <f>IF(N24=2,IF(O37=1,1,0),0)</f>
        <v>0</v>
      </c>
      <c r="P53" s="74">
        <f>IF(P24=2,IF(O37=1,1,0),0)</f>
        <v>0</v>
      </c>
      <c r="Q53" s="70">
        <f>IF(Q24=2,IF(R37=1,1,0),0)</f>
        <v>0</v>
      </c>
      <c r="S53" s="74">
        <f>IF(S24=2,IF(R37=1,1,0),0)</f>
        <v>0</v>
      </c>
      <c r="T53" s="70">
        <f>IF(T24=2,IF(U37=1,1,0),0)</f>
        <v>1</v>
      </c>
      <c r="V53" s="74">
        <f>IF(V24=2,IF(U37=1,1,0),0)</f>
        <v>0</v>
      </c>
      <c r="W53" s="70">
        <f>IF(W24=2,IF(X37=1,1,0),0)</f>
        <v>0</v>
      </c>
      <c r="Y53" s="74">
        <f>IF(Y24=2,IF(X37=1,1,0),0)</f>
        <v>0</v>
      </c>
      <c r="Z53" s="70">
        <f>IF(Z24=2,IF(AA37=1,1,0),0)</f>
        <v>0</v>
      </c>
      <c r="AB53" s="74">
        <f>IF(AB24=2,IF(AA37=1,1,0),0)</f>
        <v>0</v>
      </c>
      <c r="AC53" s="70">
        <f>IF(AC24=2,IF(AD37=1,1,0),0)</f>
        <v>0</v>
      </c>
      <c r="AE53" s="74">
        <f>IF(AE24=2,IF(AD37=1,1,0),0)</f>
        <v>1</v>
      </c>
      <c r="AF53" s="70">
        <f>SUM(B53:AE53)</f>
        <v>4</v>
      </c>
      <c r="AW53" s="154"/>
    </row>
    <row r="54" spans="1:49" s="70" customFormat="1" ht="12.75" hidden="1" customHeight="1" x14ac:dyDescent="0.2">
      <c r="A54" s="70" t="s">
        <v>99</v>
      </c>
      <c r="B54" s="70">
        <f>IF(B24=3,IF(C37=1,1,0),0)</f>
        <v>0</v>
      </c>
      <c r="D54" s="74">
        <f>IF(D24=3,IF(C37=1,1,0),0)</f>
        <v>0</v>
      </c>
      <c r="E54" s="70">
        <f>IF(E24=3,IF(F37=1,1,0),0)</f>
        <v>0</v>
      </c>
      <c r="G54" s="74">
        <f>IF(G24=3,IF(F37=1,1,0),0)</f>
        <v>0</v>
      </c>
      <c r="H54" s="70">
        <f>IF(H24=3,IF(I37=1,1,0),0)</f>
        <v>0</v>
      </c>
      <c r="J54" s="74">
        <f>IF(J24=3,IF(I37=1,1,0),0)</f>
        <v>0</v>
      </c>
      <c r="K54" s="70">
        <f>IF(K24=3,IF(L37=1,1,0),0)</f>
        <v>0</v>
      </c>
      <c r="M54" s="74">
        <f>IF(M24=3,IF(L37=1,1,0),0)</f>
        <v>0</v>
      </c>
      <c r="N54" s="70">
        <f>IF(N24=3,IF(O37=1,1,0),0)</f>
        <v>0</v>
      </c>
      <c r="P54" s="74">
        <f>IF(P24=3,IF(O37=1,1,0),0)</f>
        <v>1</v>
      </c>
      <c r="Q54" s="70">
        <f>IF(Q24=3,IF(R37=1,1,0),0)</f>
        <v>0</v>
      </c>
      <c r="S54" s="74">
        <f>IF(S24=3,IF(R37=1,1,0),0)</f>
        <v>0</v>
      </c>
      <c r="T54" s="70">
        <f>IF(T24=3,IF(U37=1,1,0),0)</f>
        <v>0</v>
      </c>
      <c r="V54" s="74">
        <f>IF(V24=3,IF(U37=1,1,0),0)</f>
        <v>1</v>
      </c>
      <c r="W54" s="70">
        <f>IF(W24=3,IF(X37=1,1,0),0)</f>
        <v>0</v>
      </c>
      <c r="Y54" s="74">
        <f>IF(Y24=3,IF(X37=1,1,0),0)</f>
        <v>0</v>
      </c>
      <c r="Z54" s="70">
        <f>IF(Z24=3,IF(AA37=1,1,0),0)</f>
        <v>1</v>
      </c>
      <c r="AB54" s="74">
        <f>IF(AB24=3,IF(AA37=1,1,0),0)</f>
        <v>0</v>
      </c>
      <c r="AC54" s="70">
        <f>IF(AC24=3,IF(AD37=1,1,0),0)</f>
        <v>0</v>
      </c>
      <c r="AE54" s="74">
        <f>IF(AE24=3,IF(AD37=1,1,0),0)</f>
        <v>0</v>
      </c>
      <c r="AF54" s="70">
        <f>SUM(B54:AE54)</f>
        <v>3</v>
      </c>
      <c r="AW54" s="154"/>
    </row>
    <row r="55" spans="1:49" s="70" customFormat="1" ht="12.75" hidden="1" customHeight="1" x14ac:dyDescent="0.2">
      <c r="A55" s="70" t="s">
        <v>100</v>
      </c>
      <c r="B55" s="70">
        <f>IF(B24=4,IF(C37=1,1,0),0)</f>
        <v>0</v>
      </c>
      <c r="D55" s="74">
        <f>IF(D24=4,IF(C37=1,1,0),0)</f>
        <v>0</v>
      </c>
      <c r="E55" s="70">
        <f>IF(E24=4,IF(F37=1,1,0),0)</f>
        <v>0</v>
      </c>
      <c r="G55" s="74">
        <f>IF(G24=4,IF(F37=1,1,0),0)</f>
        <v>1</v>
      </c>
      <c r="H55" s="70">
        <f>IF(H24=4,IF(I37=1,1,0),0)</f>
        <v>0</v>
      </c>
      <c r="J55" s="74">
        <f>IF(J24=4,IF(I37=1,1,0),0)</f>
        <v>0</v>
      </c>
      <c r="K55" s="70">
        <f>IF(K24=4,IF(L37=1,1,0),0)</f>
        <v>0</v>
      </c>
      <c r="M55" s="74">
        <f>IF(M24=4,IF(L37=1,1,0),0)</f>
        <v>1</v>
      </c>
      <c r="N55" s="70">
        <f>IF(N24=4,IF(O37=1,1,0),0)</f>
        <v>0</v>
      </c>
      <c r="P55" s="74">
        <f>IF(P24=4,IF(O37=1,1,0),0)</f>
        <v>0</v>
      </c>
      <c r="Q55" s="70">
        <f>IF(Q24=4,IF(R37=1,1,0),0)</f>
        <v>1</v>
      </c>
      <c r="S55" s="74">
        <f>IF(S24=4,IF(R37=1,1,0),0)</f>
        <v>0</v>
      </c>
      <c r="T55" s="70">
        <f>IF(T24=4,IF(U37=1,1,0),0)</f>
        <v>0</v>
      </c>
      <c r="V55" s="74">
        <f>IF(V24=4,IF(U37=1,1,0),0)</f>
        <v>0</v>
      </c>
      <c r="W55" s="70">
        <f>IF(W24=4,IF(X37=1,1,0),0)</f>
        <v>0</v>
      </c>
      <c r="Y55" s="74">
        <f>IF(Y24=4,IF(X37=1,1,0),0)</f>
        <v>0</v>
      </c>
      <c r="Z55" s="70">
        <f>IF(Z24=4,IF(AA37=1,1,0),0)</f>
        <v>0</v>
      </c>
      <c r="AB55" s="74">
        <f>IF(AB24=4,IF(AA37=1,1,0),0)</f>
        <v>1</v>
      </c>
      <c r="AC55" s="70">
        <f>IF(AC24=4,IF(AD37=1,1,0),0)</f>
        <v>0</v>
      </c>
      <c r="AE55" s="74">
        <f>IF(AE24=4,IF(AD37=1,1,0),0)</f>
        <v>0</v>
      </c>
      <c r="AF55" s="70">
        <f>SUM(B55:AE55)</f>
        <v>4</v>
      </c>
      <c r="AW55" s="154"/>
    </row>
    <row r="56" spans="1:49" s="70" customFormat="1" ht="12.75" hidden="1" customHeight="1" x14ac:dyDescent="0.2">
      <c r="A56" s="70" t="s">
        <v>101</v>
      </c>
      <c r="B56" s="70">
        <f>IF(B24=5,IF(C37=1,1,0),0)</f>
        <v>0</v>
      </c>
      <c r="D56" s="74">
        <f>IF(D24=5,IF(C37=1,1,0),0)</f>
        <v>1</v>
      </c>
      <c r="E56" s="70">
        <f>IF(E24=5,IF(F37=1,1,0),0)</f>
        <v>0</v>
      </c>
      <c r="G56" s="74">
        <f>IF(G24=5,IF(F37=1,1,0),0)</f>
        <v>0</v>
      </c>
      <c r="H56" s="70">
        <f>IF(H24=5,IF(I37=1,1,0),0)</f>
        <v>0</v>
      </c>
      <c r="J56" s="74">
        <f>IF(J24=5,IF(I37=1,1,0),0)</f>
        <v>0</v>
      </c>
      <c r="K56" s="70">
        <f>IF(K24=5,IF(L37=1,1,0),0)</f>
        <v>0</v>
      </c>
      <c r="M56" s="74">
        <f>IF(M24=5,IF(L37=1,1,0),0)</f>
        <v>0</v>
      </c>
      <c r="N56" s="70">
        <f>IF(N24=5,IF(O37=1,1,0),0)</f>
        <v>0</v>
      </c>
      <c r="P56" s="74">
        <f>IF(P24=5,IF(O37=1,1,0),0)</f>
        <v>0</v>
      </c>
      <c r="Q56" s="70">
        <f>IF(Q24=5,IF(R37=1,1,0),0)</f>
        <v>0</v>
      </c>
      <c r="S56" s="74">
        <f>IF(S24=5,IF(R37=1,1,0),0)</f>
        <v>1</v>
      </c>
      <c r="T56" s="70">
        <f>IF(T24=5,IF(U37=1,1,0),0)</f>
        <v>0</v>
      </c>
      <c r="V56" s="74">
        <f>IF(V24=5,IF(U37=1,1,0),0)</f>
        <v>0</v>
      </c>
      <c r="W56" s="70">
        <f>IF(W24=5,IF(X37=1,1,0),0)</f>
        <v>0</v>
      </c>
      <c r="Y56" s="74">
        <f>IF(Y24=5,IF(X37=1,1,0),0)</f>
        <v>1</v>
      </c>
      <c r="Z56" s="70">
        <f>IF(Z24=5,IF(AA37=1,1,0),0)</f>
        <v>0</v>
      </c>
      <c r="AB56" s="74">
        <f>IF(AB24=5,IF(AA37=1,1,0),0)</f>
        <v>0</v>
      </c>
      <c r="AC56" s="70">
        <f>IF(AC24=5,IF(AD37=1,1,0),0)</f>
        <v>0</v>
      </c>
      <c r="AE56" s="74">
        <f>IF(AE24=5,IF(AD37=1,1,0),0)</f>
        <v>0</v>
      </c>
      <c r="AF56" s="70">
        <f>SUM(B56:AE56)</f>
        <v>3</v>
      </c>
      <c r="AW56" s="154"/>
    </row>
    <row r="57" spans="1:49" s="70" customFormat="1" ht="38.25" hidden="1" customHeight="1" x14ac:dyDescent="0.2">
      <c r="A57" s="73"/>
      <c r="D57" s="74"/>
      <c r="G57" s="74"/>
      <c r="J57" s="74"/>
      <c r="M57" s="74"/>
      <c r="P57" s="74"/>
      <c r="S57" s="74"/>
      <c r="V57" s="74"/>
      <c r="Y57" s="74"/>
      <c r="AB57" s="74"/>
      <c r="AE57" s="74"/>
      <c r="AF57" s="73" t="s">
        <v>102</v>
      </c>
      <c r="AG57" s="280"/>
      <c r="AH57" s="280"/>
      <c r="AI57" s="280"/>
      <c r="AJ57" s="280"/>
      <c r="AK57" s="280"/>
      <c r="AW57" s="154"/>
    </row>
    <row r="58" spans="1:49" s="70" customFormat="1" ht="12.75" hidden="1" customHeight="1" x14ac:dyDescent="0.2">
      <c r="A58" s="70" t="s">
        <v>97</v>
      </c>
      <c r="B58" s="70">
        <f>IF(B24=1,B44,0)</f>
        <v>0</v>
      </c>
      <c r="D58" s="74">
        <f>IF(D24=1,B44,0)</f>
        <v>0</v>
      </c>
      <c r="E58" s="70">
        <f>IF(E24=1,E44,0)</f>
        <v>52</v>
      </c>
      <c r="G58" s="74">
        <f>IF(G24=1,E44,0)</f>
        <v>0</v>
      </c>
      <c r="H58" s="70">
        <f>IF(H24=1,H44,0)</f>
        <v>0</v>
      </c>
      <c r="J58" s="74">
        <f>IF(J24=1,H44,0)</f>
        <v>0</v>
      </c>
      <c r="K58" s="70">
        <f>IF(K24=1,K44,0)</f>
        <v>0</v>
      </c>
      <c r="M58" s="74">
        <f>IF(M24=1,K44,0)</f>
        <v>0</v>
      </c>
      <c r="N58" s="70">
        <f>IF(N24=1,N44,0)</f>
        <v>50</v>
      </c>
      <c r="P58" s="74">
        <f>IF(P24=1,N44,0)</f>
        <v>0</v>
      </c>
      <c r="Q58" s="70">
        <f>IF(Q24=1,Q44,0)</f>
        <v>0</v>
      </c>
      <c r="S58" s="74">
        <f>IF(S24=1,Q44,0)</f>
        <v>0</v>
      </c>
      <c r="T58" s="70">
        <f>IF(T24=1,T44,0)</f>
        <v>0</v>
      </c>
      <c r="V58" s="74">
        <f>IF(V24=1,T44,0)</f>
        <v>0</v>
      </c>
      <c r="W58" s="70">
        <f>IF(W24=1,W44,0)</f>
        <v>50</v>
      </c>
      <c r="Y58" s="74">
        <f>IF(Y24=1,W44,0)</f>
        <v>0</v>
      </c>
      <c r="Z58" s="70">
        <f>IF(Z24=1,Z44,0)</f>
        <v>0</v>
      </c>
      <c r="AB58" s="74">
        <f>IF(AB24=1,Z44,0)</f>
        <v>0</v>
      </c>
      <c r="AC58" s="70">
        <f>IF(AC24=1,AC44,0)</f>
        <v>50</v>
      </c>
      <c r="AE58" s="74">
        <f>IF(AE24=1,AC44,0)</f>
        <v>0</v>
      </c>
      <c r="AF58" s="70">
        <f>SUM(B58:AE58)</f>
        <v>202</v>
      </c>
      <c r="AW58" s="154"/>
    </row>
    <row r="59" spans="1:49" s="70" customFormat="1" ht="12.75" hidden="1" customHeight="1" x14ac:dyDescent="0.2">
      <c r="A59" s="70" t="s">
        <v>98</v>
      </c>
      <c r="B59" s="70">
        <f>IF(B24=2,B44,0)</f>
        <v>50</v>
      </c>
      <c r="D59" s="74">
        <f>IF(D24=2,B44,0)</f>
        <v>0</v>
      </c>
      <c r="E59" s="70">
        <f>IF(E24=2,E44,0)</f>
        <v>0</v>
      </c>
      <c r="G59" s="74">
        <f>IF(G24=2,E44,0)</f>
        <v>0</v>
      </c>
      <c r="H59" s="70">
        <f>IF(H24=2,H44,0)</f>
        <v>0</v>
      </c>
      <c r="J59" s="74">
        <f>IF(J24=2,H44,0)</f>
        <v>0</v>
      </c>
      <c r="K59" s="70">
        <f>IF(K24=2,K44,0)</f>
        <v>50</v>
      </c>
      <c r="M59" s="74">
        <f>IF(M24=2,K44,0)</f>
        <v>0</v>
      </c>
      <c r="N59" s="70">
        <f>IF(N24=2,N44,0)</f>
        <v>0</v>
      </c>
      <c r="P59" s="74">
        <f>IF(P24=2,N44,0)</f>
        <v>0</v>
      </c>
      <c r="Q59" s="70">
        <f>IF(Q24=2,Q44,0)</f>
        <v>0</v>
      </c>
      <c r="S59" s="74">
        <f>IF(S24=2,Q44,0)</f>
        <v>0</v>
      </c>
      <c r="T59" s="70">
        <f>IF(T24=2,T44,0)</f>
        <v>50</v>
      </c>
      <c r="V59" s="74">
        <f>IF(V24=2,T44,0)</f>
        <v>0</v>
      </c>
      <c r="W59" s="70">
        <f>IF(W24=2,W44,0)</f>
        <v>0</v>
      </c>
      <c r="Y59" s="74">
        <f>IF(Y24=2,W44,0)</f>
        <v>0</v>
      </c>
      <c r="Z59" s="70">
        <f>IF(Z24=2,Z44,0)</f>
        <v>0</v>
      </c>
      <c r="AB59" s="74">
        <f>IF(AB24=2,Z44,0)</f>
        <v>0</v>
      </c>
      <c r="AC59" s="70">
        <f>IF(AC24=2,AC44,0)</f>
        <v>0</v>
      </c>
      <c r="AE59" s="74">
        <f>IF(AE24=2,AC44,0)</f>
        <v>50</v>
      </c>
      <c r="AF59" s="70">
        <f>SUM(B59:AE59)</f>
        <v>200</v>
      </c>
      <c r="AW59" s="154"/>
    </row>
    <row r="60" spans="1:49" s="70" customFormat="1" ht="12.75" hidden="1" customHeight="1" x14ac:dyDescent="0.2">
      <c r="A60" s="70" t="s">
        <v>99</v>
      </c>
      <c r="B60" s="70">
        <f>IF(B24=3,B44,0)</f>
        <v>0</v>
      </c>
      <c r="D60" s="74">
        <f>IF(D24=3,B44,0)</f>
        <v>0</v>
      </c>
      <c r="E60" s="70">
        <f>IF(E24=3,E44,0)</f>
        <v>0</v>
      </c>
      <c r="G60" s="74">
        <f>IF(G24=3,E44,0)</f>
        <v>0</v>
      </c>
      <c r="H60" s="70">
        <f>IF(H24=3,H44,0)</f>
        <v>50</v>
      </c>
      <c r="J60" s="74">
        <f>IF(J24=3,H44,0)</f>
        <v>0</v>
      </c>
      <c r="K60" s="70">
        <f>IF(K24=3,K44,0)</f>
        <v>0</v>
      </c>
      <c r="M60" s="74">
        <f>IF(M24=3,K44,0)</f>
        <v>0</v>
      </c>
      <c r="N60" s="70">
        <f>IF(N24=3,N44,0)</f>
        <v>0</v>
      </c>
      <c r="P60" s="74">
        <f>IF(P24=3,N44,0)</f>
        <v>50</v>
      </c>
      <c r="Q60" s="70">
        <f>IF(Q24=3,Q44,0)</f>
        <v>0</v>
      </c>
      <c r="S60" s="74">
        <f>IF(S24=3,Q44,0)</f>
        <v>0</v>
      </c>
      <c r="T60" s="70">
        <f>IF(T24=3,T44,0)</f>
        <v>0</v>
      </c>
      <c r="V60" s="74">
        <f>IF(V24=3,T44,0)</f>
        <v>50</v>
      </c>
      <c r="W60" s="70">
        <f>IF(W24=3,W44,0)</f>
        <v>0</v>
      </c>
      <c r="Y60" s="74">
        <f>IF(Y24=3,W44,0)</f>
        <v>0</v>
      </c>
      <c r="Z60" s="70">
        <f>IF(Z24=3,Z44,0)</f>
        <v>50</v>
      </c>
      <c r="AB60" s="74">
        <f>IF(AB24=3,Z44,0)</f>
        <v>0</v>
      </c>
      <c r="AC60" s="70">
        <f>IF(AC24=3,AC44,0)</f>
        <v>0</v>
      </c>
      <c r="AE60" s="74">
        <f>IF(AE24=3,AC44,0)</f>
        <v>0</v>
      </c>
      <c r="AF60" s="70">
        <f>SUM(B60:AE60)</f>
        <v>200</v>
      </c>
      <c r="AW60" s="154"/>
    </row>
    <row r="61" spans="1:49" s="70" customFormat="1" ht="12.75" hidden="1" customHeight="1" x14ac:dyDescent="0.2">
      <c r="A61" s="70" t="s">
        <v>100</v>
      </c>
      <c r="B61" s="70">
        <f>IF(B24=4,B44,0)</f>
        <v>0</v>
      </c>
      <c r="D61" s="74">
        <f>IF(D24=4,B44,0)</f>
        <v>0</v>
      </c>
      <c r="E61" s="70">
        <f>IF(E24=4,E44,0)</f>
        <v>0</v>
      </c>
      <c r="G61" s="74">
        <f>IF(G24=4,E44,0)</f>
        <v>52</v>
      </c>
      <c r="H61" s="70">
        <f>IF(H24=4,H44,0)</f>
        <v>0</v>
      </c>
      <c r="J61" s="74">
        <f>IF(J24=4,H44,0)</f>
        <v>0</v>
      </c>
      <c r="K61" s="70">
        <f>IF(K24=4,K44,0)</f>
        <v>0</v>
      </c>
      <c r="M61" s="74">
        <f>IF(M24=4,K44,0)</f>
        <v>50</v>
      </c>
      <c r="N61" s="70">
        <f>IF(N24=4,N44,0)</f>
        <v>0</v>
      </c>
      <c r="P61" s="74">
        <f>IF(P24=4,N44,0)</f>
        <v>0</v>
      </c>
      <c r="Q61" s="70">
        <f>IF(Q24=4,Q44,0)</f>
        <v>50</v>
      </c>
      <c r="S61" s="74">
        <f>IF(S24=4,Q44,0)</f>
        <v>0</v>
      </c>
      <c r="T61" s="70">
        <f>IF(T24=4,T44,0)</f>
        <v>0</v>
      </c>
      <c r="V61" s="74">
        <f>IF(V24=4,T44,0)</f>
        <v>0</v>
      </c>
      <c r="W61" s="70">
        <f>IF(W24=4,W44,0)</f>
        <v>0</v>
      </c>
      <c r="Y61" s="74">
        <f>IF(Y24=4,W44,0)</f>
        <v>0</v>
      </c>
      <c r="Z61" s="70">
        <f>IF(Z24=4,Z44,0)</f>
        <v>0</v>
      </c>
      <c r="AB61" s="74">
        <f>IF(AB24=4,Z44,0)</f>
        <v>50</v>
      </c>
      <c r="AC61" s="70">
        <f>IF(AC24=4,AC44,0)</f>
        <v>0</v>
      </c>
      <c r="AE61" s="74">
        <f>IF(AE24=4,AC44,0)</f>
        <v>0</v>
      </c>
      <c r="AF61" s="70">
        <f>SUM(B61:AE61)</f>
        <v>202</v>
      </c>
      <c r="AW61" s="154"/>
    </row>
    <row r="62" spans="1:49" s="70" customFormat="1" ht="12.75" hidden="1" customHeight="1" x14ac:dyDescent="0.2">
      <c r="A62" s="70" t="s">
        <v>101</v>
      </c>
      <c r="B62" s="70">
        <f>IF(B24=5,B44,0)</f>
        <v>0</v>
      </c>
      <c r="D62" s="74">
        <f>IF(D24=5,B44,0)</f>
        <v>50</v>
      </c>
      <c r="E62" s="70">
        <f>IF(E24=5,E44,0)</f>
        <v>0</v>
      </c>
      <c r="G62" s="74">
        <f>IF(G24=5,E44,0)</f>
        <v>0</v>
      </c>
      <c r="H62" s="70">
        <f>IF(H24=5,H44,0)</f>
        <v>0</v>
      </c>
      <c r="J62" s="74">
        <f>IF(J24=5,H44,0)</f>
        <v>50</v>
      </c>
      <c r="K62" s="70">
        <f>IF(K24=5,K44,0)</f>
        <v>0</v>
      </c>
      <c r="M62" s="74">
        <f>IF(M24=5,K44,0)</f>
        <v>0</v>
      </c>
      <c r="N62" s="70">
        <f>IF(N24=5,N44,0)</f>
        <v>0</v>
      </c>
      <c r="P62" s="74">
        <f>IF(P24=5,N44,0)</f>
        <v>0</v>
      </c>
      <c r="Q62" s="70">
        <f>IF(Q24=5,Q44,0)</f>
        <v>0</v>
      </c>
      <c r="S62" s="74">
        <f>IF(S24=5,Q44,0)</f>
        <v>50</v>
      </c>
      <c r="T62" s="70">
        <f>IF(T24=5,T44,0)</f>
        <v>0</v>
      </c>
      <c r="V62" s="74">
        <f>IF(V24=5,T44,0)</f>
        <v>0</v>
      </c>
      <c r="W62" s="70">
        <f>IF(W24=5,W44,0)</f>
        <v>0</v>
      </c>
      <c r="Y62" s="74">
        <f>IF(Y24=5,W44,0)</f>
        <v>50</v>
      </c>
      <c r="Z62" s="70">
        <f>IF(Z24=5,Z44,0)</f>
        <v>0</v>
      </c>
      <c r="AB62" s="74">
        <f>IF(AB24=5,Z44,0)</f>
        <v>0</v>
      </c>
      <c r="AC62" s="70">
        <f>IF(AC24=5,AC44,0)</f>
        <v>0</v>
      </c>
      <c r="AE62" s="74">
        <f>IF(AE24=5,AC44,0)</f>
        <v>0</v>
      </c>
      <c r="AF62" s="70">
        <f>SUM(B62:AE62)</f>
        <v>200</v>
      </c>
      <c r="AW62" s="154"/>
    </row>
    <row r="63" spans="1:49" s="70" customFormat="1" ht="38.25" hidden="1" customHeight="1" x14ac:dyDescent="0.2">
      <c r="A63" s="70" t="s">
        <v>103</v>
      </c>
      <c r="D63" s="74"/>
      <c r="G63" s="74"/>
      <c r="J63" s="74"/>
      <c r="M63" s="74"/>
      <c r="P63" s="74"/>
      <c r="S63" s="74"/>
      <c r="V63" s="74"/>
      <c r="Y63" s="74"/>
      <c r="AB63" s="74"/>
      <c r="AE63" s="74"/>
      <c r="AF63" s="73" t="s">
        <v>104</v>
      </c>
      <c r="AG63" s="70" t="s">
        <v>105</v>
      </c>
      <c r="AW63" s="154"/>
    </row>
    <row r="64" spans="1:49" s="70" customFormat="1" ht="12.75" hidden="1" customHeight="1" x14ac:dyDescent="0.2">
      <c r="A64" s="70" t="s">
        <v>91</v>
      </c>
      <c r="B64" s="70">
        <f>IF(B24=1,SUMIF(B31:B35,"&gt;0"),0)</f>
        <v>0</v>
      </c>
      <c r="D64" s="74">
        <f>IF(D24=1,SUMIF(D31:D35,"&gt;0"),0)</f>
        <v>0</v>
      </c>
      <c r="E64" s="70">
        <f>IF(E24=1,SUMIF(E31:E35,"&gt;0"),0)</f>
        <v>2</v>
      </c>
      <c r="G64" s="74">
        <f>IF(G24=1,SUMIF(G31:G35,"&gt;0"),0)</f>
        <v>0</v>
      </c>
      <c r="H64" s="70">
        <f>IF(H24=1,SUMIF(H31:H35,"&gt;0"),0)</f>
        <v>0</v>
      </c>
      <c r="J64" s="74">
        <f>IF(J24=1,SUMIF(J31:J35,"&gt;0"),0)</f>
        <v>0</v>
      </c>
      <c r="K64" s="70">
        <f>IF(K24=1,SUMIF(K31:K35,"&gt;0"),0)</f>
        <v>0</v>
      </c>
      <c r="M64" s="74">
        <f>IF(M24=1,SUMIF(M31:M35,"&gt;0"),0)</f>
        <v>0</v>
      </c>
      <c r="N64" s="70">
        <f>IF(N24=1,SUMIF(N31:N35,"&gt;0"),0)</f>
        <v>2</v>
      </c>
      <c r="P64" s="74">
        <f>IF(P24=1,SUMIF(P31:P35,"&gt;0"),0)</f>
        <v>0</v>
      </c>
      <c r="Q64" s="70">
        <f>IF(Q24=1,SUMIF(Q31:Q35,"&gt;0"),0)</f>
        <v>0</v>
      </c>
      <c r="S64" s="74">
        <f>IF(S24=1,SUMIF(S31:S35,"&gt;0"),0)</f>
        <v>0</v>
      </c>
      <c r="T64" s="70">
        <f>IF(T24=1,SUMIF(T31:T35,"&gt;0"),0)</f>
        <v>0</v>
      </c>
      <c r="V64" s="74">
        <f>IF(V24=1,SUMIF(V31:V35,"&gt;0"),0)</f>
        <v>0</v>
      </c>
      <c r="W64" s="70">
        <f>IF(W24=1,SUMIF(W31:W35,"&gt;0"),0)</f>
        <v>2</v>
      </c>
      <c r="Y64" s="74">
        <f>IF(Y24=1,SUMIF(Y31:Y35,"&gt;0"),0)</f>
        <v>0</v>
      </c>
      <c r="Z64" s="70">
        <f>IF(Z24=1,SUMIF(Z31:Z35,"&gt;0"),0)</f>
        <v>0</v>
      </c>
      <c r="AB64" s="74">
        <f>IF(AB24=1,SUMIF(AB31:AB35,"&gt;0"),0)</f>
        <v>0</v>
      </c>
      <c r="AC64" s="70">
        <f>IF(AC24=1,SUMIF(AC31:AC35,"&gt;0"),0)</f>
        <v>2</v>
      </c>
      <c r="AE64" s="74">
        <f>IF(AE24=1,SUMIF(AE31:AE35,"&gt;0"),0)</f>
        <v>0</v>
      </c>
      <c r="AF64" s="70">
        <f>SUM(B64:AE64)</f>
        <v>8</v>
      </c>
      <c r="AG64" s="70">
        <f>AF72-AF64</f>
        <v>0</v>
      </c>
      <c r="AW64" s="154"/>
    </row>
    <row r="65" spans="1:54" s="70" customFormat="1" ht="12.75" hidden="1" customHeight="1" x14ac:dyDescent="0.2">
      <c r="A65" s="70" t="s">
        <v>92</v>
      </c>
      <c r="B65" s="70">
        <f>IF(B24=2,SUMIF(B31:B35,"&gt;0"),0)</f>
        <v>2</v>
      </c>
      <c r="D65" s="74">
        <f>IF(D24=2,SUMIF(D31:D35,"&gt;0"),0)</f>
        <v>0</v>
      </c>
      <c r="E65" s="70">
        <f>IF(E24=2,SUMIF(E31:E35,"&gt;0"),0)</f>
        <v>0</v>
      </c>
      <c r="G65" s="74">
        <f>IF(G24=2,SUMIF(G31:G35,"&gt;0"),0)</f>
        <v>0</v>
      </c>
      <c r="H65" s="70">
        <f>IF(H24=2,SUMIF(H31:H35,"&gt;0"),0)</f>
        <v>0</v>
      </c>
      <c r="J65" s="74">
        <f>IF(J24=2,SUMIF(J31:J35,"&gt;0"),0)</f>
        <v>0</v>
      </c>
      <c r="K65" s="70">
        <f>IF(K24=2,SUMIF(K31:K35,"&gt;0"),0)</f>
        <v>2</v>
      </c>
      <c r="M65" s="74">
        <f>IF(M24=2,SUMIF(M31:M35,"&gt;0"),0)</f>
        <v>0</v>
      </c>
      <c r="N65" s="70">
        <f>IF(N24=2,SUMIF(N31:N35,"&gt;0"),0)</f>
        <v>0</v>
      </c>
      <c r="P65" s="74">
        <f>IF(P24=2,SUMIF(P31:P35,"&gt;0"),0)</f>
        <v>0</v>
      </c>
      <c r="Q65" s="70">
        <f>IF(Q24=2,SUMIF(Q31:Q35,"&gt;0"),0)</f>
        <v>0</v>
      </c>
      <c r="S65" s="74">
        <f>IF(S24=2,SUMIF(S31:S35,"&gt;0"),0)</f>
        <v>0</v>
      </c>
      <c r="T65" s="70">
        <f>IF(T24=2,SUMIF(T31:T35,"&gt;0"),0)</f>
        <v>2</v>
      </c>
      <c r="V65" s="74">
        <f>IF(V24=2,SUMIF(V31:V35,"&gt;0"),0)</f>
        <v>0</v>
      </c>
      <c r="W65" s="70">
        <f>IF(W24=2,SUMIF(W31:W35,"&gt;0"),0)</f>
        <v>0</v>
      </c>
      <c r="Y65" s="74">
        <f>IF(Y24=2,SUMIF(Y31:Y35,"&gt;0"),0)</f>
        <v>0</v>
      </c>
      <c r="Z65" s="70">
        <f>IF(Z24=2,SUMIF(Z31:Z35,"&gt;0"),0)</f>
        <v>0</v>
      </c>
      <c r="AB65" s="74">
        <f>IF(AB24=2,SUMIF(AB31:AB35,"&gt;0"),0)</f>
        <v>0</v>
      </c>
      <c r="AC65" s="70">
        <f>IF(AC24=2,SUMIF(AC31:AC35,"&gt;0"),0)</f>
        <v>0</v>
      </c>
      <c r="AE65" s="74">
        <f>IF(AE24=2,SUMIF(AE31:AE35,"&gt;0"),0)</f>
        <v>0</v>
      </c>
      <c r="AF65" s="70">
        <f>SUM(B65:AE65)</f>
        <v>6</v>
      </c>
      <c r="AG65" s="70">
        <f>AF73-AF65</f>
        <v>2</v>
      </c>
      <c r="AW65" s="154"/>
    </row>
    <row r="66" spans="1:54" s="70" customFormat="1" ht="12.75" hidden="1" customHeight="1" x14ac:dyDescent="0.2">
      <c r="A66" s="70" t="s">
        <v>93</v>
      </c>
      <c r="B66" s="70">
        <f>IF(B24=3,SUMIF(B31:B35,"&gt;0"),0)</f>
        <v>0</v>
      </c>
      <c r="D66" s="74">
        <f>IF(D24=3,SUMIF(D31:D35,"&gt;0"),0)</f>
        <v>0</v>
      </c>
      <c r="E66" s="70">
        <f>IF(E24=3,SUMIF(E31:E35,"&gt;0"),0)</f>
        <v>0</v>
      </c>
      <c r="G66" s="74">
        <f>IF(G24=3,SUMIF(G31:G35,"&gt;0"),0)</f>
        <v>0</v>
      </c>
      <c r="H66" s="70">
        <f>IF(H24=3,SUMIF(H31:H35,"&gt;0"),0)</f>
        <v>1</v>
      </c>
      <c r="J66" s="74">
        <f>IF(J24=3,SUMIF(J31:J35,"&gt;0"),0)</f>
        <v>0</v>
      </c>
      <c r="K66" s="70">
        <f>IF(K24=3,SUMIF(K31:K35,"&gt;0"),0)</f>
        <v>0</v>
      </c>
      <c r="M66" s="74">
        <f>IF(M24=3,SUMIF(M31:M35,"&gt;0"),0)</f>
        <v>0</v>
      </c>
      <c r="N66" s="70">
        <f>IF(N24=3,SUMIF(N31:N35,"&gt;0"),0)</f>
        <v>0</v>
      </c>
      <c r="P66" s="74">
        <f>IF(P24=3,SUMIF(P31:P35,"&gt;0"),0)</f>
        <v>0</v>
      </c>
      <c r="Q66" s="70">
        <f>IF(Q24=3,SUMIF(Q31:Q35,"&gt;0"),0)</f>
        <v>0</v>
      </c>
      <c r="S66" s="74">
        <f>IF(S24=3,SUMIF(S31:S35,"&gt;0"),0)</f>
        <v>0</v>
      </c>
      <c r="T66" s="70">
        <f>IF(T24=3,SUMIF(T31:T35,"&gt;0"),0)</f>
        <v>0</v>
      </c>
      <c r="V66" s="74">
        <f>IF(V24=3,SUMIF(V31:V35,"&gt;0"),0)</f>
        <v>0</v>
      </c>
      <c r="W66" s="70">
        <f>IF(W24=3,SUMIF(W31:W35,"&gt;0"),0)</f>
        <v>0</v>
      </c>
      <c r="Y66" s="74">
        <f>IF(Y24=3,SUMIF(Y31:Y35,"&gt;0"),0)</f>
        <v>0</v>
      </c>
      <c r="Z66" s="70">
        <f>IF(Z24=3,SUMIF(Z31:Z35,"&gt;0"),0)</f>
        <v>2</v>
      </c>
      <c r="AB66" s="74">
        <f>IF(AB24=3,SUMIF(AB31:AB35,"&gt;0"),0)</f>
        <v>0</v>
      </c>
      <c r="AC66" s="70">
        <f>IF(AC24=3,SUMIF(AC31:AC35,"&gt;0"),0)</f>
        <v>0</v>
      </c>
      <c r="AE66" s="74">
        <f>IF(AE24=3,SUMIF(AE31:AE35,"&gt;0"),0)</f>
        <v>0</v>
      </c>
      <c r="AF66" s="70">
        <f>SUM(B66:AE66)</f>
        <v>3</v>
      </c>
      <c r="AG66" s="70">
        <f>AF74-AF66</f>
        <v>5</v>
      </c>
      <c r="AW66" s="154"/>
    </row>
    <row r="67" spans="1:54" s="70" customFormat="1" ht="12.75" hidden="1" customHeight="1" x14ac:dyDescent="0.2">
      <c r="A67" s="70" t="s">
        <v>94</v>
      </c>
      <c r="B67" s="70">
        <f>IF(B24=4,SUMIF(B31:B35,"&gt;0"),0)</f>
        <v>0</v>
      </c>
      <c r="D67" s="74">
        <f>IF(D24=4,SUMIF(D31:D35,"&gt;0"),0)</f>
        <v>0</v>
      </c>
      <c r="E67" s="70">
        <f>IF(E24=4,SUMIF(E31:E35,"&gt;0"),0)</f>
        <v>0</v>
      </c>
      <c r="G67" s="74">
        <f>IF(G24=4,SUMIF(G31:G35,"&gt;0"),0)</f>
        <v>0</v>
      </c>
      <c r="H67" s="70">
        <f>IF(H24=4,SUMIF(H31:H35,"&gt;0"),0)</f>
        <v>0</v>
      </c>
      <c r="J67" s="74">
        <f>IF(J24=4,SUMIF(J31:J35,"&gt;0"),0)</f>
        <v>0</v>
      </c>
      <c r="K67" s="70">
        <f>IF(K24=4,SUMIF(K31:K35,"&gt;0"),0)</f>
        <v>0</v>
      </c>
      <c r="M67" s="74">
        <f>IF(M24=4,SUMIF(M31:M35,"&gt;0"),0)</f>
        <v>0</v>
      </c>
      <c r="N67" s="70">
        <f>IF(N24=4,SUMIF(N31:N35,"&gt;0"),0)</f>
        <v>0</v>
      </c>
      <c r="P67" s="74">
        <f>IF(P24=4,SUMIF(P31:P35,"&gt;0"),0)</f>
        <v>0</v>
      </c>
      <c r="Q67" s="70">
        <f>IF(Q24=4,SUMIF(Q31:Q35,"&gt;0"),0)</f>
        <v>2</v>
      </c>
      <c r="S67" s="74">
        <f>IF(S24=4,SUMIF(S31:S35,"&gt;0"),0)</f>
        <v>0</v>
      </c>
      <c r="T67" s="70">
        <f>IF(T24=4,SUMIF(T31:T35,"&gt;0"),0)</f>
        <v>0</v>
      </c>
      <c r="V67" s="74">
        <f>IF(V24=4,SUMIF(V31:V35,"&gt;0"),0)</f>
        <v>0</v>
      </c>
      <c r="W67" s="70">
        <f>IF(W24=4,SUMIF(W31:W35,"&gt;0"),0)</f>
        <v>0</v>
      </c>
      <c r="Y67" s="74">
        <f>IF(Y24=4,SUMIF(Y31:Y35,"&gt;0"),0)</f>
        <v>0</v>
      </c>
      <c r="Z67" s="70">
        <f>IF(Z24=4,SUMIF(Z31:Z35,"&gt;0"),0)</f>
        <v>0</v>
      </c>
      <c r="AB67" s="74">
        <f>IF(AB24=4,SUMIF(AB31:AB35,"&gt;0"),0)</f>
        <v>0</v>
      </c>
      <c r="AC67" s="70">
        <f>IF(AC24=4,SUMIF(AC31:AC35,"&gt;0"),0)</f>
        <v>0</v>
      </c>
      <c r="AE67" s="74">
        <f>IF(AE24=4,SUMIF(AE31:AE35,"&gt;0"),0)</f>
        <v>0</v>
      </c>
      <c r="AF67" s="70">
        <f>SUM(B67:AE67)</f>
        <v>2</v>
      </c>
      <c r="AG67" s="70">
        <f>AF75-AF67</f>
        <v>6</v>
      </c>
      <c r="AW67" s="154"/>
    </row>
    <row r="68" spans="1:54" s="70" customFormat="1" ht="12.75" hidden="1" customHeight="1" x14ac:dyDescent="0.2">
      <c r="A68" s="70" t="s">
        <v>95</v>
      </c>
      <c r="B68" s="70">
        <f>IF(B24=5,SUMIF(B31:B35,"&gt;0"),0)</f>
        <v>0</v>
      </c>
      <c r="D68" s="74">
        <f>IF(D24=5,SUMIF(D31:D35,"&gt;0"),0)</f>
        <v>0</v>
      </c>
      <c r="E68" s="70">
        <f>IF(E24=5,SUMIF(E31:E35,"&gt;0"),0)</f>
        <v>0</v>
      </c>
      <c r="G68" s="74">
        <f>IF(G24=5,SUMIF(G31:G35,"&gt;0"),0)</f>
        <v>0</v>
      </c>
      <c r="H68" s="70">
        <f>IF(H24=5,SUMIF(H31:H35,"&gt;0"),0)</f>
        <v>0</v>
      </c>
      <c r="J68" s="74">
        <f>IF(J24=5,SUMIF(J31:J35,"&gt;0"),0)</f>
        <v>1</v>
      </c>
      <c r="K68" s="70">
        <f>IF(K24=5,SUMIF(K31:K35,"&gt;0"),0)</f>
        <v>0</v>
      </c>
      <c r="M68" s="74">
        <f>IF(M24=5,SUMIF(M31:M35,"&gt;0"),0)</f>
        <v>0</v>
      </c>
      <c r="N68" s="70">
        <f>IF(N24=5,SUMIF(N31:N35,"&gt;0"),0)</f>
        <v>0</v>
      </c>
      <c r="P68" s="74">
        <f>IF(P24=5,SUMIF(P31:P35,"&gt;0"),0)</f>
        <v>0</v>
      </c>
      <c r="Q68" s="70">
        <f>IF(Q24=5,SUMIF(Q31:Q35,"&gt;0"),0)</f>
        <v>0</v>
      </c>
      <c r="S68" s="74">
        <f>IF(S24=5,SUMIF(S31:S35,"&gt;0"),0)</f>
        <v>0</v>
      </c>
      <c r="T68" s="70">
        <f>IF(T24=5,SUMIF(T31:T35,"&gt;0"),0)</f>
        <v>0</v>
      </c>
      <c r="V68" s="74">
        <f>IF(V24=5,SUMIF(V31:V35,"&gt;0"),0)</f>
        <v>0</v>
      </c>
      <c r="W68" s="70">
        <f>IF(W24=5,SUMIF(W31:W35,"&gt;0"),0)</f>
        <v>0</v>
      </c>
      <c r="Y68" s="74">
        <f>IF(Y24=5,SUMIF(Y31:Y35,"&gt;0"),0)</f>
        <v>0</v>
      </c>
      <c r="Z68" s="70">
        <f>IF(Z24=5,SUMIF(Z31:Z35,"&gt;0"),0)</f>
        <v>0</v>
      </c>
      <c r="AB68" s="74">
        <f>IF(AB24=5,SUMIF(AB31:AB35,"&gt;0"),0)</f>
        <v>0</v>
      </c>
      <c r="AC68" s="70">
        <f>IF(AC24=5,SUMIF(AC31:AC35,"&gt;0"),0)</f>
        <v>0</v>
      </c>
      <c r="AE68" s="74">
        <f>IF(AE24=5,SUMIF(AE31:AE35,"&gt;0"),0)</f>
        <v>0</v>
      </c>
      <c r="AF68" s="70">
        <f>SUM(B68:AE68)</f>
        <v>1</v>
      </c>
      <c r="AG68" s="70">
        <f>AF76-AF68</f>
        <v>7</v>
      </c>
      <c r="AW68" s="154"/>
    </row>
    <row r="69" spans="1:54" s="70" customFormat="1" ht="12.75" hidden="1" customHeight="1" x14ac:dyDescent="0.2">
      <c r="D69" s="74"/>
      <c r="G69" s="74"/>
      <c r="J69" s="74"/>
      <c r="M69" s="74"/>
      <c r="P69" s="74"/>
      <c r="S69" s="74"/>
      <c r="V69" s="74"/>
      <c r="Y69" s="74"/>
      <c r="AB69" s="74"/>
      <c r="AE69" s="74"/>
      <c r="AW69" s="154"/>
    </row>
    <row r="70" spans="1:54" s="70" customFormat="1" ht="12.75" hidden="1" customHeight="1" x14ac:dyDescent="0.2">
      <c r="D70" s="74"/>
      <c r="G70" s="74"/>
      <c r="J70" s="74"/>
      <c r="M70" s="74"/>
      <c r="P70" s="74"/>
      <c r="S70" s="74"/>
      <c r="V70" s="74"/>
      <c r="Y70" s="74"/>
      <c r="AB70" s="74"/>
      <c r="AE70" s="74"/>
      <c r="AW70" s="154"/>
    </row>
    <row r="71" spans="1:54" s="70" customFormat="1" ht="51" hidden="1" customHeight="1" x14ac:dyDescent="0.2">
      <c r="A71" s="73" t="s">
        <v>106</v>
      </c>
      <c r="C71" s="70">
        <f>SUMIF(B64:D68,"&gt;0")</f>
        <v>2</v>
      </c>
      <c r="D71" s="74"/>
      <c r="F71" s="70">
        <f>SUMIF(E64:G68,"&gt;0")</f>
        <v>2</v>
      </c>
      <c r="G71" s="74"/>
      <c r="I71" s="70">
        <f>SUMIF(H64:J68,"&gt;0")</f>
        <v>2</v>
      </c>
      <c r="J71" s="74"/>
      <c r="L71" s="70">
        <f>SUMIF(K64:M68,"&gt;0")</f>
        <v>2</v>
      </c>
      <c r="M71" s="74"/>
      <c r="O71" s="70">
        <f>SUMIF(N64:P68,"&gt;0")</f>
        <v>2</v>
      </c>
      <c r="P71" s="74"/>
      <c r="R71" s="70">
        <f>SUMIF(Q64:S68,"&gt;0")</f>
        <v>2</v>
      </c>
      <c r="S71" s="74"/>
      <c r="U71" s="70">
        <f>SUMIF(T64:V68,"&gt;0")</f>
        <v>2</v>
      </c>
      <c r="V71" s="74"/>
      <c r="X71" s="70">
        <f>SUMIF(W64:Y68,"&gt;0")</f>
        <v>2</v>
      </c>
      <c r="Y71" s="74"/>
      <c r="AA71" s="70">
        <f>SUMIF(Z64:AB68,"&gt;0")</f>
        <v>2</v>
      </c>
      <c r="AB71" s="74"/>
      <c r="AD71" s="70">
        <f>SUMIF(AC64:AE68,"&gt;0")</f>
        <v>2</v>
      </c>
      <c r="AE71" s="74"/>
      <c r="AF71" s="73" t="s">
        <v>107</v>
      </c>
      <c r="AW71" s="154"/>
    </row>
    <row r="72" spans="1:54" s="70" customFormat="1" ht="12.75" hidden="1" customHeight="1" x14ac:dyDescent="0.2">
      <c r="A72" s="70" t="s">
        <v>97</v>
      </c>
      <c r="B72" s="70">
        <f>IF(B24=1,C71,0)</f>
        <v>0</v>
      </c>
      <c r="D72" s="74">
        <f>IF(D24=1,C71,0)</f>
        <v>0</v>
      </c>
      <c r="E72" s="70">
        <f>IF(E24=1,F71,0)</f>
        <v>2</v>
      </c>
      <c r="G72" s="74">
        <f>IF(G24=1,F71,0)</f>
        <v>0</v>
      </c>
      <c r="H72" s="70">
        <f>IF(H24=1,I71,0)</f>
        <v>0</v>
      </c>
      <c r="J72" s="74">
        <f>IF(J24=1,I71,0)</f>
        <v>0</v>
      </c>
      <c r="K72" s="70">
        <f>IF(K24=1,L71,0)</f>
        <v>0</v>
      </c>
      <c r="M72" s="74">
        <f>IF(M24=1,L71,0)</f>
        <v>0</v>
      </c>
      <c r="N72" s="70">
        <f>IF(N24=1,O71,0)</f>
        <v>2</v>
      </c>
      <c r="P72" s="74">
        <f>IF(P24=1,O71,0)</f>
        <v>0</v>
      </c>
      <c r="Q72" s="70">
        <f>IF(Q24=1,R71,0)</f>
        <v>0</v>
      </c>
      <c r="S72" s="74">
        <f>IF(S24=1,R71,0)</f>
        <v>0</v>
      </c>
      <c r="T72" s="70">
        <f>IF(T24=1,U71,0)</f>
        <v>0</v>
      </c>
      <c r="V72" s="74">
        <f>IF(V24=1,U71,0)</f>
        <v>0</v>
      </c>
      <c r="W72" s="70">
        <f>IF(W24=1,X71,0)</f>
        <v>2</v>
      </c>
      <c r="Y72" s="74">
        <f>IF(Y24=1,X71,0)</f>
        <v>0</v>
      </c>
      <c r="Z72" s="70">
        <f>IF(Z24=1,AA71,0)</f>
        <v>0</v>
      </c>
      <c r="AB72" s="74">
        <f>IF(AB24=1,AA71,0)</f>
        <v>0</v>
      </c>
      <c r="AC72" s="70">
        <f>IF(AC24=1,AD71,0)</f>
        <v>2</v>
      </c>
      <c r="AE72" s="74">
        <f>IF(AE24=1,AD71,0)</f>
        <v>0</v>
      </c>
      <c r="AF72" s="70">
        <f>SUM(B72:AE72)</f>
        <v>8</v>
      </c>
      <c r="AW72" s="154"/>
    </row>
    <row r="73" spans="1:54" s="70" customFormat="1" ht="12.75" hidden="1" customHeight="1" x14ac:dyDescent="0.2">
      <c r="A73" s="70" t="s">
        <v>98</v>
      </c>
      <c r="B73" s="70">
        <f>IF(B24=2,C71,0)</f>
        <v>2</v>
      </c>
      <c r="D73" s="74">
        <f>IF(D24=2,C71,0)</f>
        <v>0</v>
      </c>
      <c r="E73" s="70">
        <f>IF(E24=2,F71,0)</f>
        <v>0</v>
      </c>
      <c r="G73" s="74">
        <f>IF(G24=2,F71,0)</f>
        <v>0</v>
      </c>
      <c r="H73" s="70">
        <f>IF(H24=2,I71,0)</f>
        <v>0</v>
      </c>
      <c r="J73" s="74">
        <f>IF(J24=2,I71,0)</f>
        <v>0</v>
      </c>
      <c r="K73" s="70">
        <f>IF(K24=2,L71,0)</f>
        <v>2</v>
      </c>
      <c r="M73" s="74">
        <f>IF(M24=2,L71,0)</f>
        <v>0</v>
      </c>
      <c r="N73" s="70">
        <f>IF(N24=2,O71,0)</f>
        <v>0</v>
      </c>
      <c r="P73" s="74">
        <f>IF(P24=2,O71,0)</f>
        <v>0</v>
      </c>
      <c r="Q73" s="70">
        <f>IF(Q24=2,R71,0)</f>
        <v>0</v>
      </c>
      <c r="S73" s="74">
        <f>IF(S24=2,R71,0)</f>
        <v>0</v>
      </c>
      <c r="T73" s="70">
        <f>IF(T24=2,U71,0)</f>
        <v>2</v>
      </c>
      <c r="V73" s="74">
        <f>IF(V24=2,U71,0)</f>
        <v>0</v>
      </c>
      <c r="W73" s="70">
        <f>IF(W24=2,X71,0)</f>
        <v>0</v>
      </c>
      <c r="Y73" s="74">
        <f>IF(Y24=2,X71,0)</f>
        <v>0</v>
      </c>
      <c r="Z73" s="70">
        <f>IF(Z24=2,AA71,0)</f>
        <v>0</v>
      </c>
      <c r="AB73" s="74">
        <f>IF(AB24=2,AA71,0)</f>
        <v>0</v>
      </c>
      <c r="AC73" s="70">
        <f>IF(AC24=2,AD71,0)</f>
        <v>0</v>
      </c>
      <c r="AE73" s="74">
        <f>IF(AE24=2,AD71,0)</f>
        <v>2</v>
      </c>
      <c r="AF73" s="70">
        <f>SUM(B73:AE73)</f>
        <v>8</v>
      </c>
      <c r="AW73" s="154"/>
    </row>
    <row r="74" spans="1:54" s="70" customFormat="1" ht="12.75" hidden="1" customHeight="1" x14ac:dyDescent="0.2">
      <c r="A74" s="70" t="s">
        <v>99</v>
      </c>
      <c r="B74" s="70">
        <f>IF(B24=3,C71,0)</f>
        <v>0</v>
      </c>
      <c r="D74" s="74">
        <f>IF(D24=3,C71,0)</f>
        <v>0</v>
      </c>
      <c r="E74" s="70">
        <f>IF(E24=3,F71,0)</f>
        <v>0</v>
      </c>
      <c r="G74" s="74">
        <f>IF(G24=3,F71,0)</f>
        <v>0</v>
      </c>
      <c r="H74" s="70">
        <f>IF(H24=3,I71,0)</f>
        <v>2</v>
      </c>
      <c r="J74" s="74">
        <f>IF(J24=3,I71,0)</f>
        <v>0</v>
      </c>
      <c r="K74" s="70">
        <f>IF(K24=3,L71,0)</f>
        <v>0</v>
      </c>
      <c r="M74" s="74">
        <f>IF(M24=3,L71,0)</f>
        <v>0</v>
      </c>
      <c r="N74" s="70">
        <f>IF(N24=3,O71,0)</f>
        <v>0</v>
      </c>
      <c r="P74" s="74">
        <f>IF(P24=3,O71,0)</f>
        <v>2</v>
      </c>
      <c r="Q74" s="70">
        <f>IF(Q24=3,R71,0)</f>
        <v>0</v>
      </c>
      <c r="S74" s="74">
        <f>IF(S24=3,R71,0)</f>
        <v>0</v>
      </c>
      <c r="T74" s="70">
        <f>IF(T24=3,U71,0)</f>
        <v>0</v>
      </c>
      <c r="V74" s="74">
        <f>IF(V24=3,U71,0)</f>
        <v>2</v>
      </c>
      <c r="W74" s="70">
        <f>IF(W24=3,X71,0)</f>
        <v>0</v>
      </c>
      <c r="Y74" s="74">
        <f>IF(Y24=3,X71,0)</f>
        <v>0</v>
      </c>
      <c r="Z74" s="70">
        <f>IF(Z24=3,AA71,0)</f>
        <v>2</v>
      </c>
      <c r="AB74" s="74">
        <f>IF(AB24=3,AA71,0)</f>
        <v>0</v>
      </c>
      <c r="AC74" s="70">
        <f>IF(AC24=3,AD71,0)</f>
        <v>0</v>
      </c>
      <c r="AE74" s="74">
        <f>IF(AE24=3,AD71,0)</f>
        <v>0</v>
      </c>
      <c r="AF74" s="70">
        <f>SUM(B74:AE74)</f>
        <v>8</v>
      </c>
      <c r="AW74" s="154"/>
    </row>
    <row r="75" spans="1:54" s="70" customFormat="1" ht="12.75" hidden="1" customHeight="1" x14ac:dyDescent="0.2">
      <c r="A75" s="70" t="s">
        <v>100</v>
      </c>
      <c r="B75" s="70">
        <f>IF(B24=4,C71,0)</f>
        <v>0</v>
      </c>
      <c r="D75" s="74">
        <f>IF(D24=4,C71,0)</f>
        <v>0</v>
      </c>
      <c r="E75" s="70">
        <f>IF(E24=4,F71,0)</f>
        <v>0</v>
      </c>
      <c r="G75" s="74">
        <f>IF(G24=4,F71,0)</f>
        <v>2</v>
      </c>
      <c r="H75" s="70">
        <f>IF(H24=4,I71,0)</f>
        <v>0</v>
      </c>
      <c r="J75" s="74">
        <f>IF(J24=4,I71,0)</f>
        <v>0</v>
      </c>
      <c r="K75" s="70">
        <f>IF(K24=4,L71,0)</f>
        <v>0</v>
      </c>
      <c r="M75" s="74">
        <f>IF(M24=4,L71,0)</f>
        <v>2</v>
      </c>
      <c r="N75" s="70">
        <f>IF(N24=4,O71,0)</f>
        <v>0</v>
      </c>
      <c r="P75" s="74">
        <f>IF(P24=4,O71,0)</f>
        <v>0</v>
      </c>
      <c r="Q75" s="70">
        <f>IF(Q24=4,R71,0)</f>
        <v>2</v>
      </c>
      <c r="S75" s="74">
        <f>IF(S24=4,R71,0)</f>
        <v>0</v>
      </c>
      <c r="T75" s="70">
        <f>IF(T24=4,U71,0)</f>
        <v>0</v>
      </c>
      <c r="V75" s="74">
        <f>IF(V24=4,U71,0)</f>
        <v>0</v>
      </c>
      <c r="W75" s="70">
        <f>IF(W24=4,X71,0)</f>
        <v>0</v>
      </c>
      <c r="Y75" s="74">
        <f>IF(Y24=4,X71,0)</f>
        <v>0</v>
      </c>
      <c r="Z75" s="70">
        <f>IF(Z24=4,AA71,0)</f>
        <v>0</v>
      </c>
      <c r="AB75" s="74">
        <f>IF(AB24=4,AA71,0)</f>
        <v>2</v>
      </c>
      <c r="AC75" s="70">
        <f>IF(AC24=4,AD71,0)</f>
        <v>0</v>
      </c>
      <c r="AE75" s="74">
        <f>IF(AE24=4,AD71,0)</f>
        <v>0</v>
      </c>
      <c r="AF75" s="70">
        <f>SUM(B75:AE75)</f>
        <v>8</v>
      </c>
      <c r="AW75" s="154"/>
    </row>
    <row r="76" spans="1:54" s="70" customFormat="1" ht="12.75" hidden="1" customHeight="1" x14ac:dyDescent="0.2">
      <c r="A76" s="70" t="s">
        <v>101</v>
      </c>
      <c r="B76" s="70">
        <f>IF(B24=5,C71,0)</f>
        <v>0</v>
      </c>
      <c r="D76" s="74">
        <f>IF(D24=5,C71,0)</f>
        <v>2</v>
      </c>
      <c r="E76" s="70">
        <f>IF(E24=5,F71,0)</f>
        <v>0</v>
      </c>
      <c r="G76" s="74">
        <f>IF(G24=5,F71,0)</f>
        <v>0</v>
      </c>
      <c r="H76" s="70">
        <f>IF(H24=5,I71,0)</f>
        <v>0</v>
      </c>
      <c r="J76" s="74">
        <f>IF(J24=5,I71,0)</f>
        <v>2</v>
      </c>
      <c r="K76" s="70">
        <f>IF(K24=5,L71,0)</f>
        <v>0</v>
      </c>
      <c r="M76" s="74">
        <f>IF(M24=5,L71,0)</f>
        <v>0</v>
      </c>
      <c r="N76" s="70">
        <f>IF(N24=5,O71,0)</f>
        <v>0</v>
      </c>
      <c r="P76" s="74">
        <f>IF(P24=5,O71,0)</f>
        <v>0</v>
      </c>
      <c r="Q76" s="70">
        <f>IF(Q24=5,R71,0)</f>
        <v>0</v>
      </c>
      <c r="S76" s="74">
        <f>IF(S24=5,R71,0)</f>
        <v>2</v>
      </c>
      <c r="T76" s="70">
        <f>IF(T24=5,U71,0)</f>
        <v>0</v>
      </c>
      <c r="V76" s="74">
        <f>IF(V24=5,U71,0)</f>
        <v>0</v>
      </c>
      <c r="W76" s="70">
        <f>IF(W24=5,X71,0)</f>
        <v>0</v>
      </c>
      <c r="Y76" s="74">
        <f>IF(Y24=5,X71,0)</f>
        <v>2</v>
      </c>
      <c r="Z76" s="70">
        <f>IF(Z24=5,AA71,0)</f>
        <v>0</v>
      </c>
      <c r="AB76" s="74">
        <f>IF(AB24=5,AA71,0)</f>
        <v>0</v>
      </c>
      <c r="AC76" s="70">
        <f>IF(AC24=5,AD71,0)</f>
        <v>0</v>
      </c>
      <c r="AE76" s="74">
        <f>IF(AE24=5,AD71,0)</f>
        <v>0</v>
      </c>
      <c r="AF76" s="70">
        <f>SUM(B76:AE76)</f>
        <v>8</v>
      </c>
      <c r="AW76" s="154"/>
    </row>
    <row r="77" spans="1:54" hidden="1" x14ac:dyDescent="0.2">
      <c r="A77" s="95"/>
      <c r="B77" s="95"/>
      <c r="C77" s="95"/>
      <c r="D77" s="95"/>
      <c r="E77" s="95"/>
      <c r="F77" s="95"/>
      <c r="G77" s="95"/>
      <c r="H77" s="95"/>
      <c r="I77" s="95"/>
      <c r="J77" s="95"/>
      <c r="K77" s="95"/>
      <c r="L77" s="95"/>
      <c r="M77" s="95"/>
      <c r="N77" s="95"/>
      <c r="O77" s="95"/>
      <c r="P77" s="95"/>
      <c r="Q77" s="95"/>
      <c r="R77" s="95"/>
      <c r="S77" s="95"/>
      <c r="T77" s="95"/>
      <c r="U77" s="95"/>
      <c r="V77" s="95"/>
      <c r="W77" s="95"/>
      <c r="X77" s="95"/>
      <c r="Y77" s="95"/>
      <c r="Z77" s="95"/>
      <c r="AA77" s="95"/>
      <c r="AB77" s="95"/>
      <c r="AC77" s="95"/>
      <c r="AD77" s="95"/>
      <c r="AE77" s="95"/>
      <c r="AF77" s="95"/>
      <c r="AG77" s="95"/>
      <c r="AH77" s="95"/>
      <c r="AI77" s="95"/>
      <c r="AJ77" s="95"/>
      <c r="AK77" s="95"/>
      <c r="AL77" s="95"/>
      <c r="AM77" s="95"/>
      <c r="AN77" s="96"/>
      <c r="AO77" s="96"/>
      <c r="AP77" s="96"/>
      <c r="AQ77" s="96"/>
      <c r="AR77" s="77"/>
      <c r="AS77" s="77"/>
      <c r="AT77" s="77"/>
      <c r="AU77" s="77"/>
      <c r="AV77" s="77"/>
      <c r="BB77" s="156"/>
    </row>
    <row r="78" spans="1:54" s="77" customFormat="1" hidden="1" x14ac:dyDescent="0.2">
      <c r="A78" s="79"/>
      <c r="B78" s="79"/>
      <c r="C78" s="79" t="s">
        <v>108</v>
      </c>
      <c r="D78" s="79">
        <v>1</v>
      </c>
      <c r="E78" s="79"/>
      <c r="F78" s="79"/>
      <c r="G78" s="79">
        <v>2</v>
      </c>
      <c r="H78" s="79"/>
      <c r="I78" s="79"/>
      <c r="J78" s="79">
        <v>3</v>
      </c>
      <c r="K78" s="79"/>
      <c r="L78" s="79"/>
      <c r="M78" s="79">
        <v>4</v>
      </c>
      <c r="N78" s="79"/>
      <c r="O78" s="79"/>
      <c r="P78" s="79">
        <v>5</v>
      </c>
      <c r="Q78" s="79"/>
      <c r="R78" s="79"/>
      <c r="S78" s="79">
        <v>6</v>
      </c>
      <c r="T78" s="79"/>
      <c r="U78" s="79"/>
      <c r="V78" s="79">
        <v>7</v>
      </c>
      <c r="W78" s="79"/>
      <c r="X78" s="79"/>
      <c r="Y78" s="79">
        <v>8</v>
      </c>
      <c r="Z78" s="79"/>
      <c r="AA78" s="79"/>
      <c r="AB78" s="79">
        <v>9</v>
      </c>
      <c r="AC78" s="79"/>
      <c r="AD78" s="79"/>
      <c r="AE78" s="79">
        <v>10</v>
      </c>
      <c r="AF78" s="4"/>
      <c r="AG78" s="79"/>
      <c r="AI78" s="80"/>
      <c r="AJ78" s="4"/>
      <c r="AK78" s="4"/>
      <c r="AL78" s="4"/>
      <c r="AM78" s="4"/>
      <c r="AN78" s="4"/>
      <c r="AO78" s="4"/>
      <c r="AT78" s="80" t="s">
        <v>109</v>
      </c>
      <c r="AW78" s="81"/>
      <c r="BB78" s="81"/>
    </row>
    <row r="79" spans="1:54" s="77" customFormat="1" hidden="1" x14ac:dyDescent="0.2">
      <c r="A79" s="82">
        <v>1</v>
      </c>
      <c r="B79" s="82" t="str">
        <f>E8</f>
        <v>Vision 16-Erika &amp; Marissa</v>
      </c>
      <c r="C79" s="82">
        <f>VLOOKUP(B79,AU$3:AY$12,3,FALSE)</f>
        <v>2531.9153909770039</v>
      </c>
      <c r="D79" s="82">
        <f>IF(B72,B87,IF(D72,D87,C79))</f>
        <v>2531.9153909770039</v>
      </c>
      <c r="E79" s="82"/>
      <c r="F79" s="82"/>
      <c r="G79" s="82">
        <f>IF(E72,E87,IF(G72,G87,D79))</f>
        <v>2550.4838320632825</v>
      </c>
      <c r="H79" s="82"/>
      <c r="I79" s="82"/>
      <c r="J79" s="82">
        <f>IF(H72,H87,IF(J72,J87,G79))</f>
        <v>2550.4838320632825</v>
      </c>
      <c r="K79" s="82"/>
      <c r="L79" s="82"/>
      <c r="M79" s="82">
        <f>IF(K72,K87,IF(M72,M87,J79))</f>
        <v>2550.4838320632825</v>
      </c>
      <c r="N79" s="82"/>
      <c r="O79" s="82"/>
      <c r="P79" s="82">
        <f>IF(N72,N87,IF(P72,P87,M79))</f>
        <v>2572.5444081929782</v>
      </c>
      <c r="Q79" s="82"/>
      <c r="R79" s="82"/>
      <c r="S79" s="82">
        <f>IF(Q72,Q87,IF(S72,S87,P79))</f>
        <v>2572.5444081929782</v>
      </c>
      <c r="T79" s="82"/>
      <c r="U79" s="82"/>
      <c r="V79" s="82">
        <f>IF(T72,T87,IF(V72,V87,S79))</f>
        <v>2572.5444081929782</v>
      </c>
      <c r="W79" s="82"/>
      <c r="X79" s="82"/>
      <c r="Y79" s="82">
        <f>IF(W72,W87,IF(Y72,Y87,V79))</f>
        <v>2583.300310971742</v>
      </c>
      <c r="Z79" s="82"/>
      <c r="AA79" s="82"/>
      <c r="AB79" s="82">
        <f>IF(Z72,Z87,IF(AB72,AB87,Y79))</f>
        <v>2583.300310971742</v>
      </c>
      <c r="AC79" s="82"/>
      <c r="AD79" s="82"/>
      <c r="AE79" s="82">
        <f>IF(AC72,AC87,IF(AE72,AE87,AB79))</f>
        <v>2610.403755270524</v>
      </c>
      <c r="AF79" s="4"/>
      <c r="AG79" s="4"/>
      <c r="AJ79" s="4"/>
      <c r="AK79" s="4"/>
      <c r="AL79" s="4"/>
      <c r="AM79" s="4"/>
      <c r="AN79" s="4"/>
      <c r="AO79" s="4"/>
      <c r="AT79" s="77" t="str">
        <f>B79</f>
        <v>Vision 16-Erika &amp; Marissa</v>
      </c>
      <c r="AU79" s="77">
        <f>AE79</f>
        <v>2610.403755270524</v>
      </c>
      <c r="AW79" s="81"/>
      <c r="BB79" s="81"/>
    </row>
    <row r="80" spans="1:54" s="77" customFormat="1" hidden="1" x14ac:dyDescent="0.2">
      <c r="A80" s="82">
        <v>2</v>
      </c>
      <c r="B80" s="82" t="str">
        <f>E10</f>
        <v>SC Midlands 16 Perf</v>
      </c>
      <c r="C80" s="82">
        <f>VLOOKUP(B80,AU$3:AY$12,3,FALSE)</f>
        <v>2464.3992066653695</v>
      </c>
      <c r="D80" s="82">
        <f>IF(B73,B87,IF(D73,D87,C80))</f>
        <v>2484.9346841956676</v>
      </c>
      <c r="E80" s="82"/>
      <c r="F80" s="82"/>
      <c r="G80" s="82">
        <f>IF(E73,E87,IF(G73,G87,D80))</f>
        <v>2484.9346841956676</v>
      </c>
      <c r="H80" s="82"/>
      <c r="I80" s="82"/>
      <c r="J80" s="82">
        <f>IF(H73,H87,IF(J73,J87,G80))</f>
        <v>2484.9346841956676</v>
      </c>
      <c r="K80" s="82"/>
      <c r="L80" s="82"/>
      <c r="M80" s="82">
        <f>IF(K73,K87,IF(M73,M87,J80))</f>
        <v>2505.7304455642534</v>
      </c>
      <c r="N80" s="82"/>
      <c r="O80" s="82"/>
      <c r="P80" s="82">
        <f>IF(N73,N87,IF(P73,P87,M80))</f>
        <v>2505.7304455642534</v>
      </c>
      <c r="Q80" s="82"/>
      <c r="R80" s="82"/>
      <c r="S80" s="82">
        <f>IF(Q73,Q87,IF(S73,S87,P80))</f>
        <v>2505.7304455642534</v>
      </c>
      <c r="T80" s="82"/>
      <c r="U80" s="82"/>
      <c r="V80" s="82">
        <f>IF(T73,T87,IF(V73,V87,S80))</f>
        <v>2529.7157740975385</v>
      </c>
      <c r="W80" s="82"/>
      <c r="X80" s="82"/>
      <c r="Y80" s="82">
        <f>IF(W73,W87,IF(Y73,Y87,V80))</f>
        <v>2529.7157740975385</v>
      </c>
      <c r="Z80" s="82"/>
      <c r="AA80" s="82"/>
      <c r="AB80" s="82">
        <f>IF(Z73,Z87,IF(AB73,AB87,Y80))</f>
        <v>2529.7157740975385</v>
      </c>
      <c r="AC80" s="82"/>
      <c r="AD80" s="82"/>
      <c r="AE80" s="82">
        <f>IF(AC73,AC87,IF(AE73,AE87,AB80))</f>
        <v>2502.6123297987565</v>
      </c>
      <c r="AF80" s="4"/>
      <c r="AG80" s="4"/>
      <c r="AJ80" s="4"/>
      <c r="AL80" s="4"/>
      <c r="AM80" s="4"/>
      <c r="AN80" s="4"/>
      <c r="AO80" s="4"/>
      <c r="AT80" s="77" t="str">
        <f>B80</f>
        <v>SC Midlands 16 Perf</v>
      </c>
      <c r="AU80" s="77">
        <f>AE80</f>
        <v>2502.6123297987565</v>
      </c>
      <c r="AW80" s="81"/>
      <c r="BB80" s="81"/>
    </row>
    <row r="81" spans="1:54" s="77" customFormat="1" hidden="1" x14ac:dyDescent="0.2">
      <c r="A81" s="82">
        <v>3</v>
      </c>
      <c r="B81" s="82" t="str">
        <f>E12</f>
        <v>Low Country 16 Power</v>
      </c>
      <c r="C81" s="82">
        <f>VLOOKUP(B81,AU$3:AY$12,3,FALSE)</f>
        <v>2450.9074358683274</v>
      </c>
      <c r="D81" s="82">
        <f>IF(B74,B87,IF(D74,D87,C81))</f>
        <v>2450.9074358683274</v>
      </c>
      <c r="E81" s="82"/>
      <c r="F81" s="82"/>
      <c r="G81" s="82">
        <f>IF(E74,E87,IF(G74,G87,D81))</f>
        <v>2450.9074358683274</v>
      </c>
      <c r="H81" s="82"/>
      <c r="I81" s="82"/>
      <c r="J81" s="82">
        <f>IF(H74,H87,IF(J74,J87,G81))</f>
        <v>2438.8815880697575</v>
      </c>
      <c r="K81" s="82"/>
      <c r="L81" s="82"/>
      <c r="M81" s="82">
        <f>IF(K74,K87,IF(M74,M87,J81))</f>
        <v>2438.8815880697575</v>
      </c>
      <c r="N81" s="82"/>
      <c r="O81" s="82"/>
      <c r="P81" s="82">
        <f>IF(N74,N87,IF(P74,P87,M81))</f>
        <v>2416.8210119400619</v>
      </c>
      <c r="Q81" s="82"/>
      <c r="R81" s="82"/>
      <c r="S81" s="82">
        <f>IF(Q74,Q87,IF(S74,S87,P81))</f>
        <v>2416.8210119400619</v>
      </c>
      <c r="T81" s="82"/>
      <c r="U81" s="82"/>
      <c r="V81" s="82">
        <f>IF(T74,T87,IF(V74,V87,S81))</f>
        <v>2392.8356834067768</v>
      </c>
      <c r="W81" s="82"/>
      <c r="X81" s="82"/>
      <c r="Y81" s="82">
        <f>IF(W74,W87,IF(Y74,Y87,V81))</f>
        <v>2392.8356834067768</v>
      </c>
      <c r="Z81" s="82"/>
      <c r="AA81" s="82"/>
      <c r="AB81" s="82">
        <f>IF(Z74,Z87,IF(AB74,AB87,Y81))</f>
        <v>2422.5577357365946</v>
      </c>
      <c r="AC81" s="82"/>
      <c r="AD81" s="82"/>
      <c r="AE81" s="82">
        <f>IF(AC74,AC87,IF(AE74,AE87,AB81))</f>
        <v>2422.5577357365946</v>
      </c>
      <c r="AF81" s="4"/>
      <c r="AG81" s="4"/>
      <c r="AJ81" s="4"/>
      <c r="AL81" s="4"/>
      <c r="AM81" s="4"/>
      <c r="AN81" s="4"/>
      <c r="AO81" s="4"/>
      <c r="AT81" s="77" t="str">
        <f>B81</f>
        <v>Low Country 16 Power</v>
      </c>
      <c r="AU81" s="77">
        <f>AE81</f>
        <v>2422.5577357365946</v>
      </c>
      <c r="AW81" s="81"/>
      <c r="BB81" s="81"/>
    </row>
    <row r="82" spans="1:54" s="77" customFormat="1" hidden="1" x14ac:dyDescent="0.2">
      <c r="A82" s="82">
        <v>4</v>
      </c>
      <c r="B82" s="82" t="str">
        <f>E14</f>
        <v>CSRA Heat 16 Gold</v>
      </c>
      <c r="C82" s="82">
        <f>VLOOKUP(B82,AU$3:AY$12,3,FALSE)</f>
        <v>2376.4825129198039</v>
      </c>
      <c r="D82" s="82">
        <f>IF(B75,B87,IF(D75,D87,C82))</f>
        <v>2376.4825129198039</v>
      </c>
      <c r="E82" s="82"/>
      <c r="F82" s="82"/>
      <c r="G82" s="82">
        <f>IF(E75,E87,IF(G75,G87,D82))</f>
        <v>2357.9140718335252</v>
      </c>
      <c r="H82" s="82"/>
      <c r="I82" s="82"/>
      <c r="J82" s="82">
        <f>IF(H75,H87,IF(J75,J87,G82))</f>
        <v>2357.9140718335252</v>
      </c>
      <c r="K82" s="82"/>
      <c r="L82" s="82"/>
      <c r="M82" s="82">
        <f>IF(K75,K87,IF(M75,M87,J82))</f>
        <v>2337.1183104649394</v>
      </c>
      <c r="N82" s="82"/>
      <c r="O82" s="82"/>
      <c r="P82" s="82">
        <f>IF(N75,N87,IF(P75,P87,M82))</f>
        <v>2337.1183104649394</v>
      </c>
      <c r="Q82" s="82"/>
      <c r="R82" s="82"/>
      <c r="S82" s="82">
        <f>IF(Q75,Q87,IF(S75,S87,P82))</f>
        <v>2368.0612766244335</v>
      </c>
      <c r="T82" s="82"/>
      <c r="U82" s="82"/>
      <c r="V82" s="82">
        <f>IF(T75,T87,IF(V75,V87,S82))</f>
        <v>2368.0612766244335</v>
      </c>
      <c r="W82" s="82"/>
      <c r="X82" s="82"/>
      <c r="Y82" s="82">
        <f>IF(W75,W87,IF(Y75,Y87,V82))</f>
        <v>2368.0612766244335</v>
      </c>
      <c r="Z82" s="82"/>
      <c r="AA82" s="82"/>
      <c r="AB82" s="82">
        <f>IF(Z75,Z87,IF(AB75,AB87,Y82))</f>
        <v>2338.3392242946156</v>
      </c>
      <c r="AC82" s="82"/>
      <c r="AD82" s="82"/>
      <c r="AE82" s="82">
        <f>IF(AC75,AC87,IF(AE75,AE87,AB82))</f>
        <v>2338.3392242946156</v>
      </c>
      <c r="AF82" s="4"/>
      <c r="AG82" s="4"/>
      <c r="AJ82" s="4"/>
      <c r="AL82" s="4"/>
      <c r="AM82" s="4"/>
      <c r="AN82" s="4"/>
      <c r="AO82" s="4"/>
      <c r="AT82" s="77" t="str">
        <f>B82</f>
        <v>CSRA Heat 16 Gold</v>
      </c>
      <c r="AU82" s="77">
        <f>AE82</f>
        <v>2338.3392242946156</v>
      </c>
      <c r="AW82" s="81"/>
      <c r="BB82" s="81"/>
    </row>
    <row r="83" spans="1:54" s="77" customFormat="1" hidden="1" x14ac:dyDescent="0.2">
      <c r="A83" s="82">
        <v>5</v>
      </c>
      <c r="B83" s="82" t="str">
        <f>E16</f>
        <v>MOTO 16-2 IGNITE</v>
      </c>
      <c r="C83" s="82">
        <f>VLOOKUP(B83,AU$3:AY$12,3,FALSE)</f>
        <v>2334.1471641922385</v>
      </c>
      <c r="D83" s="82">
        <f>IF(B76,B87,IF(D76,D87,C83))</f>
        <v>2313.6116866619404</v>
      </c>
      <c r="E83" s="82"/>
      <c r="F83" s="82"/>
      <c r="G83" s="82">
        <f>IF(E76,E87,IF(G76,G87,D83))</f>
        <v>2313.6116866619404</v>
      </c>
      <c r="H83" s="82"/>
      <c r="I83" s="82"/>
      <c r="J83" s="82">
        <f>IF(H76,H87,IF(J76,J87,G83))</f>
        <v>2325.6375344605103</v>
      </c>
      <c r="K83" s="82"/>
      <c r="L83" s="82"/>
      <c r="M83" s="82">
        <f>IF(K76,K87,IF(M76,M87,J83))</f>
        <v>2325.6375344605103</v>
      </c>
      <c r="N83" s="82"/>
      <c r="O83" s="82"/>
      <c r="P83" s="82">
        <f>IF(N76,N87,IF(P76,P87,M83))</f>
        <v>2325.6375344605103</v>
      </c>
      <c r="Q83" s="82"/>
      <c r="R83" s="82"/>
      <c r="S83" s="82">
        <f>IF(Q76,Q87,IF(S76,S87,P83))</f>
        <v>2294.6945683010163</v>
      </c>
      <c r="T83" s="82"/>
      <c r="U83" s="82"/>
      <c r="V83" s="82">
        <f>IF(T76,T87,IF(V76,V87,S83))</f>
        <v>2294.6945683010163</v>
      </c>
      <c r="W83" s="82"/>
      <c r="X83" s="82"/>
      <c r="Y83" s="82">
        <f>IF(W76,W87,IF(Y76,Y87,V83))</f>
        <v>2283.9386655222524</v>
      </c>
      <c r="Z83" s="82"/>
      <c r="AA83" s="82"/>
      <c r="AB83" s="82">
        <f>IF(Z76,Z87,IF(AB76,AB87,Y83))</f>
        <v>2283.9386655222524</v>
      </c>
      <c r="AC83" s="82"/>
      <c r="AD83" s="82"/>
      <c r="AE83" s="82">
        <f>IF(AC76,AC87,IF(AE76,AE87,AB83))</f>
        <v>2283.9386655222524</v>
      </c>
      <c r="AF83" s="4"/>
      <c r="AG83" s="4"/>
      <c r="AJ83" s="4"/>
      <c r="AL83" s="4"/>
      <c r="AM83" s="4"/>
      <c r="AN83" s="4"/>
      <c r="AO83" s="4"/>
      <c r="AT83" s="77" t="str">
        <f>B83</f>
        <v>MOTO 16-2 IGNITE</v>
      </c>
      <c r="AU83" s="77">
        <f>AE83</f>
        <v>2283.9386655222524</v>
      </c>
      <c r="AW83" s="81"/>
      <c r="BB83" s="81"/>
    </row>
    <row r="84" spans="1:54" s="77" customFormat="1" hidden="1" x14ac:dyDescent="0.2">
      <c r="A84" s="82"/>
      <c r="B84" s="82"/>
      <c r="C84" s="82"/>
      <c r="D84" s="82"/>
      <c r="E84" s="82"/>
      <c r="F84" s="82"/>
      <c r="G84" s="82"/>
      <c r="H84" s="82"/>
      <c r="I84" s="82"/>
      <c r="J84" s="82"/>
      <c r="K84" s="82"/>
      <c r="L84" s="82"/>
      <c r="M84" s="82"/>
      <c r="N84" s="82"/>
      <c r="O84" s="82"/>
      <c r="P84" s="82"/>
      <c r="Q84" s="82"/>
      <c r="R84" s="82"/>
      <c r="S84" s="82"/>
      <c r="T84" s="82"/>
      <c r="U84" s="82"/>
      <c r="V84" s="82"/>
      <c r="W84" s="82"/>
      <c r="X84" s="82"/>
      <c r="Y84" s="82"/>
      <c r="Z84" s="82"/>
      <c r="AA84" s="82"/>
      <c r="AB84" s="82"/>
      <c r="AC84" s="82"/>
      <c r="AD84" s="82"/>
      <c r="AE84" s="82"/>
      <c r="AF84" s="4"/>
      <c r="AG84" s="4"/>
      <c r="AJ84" s="4"/>
      <c r="AL84" s="4"/>
      <c r="AM84" s="4"/>
      <c r="AN84" s="4"/>
      <c r="AO84" s="4"/>
      <c r="AW84" s="81"/>
      <c r="BB84" s="81"/>
    </row>
    <row r="85" spans="1:54" s="77" customFormat="1" hidden="1" x14ac:dyDescent="0.2">
      <c r="A85" s="82" t="s">
        <v>110</v>
      </c>
      <c r="B85" s="82">
        <f>VLOOKUP(B24,$A79:$AE83,3,FALSE)</f>
        <v>2464.3992066653695</v>
      </c>
      <c r="C85" s="82">
        <v>1</v>
      </c>
      <c r="D85" s="82">
        <f>VLOOKUP(D24,$A79:$AE83,3,FALSE)</f>
        <v>2334.1471641922385</v>
      </c>
      <c r="E85" s="82">
        <f>VLOOKUP(E24,$A79:$AE83,4,FALSE)</f>
        <v>2531.9153909770039</v>
      </c>
      <c r="F85" s="82">
        <v>2</v>
      </c>
      <c r="G85" s="82">
        <f>VLOOKUP(G24,$A79:$AE83,4,FALSE)</f>
        <v>2376.4825129198039</v>
      </c>
      <c r="H85" s="82">
        <f>VLOOKUP(H24,$A79:$AE83,7,FALSE)</f>
        <v>2450.9074358683274</v>
      </c>
      <c r="I85" s="82">
        <v>3</v>
      </c>
      <c r="J85" s="82">
        <f>VLOOKUP(J24,$A79:$AE83,7,FALSE)</f>
        <v>2313.6116866619404</v>
      </c>
      <c r="K85" s="82">
        <f>VLOOKUP(K24,$A79:$AE83,10,FALSE)</f>
        <v>2484.9346841956676</v>
      </c>
      <c r="L85" s="82">
        <v>4</v>
      </c>
      <c r="M85" s="82">
        <f>VLOOKUP(M24,$A79:$AE83,10,FALSE)</f>
        <v>2357.9140718335252</v>
      </c>
      <c r="N85" s="82">
        <f>VLOOKUP(N24,$A79:$AE83,13,FALSE)</f>
        <v>2550.4838320632825</v>
      </c>
      <c r="O85" s="82">
        <v>5</v>
      </c>
      <c r="P85" s="82">
        <f>VLOOKUP(P24,$A79:$AE83,13,FALSE)</f>
        <v>2438.8815880697575</v>
      </c>
      <c r="Q85" s="82">
        <f>VLOOKUP(Q24,$A79:$AE83,16,FALSE)</f>
        <v>2337.1183104649394</v>
      </c>
      <c r="R85" s="82">
        <v>6</v>
      </c>
      <c r="S85" s="82">
        <f>VLOOKUP(S24,$A79:$AE83,16,FALSE)</f>
        <v>2325.6375344605103</v>
      </c>
      <c r="T85" s="82">
        <f>VLOOKUP(T24,$A79:$AE83,19,FALSE)</f>
        <v>2505.7304455642534</v>
      </c>
      <c r="U85" s="82">
        <v>7</v>
      </c>
      <c r="V85" s="82">
        <f>VLOOKUP(V24,$A79:$AE83,19,FALSE)</f>
        <v>2416.8210119400619</v>
      </c>
      <c r="W85" s="82">
        <f>VLOOKUP(W24,$A79:$AE83,22,FALSE)</f>
        <v>2572.5444081929782</v>
      </c>
      <c r="X85" s="82">
        <v>8</v>
      </c>
      <c r="Y85" s="82">
        <f>VLOOKUP(Y24,$A79:$AE83,22,FALSE)</f>
        <v>2294.6945683010163</v>
      </c>
      <c r="Z85" s="82">
        <f>VLOOKUP(Z24,$A79:$AE83,25,FALSE)</f>
        <v>2392.8356834067768</v>
      </c>
      <c r="AA85" s="82">
        <v>9</v>
      </c>
      <c r="AB85" s="82">
        <f>VLOOKUP(AB24,$A79:$AE83,25,FALSE)</f>
        <v>2368.0612766244335</v>
      </c>
      <c r="AC85" s="82">
        <f>VLOOKUP(AC24,$A79:$AE83,28,FALSE)</f>
        <v>2583.300310971742</v>
      </c>
      <c r="AD85" s="82">
        <v>10</v>
      </c>
      <c r="AE85" s="82">
        <f>VLOOKUP(AE24,$A79:$AE83,28,FALSE)</f>
        <v>2529.7157740975385</v>
      </c>
      <c r="AF85" s="4"/>
      <c r="AG85" s="95"/>
      <c r="AH85" s="95"/>
      <c r="AI85" s="95"/>
      <c r="AJ85" s="95"/>
      <c r="AK85" s="95"/>
      <c r="AL85" s="95"/>
      <c r="AM85" s="95"/>
      <c r="AN85" s="96"/>
      <c r="AO85" s="96"/>
      <c r="AP85" s="96"/>
      <c r="AQ85" s="96"/>
      <c r="AW85" s="81"/>
      <c r="BB85" s="81"/>
    </row>
    <row r="86" spans="1:54" s="87" customFormat="1" hidden="1" x14ac:dyDescent="0.2">
      <c r="A86" s="83" t="s">
        <v>111</v>
      </c>
      <c r="B86" s="83">
        <f>1/(1+(10^-((B85-D85)/400)))*(B36+D36)</f>
        <v>1.3582663271781914</v>
      </c>
      <c r="C86" s="83"/>
      <c r="D86" s="83">
        <f>1/(1+(10^-((D85-B85)/400)))*(B36+D36)</f>
        <v>0.6417336728218086</v>
      </c>
      <c r="E86" s="83">
        <f>1/(1+(10^-((E85-G85)/400)))*(E36+G36)</f>
        <v>1.4197362160537939</v>
      </c>
      <c r="F86" s="83"/>
      <c r="G86" s="83">
        <f>1/(1+(10^-((G85-E85)/400)))*(E36+G36)</f>
        <v>0.58026378394620615</v>
      </c>
      <c r="H86" s="83">
        <f>1/(1+(10^-((H85-J85)/400)))*(H36+J36)</f>
        <v>1.3758077437053107</v>
      </c>
      <c r="I86" s="83"/>
      <c r="J86" s="83">
        <f>1/(1+(10^-((J85-H85)/400)))*(H36+J36)</f>
        <v>0.62419225629468922</v>
      </c>
      <c r="K86" s="83">
        <f>1/(1+(10^-((K85-M85)/400)))*(K36+M36)</f>
        <v>1.3501324572316995</v>
      </c>
      <c r="L86" s="83"/>
      <c r="M86" s="83">
        <f>1/(1+(10^-((M85-K85)/400)))*(K36+M36)</f>
        <v>0.64986754276830061</v>
      </c>
      <c r="N86" s="83">
        <f>1/(1+(10^-((N85-P85)/400)))*(N36+P36)</f>
        <v>1.3106069959470064</v>
      </c>
      <c r="O86" s="83"/>
      <c r="P86" s="83">
        <f>1/(1+(10^-((P85-N85)/400)))*(N36+P36)</f>
        <v>0.68939300405299386</v>
      </c>
      <c r="Q86" s="83">
        <f>1/(1+(10^-((Q85-S85)/400)))*(Q36+S36)</f>
        <v>1.033032307515809</v>
      </c>
      <c r="R86" s="83"/>
      <c r="S86" s="83">
        <f>1/(1+(10^-((S85-Q85)/400)))*(Q36+S36)</f>
        <v>0.96696769248419101</v>
      </c>
      <c r="T86" s="83">
        <f>1/(1+(10^-((T85-V85)/400)))*(T36+V36)</f>
        <v>1.2504584833348389</v>
      </c>
      <c r="U86" s="83"/>
      <c r="V86" s="83">
        <f>1/(1+(10^-((V85-T85)/400)))*(T36+V36)</f>
        <v>0.74954151666516089</v>
      </c>
      <c r="W86" s="83">
        <f>1/(1+(10^-((W85-Y85)/400)))*(W36+Y36)</f>
        <v>1.6638780381636376</v>
      </c>
      <c r="X86" s="83"/>
      <c r="Y86" s="83">
        <f>1/(1+(10^-((Y85-W85)/400)))*(W36+Y36)</f>
        <v>0.33612196183636256</v>
      </c>
      <c r="Z86" s="83">
        <f>1/(1+(10^-((Z85-AB85)/400)))*(Z36+AB36)</f>
        <v>1.0711858646931884</v>
      </c>
      <c r="AA86" s="83"/>
      <c r="AB86" s="83">
        <f>1/(1+(10^-((AB85-Z85)/400)))*(Z36+AB36)</f>
        <v>0.92881413530681134</v>
      </c>
      <c r="AC86" s="83">
        <f>1/(1+(10^-((AC85-AE85)/400)))*(AC36+AE36)</f>
        <v>1.1530173656630647</v>
      </c>
      <c r="AD86" s="83"/>
      <c r="AE86" s="83">
        <f>1/(1+(10^-((AE85-AC85)/400)))*(AC36+AE36)</f>
        <v>0.84698263433693521</v>
      </c>
      <c r="AF86" s="84"/>
      <c r="AG86" s="85"/>
      <c r="AH86" s="85"/>
      <c r="AI86" s="85"/>
      <c r="AJ86" s="85"/>
      <c r="AK86" s="85"/>
      <c r="AL86" s="85"/>
      <c r="AM86" s="85"/>
      <c r="AN86" s="86"/>
      <c r="AO86" s="86"/>
      <c r="AP86" s="86"/>
      <c r="AQ86" s="86"/>
      <c r="AW86" s="88"/>
      <c r="BB86" s="88"/>
    </row>
    <row r="87" spans="1:54" s="93" customFormat="1" hidden="1" x14ac:dyDescent="0.2">
      <c r="A87" s="89" t="s">
        <v>112</v>
      </c>
      <c r="B87" s="89">
        <f>B85+(B36-B86)*$BA$1</f>
        <v>2484.9346841956676</v>
      </c>
      <c r="C87" s="89"/>
      <c r="D87" s="89">
        <f>D85+(D36-D86)*$BA$1</f>
        <v>2313.6116866619404</v>
      </c>
      <c r="E87" s="89">
        <f>E85+(E36-E86)*$BA$1</f>
        <v>2550.4838320632825</v>
      </c>
      <c r="F87" s="89"/>
      <c r="G87" s="89">
        <f>G85+(G36-G86)*$BA$1</f>
        <v>2357.9140718335252</v>
      </c>
      <c r="H87" s="89">
        <f>H85+(H36-H86)*$BA$1</f>
        <v>2438.8815880697575</v>
      </c>
      <c r="I87" s="89"/>
      <c r="J87" s="89">
        <f>J85+(J36-J86)*$BA$1</f>
        <v>2325.6375344605103</v>
      </c>
      <c r="K87" s="89">
        <f>K85+(K36-K86)*$BA$1</f>
        <v>2505.7304455642534</v>
      </c>
      <c r="L87" s="89"/>
      <c r="M87" s="89">
        <f>M85+(M36-M86)*$BA$1</f>
        <v>2337.1183104649394</v>
      </c>
      <c r="N87" s="89">
        <f>N85+(N36-N86)*$BA$1</f>
        <v>2572.5444081929782</v>
      </c>
      <c r="O87" s="89"/>
      <c r="P87" s="89">
        <f>P85+(P36-P86)*$BA$1</f>
        <v>2416.8210119400619</v>
      </c>
      <c r="Q87" s="89">
        <f>Q85+(Q36-Q86)*$BA$1</f>
        <v>2368.0612766244335</v>
      </c>
      <c r="R87" s="89"/>
      <c r="S87" s="89">
        <f>S85+(S36-S86)*$BA$1</f>
        <v>2294.6945683010163</v>
      </c>
      <c r="T87" s="89">
        <f>T85+(T36-T86)*$BA$1</f>
        <v>2529.7157740975385</v>
      </c>
      <c r="U87" s="89"/>
      <c r="V87" s="89">
        <f>V85+(V36-V86)*$BA$1</f>
        <v>2392.8356834067768</v>
      </c>
      <c r="W87" s="89">
        <f>W85+(W36-W86)*$BA$1</f>
        <v>2583.300310971742</v>
      </c>
      <c r="X87" s="89"/>
      <c r="Y87" s="89">
        <f>Y85+(Y36-Y86)*$BA$1</f>
        <v>2283.9386655222524</v>
      </c>
      <c r="Z87" s="89">
        <f>Z85+(Z36-Z86)*$BA$1</f>
        <v>2422.5577357365946</v>
      </c>
      <c r="AA87" s="89"/>
      <c r="AB87" s="89">
        <f>AB85+(AB36-AB86)*$BA$1</f>
        <v>2338.3392242946156</v>
      </c>
      <c r="AC87" s="89">
        <f>AC85+(AC36-AC86)*$BA$1</f>
        <v>2610.403755270524</v>
      </c>
      <c r="AD87" s="89"/>
      <c r="AE87" s="89">
        <f>AE85+(AE36-AE86)*$BA$1</f>
        <v>2502.6123297987565</v>
      </c>
      <c r="AF87" s="90"/>
      <c r="AG87" s="91"/>
      <c r="AH87" s="91"/>
      <c r="AI87" s="91"/>
      <c r="AJ87" s="91"/>
      <c r="AK87" s="91"/>
      <c r="AL87" s="91"/>
      <c r="AM87" s="91"/>
      <c r="AN87" s="92"/>
      <c r="AO87" s="92"/>
      <c r="AP87" s="92"/>
      <c r="AQ87" s="92"/>
      <c r="AW87" s="94"/>
      <c r="BB87" s="94"/>
    </row>
    <row r="88" spans="1:54" s="93" customFormat="1" hidden="1" x14ac:dyDescent="0.2">
      <c r="A88" s="89"/>
      <c r="B88" s="89"/>
      <c r="C88" s="89"/>
      <c r="D88" s="89"/>
      <c r="E88" s="89"/>
      <c r="F88" s="89"/>
      <c r="G88" s="89"/>
      <c r="H88" s="89"/>
      <c r="I88" s="89"/>
      <c r="J88" s="89"/>
      <c r="K88" s="89"/>
      <c r="L88" s="89"/>
      <c r="M88" s="89"/>
      <c r="N88" s="89"/>
      <c r="O88" s="89"/>
      <c r="P88" s="89"/>
      <c r="Q88" s="89"/>
      <c r="R88" s="89"/>
      <c r="S88" s="89"/>
      <c r="T88" s="89"/>
      <c r="U88" s="89"/>
      <c r="V88" s="89"/>
      <c r="W88" s="89"/>
      <c r="X88" s="89"/>
      <c r="Y88" s="89"/>
      <c r="Z88" s="89"/>
      <c r="AA88" s="89"/>
      <c r="AB88" s="89"/>
      <c r="AC88" s="89"/>
      <c r="AD88" s="89"/>
      <c r="AE88" s="89"/>
      <c r="AF88" s="90"/>
      <c r="AG88" s="91"/>
      <c r="AH88" s="91"/>
      <c r="AI88" s="91"/>
      <c r="AJ88" s="91"/>
      <c r="AK88" s="91"/>
      <c r="AL88" s="91"/>
      <c r="AM88" s="91"/>
      <c r="AN88" s="92"/>
      <c r="AO88" s="92"/>
      <c r="AP88" s="92"/>
      <c r="AQ88" s="92"/>
      <c r="AW88" s="94"/>
      <c r="BB88" s="94"/>
    </row>
    <row r="89" spans="1:54" s="77" customFormat="1" x14ac:dyDescent="0.2">
      <c r="A89" s="281" t="str">
        <f>IF($AK10=1,"Pool Tiereaker : 1) Matches Won vs Lost (if 3 way tie then #4)  2) Head to Head  3) Game Win %  4) Total Pool Net Points  5) Flip a Coin","Pool Tiebreaker : 1) Games Won vs Lost (if 3 way tie then #5)  2) Head to Head  3) Head to Head Net Points  4) Game Win %  5) Total Pool Net Points  6) Flip a Coin")</f>
        <v>Pool Tiebreaker : 1) Games Won vs Lost (if 3 way tie then #5)  2) Head to Head  3) Head to Head Net Points  4) Game Win %  5) Total Pool Net Points  6) Flip a Coin</v>
      </c>
      <c r="B89" s="281"/>
      <c r="C89" s="281"/>
      <c r="D89" s="281"/>
      <c r="E89" s="281"/>
      <c r="F89" s="281"/>
      <c r="G89" s="281"/>
      <c r="H89" s="281"/>
      <c r="I89" s="281"/>
      <c r="J89" s="281"/>
      <c r="K89" s="281"/>
      <c r="L89" s="281"/>
      <c r="M89" s="281"/>
      <c r="N89" s="281"/>
      <c r="O89" s="281"/>
      <c r="P89" s="281"/>
      <c r="Q89" s="281"/>
      <c r="R89" s="281"/>
      <c r="S89" s="281"/>
      <c r="T89" s="281"/>
      <c r="U89" s="281"/>
      <c r="V89" s="281"/>
      <c r="W89" s="281"/>
      <c r="X89" s="281"/>
      <c r="Y89" s="281"/>
      <c r="Z89" s="281"/>
      <c r="AA89" s="281"/>
      <c r="AB89" s="281"/>
      <c r="AC89" s="281"/>
      <c r="AD89" s="281"/>
      <c r="AE89" s="281"/>
      <c r="AF89" s="281"/>
      <c r="AG89" s="281"/>
      <c r="AH89" s="281"/>
      <c r="AI89" s="281"/>
      <c r="AJ89" s="281"/>
      <c r="AK89" s="281"/>
      <c r="AL89" s="281"/>
      <c r="AM89" s="281"/>
      <c r="AN89" s="259"/>
      <c r="AO89" s="259"/>
      <c r="AP89" s="259"/>
      <c r="AQ89" s="259"/>
      <c r="AW89" s="81"/>
    </row>
    <row r="90" spans="1:54" s="77" customFormat="1" ht="13.5" thickBot="1" x14ac:dyDescent="0.25">
      <c r="A90" s="282"/>
      <c r="B90" s="282"/>
      <c r="C90" s="282"/>
      <c r="D90" s="282"/>
      <c r="E90" s="282"/>
      <c r="F90" s="282"/>
      <c r="G90" s="282"/>
      <c r="H90" s="282"/>
      <c r="I90" s="282"/>
      <c r="J90" s="282"/>
      <c r="K90" s="282"/>
      <c r="L90" s="282"/>
      <c r="M90" s="282"/>
      <c r="N90" s="282"/>
      <c r="O90" s="282"/>
      <c r="P90" s="282"/>
      <c r="Q90" s="282"/>
      <c r="R90" s="282"/>
      <c r="S90" s="282"/>
      <c r="T90" s="282"/>
      <c r="U90" s="282"/>
      <c r="V90" s="282"/>
      <c r="W90" s="282"/>
      <c r="X90" s="282"/>
      <c r="Y90" s="282"/>
      <c r="Z90" s="282"/>
      <c r="AA90" s="282"/>
      <c r="AB90" s="282"/>
      <c r="AC90" s="282"/>
      <c r="AD90" s="282"/>
      <c r="AE90" s="282"/>
      <c r="AF90" s="282"/>
      <c r="AG90" s="282"/>
      <c r="AH90" s="282"/>
      <c r="AI90" s="282"/>
      <c r="AJ90" s="282"/>
      <c r="AK90" s="282"/>
      <c r="AL90" s="282"/>
      <c r="AM90" s="282"/>
      <c r="AN90" s="282"/>
      <c r="AO90" s="282"/>
      <c r="AP90" s="282"/>
      <c r="AQ90" s="282"/>
      <c r="AW90" s="81"/>
    </row>
    <row r="91" spans="1:54" ht="24" customHeight="1" thickBot="1" x14ac:dyDescent="0.25">
      <c r="A91" s="27" t="s">
        <v>34</v>
      </c>
      <c r="B91" s="28" t="s">
        <v>113</v>
      </c>
      <c r="C91" s="353" t="s">
        <v>36</v>
      </c>
      <c r="D91" s="354"/>
      <c r="E91" s="354"/>
      <c r="F91" s="354"/>
      <c r="G91" s="354"/>
      <c r="H91" s="355"/>
      <c r="I91" s="356">
        <v>2</v>
      </c>
      <c r="J91" s="357"/>
      <c r="K91" s="358" t="str">
        <f>"Pool "&amp;B91&amp;" - Round 1 - Court "&amp;I91</f>
        <v>Pool B - Round 1 - Court 2</v>
      </c>
      <c r="L91" s="359"/>
      <c r="M91" s="359"/>
      <c r="N91" s="359"/>
      <c r="O91" s="359"/>
      <c r="P91" s="359"/>
      <c r="Q91" s="359"/>
      <c r="R91" s="359"/>
      <c r="S91" s="359"/>
      <c r="T91" s="359"/>
      <c r="U91" s="359"/>
      <c r="V91" s="359"/>
      <c r="W91" s="359"/>
      <c r="X91" s="359"/>
      <c r="Y91" s="359"/>
      <c r="Z91" s="359"/>
      <c r="AA91" s="359"/>
      <c r="AB91" s="359"/>
      <c r="AC91" s="359"/>
      <c r="AD91" s="359"/>
      <c r="AE91" s="359"/>
      <c r="AF91" s="359"/>
      <c r="AG91" s="359"/>
      <c r="AH91" s="359"/>
      <c r="AI91" s="360"/>
      <c r="AJ91" s="8"/>
      <c r="AK91" s="8"/>
      <c r="AL91" s="8"/>
      <c r="AM91" s="8"/>
      <c r="AN91" s="8"/>
      <c r="AO91" s="8"/>
      <c r="AP91" s="8"/>
      <c r="AQ91" s="8"/>
    </row>
    <row r="92" spans="1:54" ht="27" customHeight="1" thickBot="1" x14ac:dyDescent="0.25">
      <c r="A92" s="29" t="s">
        <v>39</v>
      </c>
      <c r="B92" s="361" t="s">
        <v>10</v>
      </c>
      <c r="C92" s="362"/>
      <c r="D92" s="362"/>
      <c r="E92" s="362"/>
      <c r="F92" s="362"/>
      <c r="G92" s="362"/>
      <c r="H92" s="362"/>
      <c r="I92" s="362"/>
      <c r="J92" s="362"/>
      <c r="K92" s="362"/>
      <c r="L92" s="361" t="str">
        <f>IF($AK95=0,"Games Won","Matches Won")</f>
        <v>Games Won</v>
      </c>
      <c r="M92" s="362"/>
      <c r="N92" s="362"/>
      <c r="O92" s="362"/>
      <c r="P92" s="362"/>
      <c r="Q92" s="363"/>
      <c r="R92" s="361" t="str">
        <f>IF($AK95=0,"Games Lost","Matches Lost")</f>
        <v>Games Lost</v>
      </c>
      <c r="S92" s="364"/>
      <c r="T92" s="364"/>
      <c r="U92" s="364"/>
      <c r="V92" s="365"/>
      <c r="W92" s="366" t="s">
        <v>40</v>
      </c>
      <c r="X92" s="367"/>
      <c r="Y92" s="368"/>
      <c r="Z92" s="366" t="s">
        <v>41</v>
      </c>
      <c r="AA92" s="367"/>
      <c r="AB92" s="368"/>
      <c r="AC92" s="369" t="s">
        <v>42</v>
      </c>
      <c r="AD92" s="370"/>
      <c r="AE92" s="371"/>
      <c r="AF92" s="30" t="s">
        <v>43</v>
      </c>
      <c r="AG92" s="31" t="s">
        <v>9</v>
      </c>
      <c r="AH92" s="351" t="s">
        <v>44</v>
      </c>
      <c r="AI92" s="352"/>
      <c r="AJ92" s="32"/>
      <c r="AK92" s="33">
        <v>2</v>
      </c>
      <c r="AL92" s="34" t="s">
        <v>45</v>
      </c>
      <c r="AM92" s="34"/>
      <c r="AN92" s="34"/>
      <c r="AO92" s="34"/>
      <c r="AP92" s="34"/>
      <c r="AQ92" s="34"/>
      <c r="AR92" s="35"/>
    </row>
    <row r="93" spans="1:54" ht="18.75" customHeight="1" x14ac:dyDescent="0.2">
      <c r="A93" s="320" t="str">
        <f>IF($AK94&gt;0,"1","")</f>
        <v>1</v>
      </c>
      <c r="B93" s="348" t="s">
        <v>10</v>
      </c>
      <c r="C93" s="349"/>
      <c r="D93" s="350"/>
      <c r="E93" s="324" t="str">
        <f>AU4</f>
        <v>High Velocity 16's</v>
      </c>
      <c r="F93" s="325"/>
      <c r="G93" s="325"/>
      <c r="H93" s="325"/>
      <c r="I93" s="325"/>
      <c r="J93" s="325"/>
      <c r="K93" s="326"/>
      <c r="L93" s="327">
        <f>IF($AK95=0,AF149,AF131)</f>
        <v>5</v>
      </c>
      <c r="M93" s="328"/>
      <c r="N93" s="328"/>
      <c r="O93" s="328"/>
      <c r="P93" s="328"/>
      <c r="Q93" s="363"/>
      <c r="R93" s="327">
        <f>IF($AK95=0,AG149,AG131)</f>
        <v>3</v>
      </c>
      <c r="S93" s="328"/>
      <c r="T93" s="328"/>
      <c r="U93" s="328"/>
      <c r="V93" s="328"/>
      <c r="W93" s="327">
        <f>AQ109</f>
        <v>24</v>
      </c>
      <c r="X93" s="328"/>
      <c r="Y93" s="328"/>
      <c r="Z93" s="300">
        <f>IF(AF143&gt;0,(AQ109/AF143),0)</f>
        <v>0.12</v>
      </c>
      <c r="AA93" s="301"/>
      <c r="AB93" s="301"/>
      <c r="AC93" s="304">
        <f>IF(AF157=0,0,(AF149/AF157))</f>
        <v>0.625</v>
      </c>
      <c r="AD93" s="305"/>
      <c r="AE93" s="306"/>
      <c r="AF93" s="310">
        <v>1</v>
      </c>
      <c r="AG93" s="310">
        <v>5</v>
      </c>
      <c r="AH93" s="312"/>
      <c r="AI93" s="313"/>
      <c r="AJ93" s="32"/>
      <c r="AK93" s="33">
        <v>10</v>
      </c>
      <c r="AL93" s="34" t="s">
        <v>48</v>
      </c>
      <c r="AM93" s="34"/>
      <c r="AN93" s="34"/>
      <c r="AO93" s="34"/>
      <c r="AP93" s="34"/>
      <c r="AQ93" s="34"/>
      <c r="AR93" s="35"/>
    </row>
    <row r="94" spans="1:54" ht="18.75" customHeight="1" thickBot="1" x14ac:dyDescent="0.25">
      <c r="A94" s="321"/>
      <c r="B94" s="345" t="s">
        <v>11</v>
      </c>
      <c r="C94" s="346"/>
      <c r="D94" s="347"/>
      <c r="E94" s="341" t="str">
        <f>AV4</f>
        <v>fj6hvelo1pm</v>
      </c>
      <c r="F94" s="342"/>
      <c r="G94" s="342"/>
      <c r="H94" s="342"/>
      <c r="I94" s="342"/>
      <c r="J94" s="342"/>
      <c r="K94" s="342"/>
      <c r="L94" s="343"/>
      <c r="M94" s="344"/>
      <c r="N94" s="344"/>
      <c r="O94" s="344"/>
      <c r="P94" s="344"/>
      <c r="Q94" s="363"/>
      <c r="R94" s="343"/>
      <c r="S94" s="344"/>
      <c r="T94" s="344"/>
      <c r="U94" s="344"/>
      <c r="V94" s="344"/>
      <c r="W94" s="343"/>
      <c r="X94" s="344"/>
      <c r="Y94" s="344"/>
      <c r="Z94" s="331"/>
      <c r="AA94" s="332"/>
      <c r="AB94" s="332"/>
      <c r="AC94" s="333"/>
      <c r="AD94" s="334"/>
      <c r="AE94" s="335"/>
      <c r="AF94" s="336"/>
      <c r="AG94" s="336"/>
      <c r="AH94" s="337"/>
      <c r="AI94" s="338"/>
      <c r="AJ94" s="32"/>
      <c r="AK94" s="33">
        <v>5</v>
      </c>
      <c r="AL94" s="34" t="s">
        <v>51</v>
      </c>
      <c r="AM94" s="32"/>
      <c r="AN94" s="32"/>
      <c r="AO94" s="32"/>
      <c r="AP94" s="32"/>
      <c r="AQ94" s="32"/>
      <c r="AR94" s="3"/>
    </row>
    <row r="95" spans="1:54" ht="18.75" customHeight="1" x14ac:dyDescent="0.2">
      <c r="A95" s="320" t="str">
        <f>IF($AK94&gt;1,"2","")</f>
        <v>2</v>
      </c>
      <c r="B95" s="348" t="s">
        <v>10</v>
      </c>
      <c r="C95" s="349"/>
      <c r="D95" s="350"/>
      <c r="E95" s="324" t="str">
        <f>AU5</f>
        <v>MOTO 16 IGNITE</v>
      </c>
      <c r="F95" s="325"/>
      <c r="G95" s="325"/>
      <c r="H95" s="325"/>
      <c r="I95" s="325"/>
      <c r="J95" s="325"/>
      <c r="K95" s="326"/>
      <c r="L95" s="327">
        <f>IF($AK95=0,AF150,AF132)</f>
        <v>5</v>
      </c>
      <c r="M95" s="328"/>
      <c r="N95" s="328"/>
      <c r="O95" s="328"/>
      <c r="P95" s="328"/>
      <c r="Q95" s="363"/>
      <c r="R95" s="327">
        <f>IF($AK95=0,AG150,AG132)</f>
        <v>3</v>
      </c>
      <c r="S95" s="328"/>
      <c r="T95" s="328"/>
      <c r="U95" s="328"/>
      <c r="V95" s="328"/>
      <c r="W95" s="327">
        <f>AQ110</f>
        <v>15</v>
      </c>
      <c r="X95" s="328"/>
      <c r="Y95" s="328"/>
      <c r="Z95" s="300">
        <f>IF(AF144&gt;0,(AQ110/AF144),0)</f>
        <v>7.4999999999999997E-2</v>
      </c>
      <c r="AA95" s="301"/>
      <c r="AB95" s="301"/>
      <c r="AC95" s="304">
        <f>IF(AF158=0,0,(AF150/AF158))</f>
        <v>0.625</v>
      </c>
      <c r="AD95" s="305"/>
      <c r="AE95" s="306"/>
      <c r="AF95" s="310">
        <v>2</v>
      </c>
      <c r="AG95" s="310">
        <v>5</v>
      </c>
      <c r="AH95" s="312"/>
      <c r="AI95" s="313"/>
      <c r="AJ95" s="32"/>
      <c r="AK95" s="33">
        <v>0</v>
      </c>
      <c r="AL95" s="34" t="s">
        <v>54</v>
      </c>
      <c r="AM95" s="34"/>
      <c r="AN95" s="34"/>
      <c r="AO95" s="34"/>
      <c r="AP95" s="34"/>
      <c r="AQ95" s="34"/>
      <c r="AR95" s="35"/>
    </row>
    <row r="96" spans="1:54" ht="18.75" customHeight="1" thickBot="1" x14ac:dyDescent="0.25">
      <c r="A96" s="321"/>
      <c r="B96" s="339" t="s">
        <v>11</v>
      </c>
      <c r="C96" s="340"/>
      <c r="D96" s="340"/>
      <c r="E96" s="341" t="str">
        <f>AV5</f>
        <v>fj6motoj1pm</v>
      </c>
      <c r="F96" s="342"/>
      <c r="G96" s="342"/>
      <c r="H96" s="342"/>
      <c r="I96" s="342"/>
      <c r="J96" s="342"/>
      <c r="K96" s="342"/>
      <c r="L96" s="343"/>
      <c r="M96" s="344"/>
      <c r="N96" s="344"/>
      <c r="O96" s="344"/>
      <c r="P96" s="344"/>
      <c r="Q96" s="363"/>
      <c r="R96" s="343"/>
      <c r="S96" s="344"/>
      <c r="T96" s="344"/>
      <c r="U96" s="344"/>
      <c r="V96" s="344"/>
      <c r="W96" s="343"/>
      <c r="X96" s="344"/>
      <c r="Y96" s="344"/>
      <c r="Z96" s="331"/>
      <c r="AA96" s="332"/>
      <c r="AB96" s="332"/>
      <c r="AC96" s="333"/>
      <c r="AD96" s="334"/>
      <c r="AE96" s="335"/>
      <c r="AF96" s="336"/>
      <c r="AG96" s="336"/>
      <c r="AH96" s="337"/>
      <c r="AI96" s="338"/>
      <c r="AJ96" s="32"/>
      <c r="AK96" s="33">
        <v>1</v>
      </c>
      <c r="AL96" s="34" t="s">
        <v>56</v>
      </c>
      <c r="AM96" s="32"/>
      <c r="AN96" s="32"/>
      <c r="AO96" s="32"/>
      <c r="AP96" s="32"/>
      <c r="AQ96" s="32"/>
      <c r="AR96" s="3"/>
    </row>
    <row r="97" spans="1:44" ht="18.75" customHeight="1" x14ac:dyDescent="0.2">
      <c r="A97" s="320" t="str">
        <f>IF($AK94&gt;2,"3","")</f>
        <v>3</v>
      </c>
      <c r="B97" s="322" t="s">
        <v>10</v>
      </c>
      <c r="C97" s="323"/>
      <c r="D97" s="323"/>
      <c r="E97" s="324" t="str">
        <f>AU8</f>
        <v>Crossfire 16 Power</v>
      </c>
      <c r="F97" s="325"/>
      <c r="G97" s="325"/>
      <c r="H97" s="325"/>
      <c r="I97" s="325"/>
      <c r="J97" s="325"/>
      <c r="K97" s="326"/>
      <c r="L97" s="327">
        <f>IF($AK95=0,AF151,AF133)</f>
        <v>2</v>
      </c>
      <c r="M97" s="328"/>
      <c r="N97" s="328"/>
      <c r="O97" s="328"/>
      <c r="P97" s="328"/>
      <c r="Q97" s="363"/>
      <c r="R97" s="327">
        <f>IF($AK95=0,AG151,AG133)</f>
        <v>6</v>
      </c>
      <c r="S97" s="328"/>
      <c r="T97" s="328"/>
      <c r="U97" s="328"/>
      <c r="V97" s="328"/>
      <c r="W97" s="327">
        <f>AQ111</f>
        <v>-16</v>
      </c>
      <c r="X97" s="328"/>
      <c r="Y97" s="328"/>
      <c r="Z97" s="300">
        <f>IF(AF145&gt;0,(AQ111/AF145),0)</f>
        <v>-0.08</v>
      </c>
      <c r="AA97" s="301"/>
      <c r="AB97" s="301"/>
      <c r="AC97" s="304">
        <f>IF(AF159=0,0,(AF151/AF159))</f>
        <v>0.25</v>
      </c>
      <c r="AD97" s="305"/>
      <c r="AE97" s="306"/>
      <c r="AF97" s="310">
        <v>5</v>
      </c>
      <c r="AG97" s="310">
        <v>1</v>
      </c>
      <c r="AH97" s="312"/>
      <c r="AI97" s="313"/>
      <c r="AJ97" s="43"/>
      <c r="AK97" s="33">
        <v>8</v>
      </c>
      <c r="AL97" s="44" t="s">
        <v>57</v>
      </c>
      <c r="AM97" s="34"/>
      <c r="AN97" s="34"/>
      <c r="AO97" s="34"/>
      <c r="AP97" s="34"/>
      <c r="AQ97" s="34"/>
      <c r="AR97" s="35"/>
    </row>
    <row r="98" spans="1:44" ht="18.75" customHeight="1" thickBot="1" x14ac:dyDescent="0.25">
      <c r="A98" s="321"/>
      <c r="B98" s="339" t="s">
        <v>11</v>
      </c>
      <c r="C98" s="340"/>
      <c r="D98" s="340"/>
      <c r="E98" s="341" t="str">
        <f>AV8</f>
        <v>fj6crosf1pm</v>
      </c>
      <c r="F98" s="342"/>
      <c r="G98" s="342"/>
      <c r="H98" s="342"/>
      <c r="I98" s="342"/>
      <c r="J98" s="342"/>
      <c r="K98" s="342"/>
      <c r="L98" s="343"/>
      <c r="M98" s="344"/>
      <c r="N98" s="344"/>
      <c r="O98" s="344"/>
      <c r="P98" s="344"/>
      <c r="Q98" s="363"/>
      <c r="R98" s="343"/>
      <c r="S98" s="344"/>
      <c r="T98" s="344"/>
      <c r="U98" s="344"/>
      <c r="V98" s="344"/>
      <c r="W98" s="343"/>
      <c r="X98" s="344"/>
      <c r="Y98" s="344"/>
      <c r="Z98" s="331"/>
      <c r="AA98" s="332"/>
      <c r="AB98" s="332"/>
      <c r="AC98" s="333"/>
      <c r="AD98" s="334"/>
      <c r="AE98" s="335"/>
      <c r="AF98" s="336"/>
      <c r="AG98" s="336"/>
      <c r="AH98" s="337"/>
      <c r="AI98" s="338"/>
      <c r="AJ98" s="43"/>
      <c r="AK98" s="51"/>
      <c r="AL98" s="52"/>
      <c r="AM98" s="52"/>
      <c r="AN98" s="52"/>
      <c r="AO98" s="52"/>
      <c r="AP98" s="52"/>
      <c r="AQ98" s="32"/>
      <c r="AR98" s="3"/>
    </row>
    <row r="99" spans="1:44" ht="18.75" customHeight="1" x14ac:dyDescent="0.2">
      <c r="A99" s="320" t="str">
        <f>IF($AK94&gt;3,"4","")</f>
        <v>4</v>
      </c>
      <c r="B99" s="322" t="s">
        <v>10</v>
      </c>
      <c r="C99" s="323"/>
      <c r="D99" s="323"/>
      <c r="E99" s="324" t="str">
        <f>AU9</f>
        <v>Intense 16 Perf Columbia</v>
      </c>
      <c r="F99" s="325"/>
      <c r="G99" s="325"/>
      <c r="H99" s="325"/>
      <c r="I99" s="325"/>
      <c r="J99" s="325"/>
      <c r="K99" s="326"/>
      <c r="L99" s="327">
        <f>IF($AK95=0,AF152,AF134)</f>
        <v>5</v>
      </c>
      <c r="M99" s="328"/>
      <c r="N99" s="328"/>
      <c r="O99" s="328"/>
      <c r="P99" s="328"/>
      <c r="Q99" s="363"/>
      <c r="R99" s="327">
        <f>IF($AK95=0,AG152,AG134)</f>
        <v>3</v>
      </c>
      <c r="S99" s="328"/>
      <c r="T99" s="328"/>
      <c r="U99" s="328"/>
      <c r="V99" s="328"/>
      <c r="W99" s="327">
        <f>AQ112</f>
        <v>5</v>
      </c>
      <c r="X99" s="328"/>
      <c r="Y99" s="328"/>
      <c r="Z99" s="300">
        <f>IF(AF146&gt;0,(AQ112/AF146),0)</f>
        <v>2.5000000000000001E-2</v>
      </c>
      <c r="AA99" s="301"/>
      <c r="AB99" s="301"/>
      <c r="AC99" s="304">
        <f>IF(AF160=0,0,(AF152/AF160))</f>
        <v>0.625</v>
      </c>
      <c r="AD99" s="305"/>
      <c r="AE99" s="306"/>
      <c r="AF99" s="310">
        <v>3</v>
      </c>
      <c r="AG99" s="310">
        <v>5</v>
      </c>
      <c r="AH99" s="312"/>
      <c r="AI99" s="313"/>
      <c r="AJ99" s="8"/>
      <c r="AK99" s="52"/>
      <c r="AL99" s="52"/>
      <c r="AM99" s="52"/>
      <c r="AN99" s="52"/>
      <c r="AO99" s="52"/>
      <c r="AP99" s="52"/>
      <c r="AQ99" s="34"/>
      <c r="AR99" s="35"/>
    </row>
    <row r="100" spans="1:44" ht="18.75" customHeight="1" thickBot="1" x14ac:dyDescent="0.25">
      <c r="A100" s="321"/>
      <c r="B100" s="339" t="s">
        <v>11</v>
      </c>
      <c r="C100" s="340"/>
      <c r="D100" s="340"/>
      <c r="E100" s="341" t="str">
        <f>AV9</f>
        <v>fj6inten2pm</v>
      </c>
      <c r="F100" s="342"/>
      <c r="G100" s="342"/>
      <c r="H100" s="342"/>
      <c r="I100" s="342"/>
      <c r="J100" s="342"/>
      <c r="K100" s="342"/>
      <c r="L100" s="343"/>
      <c r="M100" s="344"/>
      <c r="N100" s="344"/>
      <c r="O100" s="344"/>
      <c r="P100" s="344"/>
      <c r="Q100" s="363"/>
      <c r="R100" s="343"/>
      <c r="S100" s="344"/>
      <c r="T100" s="344"/>
      <c r="U100" s="344"/>
      <c r="V100" s="344"/>
      <c r="W100" s="343"/>
      <c r="X100" s="344"/>
      <c r="Y100" s="344"/>
      <c r="Z100" s="331"/>
      <c r="AA100" s="332"/>
      <c r="AB100" s="332"/>
      <c r="AC100" s="333"/>
      <c r="AD100" s="334"/>
      <c r="AE100" s="335"/>
      <c r="AF100" s="336"/>
      <c r="AG100" s="336"/>
      <c r="AH100" s="337"/>
      <c r="AI100" s="338"/>
      <c r="AJ100" s="8"/>
      <c r="AK100" s="52"/>
      <c r="AL100" s="52"/>
      <c r="AM100" s="52"/>
      <c r="AN100" s="52"/>
      <c r="AO100" s="52"/>
      <c r="AP100" s="52"/>
      <c r="AQ100" s="8"/>
      <c r="AR100" s="3"/>
    </row>
    <row r="101" spans="1:44" ht="18.75" customHeight="1" x14ac:dyDescent="0.2">
      <c r="A101" s="320" t="str">
        <f>IF($AK94&gt;4,"5","")</f>
        <v>5</v>
      </c>
      <c r="B101" s="322" t="s">
        <v>10</v>
      </c>
      <c r="C101" s="323"/>
      <c r="D101" s="323"/>
      <c r="E101" s="324" t="str">
        <f>AU12</f>
        <v>Hurricane VBC 16 Tsunami</v>
      </c>
      <c r="F101" s="325"/>
      <c r="G101" s="325"/>
      <c r="H101" s="325"/>
      <c r="I101" s="325"/>
      <c r="J101" s="325"/>
      <c r="K101" s="326"/>
      <c r="L101" s="327">
        <f>IF($AK95=0,AF153,AF135)</f>
        <v>3</v>
      </c>
      <c r="M101" s="328"/>
      <c r="N101" s="328"/>
      <c r="O101" s="328"/>
      <c r="P101" s="328"/>
      <c r="Q101" s="363"/>
      <c r="R101" s="327">
        <f>IF($AK95=0,AG153,AG135)</f>
        <v>5</v>
      </c>
      <c r="S101" s="328"/>
      <c r="T101" s="328"/>
      <c r="U101" s="328"/>
      <c r="V101" s="328"/>
      <c r="W101" s="327">
        <f>AQ113</f>
        <v>-28</v>
      </c>
      <c r="X101" s="328"/>
      <c r="Y101" s="328"/>
      <c r="Z101" s="300">
        <f>IF(AF147&gt;0,(AQ113/AF147),0)</f>
        <v>-0.14000000000000001</v>
      </c>
      <c r="AA101" s="301"/>
      <c r="AB101" s="301"/>
      <c r="AC101" s="304">
        <f>IF(AF161=0,0,(AF153/AF161))</f>
        <v>0.375</v>
      </c>
      <c r="AD101" s="305"/>
      <c r="AE101" s="306"/>
      <c r="AF101" s="310">
        <v>4</v>
      </c>
      <c r="AG101" s="310">
        <v>1</v>
      </c>
      <c r="AH101" s="312"/>
      <c r="AI101" s="313"/>
      <c r="AJ101" s="8"/>
      <c r="AK101" s="52"/>
      <c r="AL101" s="52"/>
      <c r="AM101" s="52"/>
      <c r="AN101" s="52"/>
      <c r="AO101" s="52"/>
      <c r="AP101" s="52"/>
      <c r="AQ101" s="8"/>
      <c r="AR101" s="3"/>
    </row>
    <row r="102" spans="1:44" ht="18.75" customHeight="1" thickBot="1" x14ac:dyDescent="0.25">
      <c r="A102" s="321"/>
      <c r="B102" s="316" t="s">
        <v>11</v>
      </c>
      <c r="C102" s="317"/>
      <c r="D102" s="317"/>
      <c r="E102" s="318" t="str">
        <f>AV12</f>
        <v>fj6hurrc1pm</v>
      </c>
      <c r="F102" s="319"/>
      <c r="G102" s="319"/>
      <c r="H102" s="319"/>
      <c r="I102" s="319"/>
      <c r="J102" s="319"/>
      <c r="K102" s="319"/>
      <c r="L102" s="329"/>
      <c r="M102" s="330"/>
      <c r="N102" s="330"/>
      <c r="O102" s="330"/>
      <c r="P102" s="330"/>
      <c r="Q102" s="363"/>
      <c r="R102" s="329"/>
      <c r="S102" s="330"/>
      <c r="T102" s="330"/>
      <c r="U102" s="330"/>
      <c r="V102" s="330"/>
      <c r="W102" s="329"/>
      <c r="X102" s="330"/>
      <c r="Y102" s="330"/>
      <c r="Z102" s="302"/>
      <c r="AA102" s="303"/>
      <c r="AB102" s="303"/>
      <c r="AC102" s="307"/>
      <c r="AD102" s="308"/>
      <c r="AE102" s="309"/>
      <c r="AF102" s="311"/>
      <c r="AG102" s="311"/>
      <c r="AH102" s="314"/>
      <c r="AI102" s="315"/>
      <c r="AJ102" s="8"/>
      <c r="AK102" s="52"/>
      <c r="AL102" s="52"/>
      <c r="AM102" s="52"/>
      <c r="AN102" s="52"/>
      <c r="AO102" s="52"/>
      <c r="AP102" s="52"/>
      <c r="AQ102" s="8"/>
      <c r="AR102" s="3"/>
    </row>
    <row r="103" spans="1:44" ht="21" customHeight="1" thickTop="1" thickBot="1" x14ac:dyDescent="0.25">
      <c r="A103" s="55"/>
      <c r="B103" s="297" t="s">
        <v>195</v>
      </c>
      <c r="C103" s="298"/>
      <c r="D103" s="298"/>
      <c r="E103" s="298"/>
      <c r="F103" s="298"/>
      <c r="G103" s="298"/>
      <c r="H103" s="298"/>
      <c r="I103" s="298"/>
      <c r="J103" s="298"/>
      <c r="K103" s="298"/>
      <c r="L103" s="298"/>
      <c r="M103" s="298"/>
      <c r="N103" s="298"/>
      <c r="O103" s="298"/>
      <c r="P103" s="298"/>
      <c r="Q103" s="298"/>
      <c r="R103" s="298"/>
      <c r="S103" s="298"/>
      <c r="T103" s="298"/>
      <c r="U103" s="298"/>
      <c r="V103" s="298"/>
      <c r="W103" s="298"/>
      <c r="X103" s="298"/>
      <c r="Y103" s="298"/>
      <c r="Z103" s="298"/>
      <c r="AA103" s="298"/>
      <c r="AB103" s="298"/>
      <c r="AC103" s="298"/>
      <c r="AD103" s="298"/>
      <c r="AE103" s="298"/>
      <c r="AF103" s="298"/>
      <c r="AG103" s="298"/>
      <c r="AH103" s="298"/>
      <c r="AI103" s="299"/>
      <c r="AJ103" s="8"/>
      <c r="AK103" s="52"/>
      <c r="AL103" s="52"/>
      <c r="AM103" s="52"/>
      <c r="AN103" s="52"/>
      <c r="AO103" s="52"/>
      <c r="AP103" s="52"/>
      <c r="AQ103" s="8"/>
      <c r="AR103" s="3"/>
    </row>
    <row r="104" spans="1:44" ht="13.5" thickTop="1" x14ac:dyDescent="0.2">
      <c r="A104" s="4" t="s">
        <v>60</v>
      </c>
      <c r="B104" s="286">
        <v>0.35416666666666669</v>
      </c>
      <c r="C104" s="287"/>
      <c r="D104" s="288"/>
      <c r="E104" s="286">
        <v>0.38541666666666669</v>
      </c>
      <c r="F104" s="287"/>
      <c r="G104" s="288"/>
      <c r="H104" s="286">
        <v>0.41666666666666669</v>
      </c>
      <c r="I104" s="287"/>
      <c r="J104" s="288"/>
      <c r="K104" s="286">
        <v>0.44791666666666669</v>
      </c>
      <c r="L104" s="287"/>
      <c r="M104" s="288"/>
      <c r="N104" s="286">
        <v>0.47916666666666669</v>
      </c>
      <c r="O104" s="287"/>
      <c r="P104" s="288"/>
      <c r="Q104" s="286">
        <v>0.51041666666666663</v>
      </c>
      <c r="R104" s="287"/>
      <c r="S104" s="288"/>
      <c r="T104" s="286">
        <v>4.1666666666666664E-2</v>
      </c>
      <c r="U104" s="287"/>
      <c r="V104" s="288"/>
      <c r="W104" s="286">
        <v>7.2916666666666671E-2</v>
      </c>
      <c r="X104" s="287"/>
      <c r="Y104" s="288"/>
      <c r="Z104" s="286">
        <v>0.10416666666666667</v>
      </c>
      <c r="AA104" s="287"/>
      <c r="AB104" s="288"/>
      <c r="AC104" s="286">
        <v>0.13541666666666666</v>
      </c>
      <c r="AD104" s="287"/>
      <c r="AE104" s="288"/>
      <c r="AF104" s="289" t="s">
        <v>61</v>
      </c>
      <c r="AG104" s="290"/>
      <c r="AH104" s="290"/>
      <c r="AI104" s="290"/>
      <c r="AJ104" s="291"/>
      <c r="AK104" s="291"/>
      <c r="AL104" s="291"/>
      <c r="AM104" s="291"/>
      <c r="AN104" s="291"/>
      <c r="AO104" s="291"/>
      <c r="AP104" s="291"/>
      <c r="AQ104" s="292"/>
    </row>
    <row r="105" spans="1:44" x14ac:dyDescent="0.2">
      <c r="A105" s="56" t="s">
        <v>62</v>
      </c>
      <c r="B105" s="283"/>
      <c r="C105" s="284"/>
      <c r="D105" s="285"/>
      <c r="E105" s="283"/>
      <c r="F105" s="284"/>
      <c r="G105" s="285"/>
      <c r="H105" s="283"/>
      <c r="I105" s="284"/>
      <c r="J105" s="285"/>
      <c r="K105" s="283"/>
      <c r="L105" s="284"/>
      <c r="M105" s="285"/>
      <c r="N105" s="283"/>
      <c r="O105" s="284"/>
      <c r="P105" s="285"/>
      <c r="Q105" s="283"/>
      <c r="R105" s="284"/>
      <c r="S105" s="285"/>
      <c r="T105" s="283"/>
      <c r="U105" s="284"/>
      <c r="V105" s="285"/>
      <c r="W105" s="283"/>
      <c r="X105" s="284"/>
      <c r="Y105" s="285"/>
      <c r="Z105" s="283"/>
      <c r="AA105" s="284"/>
      <c r="AB105" s="285"/>
      <c r="AC105" s="283"/>
      <c r="AD105" s="284"/>
      <c r="AE105" s="285"/>
      <c r="AF105" s="289"/>
      <c r="AG105" s="290"/>
      <c r="AH105" s="290"/>
      <c r="AI105" s="290"/>
      <c r="AJ105" s="290"/>
      <c r="AK105" s="290"/>
      <c r="AL105" s="290"/>
      <c r="AM105" s="290"/>
      <c r="AN105" s="290"/>
      <c r="AO105" s="290"/>
      <c r="AP105" s="290"/>
      <c r="AQ105" s="293"/>
    </row>
    <row r="106" spans="1:44" x14ac:dyDescent="0.2">
      <c r="A106" s="56" t="s">
        <v>63</v>
      </c>
      <c r="B106" s="283"/>
      <c r="C106" s="284"/>
      <c r="D106" s="285"/>
      <c r="E106" s="283"/>
      <c r="F106" s="284"/>
      <c r="G106" s="285"/>
      <c r="H106" s="283"/>
      <c r="I106" s="284"/>
      <c r="J106" s="285"/>
      <c r="K106" s="283"/>
      <c r="L106" s="284"/>
      <c r="M106" s="285"/>
      <c r="N106" s="283"/>
      <c r="O106" s="284"/>
      <c r="P106" s="285"/>
      <c r="Q106" s="283"/>
      <c r="R106" s="284"/>
      <c r="S106" s="285"/>
      <c r="T106" s="283"/>
      <c r="U106" s="284"/>
      <c r="V106" s="285"/>
      <c r="W106" s="283"/>
      <c r="X106" s="284"/>
      <c r="Y106" s="285"/>
      <c r="Z106" s="283"/>
      <c r="AA106" s="284"/>
      <c r="AB106" s="285"/>
      <c r="AC106" s="283"/>
      <c r="AD106" s="284"/>
      <c r="AE106" s="285"/>
      <c r="AF106" s="289"/>
      <c r="AG106" s="290"/>
      <c r="AH106" s="290"/>
      <c r="AI106" s="290"/>
      <c r="AJ106" s="290"/>
      <c r="AK106" s="290"/>
      <c r="AL106" s="290"/>
      <c r="AM106" s="290"/>
      <c r="AN106" s="290"/>
      <c r="AO106" s="290"/>
      <c r="AP106" s="290"/>
      <c r="AQ106" s="293"/>
    </row>
    <row r="107" spans="1:44" ht="13.5" thickBot="1" x14ac:dyDescent="0.25">
      <c r="A107" s="8"/>
      <c r="B107" s="173" t="s">
        <v>64</v>
      </c>
      <c r="C107" s="174"/>
      <c r="D107" s="180"/>
      <c r="E107" s="173" t="str">
        <f>IF(AK93&gt;1,"Match 2","")</f>
        <v>Match 2</v>
      </c>
      <c r="F107" s="174"/>
      <c r="G107" s="180"/>
      <c r="H107" s="173" t="str">
        <f>IF(AK93&gt;2,"Match 3","")</f>
        <v>Match 3</v>
      </c>
      <c r="I107" s="174"/>
      <c r="J107" s="180"/>
      <c r="K107" s="173" t="str">
        <f>IF(AK93&gt;3,"Match 4","")</f>
        <v>Match 4</v>
      </c>
      <c r="L107" s="174"/>
      <c r="M107" s="180"/>
      <c r="N107" s="173" t="str">
        <f>IF(AK93&gt;4,"Match 5","")</f>
        <v>Match 5</v>
      </c>
      <c r="O107" s="174"/>
      <c r="P107" s="180"/>
      <c r="Q107" s="173" t="str">
        <f>IF(AK93&gt;5,"Match 6","")</f>
        <v>Match 6</v>
      </c>
      <c r="R107" s="174"/>
      <c r="S107" s="180"/>
      <c r="T107" s="173" t="str">
        <f>IF(AK93&gt;6,"Match 7","")</f>
        <v>Match 7</v>
      </c>
      <c r="U107" s="174"/>
      <c r="V107" s="180"/>
      <c r="W107" s="173" t="str">
        <f>IF(AK93&gt;7,"Match 8","")</f>
        <v>Match 8</v>
      </c>
      <c r="X107" s="174"/>
      <c r="Y107" s="180"/>
      <c r="Z107" s="173" t="str">
        <f>IF(AK93&gt;8,"Match 9","")</f>
        <v>Match 9</v>
      </c>
      <c r="AA107" s="174"/>
      <c r="AB107" s="180"/>
      <c r="AC107" s="173" t="str">
        <f>IF(AK93&gt;9,"Match 10","")</f>
        <v>Match 10</v>
      </c>
      <c r="AD107" s="174"/>
      <c r="AE107" s="180"/>
      <c r="AF107" s="294"/>
      <c r="AG107" s="295"/>
      <c r="AH107" s="295"/>
      <c r="AI107" s="295"/>
      <c r="AJ107" s="295"/>
      <c r="AK107" s="295"/>
      <c r="AL107" s="295"/>
      <c r="AM107" s="295"/>
      <c r="AN107" s="295"/>
      <c r="AO107" s="295"/>
      <c r="AP107" s="295"/>
      <c r="AQ107" s="296"/>
    </row>
    <row r="108" spans="1:44" ht="15.75" x14ac:dyDescent="0.25">
      <c r="A108" s="8"/>
      <c r="B108" s="277" t="s">
        <v>68</v>
      </c>
      <c r="C108" s="278"/>
      <c r="D108" s="279"/>
      <c r="E108" s="277" t="s">
        <v>67</v>
      </c>
      <c r="F108" s="278"/>
      <c r="G108" s="279"/>
      <c r="H108" s="277" t="s">
        <v>65</v>
      </c>
      <c r="I108" s="278"/>
      <c r="J108" s="279"/>
      <c r="K108" s="277" t="s">
        <v>204</v>
      </c>
      <c r="L108" s="278"/>
      <c r="M108" s="279"/>
      <c r="N108" s="277" t="s">
        <v>66</v>
      </c>
      <c r="O108" s="278"/>
      <c r="P108" s="279"/>
      <c r="Q108" s="277" t="s">
        <v>65</v>
      </c>
      <c r="R108" s="278"/>
      <c r="S108" s="279"/>
      <c r="T108" s="277" t="s">
        <v>68</v>
      </c>
      <c r="U108" s="278"/>
      <c r="V108" s="279"/>
      <c r="W108" s="277" t="s">
        <v>66</v>
      </c>
      <c r="X108" s="278"/>
      <c r="Y108" s="279"/>
      <c r="Z108" s="277" t="s">
        <v>204</v>
      </c>
      <c r="AA108" s="278"/>
      <c r="AB108" s="279"/>
      <c r="AC108" s="277" t="s">
        <v>67</v>
      </c>
      <c r="AD108" s="278"/>
      <c r="AE108" s="279"/>
      <c r="AF108" s="57" t="s">
        <v>70</v>
      </c>
      <c r="AG108" s="58">
        <v>1</v>
      </c>
      <c r="AH108" s="58">
        <v>2</v>
      </c>
      <c r="AI108" s="58">
        <v>3</v>
      </c>
      <c r="AJ108" s="58">
        <v>4</v>
      </c>
      <c r="AK108" s="58">
        <v>5</v>
      </c>
      <c r="AL108" s="58">
        <v>6</v>
      </c>
      <c r="AM108" s="58">
        <v>7</v>
      </c>
      <c r="AN108" s="58">
        <v>8</v>
      </c>
      <c r="AO108" s="58">
        <v>9</v>
      </c>
      <c r="AP108" s="58">
        <v>10</v>
      </c>
      <c r="AQ108" s="59" t="s">
        <v>71</v>
      </c>
    </row>
    <row r="109" spans="1:44" ht="15.75" x14ac:dyDescent="0.25">
      <c r="A109" s="8"/>
      <c r="B109" s="61">
        <v>2</v>
      </c>
      <c r="C109" s="62" t="s">
        <v>72</v>
      </c>
      <c r="D109" s="63">
        <v>5</v>
      </c>
      <c r="E109" s="61">
        <v>1</v>
      </c>
      <c r="F109" s="62" t="str">
        <f>IF(AK93&gt;1,"v","")</f>
        <v>v</v>
      </c>
      <c r="G109" s="63">
        <v>4</v>
      </c>
      <c r="H109" s="61">
        <v>3</v>
      </c>
      <c r="I109" s="62" t="str">
        <f>IF(AK93&gt;2,"v","")</f>
        <v>v</v>
      </c>
      <c r="J109" s="63">
        <v>5</v>
      </c>
      <c r="K109" s="61">
        <v>2</v>
      </c>
      <c r="L109" s="62" t="str">
        <f>IF(AK93&gt;3,"v","")</f>
        <v>v</v>
      </c>
      <c r="M109" s="63">
        <v>4</v>
      </c>
      <c r="N109" s="61">
        <v>1</v>
      </c>
      <c r="O109" s="62" t="str">
        <f>IF(AK93&gt;4,"v","")</f>
        <v>v</v>
      </c>
      <c r="P109" s="63">
        <v>3</v>
      </c>
      <c r="Q109" s="61">
        <v>4</v>
      </c>
      <c r="R109" s="62" t="str">
        <f>IF(AK93&gt;5,"v","")</f>
        <v>v</v>
      </c>
      <c r="S109" s="63">
        <v>5</v>
      </c>
      <c r="T109" s="61">
        <v>2</v>
      </c>
      <c r="U109" s="62" t="str">
        <f>IF(AK93&gt;6,"v","")</f>
        <v>v</v>
      </c>
      <c r="V109" s="63">
        <v>3</v>
      </c>
      <c r="W109" s="61">
        <v>1</v>
      </c>
      <c r="X109" s="62" t="str">
        <f>IF(AK93&gt;7,"v","")</f>
        <v>v</v>
      </c>
      <c r="Y109" s="63">
        <v>5</v>
      </c>
      <c r="Z109" s="61">
        <v>3</v>
      </c>
      <c r="AA109" s="62" t="str">
        <f>IF(AK93&gt;8,"v","")</f>
        <v>v</v>
      </c>
      <c r="AB109" s="63">
        <v>4</v>
      </c>
      <c r="AC109" s="61">
        <v>1</v>
      </c>
      <c r="AD109" s="62" t="str">
        <f>IF(AK93&gt;9,"v","")</f>
        <v>v</v>
      </c>
      <c r="AE109" s="63">
        <v>2</v>
      </c>
      <c r="AF109" s="57" t="str">
        <f>IF(AK94&gt;0,"Team 1","")</f>
        <v>Team 1</v>
      </c>
      <c r="AG109" s="64" t="str">
        <f>IF(AK94&lt;1,"",IF(AK93&lt;1,"",IF(B109=1,B115-D115,IF(D109=1,D115-B115,""))))</f>
        <v/>
      </c>
      <c r="AH109" s="64">
        <f>IF(AK94&lt;1,"",IF(AK93&lt;2,"",IF(E109=1,E115-G115,IF(G109=1,G115-E115,""))))</f>
        <v>8</v>
      </c>
      <c r="AI109" s="64" t="str">
        <f>IF(AK94&lt;1,"",IF(AK93&lt;3,"",IF(H109=1,H115-J115,IF(J109=1,J115-H115,""))))</f>
        <v/>
      </c>
      <c r="AJ109" s="64" t="str">
        <f>IF(AK94&lt;1,"",IF(AK93&lt;4,"",IF(K109=1,K115-M115,IF(M109=1,M115-K115,""))))</f>
        <v/>
      </c>
      <c r="AK109" s="64">
        <f>IF(AK94&lt;1,"",IF(AK93&lt;5,"",IF(N109=1,N115-P115,IF(P109=1,P115-N115,""))))</f>
        <v>8</v>
      </c>
      <c r="AL109" s="64" t="str">
        <f>IF(AK94&lt;1,"",IF(AK93&lt;6,"",IF(Q109=1,Q115-S115,IF(S109=1,S115-Q115,""))))</f>
        <v/>
      </c>
      <c r="AM109" s="64" t="str">
        <f>IF(AK94&lt;1,"",IF(AK93&lt;7,"",IF(T109=1,T115-V115,IF(V109=1,V115-T115,""))))</f>
        <v/>
      </c>
      <c r="AN109" s="64">
        <f>IF(AK94&lt;1,"",IF(AK93&lt;8,"",IF(W109=1,W115-Y115,IF(Y109=1,Y115-W115,""))))</f>
        <v>6</v>
      </c>
      <c r="AO109" s="64" t="str">
        <f>IF(AK94&lt;1,"",IF(AK93&lt;9,"",IF(Z109=1,Z115-AB115,IF(AB109=1,AB115-Z115,""))))</f>
        <v/>
      </c>
      <c r="AP109" s="64">
        <f>IF(AK94&lt;1,"",IF(AK93&lt;10,"",IF(AC109=1,AC115-AE115,IF(AE109=1,AE115-AC115,""))))</f>
        <v>2</v>
      </c>
      <c r="AQ109" s="59">
        <f>SUM(AG109:AP109)</f>
        <v>24</v>
      </c>
    </row>
    <row r="110" spans="1:44" ht="15" x14ac:dyDescent="0.2">
      <c r="A110" s="4" t="s">
        <v>73</v>
      </c>
      <c r="B110" s="65">
        <v>25</v>
      </c>
      <c r="C110" s="66" t="s">
        <v>74</v>
      </c>
      <c r="D110" s="67">
        <v>16</v>
      </c>
      <c r="E110" s="65">
        <v>25</v>
      </c>
      <c r="F110" s="66" t="str">
        <f>IF(AK93&gt;1,"/","")</f>
        <v>/</v>
      </c>
      <c r="G110" s="67">
        <v>13</v>
      </c>
      <c r="H110" s="65">
        <v>25</v>
      </c>
      <c r="I110" s="66" t="str">
        <f>IF(AK93&gt;2,"/","")</f>
        <v>/</v>
      </c>
      <c r="J110" s="67">
        <v>16</v>
      </c>
      <c r="K110" s="65">
        <v>25</v>
      </c>
      <c r="L110" s="66" t="str">
        <f>IF(AK93&gt;3,"/","")</f>
        <v>/</v>
      </c>
      <c r="M110" s="67">
        <v>19</v>
      </c>
      <c r="N110" s="65">
        <v>25</v>
      </c>
      <c r="O110" s="66" t="str">
        <f>IF(AK93&gt;4,"/","")</f>
        <v>/</v>
      </c>
      <c r="P110" s="67">
        <v>20</v>
      </c>
      <c r="Q110" s="65">
        <v>19</v>
      </c>
      <c r="R110" s="66" t="str">
        <f>IF(AK93&gt;5,"/","")</f>
        <v>/</v>
      </c>
      <c r="S110" s="67">
        <v>25</v>
      </c>
      <c r="T110" s="65">
        <v>25</v>
      </c>
      <c r="U110" s="66" t="str">
        <f>IF(AK93&gt;6,"/","")</f>
        <v>/</v>
      </c>
      <c r="V110" s="67">
        <v>20</v>
      </c>
      <c r="W110" s="65">
        <v>25</v>
      </c>
      <c r="X110" s="66" t="str">
        <f>IF(AK93&gt;7,"/","")</f>
        <v>/</v>
      </c>
      <c r="Y110" s="67">
        <v>16</v>
      </c>
      <c r="Z110" s="65">
        <v>16</v>
      </c>
      <c r="AA110" s="66" t="str">
        <f>IF(AK93&gt;8,"/","")</f>
        <v>/</v>
      </c>
      <c r="AB110" s="67">
        <v>25</v>
      </c>
      <c r="AC110" s="65">
        <v>25</v>
      </c>
      <c r="AD110" s="66" t="str">
        <f>IF(AK93&gt;9,"/","")</f>
        <v>/</v>
      </c>
      <c r="AE110" s="67">
        <v>19</v>
      </c>
      <c r="AF110" s="57" t="str">
        <f>IF(AK94&gt;1,"Team 2","")</f>
        <v>Team 2</v>
      </c>
      <c r="AG110" s="64">
        <f>IF(AK94&lt;2,"",IF(AK93&lt;1,"",IF(B109=2,B115-D115,IF(D109=2,D115-B115,""))))</f>
        <v>14</v>
      </c>
      <c r="AH110" s="64" t="str">
        <f>IF(AK94&lt;2,"",IF(AK93&lt;2,"",IF(E109=2,E115-G115,IF(G109=2,G115-E115,""))))</f>
        <v/>
      </c>
      <c r="AI110" s="64" t="str">
        <f>IF(AK94&lt;2,"",IF(AK93&lt;3,"",IF(H109=2,H115-J115,IF(J109=2,J115-H115,""))))</f>
        <v/>
      </c>
      <c r="AJ110" s="64">
        <f>IF(AK94&lt;2,"",IF(AK93&lt;4,"",IF(K109=2,K115-M115,IF(M109=2,M115-K115,""))))</f>
        <v>3</v>
      </c>
      <c r="AK110" s="64" t="str">
        <f>IF(AK94&lt;2,"",IF(AK93&lt;5,"",IF(N109=2,N115-P115,IF(P109=2,P115-N115,""))))</f>
        <v/>
      </c>
      <c r="AL110" s="64" t="str">
        <f>IF(AK94&lt;2,"",IF(AK93&lt;6,"",IF(Q109=2,Q115-S115,IF(S109=2,S115-Q115,""))))</f>
        <v/>
      </c>
      <c r="AM110" s="64">
        <f>IF(AK94&lt;2,"",IF(AK93&lt;7,"",IF(T109=2,T115-V115,IF(V109=2,V115-T115,""))))</f>
        <v>0</v>
      </c>
      <c r="AN110" s="64" t="str">
        <f>IF(AK94&lt;2,"",IF(AK93&lt;8,"",IF(W109=2,W115-Y115,IF(Y109=2,Y115-W115,""))))</f>
        <v/>
      </c>
      <c r="AO110" s="64" t="str">
        <f>IF(AK94&lt;2,"",IF(AK93&lt;9,"",IF(Z109=2,Z115-AB115,IF(AB109=2,AB115-Z115,""))))</f>
        <v/>
      </c>
      <c r="AP110" s="64">
        <f>IF(AK94&lt;2,"",IF(AK93&lt;10,"",IF(AC109=2,AC115-AE115,IF(AE109=2,AE115-AC115,""))))</f>
        <v>-2</v>
      </c>
      <c r="AQ110" s="59">
        <f>SUM(AG110:AP110)</f>
        <v>15</v>
      </c>
    </row>
    <row r="111" spans="1:44" ht="15" x14ac:dyDescent="0.2">
      <c r="A111" s="3" t="str">
        <f>IF(AK92&gt;1,"Game 2","")</f>
        <v>Game 2</v>
      </c>
      <c r="B111" s="65">
        <v>25</v>
      </c>
      <c r="C111" s="66" t="s">
        <v>74</v>
      </c>
      <c r="D111" s="67">
        <v>20</v>
      </c>
      <c r="E111" s="65">
        <v>21</v>
      </c>
      <c r="F111" s="66" t="str">
        <f>IF(AK93&gt;1,IF(AK92&gt;1,"/",""),"")</f>
        <v>/</v>
      </c>
      <c r="G111" s="67">
        <v>25</v>
      </c>
      <c r="H111" s="65">
        <v>19</v>
      </c>
      <c r="I111" s="66" t="str">
        <f>IF(AK93&gt;2,IF(AK92&gt;1,"/",""),"")</f>
        <v>/</v>
      </c>
      <c r="J111" s="67">
        <v>25</v>
      </c>
      <c r="K111" s="65">
        <v>22</v>
      </c>
      <c r="L111" s="66" t="str">
        <f>IF(AK93&gt;3,IF(AK92&gt;1,"/",""),"")</f>
        <v>/</v>
      </c>
      <c r="M111" s="67">
        <v>25</v>
      </c>
      <c r="N111" s="65">
        <v>25</v>
      </c>
      <c r="O111" s="66" t="str">
        <f>IF(AK93&gt;4,IF(AK92&gt;1,"/",""),"")</f>
        <v>/</v>
      </c>
      <c r="P111" s="67">
        <v>22</v>
      </c>
      <c r="Q111" s="65">
        <v>25</v>
      </c>
      <c r="R111" s="66" t="str">
        <f>IF(AK93&gt;5,IF(AK92&gt;1,"/",""),"")</f>
        <v>/</v>
      </c>
      <c r="S111" s="67">
        <v>14</v>
      </c>
      <c r="T111" s="65">
        <v>20</v>
      </c>
      <c r="U111" s="66" t="str">
        <f>IF(AK93&gt;6,IF(AK92&gt;1,"/",""),"")</f>
        <v>/</v>
      </c>
      <c r="V111" s="67">
        <v>25</v>
      </c>
      <c r="W111" s="65">
        <v>22</v>
      </c>
      <c r="X111" s="66" t="str">
        <f>IF(AK93&gt;7,IF(AK92&gt;1,"/",""),"")</f>
        <v>/</v>
      </c>
      <c r="Y111" s="67">
        <v>25</v>
      </c>
      <c r="Z111" s="65">
        <v>23</v>
      </c>
      <c r="AA111" s="66" t="str">
        <f>IF(AK93&gt;8,IF(AK92&gt;1,"/",""),"")</f>
        <v>/</v>
      </c>
      <c r="AB111" s="67">
        <v>25</v>
      </c>
      <c r="AC111" s="65">
        <v>21</v>
      </c>
      <c r="AD111" s="66" t="str">
        <f>IF(AK93&gt;9,IF(AK92&gt;1,"/",""),"")</f>
        <v>/</v>
      </c>
      <c r="AE111" s="67">
        <v>25</v>
      </c>
      <c r="AF111" s="57" t="str">
        <f>IF(AK94&gt;2,"Team 3","")</f>
        <v>Team 3</v>
      </c>
      <c r="AG111" s="64" t="str">
        <f>IF(AK94&lt;3,"",IF(AK93&lt;1,"",IF(B109=3,B115-D115,IF(D109=3,D115-B115,""))))</f>
        <v/>
      </c>
      <c r="AH111" s="64" t="str">
        <f>IF(AK94&lt;3,"",IF(AK93&lt;2,"",IF(E109=3,E115-G115,IF(G109=3,G115-E115,""))))</f>
        <v/>
      </c>
      <c r="AI111" s="64">
        <f>IF(AK94&lt;3,"",IF(AK93&lt;3,"",IF(H109=3,H115-J115,IF(J109=3,J115-H115,""))))</f>
        <v>3</v>
      </c>
      <c r="AJ111" s="64" t="str">
        <f>IF(AK94&lt;3,"",IF(AK93&lt;4,"",IF(K109=3,K115-M115,IF(M109=3,M115-K115,""))))</f>
        <v/>
      </c>
      <c r="AK111" s="64">
        <f>IF(AK94&lt;3,"",IF(AK93&lt;5,"",IF(N109=3,N115-P115,IF(P109=3,P115-N115,""))))</f>
        <v>-8</v>
      </c>
      <c r="AL111" s="64" t="str">
        <f>IF(AK94&lt;3,"",IF(AK93&lt;6,"",IF(Q109=3,Q115-S115,IF(S109=3,S115-Q115,""))))</f>
        <v/>
      </c>
      <c r="AM111" s="64">
        <f>IF(AK94&lt;3,"",IF(AK93&lt;7,"",IF(T109=3,T115-V115,IF(V109=3,V115-T115,""))))</f>
        <v>0</v>
      </c>
      <c r="AN111" s="64" t="str">
        <f>IF(AK94&lt;3,"",IF(AK93&lt;8,"",IF(W109=3,W115-Y115,IF(Y109=3,Y115-W115,""))))</f>
        <v/>
      </c>
      <c r="AO111" s="64">
        <f>IF(AK94&lt;3,"",IF(AK93&lt;9,"",IF(Z109=3,Z115-AB115,IF(AB109=3,AB115-Z115,""))))</f>
        <v>-11</v>
      </c>
      <c r="AP111" s="64" t="str">
        <f>IF(AK94&lt;3,"",IF(AK93&lt;9,"",IF(AC109=3,AC115-AE115,IF(AE109=3,AE115-AC115,""))))</f>
        <v/>
      </c>
      <c r="AQ111" s="59">
        <f>SUM(AG111:AP111)</f>
        <v>-16</v>
      </c>
    </row>
    <row r="112" spans="1:44" ht="15" x14ac:dyDescent="0.2">
      <c r="A112" s="3" t="str">
        <f>IF(AK92&gt;2,"Game 3","")</f>
        <v/>
      </c>
      <c r="B112" s="65"/>
      <c r="C112" s="66" t="s">
        <v>74</v>
      </c>
      <c r="D112" s="67"/>
      <c r="E112" s="65"/>
      <c r="F112" s="66" t="str">
        <f>IF(AK93&gt;1,IF(AK92&gt;2,"/",""),"")</f>
        <v/>
      </c>
      <c r="G112" s="67"/>
      <c r="H112" s="65"/>
      <c r="I112" s="66" t="str">
        <f>IF(AK93&gt;2,IF(AK92&gt;2,"/",""),"")</f>
        <v/>
      </c>
      <c r="J112" s="67"/>
      <c r="K112" s="65"/>
      <c r="L112" s="66" t="str">
        <f>IF(AK93&gt;3,IF(AK92&gt;2,"/",""),"")</f>
        <v/>
      </c>
      <c r="M112" s="67"/>
      <c r="N112" s="65"/>
      <c r="O112" s="66" t="str">
        <f>IF(AK93&gt;4,IF(AK92&gt;2,"/",""),"")</f>
        <v/>
      </c>
      <c r="P112" s="67"/>
      <c r="Q112" s="65"/>
      <c r="R112" s="66" t="str">
        <f>IF(AK93&gt;5,IF(AK92&gt;2,"/",""),"")</f>
        <v/>
      </c>
      <c r="S112" s="67"/>
      <c r="T112" s="65"/>
      <c r="U112" s="66" t="str">
        <f>IF(AK93&gt;6,IF(AK92&gt;2,"/",""),"")</f>
        <v/>
      </c>
      <c r="V112" s="67"/>
      <c r="W112" s="65"/>
      <c r="X112" s="66" t="str">
        <f>IF(AK93&gt;7,IF(AK92&gt;2,"/",""),"")</f>
        <v/>
      </c>
      <c r="Y112" s="67"/>
      <c r="Z112" s="65"/>
      <c r="AA112" s="66" t="str">
        <f>IF(AK93&gt;8,IF(AK92&gt;2,"/",""),"")</f>
        <v/>
      </c>
      <c r="AB112" s="67"/>
      <c r="AC112" s="65"/>
      <c r="AD112" s="66" t="str">
        <f>IF(AK93&gt;9,IF(AK92&gt;2,"/",""),"")</f>
        <v/>
      </c>
      <c r="AE112" s="67"/>
      <c r="AF112" s="57" t="str">
        <f>IF(AK94&gt;3,"Team 4","")</f>
        <v>Team 4</v>
      </c>
      <c r="AG112" s="64" t="str">
        <f>IF(AK94&lt;4,"",IF(AK93&lt;1,"",IF(B109=4,B115-D115,IF(D109=4,D115-B115,""))))</f>
        <v/>
      </c>
      <c r="AH112" s="64">
        <f>IF(AK94&lt;4,"",IF(AK93&lt;2,"",IF(E109=4,E115-G115,IF(G109=4,G115-E115,""))))</f>
        <v>-8</v>
      </c>
      <c r="AI112" s="64" t="str">
        <f>IF(AK94&lt;4,"",IF(AK93&lt;3,"",IF(H109=4,H115-J115,IF(J109=4,J115-H115,""))))</f>
        <v/>
      </c>
      <c r="AJ112" s="64">
        <f>IF(AK94&lt;4,"",IF(AK93&lt;4,"",IF(K109=4,K115-M115,IF(M109=4,M115-K115,""))))</f>
        <v>-3</v>
      </c>
      <c r="AK112" s="64" t="str">
        <f>IF(AK94&lt;4,"",IF(AK93&lt;5,"",IF(N109=4,N115-P115,IF(P109=4,P115-N115,""))))</f>
        <v/>
      </c>
      <c r="AL112" s="64">
        <f>IF(AK94&lt;4,"",IF(AK93&lt;6,"",IF(Q109=4,Q115-S115,IF(S109=4,S115-Q115,""))))</f>
        <v>5</v>
      </c>
      <c r="AM112" s="64" t="str">
        <f>IF(AK94&lt;4,"",IF(AK93&lt;7,"",IF(T109=4,T115-V115,IF(V109=4,V115-T115,""))))</f>
        <v/>
      </c>
      <c r="AN112" s="64" t="str">
        <f>IF(AK94&lt;4,"",IF(AK93&lt;8,"",IF(W109=4,W115-Y115,IF(Y109=4,Y115-W115,""))))</f>
        <v/>
      </c>
      <c r="AO112" s="64">
        <f>IF(AK94&lt;4,"",IF(AK93&lt;9,"",IF(Z109=4,Z115-AB115,IF(AB109=4,AB115-Z115,""))))</f>
        <v>11</v>
      </c>
      <c r="AP112" s="64" t="str">
        <f>IF(AK94&lt;4,"",IF(AK93&lt;10,"",IF(AC109=4,AC115-AE115,IF(AE109=4,AE115-AC115,""))))</f>
        <v/>
      </c>
      <c r="AQ112" s="59">
        <f>SUM(AG112:AP112)</f>
        <v>5</v>
      </c>
    </row>
    <row r="113" spans="1:49" ht="15" x14ac:dyDescent="0.2">
      <c r="A113" s="3" t="str">
        <f>IF(AK92&gt;3,"Game 4","")</f>
        <v/>
      </c>
      <c r="B113" s="65"/>
      <c r="C113" s="66" t="s">
        <v>74</v>
      </c>
      <c r="D113" s="67"/>
      <c r="E113" s="65"/>
      <c r="F113" s="66" t="str">
        <f>IF(AK93&gt;1,IF(AK92&gt;3,"/",""),"")</f>
        <v/>
      </c>
      <c r="G113" s="67"/>
      <c r="H113" s="65"/>
      <c r="I113" s="66" t="str">
        <f>IF(AK93&gt;2,IF(AK92&gt;3,"/",""),"")</f>
        <v/>
      </c>
      <c r="J113" s="67"/>
      <c r="K113" s="65"/>
      <c r="L113" s="66" t="str">
        <f>IF(AK93&gt;3,IF(AK92&gt;3,"/",""),"")</f>
        <v/>
      </c>
      <c r="M113" s="67"/>
      <c r="N113" s="65"/>
      <c r="O113" s="66" t="str">
        <f>IF(AK93&gt;4,IF(AK92&gt;3,"/",""),"")</f>
        <v/>
      </c>
      <c r="P113" s="67"/>
      <c r="Q113" s="65"/>
      <c r="R113" s="66" t="str">
        <f>IF(AK93&gt;5,IF(AK92&gt;3,"/",""),"")</f>
        <v/>
      </c>
      <c r="S113" s="67"/>
      <c r="T113" s="65"/>
      <c r="U113" s="66" t="str">
        <f>IF(AK93&gt;6,IF(AK92&gt;3,"/",""),"")</f>
        <v/>
      </c>
      <c r="V113" s="67"/>
      <c r="W113" s="65"/>
      <c r="X113" s="66" t="str">
        <f>IF(AK93&gt;7,IF(AK92&gt;3,"/",""),"")</f>
        <v/>
      </c>
      <c r="Y113" s="67"/>
      <c r="Z113" s="65"/>
      <c r="AA113" s="66" t="str">
        <f>IF(AK93&gt;8,IF(AK92&gt;3,"/",""),"")</f>
        <v/>
      </c>
      <c r="AB113" s="67"/>
      <c r="AC113" s="65"/>
      <c r="AD113" s="66" t="str">
        <f>IF(AK93&gt;9,IF(AK92&gt;3,"/",""),"")</f>
        <v/>
      </c>
      <c r="AE113" s="67"/>
      <c r="AF113" s="57" t="str">
        <f>IF(AK94&gt;4,"Team 5","")</f>
        <v>Team 5</v>
      </c>
      <c r="AG113" s="68">
        <f>IF(AK94&lt;5,"",IF(AK93&lt;1,"",IF(B109=5,B115-D115,IF(D109=5,D115-B115,""))))</f>
        <v>-14</v>
      </c>
      <c r="AH113" s="64" t="str">
        <f>IF(AK94&lt;5,"",IF(AK93&lt;2,"",IF(E109=5,E115-G115,IF(G109=5,G115-E115,""))))</f>
        <v/>
      </c>
      <c r="AI113" s="64">
        <f>IF(AK94&lt;5,"",IF(AK93&lt;3,"",IF(H109=5,H115-J115,IF(J109=5,J115-H115,""))))</f>
        <v>-3</v>
      </c>
      <c r="AJ113" s="64" t="str">
        <f>IF(AK94&lt;5,"",IF(AK93&lt;4,"",IF(K109=5,K115-M115,IF(M109=5,M115-K115,""))))</f>
        <v/>
      </c>
      <c r="AK113" s="64" t="str">
        <f>IF(AK94&lt;5,"",IF(AK93&lt;5,"",IF(N109=5,N115-P115,IF(P109=5,P115-N115,""))))</f>
        <v/>
      </c>
      <c r="AL113" s="64">
        <f>IF(AK94&lt;5,"",IF(AK93&lt;6,"",IF(Q109=5,Q115-S115,IF(S109=5,S115-Q115,""))))</f>
        <v>-5</v>
      </c>
      <c r="AM113" s="64" t="str">
        <f>IF(AK94&lt;5,"",IF(AK93&lt;7,"",IF(T109=5,T115-V115,IF(V109=5,V115-T115,""))))</f>
        <v/>
      </c>
      <c r="AN113" s="64">
        <f>IF(AK94&lt;5,"",IF(AK93&lt;8,"",IF(W109=5,W115-Y115,IF(Y109=5,Y115-W115,""))))</f>
        <v>-6</v>
      </c>
      <c r="AO113" s="64" t="str">
        <f>IF(AK94&lt;5,"",IF(AK93&lt;9,"",IF(Z109=5,Z115-AB115,IF(AB109=5,AB115-Z115,""))))</f>
        <v/>
      </c>
      <c r="AP113" s="64" t="str">
        <f>IF(AK94&lt;5,"",IF(AK93&lt;10,"",IF(AC109=5,AC115-AE115,IF(AE109=5,AE115-AC115,""))))</f>
        <v/>
      </c>
      <c r="AQ113" s="59">
        <f>SUM(AG113:AP113)</f>
        <v>-28</v>
      </c>
    </row>
    <row r="114" spans="1:49" ht="15" x14ac:dyDescent="0.2">
      <c r="A114" s="3" t="str">
        <f>IF(AK92&gt;4,"Game 5","")</f>
        <v/>
      </c>
      <c r="B114" s="65"/>
      <c r="C114" s="66" t="s">
        <v>74</v>
      </c>
      <c r="D114" s="67"/>
      <c r="E114" s="65"/>
      <c r="F114" s="66" t="str">
        <f>IF(AK93&gt;1,IF(AK92&gt;4,"/",""),"")</f>
        <v/>
      </c>
      <c r="G114" s="67"/>
      <c r="H114" s="65"/>
      <c r="I114" s="66" t="str">
        <f>IF(AK93&gt;2,IF(AK92&gt;4,"/",""),"")</f>
        <v/>
      </c>
      <c r="J114" s="67"/>
      <c r="K114" s="65"/>
      <c r="L114" s="66" t="str">
        <f>IF(AK93&gt;3,IF(AK92&gt;4,"/",""),"")</f>
        <v/>
      </c>
      <c r="M114" s="67"/>
      <c r="N114" s="65"/>
      <c r="O114" s="66" t="str">
        <f>IF(AK93&gt;4,IF(AK92&gt;4,"/",""),"")</f>
        <v/>
      </c>
      <c r="P114" s="67"/>
      <c r="Q114" s="65"/>
      <c r="R114" s="66" t="str">
        <f>IF(AK93&gt;5,IF(AK92&gt;4,"/",""),"")</f>
        <v/>
      </c>
      <c r="S114" s="67"/>
      <c r="T114" s="65"/>
      <c r="U114" s="66" t="str">
        <f>IF(AK93&gt;6,IF(AK92&gt;4,"/",""),"")</f>
        <v/>
      </c>
      <c r="V114" s="67"/>
      <c r="W114" s="65"/>
      <c r="X114" s="66" t="str">
        <f>IF(AK93&gt;7,IF(AK92&gt;4,"/",""),"")</f>
        <v/>
      </c>
      <c r="Y114" s="67"/>
      <c r="Z114" s="65"/>
      <c r="AA114" s="66" t="str">
        <f>IF(AK93&gt;8,IF(AK92&gt;4,"/",""),"")</f>
        <v/>
      </c>
      <c r="AB114" s="67"/>
      <c r="AC114" s="65"/>
      <c r="AD114" s="66" t="str">
        <f>IF(AK93&gt;9,IF(AK92&gt;4,"/",""),"")</f>
        <v/>
      </c>
      <c r="AE114" s="67"/>
      <c r="AF114" s="8"/>
      <c r="AG114" s="8"/>
      <c r="AH114" s="8"/>
      <c r="AI114" s="8"/>
      <c r="AJ114" s="8"/>
      <c r="AK114" s="8"/>
      <c r="AL114" s="8"/>
      <c r="AM114" s="8"/>
      <c r="AN114" s="8"/>
      <c r="AO114" s="8"/>
      <c r="AP114" s="8"/>
      <c r="AQ114" s="8"/>
    </row>
    <row r="115" spans="1:49" hidden="1" x14ac:dyDescent="0.2">
      <c r="A115" s="69"/>
      <c r="B115" s="69">
        <f>IF($AK92=5,SUM(B110:B114),IF($AK92=4,SUM(B110:B113),IF($AK92=3,SUM(B110:B112),IF($AK92=2,SUM(B110:B111),B110))))</f>
        <v>50</v>
      </c>
      <c r="C115" s="69"/>
      <c r="D115" s="69">
        <f>IF($AK92=5,SUM(D110:D114),IF($AK92=4,SUM(D110:D113),IF($AK92=3,SUM(D110:D112),IF($AK92=2,SUM(D110:D111),D110))))</f>
        <v>36</v>
      </c>
      <c r="E115" s="69">
        <f>IF($AK92=5,SUM(E110:E114),IF($AK92=4,SUM(E110:E113),IF($AK92=3,SUM(E110:E112),IF($AK92=2,SUM(E110:E111),E110))))</f>
        <v>46</v>
      </c>
      <c r="F115" s="69"/>
      <c r="G115" s="69">
        <f>IF($AK92=5,SUM(G110:G114),IF($AK92=4,SUM(G110:G113),IF($AK92=3,SUM(G110:G112),IF($AK92=2,SUM(G110:G111),G110))))</f>
        <v>38</v>
      </c>
      <c r="H115" s="69">
        <f>IF($AK92=5,SUM(H110:H114),IF($AK92=4,SUM(H110:H113),IF($AK92=3,SUM(H110:H112),IF($AK92=2,SUM(H110:H111),H110))))</f>
        <v>44</v>
      </c>
      <c r="I115" s="69"/>
      <c r="J115" s="69">
        <f>IF($AK92=5,SUM(J110:J114),IF($AK92=4,SUM(J110:J113),IF($AK92=3,SUM(J110:J112),IF($AK92=2,SUM(J110:J111),J110))))</f>
        <v>41</v>
      </c>
      <c r="K115" s="69">
        <f>IF($AK92=5,SUM(K110:K114),IF($AK92=4,SUM(K110:K113),IF($AK92=3,SUM(K110:K112),IF($AK92=2,SUM(K110:K111),K110))))</f>
        <v>47</v>
      </c>
      <c r="L115" s="69"/>
      <c r="M115" s="69">
        <f>IF($AK92=5,SUM(M110:M114),IF($AK92=4,SUM(M110:M113),IF($AK92=3,SUM(M110:M112),IF($AK92=2,SUM(M110:M111),M110))))</f>
        <v>44</v>
      </c>
      <c r="N115" s="69">
        <f>IF($AK92=5,SUM(N110:N114),IF($AK92=4,SUM(N110:N113),IF($AK92=3,SUM(N110:N112),IF($AK92=2,SUM(N110:N111),N110))))</f>
        <v>50</v>
      </c>
      <c r="O115" s="69"/>
      <c r="P115" s="69">
        <f>IF($AK92=5,SUM(P110:P114),IF($AK92=4,SUM(P110:P113),IF($AK92=3,SUM(P110:P112),IF($AK92=2,SUM(P110:P111),P110))))</f>
        <v>42</v>
      </c>
      <c r="Q115" s="69">
        <f>IF($AK92=5,SUM(Q110:Q114),IF($AK92=4,SUM(Q110:Q113),IF($AK92=3,SUM(Q110:Q112),IF($AK92=2,SUM(Q110:Q111),Q110))))</f>
        <v>44</v>
      </c>
      <c r="R115" s="69"/>
      <c r="S115" s="69">
        <f>IF($AK92=5,SUM(S110:S114),IF($AK92=4,SUM(S110:S113),IF($AK92=3,SUM(S110:S112),IF($AK92=2,SUM(S110:S111),S110))))</f>
        <v>39</v>
      </c>
      <c r="T115" s="69">
        <f>IF($AK92=5,SUM(T110:T114),IF($AK92=4,SUM(T110:T113),IF($AK92=3,SUM(T110:T112),IF($AK92=2,SUM(T110:T111),T110))))</f>
        <v>45</v>
      </c>
      <c r="U115" s="69"/>
      <c r="V115" s="69">
        <f>IF($AK92=5,SUM(V110:V114),IF($AK92=4,SUM(V110:V113),IF($AK92=3,SUM(V110:V112),IF($AK92=2,SUM(V110:V111),V110))))</f>
        <v>45</v>
      </c>
      <c r="W115" s="69">
        <f>IF($AK92=5,SUM(W110:W114),IF($AK92=4,SUM(W110:W113),IF($AK92=3,SUM(W110:W112),IF($AK92=2,SUM(W110:W111),W110))))</f>
        <v>47</v>
      </c>
      <c r="X115" s="69"/>
      <c r="Y115" s="69">
        <f>IF($AK92=5,SUM(Y110:Y114),IF($AK92=4,SUM(Y110:Y113),IF($AK92=3,SUM(Y110:Y112),IF($AK92=2,SUM(Y110:Y111),Y110))))</f>
        <v>41</v>
      </c>
      <c r="Z115" s="69">
        <f>IF($AK92=5,SUM(Z110:Z114),IF($AK92=4,SUM(Z110:Z113),IF($AK92=3,SUM(Z110:Z112),IF($AK92=2,SUM(Z110:Z111),Z110))))</f>
        <v>39</v>
      </c>
      <c r="AA115" s="69"/>
      <c r="AB115" s="69">
        <f>IF($AK92=5,SUM(AB110:AB114),IF($AK92=4,SUM(AB110:AB113),IF($AK92=3,SUM(AB110:AB112),IF($AK92=2,SUM(AB110:AB111),AB110))))</f>
        <v>50</v>
      </c>
      <c r="AC115" s="69">
        <f>IF($AK92=5,SUM(AC110:AC114),IF($AK92=4,SUM(AC110:AC113),IF($AK92=3,SUM(AC110:AC112),IF($AK92=2,SUM(AC110:AC111),AC110))))</f>
        <v>46</v>
      </c>
      <c r="AD115" s="69"/>
      <c r="AE115" s="69">
        <f>IF($AK92=5,SUM(AE110:AE114),IF($AK92=4,SUM(AE110:AE113),IF($AK92=3,SUM(AE110:AE112),IF($AK92=2,SUM(AE110:AE111),AE110))))</f>
        <v>44</v>
      </c>
      <c r="AF115" s="8"/>
      <c r="AG115" s="8"/>
      <c r="AH115" s="8"/>
      <c r="AI115" s="8"/>
      <c r="AJ115" s="8"/>
      <c r="AK115" s="8"/>
      <c r="AL115" s="8"/>
      <c r="AM115" s="8"/>
      <c r="AN115" s="8"/>
      <c r="AO115" s="8"/>
      <c r="AP115" s="8"/>
      <c r="AQ115" s="8"/>
    </row>
    <row r="116" spans="1:49" s="70" customFormat="1" ht="12.75" hidden="1" customHeight="1" x14ac:dyDescent="0.2">
      <c r="A116" s="70" t="s">
        <v>75</v>
      </c>
      <c r="B116" s="71">
        <f>IF(AND(B110&gt;D110,$AK93&gt;0,ISNUMBER(B110),ISNUMBER(D110)),1,0)</f>
        <v>1</v>
      </c>
      <c r="C116" s="71"/>
      <c r="D116" s="72">
        <f>IF(AND(D110&gt;B110,$AK93&gt;0,ISNUMBER(B110),ISNUMBER(D110)),1,0)</f>
        <v>0</v>
      </c>
      <c r="E116" s="71">
        <f>IF(AND(E110&gt;G110,$AK93&gt;1,ISNUMBER(E110),ISNUMBER(G110)),1,0)</f>
        <v>1</v>
      </c>
      <c r="F116" s="71"/>
      <c r="G116" s="72">
        <f>IF(AND(G110&gt;E110,$AK93&gt;1,ISNUMBER(E110),ISNUMBER(G110)),1,0)</f>
        <v>0</v>
      </c>
      <c r="H116" s="71">
        <f>IF(AND(H110&gt;J110,$AK93&gt;2,ISNUMBER(H110),ISNUMBER(J110)),1,0)</f>
        <v>1</v>
      </c>
      <c r="I116" s="71"/>
      <c r="J116" s="72">
        <f>IF(AND(J110&gt;H110,$AK93&gt;2,ISNUMBER(H110),ISNUMBER(J110)),1,0)</f>
        <v>0</v>
      </c>
      <c r="K116" s="71">
        <f>IF(AND(K110&gt;M110,$AK93&gt;3,ISNUMBER(K110),ISNUMBER(M110)),1,0)</f>
        <v>1</v>
      </c>
      <c r="L116" s="71"/>
      <c r="M116" s="72">
        <f>IF(AND(M110&gt;K110,$AK93&gt;3,ISNUMBER(K110),ISNUMBER(M110)),1,0)</f>
        <v>0</v>
      </c>
      <c r="N116" s="71">
        <f>IF(AND(N110&gt;P110,$AK93&gt;4,ISNUMBER(N110),ISNUMBER(P110)),1,0)</f>
        <v>1</v>
      </c>
      <c r="O116" s="71"/>
      <c r="P116" s="72">
        <f>IF(AND(P110&gt;N110,$AK93&gt;4,ISNUMBER(N110),ISNUMBER(P110)),1,0)</f>
        <v>0</v>
      </c>
      <c r="Q116" s="71">
        <f>IF(AND(Q110&gt;S110,$AK93&gt;5,ISNUMBER(Q110),ISNUMBER(S110)),1,0)</f>
        <v>0</v>
      </c>
      <c r="R116" s="71"/>
      <c r="S116" s="72">
        <f>IF(AND(S110&gt;Q110,$AK93&gt;5,ISNUMBER(Q110),ISNUMBER(S110)),1,0)</f>
        <v>1</v>
      </c>
      <c r="T116" s="71">
        <f>IF(AND(T110&gt;V110,$AK93&gt;6,ISNUMBER(T110),ISNUMBER(V110)),1,0)</f>
        <v>1</v>
      </c>
      <c r="U116" s="71"/>
      <c r="V116" s="72">
        <f>IF(AND(V110&gt;T110,$AK93&gt;6,ISNUMBER(T110),ISNUMBER(V110)),1,0)</f>
        <v>0</v>
      </c>
      <c r="W116" s="71">
        <f>IF(AND(W110&gt;Y110,$AK93&gt;7,ISNUMBER(W110),ISNUMBER(Y110)),1,0)</f>
        <v>1</v>
      </c>
      <c r="X116" s="71"/>
      <c r="Y116" s="72">
        <f>IF(AND(Y110&gt;W110,$AK93&gt;7,ISNUMBER(W110),ISNUMBER(Y110)),1,0)</f>
        <v>0</v>
      </c>
      <c r="Z116" s="71">
        <f>IF(AND(Z110&gt;AB110,$AK93&gt;8,ISNUMBER(Z110),ISNUMBER(AB110)),1,0)</f>
        <v>0</v>
      </c>
      <c r="AA116" s="71"/>
      <c r="AB116" s="72">
        <f>IF(AND(AB110&gt;Z110,$AK93&gt;8,ISNUMBER(Z110),ISNUMBER(AB110)),1,0)</f>
        <v>1</v>
      </c>
      <c r="AC116" s="71">
        <f>IF(AND(AC110&gt;AE110,$AK93&gt;9,ISNUMBER(AC110),ISNUMBER(AE110)),1,0)</f>
        <v>1</v>
      </c>
      <c r="AD116" s="71"/>
      <c r="AE116" s="72">
        <f>IF(AND(AE110&gt;AC110,$AK93&gt;9,ISNUMBER(AC110),ISNUMBER(AE110)),1,0)</f>
        <v>0</v>
      </c>
      <c r="AW116" s="154"/>
    </row>
    <row r="117" spans="1:49" s="70" customFormat="1" ht="12.75" hidden="1" customHeight="1" x14ac:dyDescent="0.2">
      <c r="A117" s="70" t="s">
        <v>76</v>
      </c>
      <c r="B117" s="71">
        <f>IF(AND(B111&gt;D111,$AK93&gt;0,$AK92&gt;1,ISNUMBER(B111),ISNUMBER(D111)),1,0)</f>
        <v>1</v>
      </c>
      <c r="C117" s="71"/>
      <c r="D117" s="72">
        <f>IF(AND(D111&gt;B111,$AK93&gt;0,$AK92&gt;1,ISNUMBER(B111),ISNUMBER(D111)),1,0)</f>
        <v>0</v>
      </c>
      <c r="E117" s="71">
        <f>IF(AND(E111&gt;G111,$AK93&gt;1,$AK92&gt;1,ISNUMBER(E111),ISNUMBER(G111)),1,0)</f>
        <v>0</v>
      </c>
      <c r="F117" s="71"/>
      <c r="G117" s="72">
        <f>IF(AND(G111&gt;E111,$AK93&gt;1,$AK92&gt;1,ISNUMBER(E111),ISNUMBER(G111)),1,0)</f>
        <v>1</v>
      </c>
      <c r="H117" s="71">
        <f>IF(AND(H111&gt;J111,$AK93&gt;2,$AK92&gt;1,ISNUMBER(H111),ISNUMBER(J111)),1,0)</f>
        <v>0</v>
      </c>
      <c r="I117" s="71"/>
      <c r="J117" s="72">
        <f>IF(AND(J111&gt;H111,$AK93&gt;2,$AK92&gt;1,ISNUMBER(H111),ISNUMBER(J111)),1,0)</f>
        <v>1</v>
      </c>
      <c r="K117" s="71">
        <f>IF(AND(K111&gt;M111,$AK93&gt;3,$AK92&gt;1,ISNUMBER(K111),ISNUMBER(M111)),1,0)</f>
        <v>0</v>
      </c>
      <c r="L117" s="71"/>
      <c r="M117" s="72">
        <f>IF(AND(M111&gt;K111,$AK93&gt;3,$AK92&gt;1,ISNUMBER(K111),ISNUMBER(M111)),1,0)</f>
        <v>1</v>
      </c>
      <c r="N117" s="71">
        <f>IF(AND(N111&gt;P111,$AK93&gt;4,$AK92&gt;1,ISNUMBER(N111),ISNUMBER(P111)),1,0)</f>
        <v>1</v>
      </c>
      <c r="O117" s="71"/>
      <c r="P117" s="72">
        <f>IF(AND(P111&gt;N111,$AK93&gt;4,$AK92&gt;1,ISNUMBER(N111),ISNUMBER(P111)),1,0)</f>
        <v>0</v>
      </c>
      <c r="Q117" s="71">
        <f>IF(AND(Q111&gt;S111,$AK93&gt;5,$AK92&gt;1,ISNUMBER(Q111),ISNUMBER(S111)),1,0)</f>
        <v>1</v>
      </c>
      <c r="R117" s="71"/>
      <c r="S117" s="72">
        <f>IF(AND(S111&gt;Q111,$AK93&gt;5,$AK92&gt;1,ISNUMBER(Q111),ISNUMBER(S111)),1,0)</f>
        <v>0</v>
      </c>
      <c r="T117" s="71">
        <f>IF(AND(T111&gt;V111,$AK93&gt;6,$AK92&gt;1,ISNUMBER(T111),ISNUMBER(V111)),1,0)</f>
        <v>0</v>
      </c>
      <c r="U117" s="71"/>
      <c r="V117" s="72">
        <f>IF(AND(V111&gt;T111,$AK93&gt;6,$AK92&gt;1,ISNUMBER(T111),ISNUMBER(V111)),1,0)</f>
        <v>1</v>
      </c>
      <c r="W117" s="71">
        <f>IF(AND(W111&gt;Y111,$AK93&gt;7,$AK92&gt;1,ISNUMBER(W111),ISNUMBER(Y111)),1,0)</f>
        <v>0</v>
      </c>
      <c r="X117" s="71"/>
      <c r="Y117" s="72">
        <f>IF(AND(Y111&gt;W111,$AK93&gt;7,$AK92&gt;1,ISNUMBER(W111),ISNUMBER(Y111)),1,0)</f>
        <v>1</v>
      </c>
      <c r="Z117" s="71">
        <f>IF(AND(Z111&gt;AB111,$AK93&gt;8,$AK92&gt;1,ISNUMBER(Z111),ISNUMBER(AB111)),1,0)</f>
        <v>0</v>
      </c>
      <c r="AA117" s="71"/>
      <c r="AB117" s="72">
        <f>IF(AND(AB111&gt;Z111,$AK93&gt;8,$AK92&gt;1,ISNUMBER(Z111),ISNUMBER(AB111)),1,0)</f>
        <v>1</v>
      </c>
      <c r="AC117" s="71">
        <f>IF(AND(AC111&gt;AE111,$AK93&gt;9,$AK92&gt;1,ISNUMBER(AC111),ISNUMBER(AE111)),1,0)</f>
        <v>0</v>
      </c>
      <c r="AD117" s="71"/>
      <c r="AE117" s="72">
        <f>IF(AND(AE111&gt;AC111,$AK93&gt;9,$AK92&gt;1,ISNUMBER(AC111),ISNUMBER(AE111)),1,0)</f>
        <v>1</v>
      </c>
      <c r="AW117" s="154"/>
    </row>
    <row r="118" spans="1:49" s="70" customFormat="1" ht="12.75" hidden="1" customHeight="1" x14ac:dyDescent="0.2">
      <c r="A118" s="70" t="s">
        <v>77</v>
      </c>
      <c r="B118" s="71">
        <f>IF(AND(B112&gt;D112,$AK93&gt;0,$AK92&gt;2,ISNUMBER(B112),ISNUMBER(D112)),1,0)</f>
        <v>0</v>
      </c>
      <c r="C118" s="71"/>
      <c r="D118" s="72">
        <f>IF(AND(D112&gt;B112,$AK93&gt;0,$AK92&gt;2,ISNUMBER(B112),ISNUMBER(D112)),1,0)</f>
        <v>0</v>
      </c>
      <c r="E118" s="71">
        <f>IF(AND(E112&gt;G112,$AK93&gt;1,$AK92&gt;2,ISNUMBER(E112),ISNUMBER(G112)),1,0)</f>
        <v>0</v>
      </c>
      <c r="F118" s="71"/>
      <c r="G118" s="72">
        <f>IF(AND(G112&gt;E112,$AK93&gt;1,$AK92&gt;2,ISNUMBER(E112),ISNUMBER(G112)),1,0)</f>
        <v>0</v>
      </c>
      <c r="H118" s="71">
        <f>IF(AND(H112&gt;J112,$AK93&gt;2,$AK92&gt;2,ISNUMBER(H112),ISNUMBER(J112)),1,0)</f>
        <v>0</v>
      </c>
      <c r="I118" s="71"/>
      <c r="J118" s="72">
        <f>IF(AND(J112&gt;H112,$AK93&gt;2,$AK92&gt;2,ISNUMBER(H112),ISNUMBER(J112)),1,0)</f>
        <v>0</v>
      </c>
      <c r="K118" s="71">
        <f>IF(AND(K112&gt;M112,$AK93&gt;3,$AK92&gt;2,ISNUMBER(K112),ISNUMBER(M112)),1,0)</f>
        <v>0</v>
      </c>
      <c r="L118" s="71"/>
      <c r="M118" s="72">
        <f>IF(AND(M112&gt;K112,$AK93&gt;3,$AK92&gt;2,ISNUMBER(K112),ISNUMBER(M112)),1,0)</f>
        <v>0</v>
      </c>
      <c r="N118" s="71">
        <f>IF(AND(N112&gt;P112,$AK93&gt;4,$AK92&gt;2,ISNUMBER(N112),ISNUMBER(P112)),1,0)</f>
        <v>0</v>
      </c>
      <c r="O118" s="71"/>
      <c r="P118" s="72">
        <f>IF(AND(P112&gt;N112,$AK93&gt;4,$AK92&gt;2,ISNUMBER(N112),ISNUMBER(P112)),1,0)</f>
        <v>0</v>
      </c>
      <c r="Q118" s="71">
        <f>IF(AND(Q112&gt;S112,$AK93&gt;5,$AK92&gt;2,ISNUMBER(Q112),ISNUMBER(S112)),1,0)</f>
        <v>0</v>
      </c>
      <c r="R118" s="71"/>
      <c r="S118" s="72">
        <f>IF(AND(S112&gt;Q112,$AK93&gt;5,$AK92&gt;2,ISNUMBER(Q112),ISNUMBER(S112)),1,0)</f>
        <v>0</v>
      </c>
      <c r="T118" s="71">
        <f>IF(AND(T112&gt;V112,$AK93&gt;6,$AK92&gt;2,ISNUMBER(T112),ISNUMBER(V112)),1,0)</f>
        <v>0</v>
      </c>
      <c r="U118" s="71"/>
      <c r="V118" s="72">
        <f>IF(AND(V112&gt;T112,$AK93&gt;6,$AK92&gt;2,ISNUMBER(T112),ISNUMBER(V112)),1,0)</f>
        <v>0</v>
      </c>
      <c r="W118" s="71">
        <f>IF(AND(W112&gt;Y112,$AK93&gt;7,$AK92&gt;2,ISNUMBER(W112),ISNUMBER(Y112)),1,0)</f>
        <v>0</v>
      </c>
      <c r="X118" s="71"/>
      <c r="Y118" s="72">
        <f>IF(AND(Y112&gt;W112,$AK93&gt;7,$AK92&gt;2,ISNUMBER(W112),ISNUMBER(Y112)),1,0)</f>
        <v>0</v>
      </c>
      <c r="Z118" s="71">
        <f>IF(AND(Z112&gt;AB112,$AK93&gt;8,$AK92&gt;2,ISNUMBER(Z112),ISNUMBER(AB112)),1,0)</f>
        <v>0</v>
      </c>
      <c r="AA118" s="71"/>
      <c r="AB118" s="72">
        <f>IF(AND(AB112&gt;Z112,$AK93&gt;8,$AK92&gt;2,ISNUMBER(Z112),ISNUMBER(AB112)),1,0)</f>
        <v>0</v>
      </c>
      <c r="AC118" s="71">
        <f>IF(AND(AC112&gt;AE112,$AK93&gt;9,$AK92&gt;2,ISNUMBER(AC112),ISNUMBER(AE112)),1,0)</f>
        <v>0</v>
      </c>
      <c r="AD118" s="71"/>
      <c r="AE118" s="72">
        <f>IF(AND(AE112&gt;AC112,$AK93&gt;9,$AK92&gt;2,ISNUMBER(AC112),ISNUMBER(AE112)),1,0)</f>
        <v>0</v>
      </c>
      <c r="AW118" s="154"/>
    </row>
    <row r="119" spans="1:49" s="70" customFormat="1" ht="12.75" hidden="1" customHeight="1" x14ac:dyDescent="0.2">
      <c r="A119" s="70" t="s">
        <v>78</v>
      </c>
      <c r="B119" s="71">
        <f>IF(AND(B113&gt;D113,$AK93&gt;0,$AK92&gt;3,ISNUMBER(B113),ISNUMBER(D113)),1,0)</f>
        <v>0</v>
      </c>
      <c r="C119" s="71"/>
      <c r="D119" s="72">
        <f>IF(AND(D113&gt;B113,$AK93&gt;0,$AK92&gt;3,ISNUMBER(B113),ISNUMBER(D113)),1,0)</f>
        <v>0</v>
      </c>
      <c r="E119" s="71">
        <f>IF(AND(E113&gt;G113,$AK93&gt;1,$AK92&gt;3,ISNUMBER(E113),ISNUMBER(G113)),1,0)</f>
        <v>0</v>
      </c>
      <c r="F119" s="71"/>
      <c r="G119" s="72">
        <f>IF(AND(G113&gt;E113,$AK93&gt;1,$AK92&gt;3,ISNUMBER(E113),ISNUMBER(G113)),1,0)</f>
        <v>0</v>
      </c>
      <c r="H119" s="71">
        <f>IF(AND(H113&gt;J113,$AK93&gt;2,$AK92&gt;3,ISNUMBER(H113),ISNUMBER(J113)),1,0)</f>
        <v>0</v>
      </c>
      <c r="I119" s="71"/>
      <c r="J119" s="72">
        <f>IF(AND(J113&gt;H113,$AK93&gt;2,$AK92&gt;3,ISNUMBER(H113),ISNUMBER(J113)),1,0)</f>
        <v>0</v>
      </c>
      <c r="K119" s="71">
        <f>IF(AND(K113&gt;M113,$AK93&gt;3,$AK92&gt;3,ISNUMBER(K113),ISNUMBER(M113)),1,0)</f>
        <v>0</v>
      </c>
      <c r="L119" s="71"/>
      <c r="M119" s="72">
        <f>IF(AND(M113&gt;K113,$AK93&gt;3,$AK92&gt;3,ISNUMBER(K113),ISNUMBER(M113)),1,0)</f>
        <v>0</v>
      </c>
      <c r="N119" s="71">
        <f>IF(AND(N113&gt;P113,$AK93&gt;4,$AK92&gt;3,ISNUMBER(N113),ISNUMBER(P113)),1,0)</f>
        <v>0</v>
      </c>
      <c r="O119" s="71"/>
      <c r="P119" s="72">
        <f>IF(AND(P113&gt;N113,$AK93&gt;4,$AK92&gt;3,ISNUMBER(N113),ISNUMBER(P113)),1,0)</f>
        <v>0</v>
      </c>
      <c r="Q119" s="71">
        <f>IF(AND(Q113&gt;S113,$AK93&gt;5,$AK92&gt;3,ISNUMBER(Q113),ISNUMBER(S113)),1,0)</f>
        <v>0</v>
      </c>
      <c r="R119" s="71"/>
      <c r="S119" s="72">
        <f>IF(AND(S113&gt;Q113,$AK93&gt;5,$AK92&gt;3,ISNUMBER(Q113),ISNUMBER(S113)),1,0)</f>
        <v>0</v>
      </c>
      <c r="T119" s="71">
        <f>IF(AND(T113&gt;V113,$AK93&gt;6,$AK92&gt;3,ISNUMBER(T113),ISNUMBER(V113)),1,0)</f>
        <v>0</v>
      </c>
      <c r="U119" s="71"/>
      <c r="V119" s="72">
        <f>IF(AND(V113&gt;T113,$AK93&gt;6,$AK92&gt;3,ISNUMBER(T113),ISNUMBER(V113)),1,0)</f>
        <v>0</v>
      </c>
      <c r="W119" s="71">
        <f>IF(AND(W113&gt;Y113,$AK93&gt;7,$AK92&gt;3,ISNUMBER(W113),ISNUMBER(Y113)),1,0)</f>
        <v>0</v>
      </c>
      <c r="X119" s="71"/>
      <c r="Y119" s="72">
        <f>IF(AND(Y113&gt;W113,$AK93&gt;7,$AK92&gt;3,ISNUMBER(W113),ISNUMBER(Y113)),1,0)</f>
        <v>0</v>
      </c>
      <c r="Z119" s="71">
        <f>IF(AND(Z113&gt;AB113,$AK93&gt;8,$AK92&gt;3,ISNUMBER(Z113),ISNUMBER(AB113)),1,0)</f>
        <v>0</v>
      </c>
      <c r="AA119" s="71"/>
      <c r="AB119" s="72">
        <f>IF(AND(AB113&gt;Z113,$AK93&gt;8,$AK92&gt;3,ISNUMBER(Z113),ISNUMBER(AB113)),1,0)</f>
        <v>0</v>
      </c>
      <c r="AC119" s="71">
        <f>IF(AND(AC113&gt;AE113,$AK93&gt;9,$AK92&gt;3,ISNUMBER(AC113),ISNUMBER(AE113)),1,0)</f>
        <v>0</v>
      </c>
      <c r="AD119" s="71"/>
      <c r="AE119" s="72">
        <f>IF(AND(AE113&gt;AC113,$AK93&gt;9,$AK92&gt;3,ISNUMBER(AC113),ISNUMBER(AE113)),1,0)</f>
        <v>0</v>
      </c>
      <c r="AW119" s="154"/>
    </row>
    <row r="120" spans="1:49" s="70" customFormat="1" ht="12.75" hidden="1" customHeight="1" x14ac:dyDescent="0.2">
      <c r="A120" s="70" t="s">
        <v>79</v>
      </c>
      <c r="B120" s="71">
        <f>IF(AND(B114&gt;D114,$AK93&gt;0,$AK92&gt;4,ISNUMBER(B114),ISNUMBER(D114)),1,0)</f>
        <v>0</v>
      </c>
      <c r="C120" s="71"/>
      <c r="D120" s="72">
        <f>IF(AND(D114&gt;B114,$AK93&gt;0,$AK92&gt;4,ISNUMBER(B114),ISNUMBER(D114)),1,0)</f>
        <v>0</v>
      </c>
      <c r="E120" s="71">
        <f>IF(AND(E114&gt;G114,$AK93&gt;1,$AK92&gt;4,ISNUMBER(E114),ISNUMBER(G114)),1,0)</f>
        <v>0</v>
      </c>
      <c r="F120" s="71"/>
      <c r="G120" s="72">
        <f>IF(AND(G114&gt;E114,$AK93&gt;1,$AK92&gt;4,ISNUMBER(E114),ISNUMBER(G114)),1,0)</f>
        <v>0</v>
      </c>
      <c r="H120" s="71">
        <f>IF(AND(H114&gt;J114,$AK93&gt;2,$AK92&gt;4,ISNUMBER(H114),ISNUMBER(J114)),1,0)</f>
        <v>0</v>
      </c>
      <c r="I120" s="71"/>
      <c r="J120" s="72">
        <f>IF(AND(J114&gt;H114,$AK93&gt;2,$AK92&gt;4,ISNUMBER(H114),ISNUMBER(J114)),1,0)</f>
        <v>0</v>
      </c>
      <c r="K120" s="71">
        <f>IF(AND(K114&gt;M114,$AK93&gt;3,$AK92&gt;4,ISNUMBER(K114),ISNUMBER(M114)),1,0)</f>
        <v>0</v>
      </c>
      <c r="L120" s="71"/>
      <c r="M120" s="72">
        <f>IF(AND(M114&gt;K114,$AK93&gt;3,$AK92&gt;4,ISNUMBER(K114),ISNUMBER(M114)),1,0)</f>
        <v>0</v>
      </c>
      <c r="N120" s="71">
        <f>IF(AND(N114&gt;P114,$AK93&gt;4,$AK92&gt;4,ISNUMBER(N114),ISNUMBER(P114)),1,0)</f>
        <v>0</v>
      </c>
      <c r="O120" s="71"/>
      <c r="P120" s="72">
        <f>IF(AND(P114&gt;N114,$AK93&gt;4,$AK92&gt;4,ISNUMBER(N114),ISNUMBER(P114)),1,0)</f>
        <v>0</v>
      </c>
      <c r="Q120" s="71">
        <f>IF(AND(Q114&gt;S114,$AK93&gt;5,$AK92&gt;4,ISNUMBER(Q114),ISNUMBER(S114)),1,0)</f>
        <v>0</v>
      </c>
      <c r="R120" s="71"/>
      <c r="S120" s="72">
        <f>IF(AND(S114&gt;Q114,$AK93&gt;5,$AK92&gt;4,ISNUMBER(Q114),ISNUMBER(S114)),1,0)</f>
        <v>0</v>
      </c>
      <c r="T120" s="71">
        <f>IF(AND(T114&gt;V114,$AK93&gt;6,$AK92&gt;4,ISNUMBER(T114),ISNUMBER(V114)),1,0)</f>
        <v>0</v>
      </c>
      <c r="U120" s="71"/>
      <c r="V120" s="72">
        <f>IF(AND(V114&gt;T114,$AK93&gt;6,$AK92&gt;4,ISNUMBER(T114),ISNUMBER(V114)),1,0)</f>
        <v>0</v>
      </c>
      <c r="W120" s="71">
        <f>IF(AND(W114&gt;Y114,$AK93&gt;7,$AK92&gt;4,ISNUMBER(W114),ISNUMBER(Y114)),1,0)</f>
        <v>0</v>
      </c>
      <c r="X120" s="71"/>
      <c r="Y120" s="72">
        <f>IF(AND(Y114&gt;W114,$AK93&gt;7,$AK92&gt;4,ISNUMBER(W114),ISNUMBER(Y114)),1,0)</f>
        <v>0</v>
      </c>
      <c r="Z120" s="71">
        <f>IF(AND(Z114&gt;AB114,$AK93&gt;8,$AK92&gt;4,ISNUMBER(Z114),ISNUMBER(AB114)),1,0)</f>
        <v>0</v>
      </c>
      <c r="AA120" s="71"/>
      <c r="AB120" s="72">
        <f>IF(AND(AB114&gt;Z114,$AK93&gt;8,$AK92&gt;4,ISNUMBER(Z114),ISNUMBER(AB114)),1,0)</f>
        <v>0</v>
      </c>
      <c r="AC120" s="71">
        <f>IF(AND(AC114&gt;AE114,$AK93&gt;9,$AK92&gt;4,ISNUMBER(AC114),ISNUMBER(AE114)),1,0)</f>
        <v>0</v>
      </c>
      <c r="AD120" s="71"/>
      <c r="AE120" s="72">
        <f>IF(AND(AE114&gt;AC114,$AK93&gt;9,$AK92&gt;4,ISNUMBER(AC114),ISNUMBER(AE114)),1,0)</f>
        <v>0</v>
      </c>
      <c r="AW120" s="154"/>
    </row>
    <row r="121" spans="1:49" s="70" customFormat="1" ht="38.25" hidden="1" customHeight="1" x14ac:dyDescent="0.2">
      <c r="A121" s="73" t="s">
        <v>80</v>
      </c>
      <c r="B121" s="70">
        <f>SUM(B116:B120)</f>
        <v>2</v>
      </c>
      <c r="D121" s="74">
        <f>SUM(D116:D120)</f>
        <v>0</v>
      </c>
      <c r="E121" s="70">
        <f>SUM(E116:E120)</f>
        <v>1</v>
      </c>
      <c r="G121" s="74">
        <f>SUM(G116:G120)</f>
        <v>1</v>
      </c>
      <c r="H121" s="70">
        <f>SUM(H116:H120)</f>
        <v>1</v>
      </c>
      <c r="J121" s="74">
        <f>SUM(J116:J120)</f>
        <v>1</v>
      </c>
      <c r="K121" s="70">
        <f>SUM(K116:K120)</f>
        <v>1</v>
      </c>
      <c r="M121" s="74">
        <f>SUM(M116:M120)</f>
        <v>1</v>
      </c>
      <c r="N121" s="70">
        <f>SUM(N116:N120)</f>
        <v>2</v>
      </c>
      <c r="P121" s="74">
        <f>SUM(P116:P120)</f>
        <v>0</v>
      </c>
      <c r="Q121" s="70">
        <f>SUM(Q116:Q120)</f>
        <v>1</v>
      </c>
      <c r="S121" s="74">
        <f>SUM(S116:S120)</f>
        <v>1</v>
      </c>
      <c r="T121" s="70">
        <f>SUM(T116:T120)</f>
        <v>1</v>
      </c>
      <c r="V121" s="74">
        <f>SUM(V116:V120)</f>
        <v>1</v>
      </c>
      <c r="W121" s="70">
        <f>SUM(W116:W120)</f>
        <v>1</v>
      </c>
      <c r="Y121" s="74">
        <f>SUM(Y116:Y120)</f>
        <v>1</v>
      </c>
      <c r="Z121" s="70">
        <f>SUM(Z116:Z120)</f>
        <v>0</v>
      </c>
      <c r="AB121" s="74">
        <f>SUM(AB116:AB120)</f>
        <v>2</v>
      </c>
      <c r="AC121" s="70">
        <f>SUM(AC116:AC120)</f>
        <v>1</v>
      </c>
      <c r="AE121" s="74">
        <f>SUM(AE116:AE120)</f>
        <v>1</v>
      </c>
      <c r="AW121" s="154"/>
    </row>
    <row r="122" spans="1:49" s="70" customFormat="1" ht="25.5" hidden="1" customHeight="1" x14ac:dyDescent="0.2">
      <c r="A122" s="73" t="s">
        <v>81</v>
      </c>
      <c r="B122" s="70">
        <f>IF(B121&gt;D121,IF(C156=AK92,1,IF(C156=AK92-1,1,0)),0)</f>
        <v>1</v>
      </c>
      <c r="C122" s="70">
        <f>B122+D122</f>
        <v>1</v>
      </c>
      <c r="D122" s="74">
        <f>IF(D121&gt;B121,IF(C156=AK92,1,IF(C156=AK92-1,1,0)),0)</f>
        <v>0</v>
      </c>
      <c r="E122" s="70">
        <f>IF(E121&gt;G121,IF(F156=AK92,1,IF(F156=AK92-1,1,0)),0)</f>
        <v>0</v>
      </c>
      <c r="F122" s="70">
        <f>E122+G122</f>
        <v>0</v>
      </c>
      <c r="G122" s="74">
        <f>IF(G121&gt;E121,IF(F156=AK92,1,IF(F156=AK92-1,1,0)),0)</f>
        <v>0</v>
      </c>
      <c r="H122" s="70">
        <f>IF(H121&gt;J121,IF(I156=AK92,1,IF(I156=AK92-1,1,0)),0)</f>
        <v>0</v>
      </c>
      <c r="I122" s="70">
        <f>H122+J122</f>
        <v>0</v>
      </c>
      <c r="J122" s="74">
        <f>IF(J121&gt;H121,IF(I156=AK92,1,IF(I156=AK92-1,1,0)),0)</f>
        <v>0</v>
      </c>
      <c r="K122" s="70">
        <f>IF(K121&gt;M121,IF(L156=AK92,1,IF(L156=AK92-1,1,0)),0)</f>
        <v>0</v>
      </c>
      <c r="L122" s="70">
        <f>K122+M122</f>
        <v>0</v>
      </c>
      <c r="M122" s="74">
        <f>IF(M121&gt;K121,IF(L156=AK92,1,IF(L156=AK92-1,1,0)),0)</f>
        <v>0</v>
      </c>
      <c r="N122" s="70">
        <f>IF(N121&gt;P121,IF(O156=AK92,1,IF(O156=AK92-1,1,0)),0)</f>
        <v>1</v>
      </c>
      <c r="O122" s="70">
        <f>N122+P122</f>
        <v>1</v>
      </c>
      <c r="P122" s="74">
        <f>IF(P121&gt;N121,IF(O156=AK92,1,IF(O156=AK92-1,1,0)),0)</f>
        <v>0</v>
      </c>
      <c r="Q122" s="70">
        <f>IF(Q121&gt;S121,IF(R156=AK92,1,IF(R156=AK92-1,1,0)),0)</f>
        <v>0</v>
      </c>
      <c r="R122" s="70">
        <f>Q122+S122</f>
        <v>0</v>
      </c>
      <c r="S122" s="74">
        <f>IF(S121&gt;Q121,IF(R156=AK92,1,IF(R156=AK92-1,1,0)),0)</f>
        <v>0</v>
      </c>
      <c r="T122" s="70">
        <f>IF(T121&gt;V121,IF(U156=AK92,1,IF(U156=AK92-1,1,0)),0)</f>
        <v>0</v>
      </c>
      <c r="U122" s="70">
        <f>T122+V122</f>
        <v>0</v>
      </c>
      <c r="V122" s="74">
        <f>IF(V121&gt;T121,IF(U156=AK92,1,IF(U156=AK92-1,1,0)),0)</f>
        <v>0</v>
      </c>
      <c r="W122" s="70">
        <f>IF(W121&gt;Y121,IF(X156=AK92,1,IF(X156=AK92-1,1,0)),0)</f>
        <v>0</v>
      </c>
      <c r="X122" s="70">
        <f>W122+Y122</f>
        <v>0</v>
      </c>
      <c r="Y122" s="74">
        <f>IF(Y121&gt;W121,IF(X156=AK92,1,IF(X156=AK92-1,1,0)),0)</f>
        <v>0</v>
      </c>
      <c r="Z122" s="70">
        <f>IF(Z121&gt;AB121,IF(AA156=AK92,1,IF(AA156=AK92-1,1,0)),0)</f>
        <v>0</v>
      </c>
      <c r="AA122" s="70">
        <f>Z122+AB122</f>
        <v>1</v>
      </c>
      <c r="AB122" s="74">
        <f>IF(AB121&gt;Z121,IF(AA156=AK92,1,IF(AA156=AK92-1,1,0)),0)</f>
        <v>1</v>
      </c>
      <c r="AC122" s="70">
        <f>IF(AC121&gt;AE121,IF(AD156=AK92,1,IF(AD156=AK92-1,1,0)),0)</f>
        <v>0</v>
      </c>
      <c r="AD122" s="70">
        <f>AC122+AE122</f>
        <v>0</v>
      </c>
      <c r="AE122" s="74">
        <f>IF(AE121&gt;AC121,IF(AD156=AK92,1,IF(AD156=AK92-1,1,0)),0)</f>
        <v>0</v>
      </c>
      <c r="AW122" s="154"/>
    </row>
    <row r="123" spans="1:49" s="70" customFormat="1" ht="25.5" hidden="1" customHeight="1" x14ac:dyDescent="0.2">
      <c r="A123" s="73"/>
      <c r="D123" s="74"/>
      <c r="G123" s="74"/>
      <c r="J123" s="74"/>
      <c r="M123" s="74"/>
      <c r="P123" s="74"/>
      <c r="S123" s="74"/>
      <c r="V123" s="74"/>
      <c r="Y123" s="74"/>
      <c r="AB123" s="74"/>
      <c r="AE123" s="74"/>
      <c r="AW123" s="154"/>
    </row>
    <row r="124" spans="1:49" s="70" customFormat="1" ht="12.75" hidden="1" customHeight="1" x14ac:dyDescent="0.2">
      <c r="A124" s="70" t="s">
        <v>82</v>
      </c>
      <c r="B124" s="70">
        <f>IF(B116=1,B110,0)</f>
        <v>25</v>
      </c>
      <c r="D124" s="74">
        <f t="shared" ref="D124:E128" si="11">IF(D116=1,D110,0)</f>
        <v>0</v>
      </c>
      <c r="E124" s="70">
        <f t="shared" si="11"/>
        <v>25</v>
      </c>
      <c r="G124" s="74">
        <f t="shared" ref="G124:H128" si="12">IF(G116=1,G110,0)</f>
        <v>0</v>
      </c>
      <c r="H124" s="70">
        <f t="shared" si="12"/>
        <v>25</v>
      </c>
      <c r="J124" s="74">
        <f t="shared" ref="J124:K128" si="13">IF(J116=1,J110,0)</f>
        <v>0</v>
      </c>
      <c r="K124" s="70">
        <f t="shared" si="13"/>
        <v>25</v>
      </c>
      <c r="M124" s="74">
        <f t="shared" ref="M124:N128" si="14">IF(M116=1,M110,0)</f>
        <v>0</v>
      </c>
      <c r="N124" s="70">
        <f t="shared" si="14"/>
        <v>25</v>
      </c>
      <c r="P124" s="74">
        <f t="shared" ref="P124:Q128" si="15">IF(P116=1,P110,0)</f>
        <v>0</v>
      </c>
      <c r="Q124" s="70">
        <f t="shared" si="15"/>
        <v>0</v>
      </c>
      <c r="S124" s="74">
        <f t="shared" ref="S124:T128" si="16">IF(S116=1,S110,0)</f>
        <v>25</v>
      </c>
      <c r="T124" s="70">
        <f t="shared" si="16"/>
        <v>25</v>
      </c>
      <c r="V124" s="74">
        <f t="shared" ref="V124:W128" si="17">IF(V116=1,V110,0)</f>
        <v>0</v>
      </c>
      <c r="W124" s="70">
        <f t="shared" si="17"/>
        <v>25</v>
      </c>
      <c r="Y124" s="74">
        <f t="shared" ref="Y124:Z128" si="18">IF(Y116=1,Y110,0)</f>
        <v>0</v>
      </c>
      <c r="Z124" s="70">
        <f t="shared" si="18"/>
        <v>0</v>
      </c>
      <c r="AB124" s="74">
        <f t="shared" ref="AB124:AC128" si="19">IF(AB116=1,AB110,0)</f>
        <v>25</v>
      </c>
      <c r="AC124" s="70">
        <f t="shared" si="19"/>
        <v>25</v>
      </c>
      <c r="AE124" s="74">
        <f>IF(AE116=1,AE110,0)</f>
        <v>0</v>
      </c>
      <c r="AW124" s="154"/>
    </row>
    <row r="125" spans="1:49" s="70" customFormat="1" ht="12.75" hidden="1" customHeight="1" x14ac:dyDescent="0.2">
      <c r="A125" s="70" t="s">
        <v>83</v>
      </c>
      <c r="B125" s="70">
        <f>IF(B117=1,B111,0)</f>
        <v>25</v>
      </c>
      <c r="D125" s="74">
        <f t="shared" si="11"/>
        <v>0</v>
      </c>
      <c r="E125" s="70">
        <f t="shared" si="11"/>
        <v>0</v>
      </c>
      <c r="G125" s="74">
        <f t="shared" si="12"/>
        <v>25</v>
      </c>
      <c r="H125" s="70">
        <f t="shared" si="12"/>
        <v>0</v>
      </c>
      <c r="J125" s="74">
        <f t="shared" si="13"/>
        <v>25</v>
      </c>
      <c r="K125" s="70">
        <f t="shared" si="13"/>
        <v>0</v>
      </c>
      <c r="M125" s="74">
        <f t="shared" si="14"/>
        <v>25</v>
      </c>
      <c r="N125" s="70">
        <f t="shared" si="14"/>
        <v>25</v>
      </c>
      <c r="P125" s="74">
        <f t="shared" si="15"/>
        <v>0</v>
      </c>
      <c r="Q125" s="70">
        <f t="shared" si="15"/>
        <v>25</v>
      </c>
      <c r="S125" s="74">
        <f t="shared" si="16"/>
        <v>0</v>
      </c>
      <c r="T125" s="70">
        <f t="shared" si="16"/>
        <v>0</v>
      </c>
      <c r="V125" s="74">
        <f t="shared" si="17"/>
        <v>25</v>
      </c>
      <c r="W125" s="70">
        <f t="shared" si="17"/>
        <v>0</v>
      </c>
      <c r="Y125" s="74">
        <f t="shared" si="18"/>
        <v>25</v>
      </c>
      <c r="Z125" s="70">
        <f t="shared" si="18"/>
        <v>0</v>
      </c>
      <c r="AB125" s="74">
        <f t="shared" si="19"/>
        <v>25</v>
      </c>
      <c r="AC125" s="70">
        <f t="shared" si="19"/>
        <v>0</v>
      </c>
      <c r="AE125" s="74">
        <f>IF(AE117=1,AE111,0)</f>
        <v>25</v>
      </c>
      <c r="AW125" s="154"/>
    </row>
    <row r="126" spans="1:49" s="70" customFormat="1" ht="12.75" hidden="1" customHeight="1" x14ac:dyDescent="0.2">
      <c r="A126" s="70" t="s">
        <v>84</v>
      </c>
      <c r="B126" s="70">
        <f>IF(B118=1,B112,0)</f>
        <v>0</v>
      </c>
      <c r="D126" s="74">
        <f t="shared" si="11"/>
        <v>0</v>
      </c>
      <c r="E126" s="70">
        <f t="shared" si="11"/>
        <v>0</v>
      </c>
      <c r="G126" s="74">
        <f t="shared" si="12"/>
        <v>0</v>
      </c>
      <c r="H126" s="70">
        <f t="shared" si="12"/>
        <v>0</v>
      </c>
      <c r="J126" s="74">
        <f t="shared" si="13"/>
        <v>0</v>
      </c>
      <c r="K126" s="70">
        <f t="shared" si="13"/>
        <v>0</v>
      </c>
      <c r="M126" s="74">
        <f t="shared" si="14"/>
        <v>0</v>
      </c>
      <c r="N126" s="70">
        <f t="shared" si="14"/>
        <v>0</v>
      </c>
      <c r="P126" s="74">
        <f t="shared" si="15"/>
        <v>0</v>
      </c>
      <c r="Q126" s="70">
        <f t="shared" si="15"/>
        <v>0</v>
      </c>
      <c r="S126" s="74">
        <f t="shared" si="16"/>
        <v>0</v>
      </c>
      <c r="T126" s="70">
        <f t="shared" si="16"/>
        <v>0</v>
      </c>
      <c r="V126" s="74">
        <f t="shared" si="17"/>
        <v>0</v>
      </c>
      <c r="W126" s="70">
        <f t="shared" si="17"/>
        <v>0</v>
      </c>
      <c r="Y126" s="74">
        <f t="shared" si="18"/>
        <v>0</v>
      </c>
      <c r="Z126" s="70">
        <f t="shared" si="18"/>
        <v>0</v>
      </c>
      <c r="AB126" s="74">
        <f t="shared" si="19"/>
        <v>0</v>
      </c>
      <c r="AC126" s="70">
        <f t="shared" si="19"/>
        <v>0</v>
      </c>
      <c r="AE126" s="74">
        <f>IF(AE118=1,AE112,0)</f>
        <v>0</v>
      </c>
      <c r="AW126" s="154"/>
    </row>
    <row r="127" spans="1:49" s="70" customFormat="1" ht="12.75" hidden="1" customHeight="1" x14ac:dyDescent="0.2">
      <c r="A127" s="70" t="s">
        <v>85</v>
      </c>
      <c r="B127" s="70">
        <f>IF(B119=1,B113,0)</f>
        <v>0</v>
      </c>
      <c r="D127" s="74">
        <f t="shared" si="11"/>
        <v>0</v>
      </c>
      <c r="E127" s="70">
        <f t="shared" si="11"/>
        <v>0</v>
      </c>
      <c r="G127" s="74">
        <f t="shared" si="12"/>
        <v>0</v>
      </c>
      <c r="H127" s="70">
        <f t="shared" si="12"/>
        <v>0</v>
      </c>
      <c r="J127" s="74">
        <f t="shared" si="13"/>
        <v>0</v>
      </c>
      <c r="K127" s="70">
        <f t="shared" si="13"/>
        <v>0</v>
      </c>
      <c r="M127" s="74">
        <f t="shared" si="14"/>
        <v>0</v>
      </c>
      <c r="N127" s="70">
        <f t="shared" si="14"/>
        <v>0</v>
      </c>
      <c r="P127" s="74">
        <f t="shared" si="15"/>
        <v>0</v>
      </c>
      <c r="Q127" s="70">
        <f t="shared" si="15"/>
        <v>0</v>
      </c>
      <c r="S127" s="74">
        <f t="shared" si="16"/>
        <v>0</v>
      </c>
      <c r="T127" s="70">
        <f t="shared" si="16"/>
        <v>0</v>
      </c>
      <c r="V127" s="74">
        <f t="shared" si="17"/>
        <v>0</v>
      </c>
      <c r="W127" s="70">
        <f t="shared" si="17"/>
        <v>0</v>
      </c>
      <c r="Y127" s="74">
        <f t="shared" si="18"/>
        <v>0</v>
      </c>
      <c r="Z127" s="70">
        <f t="shared" si="18"/>
        <v>0</v>
      </c>
      <c r="AB127" s="74">
        <f t="shared" si="19"/>
        <v>0</v>
      </c>
      <c r="AC127" s="70">
        <f t="shared" si="19"/>
        <v>0</v>
      </c>
      <c r="AE127" s="74">
        <f>IF(AE119=1,AE113,0)</f>
        <v>0</v>
      </c>
      <c r="AW127" s="154"/>
    </row>
    <row r="128" spans="1:49" s="70" customFormat="1" ht="12.75" hidden="1" customHeight="1" x14ac:dyDescent="0.2">
      <c r="A128" s="70" t="s">
        <v>86</v>
      </c>
      <c r="B128" s="70">
        <f>IF(B120=1,B114,0)</f>
        <v>0</v>
      </c>
      <c r="D128" s="74">
        <f t="shared" si="11"/>
        <v>0</v>
      </c>
      <c r="E128" s="70">
        <f t="shared" si="11"/>
        <v>0</v>
      </c>
      <c r="G128" s="74">
        <f t="shared" si="12"/>
        <v>0</v>
      </c>
      <c r="H128" s="70">
        <f t="shared" si="12"/>
        <v>0</v>
      </c>
      <c r="J128" s="74">
        <f t="shared" si="13"/>
        <v>0</v>
      </c>
      <c r="K128" s="70">
        <f t="shared" si="13"/>
        <v>0</v>
      </c>
      <c r="M128" s="74">
        <f t="shared" si="14"/>
        <v>0</v>
      </c>
      <c r="N128" s="70">
        <f t="shared" si="14"/>
        <v>0</v>
      </c>
      <c r="P128" s="74">
        <f t="shared" si="15"/>
        <v>0</v>
      </c>
      <c r="Q128" s="70">
        <f t="shared" si="15"/>
        <v>0</v>
      </c>
      <c r="S128" s="74">
        <f t="shared" si="16"/>
        <v>0</v>
      </c>
      <c r="T128" s="70">
        <f t="shared" si="16"/>
        <v>0</v>
      </c>
      <c r="V128" s="74">
        <f t="shared" si="17"/>
        <v>0</v>
      </c>
      <c r="W128" s="70">
        <f t="shared" si="17"/>
        <v>0</v>
      </c>
      <c r="Y128" s="74">
        <f t="shared" si="18"/>
        <v>0</v>
      </c>
      <c r="Z128" s="70">
        <f t="shared" si="18"/>
        <v>0</v>
      </c>
      <c r="AB128" s="74">
        <f t="shared" si="19"/>
        <v>0</v>
      </c>
      <c r="AC128" s="70">
        <f t="shared" si="19"/>
        <v>0</v>
      </c>
      <c r="AE128" s="74">
        <f>IF(AE120=1,AE114,0)</f>
        <v>0</v>
      </c>
      <c r="AW128" s="154"/>
    </row>
    <row r="129" spans="1:49" s="70" customFormat="1" ht="38.25" hidden="1" customHeight="1" x14ac:dyDescent="0.2">
      <c r="A129" s="73" t="s">
        <v>87</v>
      </c>
      <c r="B129" s="70">
        <f>SUM(B124:D128)</f>
        <v>50</v>
      </c>
      <c r="D129" s="74"/>
      <c r="E129" s="70">
        <f>SUM(E124:G128)</f>
        <v>50</v>
      </c>
      <c r="G129" s="74"/>
      <c r="H129" s="70">
        <f>SUM(H124:J128)</f>
        <v>50</v>
      </c>
      <c r="J129" s="74"/>
      <c r="K129" s="70">
        <f>SUM(K124:M128)</f>
        <v>50</v>
      </c>
      <c r="M129" s="74"/>
      <c r="N129" s="70">
        <f>SUM(N124:P128)</f>
        <v>50</v>
      </c>
      <c r="P129" s="74"/>
      <c r="Q129" s="70">
        <f>SUM(Q124:S128)</f>
        <v>50</v>
      </c>
      <c r="S129" s="74"/>
      <c r="T129" s="70">
        <f>SUM(T124:V128)</f>
        <v>50</v>
      </c>
      <c r="V129" s="74"/>
      <c r="W129" s="70">
        <f>SUM(W124:Y128)</f>
        <v>50</v>
      </c>
      <c r="Y129" s="74"/>
      <c r="Z129" s="70">
        <f>SUM(Z124:AB128)</f>
        <v>50</v>
      </c>
      <c r="AB129" s="74"/>
      <c r="AC129" s="70">
        <f>SUM(AC124:AE128)</f>
        <v>50</v>
      </c>
      <c r="AE129" s="74"/>
      <c r="AW129" s="154"/>
    </row>
    <row r="130" spans="1:49" s="70" customFormat="1" ht="38.25" hidden="1" customHeight="1" x14ac:dyDescent="0.2">
      <c r="A130" s="70" t="s">
        <v>88</v>
      </c>
      <c r="D130" s="74"/>
      <c r="G130" s="74"/>
      <c r="J130" s="74"/>
      <c r="M130" s="74"/>
      <c r="P130" s="74"/>
      <c r="S130" s="74"/>
      <c r="V130" s="74"/>
      <c r="Y130" s="74"/>
      <c r="AB130" s="74"/>
      <c r="AE130" s="74"/>
      <c r="AF130" s="73" t="s">
        <v>89</v>
      </c>
      <c r="AG130" s="70" t="s">
        <v>90</v>
      </c>
      <c r="AW130" s="154"/>
    </row>
    <row r="131" spans="1:49" s="70" customFormat="1" ht="12.75" hidden="1" customHeight="1" x14ac:dyDescent="0.2">
      <c r="A131" s="70" t="s">
        <v>91</v>
      </c>
      <c r="B131" s="70">
        <f>IF(B109=1,IF(B122=1,1,0),0)</f>
        <v>0</v>
      </c>
      <c r="D131" s="74">
        <f>IF(D109=1,IF(D122=1,1,0),0)</f>
        <v>0</v>
      </c>
      <c r="E131" s="70">
        <f>IF(E109=1,IF(E122=1,1,0),0)</f>
        <v>0</v>
      </c>
      <c r="G131" s="74">
        <f>IF(G109=1,IF(G122=1,1,0),0)</f>
        <v>0</v>
      </c>
      <c r="H131" s="70">
        <f>IF(H109=1,IF(H122=1,1,0),0)</f>
        <v>0</v>
      </c>
      <c r="J131" s="74">
        <f>IF(J109=1,IF(J122=1,1,0),0)</f>
        <v>0</v>
      </c>
      <c r="K131" s="70">
        <f>IF(K109=1,IF(K122=1,1,0),0)</f>
        <v>0</v>
      </c>
      <c r="M131" s="74">
        <f>IF(M109=1,IF(M122=1,1,0),0)</f>
        <v>0</v>
      </c>
      <c r="N131" s="70">
        <f>IF(N109=1,IF(N122=1,1,0),0)</f>
        <v>1</v>
      </c>
      <c r="P131" s="74">
        <f>IF(P109=1,IF(P122=1,1,0),0)</f>
        <v>0</v>
      </c>
      <c r="Q131" s="70">
        <f>IF(Q109=1,IF(Q122=1,1,0),0)</f>
        <v>0</v>
      </c>
      <c r="S131" s="74">
        <f>IF(S109=1,IF(S122=1,1,0),0)</f>
        <v>0</v>
      </c>
      <c r="T131" s="70">
        <f>IF(T109=1,IF(T122=1,1,0),0)</f>
        <v>0</v>
      </c>
      <c r="V131" s="74">
        <f>IF(V109=1,IF(V122=1,1,0),0)</f>
        <v>0</v>
      </c>
      <c r="W131" s="70">
        <f>IF(W109=1,IF(W122=1,1,0),0)</f>
        <v>0</v>
      </c>
      <c r="Y131" s="74">
        <f>IF(Y109=1,IF(Y122=1,1,0),0)</f>
        <v>0</v>
      </c>
      <c r="Z131" s="70">
        <f>IF(Z109=1,IF(Z122=1,1,0),0)</f>
        <v>0</v>
      </c>
      <c r="AB131" s="74">
        <f>IF(AB109=1,IF(AB122=1,1,0),0)</f>
        <v>0</v>
      </c>
      <c r="AC131" s="70">
        <f>IF(AC109=1,IF(AC122=1,1,0),0)</f>
        <v>0</v>
      </c>
      <c r="AE131" s="74">
        <f>IF(AE109=1,IF(AE122=1,1,0),0)</f>
        <v>0</v>
      </c>
      <c r="AF131" s="70">
        <f>SUM(B131:AE131)</f>
        <v>1</v>
      </c>
      <c r="AG131" s="70">
        <f>AF137-AF131</f>
        <v>0</v>
      </c>
      <c r="AW131" s="154"/>
    </row>
    <row r="132" spans="1:49" s="70" customFormat="1" ht="12.75" hidden="1" customHeight="1" x14ac:dyDescent="0.2">
      <c r="A132" s="70" t="s">
        <v>92</v>
      </c>
      <c r="B132" s="70">
        <f>IF(B109=2,IF(B122=1,1,0),0)</f>
        <v>1</v>
      </c>
      <c r="D132" s="74">
        <f>IF(D109=2,IF(D122=1,1,0),0)</f>
        <v>0</v>
      </c>
      <c r="E132" s="70">
        <f>IF(E109=2,IF(E122=1,1,0),0)</f>
        <v>0</v>
      </c>
      <c r="G132" s="74">
        <f>IF(G109=2,IF(G122=1,1,0),0)</f>
        <v>0</v>
      </c>
      <c r="H132" s="70">
        <f>IF(H109=2,IF(H122=1,1,0),0)</f>
        <v>0</v>
      </c>
      <c r="J132" s="74">
        <f>IF(J109=2,IF(J122=1,1,0),0)</f>
        <v>0</v>
      </c>
      <c r="K132" s="70">
        <f>IF(K109=2,IF(K122=1,1,0),0)</f>
        <v>0</v>
      </c>
      <c r="M132" s="74">
        <f>IF(M109=2,IF(M122=1,1,0),0)</f>
        <v>0</v>
      </c>
      <c r="N132" s="70">
        <f>IF(N109=2,IF(N122=1,1,0),0)</f>
        <v>0</v>
      </c>
      <c r="P132" s="74">
        <f>IF(P109=2,IF(P122=1,1,0),0)</f>
        <v>0</v>
      </c>
      <c r="Q132" s="70">
        <f>IF(Q109=2,IF(Q122=1,1,0),0)</f>
        <v>0</v>
      </c>
      <c r="S132" s="74">
        <f>IF(S109=2,IF(S122=1,1,0),0)</f>
        <v>0</v>
      </c>
      <c r="T132" s="70">
        <f>IF(T109=2,IF(T122=1,1,0),0)</f>
        <v>0</v>
      </c>
      <c r="V132" s="74">
        <f>IF(V109=2,IF(V122=1,1,0),0)</f>
        <v>0</v>
      </c>
      <c r="W132" s="70">
        <f>IF(W109=2,IF(W122=1,1,0),0)</f>
        <v>0</v>
      </c>
      <c r="Y132" s="74">
        <f>IF(Y109=2,IF(Y122=1,1,0),0)</f>
        <v>0</v>
      </c>
      <c r="Z132" s="70">
        <f>IF(Z109=2,IF(Z122=1,1,0),0)</f>
        <v>0</v>
      </c>
      <c r="AB132" s="74">
        <f>IF(AB109=2,IF(AB122=1,1,0),0)</f>
        <v>0</v>
      </c>
      <c r="AC132" s="70">
        <f>IF(AC109=2,IF(AC122=1,1,0),0)</f>
        <v>0</v>
      </c>
      <c r="AE132" s="74">
        <f>IF(AE109=2,IF(AE122=1,1,0),0)</f>
        <v>0</v>
      </c>
      <c r="AF132" s="70">
        <f>SUM(B132:AE132)</f>
        <v>1</v>
      </c>
      <c r="AG132" s="70">
        <f>AF138-AF132</f>
        <v>0</v>
      </c>
      <c r="AW132" s="154"/>
    </row>
    <row r="133" spans="1:49" s="70" customFormat="1" ht="12.75" hidden="1" customHeight="1" x14ac:dyDescent="0.2">
      <c r="A133" s="70" t="s">
        <v>93</v>
      </c>
      <c r="B133" s="70">
        <f>IF(B109=3,IF(B122=1,1,0),0)</f>
        <v>0</v>
      </c>
      <c r="D133" s="74">
        <f>IF(D109=3,IF(D122=1,1,0),0)</f>
        <v>0</v>
      </c>
      <c r="E133" s="70">
        <f>IF(E109=3,IF(E122=1,1,0),0)</f>
        <v>0</v>
      </c>
      <c r="G133" s="74">
        <f>IF(G109=3,IF(G122=1,1,0),0)</f>
        <v>0</v>
      </c>
      <c r="H133" s="70">
        <f>IF(H109=3,IF(H122=1,1,0),0)</f>
        <v>0</v>
      </c>
      <c r="J133" s="74">
        <f>IF(J109=3,IF(J122=1,1,0),0)</f>
        <v>0</v>
      </c>
      <c r="K133" s="70">
        <f>IF(K109=3,IF(K122=1,1,0),0)</f>
        <v>0</v>
      </c>
      <c r="M133" s="74">
        <f>IF(M109=3,IF(M122=1,1,0),0)</f>
        <v>0</v>
      </c>
      <c r="N133" s="70">
        <f>IF(N109=3,IF(N122=1,1,0),0)</f>
        <v>0</v>
      </c>
      <c r="P133" s="74">
        <f>IF(P109=3,IF(P122=1,1,0),0)</f>
        <v>0</v>
      </c>
      <c r="Q133" s="70">
        <f>IF(Q109=3,IF(Q122=1,1,0),0)</f>
        <v>0</v>
      </c>
      <c r="S133" s="74">
        <f>IF(S109=3,IF(S122=1,1,0),0)</f>
        <v>0</v>
      </c>
      <c r="T133" s="70">
        <f>IF(T109=3,IF(T122=1,1,0),0)</f>
        <v>0</v>
      </c>
      <c r="V133" s="74">
        <f>IF(V109=3,IF(V122=1,1,0),0)</f>
        <v>0</v>
      </c>
      <c r="W133" s="70">
        <f>IF(W109=3,IF(W122=1,1,0),0)</f>
        <v>0</v>
      </c>
      <c r="Y133" s="74">
        <f>IF(Y109=3,IF(Y122=1,1,0),0)</f>
        <v>0</v>
      </c>
      <c r="Z133" s="70">
        <f>IF(Z109=3,IF(Z122=1,1,0),0)</f>
        <v>0</v>
      </c>
      <c r="AB133" s="74">
        <f>IF(AB109=3,IF(AB122=1,1,0),0)</f>
        <v>0</v>
      </c>
      <c r="AC133" s="70">
        <f>IF(AC109=3,IF(AC122=1,1,0),0)</f>
        <v>0</v>
      </c>
      <c r="AE133" s="74">
        <f>IF(AE109=3,IF(AE122=1,1,0),0)</f>
        <v>0</v>
      </c>
      <c r="AF133" s="70">
        <f>SUM(B133:AE133)</f>
        <v>0</v>
      </c>
      <c r="AG133" s="70">
        <f>AF139-AF133</f>
        <v>2</v>
      </c>
      <c r="AW133" s="154"/>
    </row>
    <row r="134" spans="1:49" s="70" customFormat="1" ht="12.75" hidden="1" customHeight="1" x14ac:dyDescent="0.2">
      <c r="A134" s="70" t="s">
        <v>94</v>
      </c>
      <c r="B134" s="70">
        <f>IF(B109=4,IF(B122=1,1,0),0)</f>
        <v>0</v>
      </c>
      <c r="D134" s="74">
        <f>IF(D109=4,IF(D122=1,1,0),0)</f>
        <v>0</v>
      </c>
      <c r="E134" s="70">
        <f>IF(E109=4,IF(E122=1,1,0),0)</f>
        <v>0</v>
      </c>
      <c r="G134" s="74">
        <f>IF(G109=4,IF(G122=1,1,0),0)</f>
        <v>0</v>
      </c>
      <c r="H134" s="70">
        <f>IF(H109=4,IF(H122=1,1,0),0)</f>
        <v>0</v>
      </c>
      <c r="J134" s="74">
        <f>IF(J109=4,IF(J122=1,1,0),0)</f>
        <v>0</v>
      </c>
      <c r="K134" s="70">
        <f>IF(K109=4,IF(K122=1,1,0),0)</f>
        <v>0</v>
      </c>
      <c r="M134" s="74">
        <f>IF(M109=4,IF(M122=1,1,0),0)</f>
        <v>0</v>
      </c>
      <c r="N134" s="70">
        <f>IF(N109=4,IF(N122=1,1,0),0)</f>
        <v>0</v>
      </c>
      <c r="P134" s="74">
        <f>IF(P109=4,IF(P122=1,1,0),0)</f>
        <v>0</v>
      </c>
      <c r="Q134" s="70">
        <f>IF(Q109=4,IF(Q122=1,1,0),0)</f>
        <v>0</v>
      </c>
      <c r="S134" s="74">
        <f>IF(S109=4,IF(S122=1,1,0),0)</f>
        <v>0</v>
      </c>
      <c r="T134" s="70">
        <f>IF(T109=4,IF(T122=1,1,0),0)</f>
        <v>0</v>
      </c>
      <c r="V134" s="74">
        <f>IF(V109=4,IF(V122=1,1,0),0)</f>
        <v>0</v>
      </c>
      <c r="W134" s="70">
        <f>IF(W109=4,IF(W122=1,1,0),0)</f>
        <v>0</v>
      </c>
      <c r="Y134" s="74">
        <f>IF(Y109=4,IF(Y122=1,1,0),0)</f>
        <v>0</v>
      </c>
      <c r="Z134" s="70">
        <f>IF(Z109=4,IF(Z122=1,1,0),0)</f>
        <v>0</v>
      </c>
      <c r="AB134" s="74">
        <f>IF(AB109=4,IF(AB122=1,1,0),0)</f>
        <v>1</v>
      </c>
      <c r="AC134" s="70">
        <f>IF(AC109=4,IF(AC122=1,1,0),0)</f>
        <v>0</v>
      </c>
      <c r="AE134" s="74">
        <f>IF(AE109=4,IF(AE122=1,1,0),0)</f>
        <v>0</v>
      </c>
      <c r="AF134" s="70">
        <f>SUM(B134:AE134)</f>
        <v>1</v>
      </c>
      <c r="AG134" s="70">
        <f>AF140-AF134</f>
        <v>0</v>
      </c>
      <c r="AW134" s="154"/>
    </row>
    <row r="135" spans="1:49" s="70" customFormat="1" ht="12.75" hidden="1" customHeight="1" x14ac:dyDescent="0.2">
      <c r="A135" s="70" t="s">
        <v>95</v>
      </c>
      <c r="B135" s="70">
        <f>IF(B109=5,IF(B122=1,1,0),0)</f>
        <v>0</v>
      </c>
      <c r="D135" s="74">
        <f>IF(D109=5,IF(D122=1,1,0),0)</f>
        <v>0</v>
      </c>
      <c r="E135" s="70">
        <f>IF(E109=5,IF(E122=1,1,0),0)</f>
        <v>0</v>
      </c>
      <c r="G135" s="74">
        <f>IF(G109=5,IF(G122=1,1,0),0)</f>
        <v>0</v>
      </c>
      <c r="H135" s="70">
        <f>IF(H109=5,IF(H122=1,1,0),0)</f>
        <v>0</v>
      </c>
      <c r="J135" s="74">
        <f>IF(J109=5,IF(J122=1,1,0),0)</f>
        <v>0</v>
      </c>
      <c r="K135" s="70">
        <f>IF(K109=5,IF(K122=1,1,0),0)</f>
        <v>0</v>
      </c>
      <c r="M135" s="74">
        <f>IF(M109=5,IF(M122=1,1,0),0)</f>
        <v>0</v>
      </c>
      <c r="N135" s="70">
        <f>IF(N109=5,IF(N122=1,1,0),0)</f>
        <v>0</v>
      </c>
      <c r="P135" s="74">
        <f>IF(P109=5,IF(P122=1,1,0),0)</f>
        <v>0</v>
      </c>
      <c r="Q135" s="70">
        <f>IF(Q109=5,IF(Q122=1,1,0),0)</f>
        <v>0</v>
      </c>
      <c r="S135" s="74">
        <f>IF(S109=5,IF(S122=1,1,0),0)</f>
        <v>0</v>
      </c>
      <c r="T135" s="70">
        <f>IF(T109=5,IF(T122=1,1,0),0)</f>
        <v>0</v>
      </c>
      <c r="V135" s="74">
        <f>IF(V109=5,IF(V122=1,1,0),0)</f>
        <v>0</v>
      </c>
      <c r="W135" s="70">
        <f>IF(W109=5,IF(W122=1,1,0),0)</f>
        <v>0</v>
      </c>
      <c r="Y135" s="74">
        <f>IF(Y109=5,IF(Y122=1,1,0),0)</f>
        <v>0</v>
      </c>
      <c r="Z135" s="70">
        <f>IF(Z109=5,IF(Z122=1,1,0),0)</f>
        <v>0</v>
      </c>
      <c r="AB135" s="74">
        <f>IF(AB109=5,IF(AB122=1,1,0),0)</f>
        <v>0</v>
      </c>
      <c r="AC135" s="70">
        <f>IF(AC109=5,IF(AC122=1,1,0),0)</f>
        <v>0</v>
      </c>
      <c r="AE135" s="74">
        <f>IF(AE109=5,IF(AE122=1,1,0),0)</f>
        <v>0</v>
      </c>
      <c r="AF135" s="70">
        <f>SUM(B135:AE135)</f>
        <v>0</v>
      </c>
      <c r="AG135" s="70">
        <f>AF141-AF135</f>
        <v>1</v>
      </c>
      <c r="AW135" s="154"/>
    </row>
    <row r="136" spans="1:49" s="70" customFormat="1" ht="38.25" hidden="1" customHeight="1" x14ac:dyDescent="0.2">
      <c r="A136" s="73"/>
      <c r="D136" s="74"/>
      <c r="G136" s="74"/>
      <c r="J136" s="74"/>
      <c r="M136" s="74"/>
      <c r="P136" s="74"/>
      <c r="S136" s="74"/>
      <c r="V136" s="74"/>
      <c r="Y136" s="74"/>
      <c r="AB136" s="74"/>
      <c r="AE136" s="74"/>
      <c r="AF136" s="73" t="s">
        <v>96</v>
      </c>
      <c r="AW136" s="154"/>
    </row>
    <row r="137" spans="1:49" s="70" customFormat="1" ht="12.75" hidden="1" customHeight="1" x14ac:dyDescent="0.2">
      <c r="A137" s="70" t="s">
        <v>97</v>
      </c>
      <c r="B137" s="70">
        <f>IF(B109=1,IF(C122=1,1,0),0)</f>
        <v>0</v>
      </c>
      <c r="D137" s="74">
        <f>IF(D109=1,IF(C122=1,1,0),0)</f>
        <v>0</v>
      </c>
      <c r="E137" s="70">
        <f>IF(E109=1,IF(F122=1,1,0),0)</f>
        <v>0</v>
      </c>
      <c r="G137" s="74">
        <f>IF(G109=1,IF(F122=1,1,0),0)</f>
        <v>0</v>
      </c>
      <c r="H137" s="70">
        <f>IF(H109=1,IF(I122=1,1,0),0)</f>
        <v>0</v>
      </c>
      <c r="J137" s="74">
        <f>IF(J109=1,IF(I122=1,1,0),0)</f>
        <v>0</v>
      </c>
      <c r="K137" s="70">
        <f>IF(K109=1,IF(L122=1,1,0),0)</f>
        <v>0</v>
      </c>
      <c r="M137" s="74">
        <f>IF(M109=1,IF(L122=1,1,0),0)</f>
        <v>0</v>
      </c>
      <c r="N137" s="70">
        <f>IF(N109=1,IF(O122=1,1,0),0)</f>
        <v>1</v>
      </c>
      <c r="P137" s="74">
        <f>IF(P109=1,IF(O122=1,1,0),0)</f>
        <v>0</v>
      </c>
      <c r="Q137" s="70">
        <f>IF(Q109=1,IF(R122=1,1,0),0)</f>
        <v>0</v>
      </c>
      <c r="S137" s="74">
        <f>IF(S109=1,IF(R122=1,1,0),0)</f>
        <v>0</v>
      </c>
      <c r="T137" s="70">
        <f>IF(T109=1,IF(U122=1,1,0),0)</f>
        <v>0</v>
      </c>
      <c r="V137" s="74">
        <f>IF(V109=1,IF(U122=1,1,0),0)</f>
        <v>0</v>
      </c>
      <c r="W137" s="70">
        <f>IF(W109=1,IF(X122=1,1,0),0)</f>
        <v>0</v>
      </c>
      <c r="Y137" s="74">
        <f>IF(Y109=1,IF(X122=1,1,0),0)</f>
        <v>0</v>
      </c>
      <c r="Z137" s="70">
        <f>IF(Z109=1,IF(AA122=1,1,0),0)</f>
        <v>0</v>
      </c>
      <c r="AB137" s="74">
        <f>IF(AB109=1,IF(AA122=1,1,0),0)</f>
        <v>0</v>
      </c>
      <c r="AC137" s="70">
        <f>IF(AC109=1,IF(AD122=1,1,0),0)</f>
        <v>0</v>
      </c>
      <c r="AE137" s="74">
        <f>IF(AE109=1,IF(AD122=1,1,0),0)</f>
        <v>0</v>
      </c>
      <c r="AF137" s="70">
        <f>SUM(B137:AE137)</f>
        <v>1</v>
      </c>
      <c r="AW137" s="154"/>
    </row>
    <row r="138" spans="1:49" s="70" customFormat="1" ht="12.75" hidden="1" customHeight="1" x14ac:dyDescent="0.2">
      <c r="A138" s="70" t="s">
        <v>98</v>
      </c>
      <c r="B138" s="70">
        <f>IF(B109=2,IF(C122=1,1,0),0)</f>
        <v>1</v>
      </c>
      <c r="D138" s="74">
        <f>IF(D109=2,IF(C122=1,1,0),0)</f>
        <v>0</v>
      </c>
      <c r="E138" s="70">
        <f>IF(E109=2,IF(F122=1,1,0),0)</f>
        <v>0</v>
      </c>
      <c r="G138" s="74">
        <f>IF(G109=2,IF(F122=1,1,0),0)</f>
        <v>0</v>
      </c>
      <c r="H138" s="70">
        <f>IF(H109=2,IF(I122=1,1,0),0)</f>
        <v>0</v>
      </c>
      <c r="J138" s="74">
        <f>IF(J109=2,IF(I122=1,1,0),0)</f>
        <v>0</v>
      </c>
      <c r="K138" s="70">
        <f>IF(K109=2,IF(L122=1,1,0),0)</f>
        <v>0</v>
      </c>
      <c r="M138" s="74">
        <f>IF(M109=2,IF(L122=1,1,0),0)</f>
        <v>0</v>
      </c>
      <c r="N138" s="70">
        <f>IF(N109=2,IF(O122=1,1,0),0)</f>
        <v>0</v>
      </c>
      <c r="P138" s="74">
        <f>IF(P109=2,IF(O122=1,1,0),0)</f>
        <v>0</v>
      </c>
      <c r="Q138" s="70">
        <f>IF(Q109=2,IF(R122=1,1,0),0)</f>
        <v>0</v>
      </c>
      <c r="S138" s="74">
        <f>IF(S109=2,IF(R122=1,1,0),0)</f>
        <v>0</v>
      </c>
      <c r="T138" s="70">
        <f>IF(T109=2,IF(U122=1,1,0),0)</f>
        <v>0</v>
      </c>
      <c r="V138" s="74">
        <f>IF(V109=2,IF(U122=1,1,0),0)</f>
        <v>0</v>
      </c>
      <c r="W138" s="70">
        <f>IF(W109=2,IF(X122=1,1,0),0)</f>
        <v>0</v>
      </c>
      <c r="Y138" s="74">
        <f>IF(Y109=2,IF(X122=1,1,0),0)</f>
        <v>0</v>
      </c>
      <c r="Z138" s="70">
        <f>IF(Z109=2,IF(AA122=1,1,0),0)</f>
        <v>0</v>
      </c>
      <c r="AB138" s="74">
        <f>IF(AB109=2,IF(AA122=1,1,0),0)</f>
        <v>0</v>
      </c>
      <c r="AC138" s="70">
        <f>IF(AC109=2,IF(AD122=1,1,0),0)</f>
        <v>0</v>
      </c>
      <c r="AE138" s="74">
        <f>IF(AE109=2,IF(AD122=1,1,0),0)</f>
        <v>0</v>
      </c>
      <c r="AF138" s="70">
        <f>SUM(B138:AE138)</f>
        <v>1</v>
      </c>
      <c r="AW138" s="154"/>
    </row>
    <row r="139" spans="1:49" s="70" customFormat="1" ht="12.75" hidden="1" customHeight="1" x14ac:dyDescent="0.2">
      <c r="A139" s="70" t="s">
        <v>99</v>
      </c>
      <c r="B139" s="70">
        <f>IF(B109=3,IF(C122=1,1,0),0)</f>
        <v>0</v>
      </c>
      <c r="D139" s="74">
        <f>IF(D109=3,IF(C122=1,1,0),0)</f>
        <v>0</v>
      </c>
      <c r="E139" s="70">
        <f>IF(E109=3,IF(F122=1,1,0),0)</f>
        <v>0</v>
      </c>
      <c r="G139" s="74">
        <f>IF(G109=3,IF(F122=1,1,0),0)</f>
        <v>0</v>
      </c>
      <c r="H139" s="70">
        <f>IF(H109=3,IF(I122=1,1,0),0)</f>
        <v>0</v>
      </c>
      <c r="J139" s="74">
        <f>IF(J109=3,IF(I122=1,1,0),0)</f>
        <v>0</v>
      </c>
      <c r="K139" s="70">
        <f>IF(K109=3,IF(L122=1,1,0),0)</f>
        <v>0</v>
      </c>
      <c r="M139" s="74">
        <f>IF(M109=3,IF(L122=1,1,0),0)</f>
        <v>0</v>
      </c>
      <c r="N139" s="70">
        <f>IF(N109=3,IF(O122=1,1,0),0)</f>
        <v>0</v>
      </c>
      <c r="P139" s="74">
        <f>IF(P109=3,IF(O122=1,1,0),0)</f>
        <v>1</v>
      </c>
      <c r="Q139" s="70">
        <f>IF(Q109=3,IF(R122=1,1,0),0)</f>
        <v>0</v>
      </c>
      <c r="S139" s="74">
        <f>IF(S109=3,IF(R122=1,1,0),0)</f>
        <v>0</v>
      </c>
      <c r="T139" s="70">
        <f>IF(T109=3,IF(U122=1,1,0),0)</f>
        <v>0</v>
      </c>
      <c r="V139" s="74">
        <f>IF(V109=3,IF(U122=1,1,0),0)</f>
        <v>0</v>
      </c>
      <c r="W139" s="70">
        <f>IF(W109=3,IF(X122=1,1,0),0)</f>
        <v>0</v>
      </c>
      <c r="Y139" s="74">
        <f>IF(Y109=3,IF(X122=1,1,0),0)</f>
        <v>0</v>
      </c>
      <c r="Z139" s="70">
        <f>IF(Z109=3,IF(AA122=1,1,0),0)</f>
        <v>1</v>
      </c>
      <c r="AB139" s="74">
        <f>IF(AB109=3,IF(AA122=1,1,0),0)</f>
        <v>0</v>
      </c>
      <c r="AC139" s="70">
        <f>IF(AC109=3,IF(AD122=1,1,0),0)</f>
        <v>0</v>
      </c>
      <c r="AE139" s="74">
        <f>IF(AE109=3,IF(AD122=1,1,0),0)</f>
        <v>0</v>
      </c>
      <c r="AF139" s="70">
        <f>SUM(B139:AE139)</f>
        <v>2</v>
      </c>
      <c r="AW139" s="154"/>
    </row>
    <row r="140" spans="1:49" s="70" customFormat="1" ht="12.75" hidden="1" customHeight="1" x14ac:dyDescent="0.2">
      <c r="A140" s="70" t="s">
        <v>100</v>
      </c>
      <c r="B140" s="70">
        <f>IF(B109=4,IF(C122=1,1,0),0)</f>
        <v>0</v>
      </c>
      <c r="D140" s="74">
        <f>IF(D109=4,IF(C122=1,1,0),0)</f>
        <v>0</v>
      </c>
      <c r="E140" s="70">
        <f>IF(E109=4,IF(F122=1,1,0),0)</f>
        <v>0</v>
      </c>
      <c r="G140" s="74">
        <f>IF(G109=4,IF(F122=1,1,0),0)</f>
        <v>0</v>
      </c>
      <c r="H140" s="70">
        <f>IF(H109=4,IF(I122=1,1,0),0)</f>
        <v>0</v>
      </c>
      <c r="J140" s="74">
        <f>IF(J109=4,IF(I122=1,1,0),0)</f>
        <v>0</v>
      </c>
      <c r="K140" s="70">
        <f>IF(K109=4,IF(L122=1,1,0),0)</f>
        <v>0</v>
      </c>
      <c r="M140" s="74">
        <f>IF(M109=4,IF(L122=1,1,0),0)</f>
        <v>0</v>
      </c>
      <c r="N140" s="70">
        <f>IF(N109=4,IF(O122=1,1,0),0)</f>
        <v>0</v>
      </c>
      <c r="P140" s="74">
        <f>IF(P109=4,IF(O122=1,1,0),0)</f>
        <v>0</v>
      </c>
      <c r="Q140" s="70">
        <f>IF(Q109=4,IF(R122=1,1,0),0)</f>
        <v>0</v>
      </c>
      <c r="S140" s="74">
        <f>IF(S109=4,IF(R122=1,1,0),0)</f>
        <v>0</v>
      </c>
      <c r="T140" s="70">
        <f>IF(T109=4,IF(U122=1,1,0),0)</f>
        <v>0</v>
      </c>
      <c r="V140" s="74">
        <f>IF(V109=4,IF(U122=1,1,0),0)</f>
        <v>0</v>
      </c>
      <c r="W140" s="70">
        <f>IF(W109=4,IF(X122=1,1,0),0)</f>
        <v>0</v>
      </c>
      <c r="Y140" s="74">
        <f>IF(Y109=4,IF(X122=1,1,0),0)</f>
        <v>0</v>
      </c>
      <c r="Z140" s="70">
        <f>IF(Z109=4,IF(AA122=1,1,0),0)</f>
        <v>0</v>
      </c>
      <c r="AB140" s="74">
        <f>IF(AB109=4,IF(AA122=1,1,0),0)</f>
        <v>1</v>
      </c>
      <c r="AC140" s="70">
        <f>IF(AC109=4,IF(AD122=1,1,0),0)</f>
        <v>0</v>
      </c>
      <c r="AE140" s="74">
        <f>IF(AE109=4,IF(AD122=1,1,0),0)</f>
        <v>0</v>
      </c>
      <c r="AF140" s="70">
        <f>SUM(B140:AE140)</f>
        <v>1</v>
      </c>
      <c r="AW140" s="154"/>
    </row>
    <row r="141" spans="1:49" s="70" customFormat="1" ht="12.75" hidden="1" customHeight="1" x14ac:dyDescent="0.2">
      <c r="A141" s="70" t="s">
        <v>101</v>
      </c>
      <c r="B141" s="70">
        <f>IF(B109=5,IF(C122=1,1,0),0)</f>
        <v>0</v>
      </c>
      <c r="D141" s="74">
        <f>IF(D109=5,IF(C122=1,1,0),0)</f>
        <v>1</v>
      </c>
      <c r="E141" s="70">
        <f>IF(E109=5,IF(F122=1,1,0),0)</f>
        <v>0</v>
      </c>
      <c r="G141" s="74">
        <f>IF(G109=5,IF(F122=1,1,0),0)</f>
        <v>0</v>
      </c>
      <c r="H141" s="70">
        <f>IF(H109=5,IF(I122=1,1,0),0)</f>
        <v>0</v>
      </c>
      <c r="J141" s="74">
        <f>IF(J109=5,IF(I122=1,1,0),0)</f>
        <v>0</v>
      </c>
      <c r="K141" s="70">
        <f>IF(K109=5,IF(L122=1,1,0),0)</f>
        <v>0</v>
      </c>
      <c r="M141" s="74">
        <f>IF(M109=5,IF(L122=1,1,0),0)</f>
        <v>0</v>
      </c>
      <c r="N141" s="70">
        <f>IF(N109=5,IF(O122=1,1,0),0)</f>
        <v>0</v>
      </c>
      <c r="P141" s="74">
        <f>IF(P109=5,IF(O122=1,1,0),0)</f>
        <v>0</v>
      </c>
      <c r="Q141" s="70">
        <f>IF(Q109=5,IF(R122=1,1,0),0)</f>
        <v>0</v>
      </c>
      <c r="S141" s="74">
        <f>IF(S109=5,IF(R122=1,1,0),0)</f>
        <v>0</v>
      </c>
      <c r="T141" s="70">
        <f>IF(T109=5,IF(U122=1,1,0),0)</f>
        <v>0</v>
      </c>
      <c r="V141" s="74">
        <f>IF(V109=5,IF(U122=1,1,0),0)</f>
        <v>0</v>
      </c>
      <c r="W141" s="70">
        <f>IF(W109=5,IF(X122=1,1,0),0)</f>
        <v>0</v>
      </c>
      <c r="Y141" s="74">
        <f>IF(Y109=5,IF(X122=1,1,0),0)</f>
        <v>0</v>
      </c>
      <c r="Z141" s="70">
        <f>IF(Z109=5,IF(AA122=1,1,0),0)</f>
        <v>0</v>
      </c>
      <c r="AB141" s="74">
        <f>IF(AB109=5,IF(AA122=1,1,0),0)</f>
        <v>0</v>
      </c>
      <c r="AC141" s="70">
        <f>IF(AC109=5,IF(AD122=1,1,0),0)</f>
        <v>0</v>
      </c>
      <c r="AE141" s="74">
        <f>IF(AE109=5,IF(AD122=1,1,0),0)</f>
        <v>0</v>
      </c>
      <c r="AF141" s="70">
        <f>SUM(B141:AE141)</f>
        <v>1</v>
      </c>
      <c r="AW141" s="154"/>
    </row>
    <row r="142" spans="1:49" s="70" customFormat="1" ht="38.25" hidden="1" customHeight="1" x14ac:dyDescent="0.2">
      <c r="A142" s="73"/>
      <c r="D142" s="74"/>
      <c r="G142" s="74"/>
      <c r="J142" s="74"/>
      <c r="M142" s="74"/>
      <c r="P142" s="74"/>
      <c r="S142" s="74"/>
      <c r="V142" s="74"/>
      <c r="Y142" s="74"/>
      <c r="AB142" s="74"/>
      <c r="AE142" s="74"/>
      <c r="AF142" s="73" t="s">
        <v>102</v>
      </c>
      <c r="AG142" s="280"/>
      <c r="AH142" s="280"/>
      <c r="AI142" s="280"/>
      <c r="AJ142" s="280"/>
      <c r="AK142" s="280"/>
      <c r="AW142" s="154"/>
    </row>
    <row r="143" spans="1:49" s="70" customFormat="1" ht="12.75" hidden="1" customHeight="1" x14ac:dyDescent="0.2">
      <c r="A143" s="70" t="s">
        <v>97</v>
      </c>
      <c r="B143" s="70">
        <f>IF(B109=1,B129,0)</f>
        <v>0</v>
      </c>
      <c r="D143" s="74">
        <f>IF(D109=1,B129,0)</f>
        <v>0</v>
      </c>
      <c r="E143" s="70">
        <f>IF(E109=1,E129,0)</f>
        <v>50</v>
      </c>
      <c r="G143" s="74">
        <f>IF(G109=1,E129,0)</f>
        <v>0</v>
      </c>
      <c r="H143" s="70">
        <f>IF(H109=1,H129,0)</f>
        <v>0</v>
      </c>
      <c r="J143" s="74">
        <f>IF(J109=1,H129,0)</f>
        <v>0</v>
      </c>
      <c r="K143" s="70">
        <f>IF(K109=1,K129,0)</f>
        <v>0</v>
      </c>
      <c r="M143" s="74">
        <f>IF(M109=1,K129,0)</f>
        <v>0</v>
      </c>
      <c r="N143" s="70">
        <f>IF(N109=1,N129,0)</f>
        <v>50</v>
      </c>
      <c r="P143" s="74">
        <f>IF(P109=1,N129,0)</f>
        <v>0</v>
      </c>
      <c r="Q143" s="70">
        <f>IF(Q109=1,Q129,0)</f>
        <v>0</v>
      </c>
      <c r="S143" s="74">
        <f>IF(S109=1,Q129,0)</f>
        <v>0</v>
      </c>
      <c r="T143" s="70">
        <f>IF(T109=1,T129,0)</f>
        <v>0</v>
      </c>
      <c r="V143" s="74">
        <f>IF(V109=1,T129,0)</f>
        <v>0</v>
      </c>
      <c r="W143" s="70">
        <f>IF(W109=1,W129,0)</f>
        <v>50</v>
      </c>
      <c r="Y143" s="74">
        <f>IF(Y109=1,W129,0)</f>
        <v>0</v>
      </c>
      <c r="Z143" s="70">
        <f>IF(Z109=1,Z129,0)</f>
        <v>0</v>
      </c>
      <c r="AB143" s="74">
        <f>IF(AB109=1,Z129,0)</f>
        <v>0</v>
      </c>
      <c r="AC143" s="70">
        <f>IF(AC109=1,AC129,0)</f>
        <v>50</v>
      </c>
      <c r="AE143" s="74">
        <f>IF(AE109=1,AC129,0)</f>
        <v>0</v>
      </c>
      <c r="AF143" s="70">
        <f>SUM(B143:AE143)</f>
        <v>200</v>
      </c>
      <c r="AW143" s="154"/>
    </row>
    <row r="144" spans="1:49" s="70" customFormat="1" ht="12.75" hidden="1" customHeight="1" x14ac:dyDescent="0.2">
      <c r="A144" s="70" t="s">
        <v>98</v>
      </c>
      <c r="B144" s="70">
        <f>IF(B109=2,B129,0)</f>
        <v>50</v>
      </c>
      <c r="D144" s="74">
        <f>IF(D109=2,B129,0)</f>
        <v>0</v>
      </c>
      <c r="E144" s="70">
        <f>IF(E109=2,E129,0)</f>
        <v>0</v>
      </c>
      <c r="G144" s="74">
        <f>IF(G109=2,E129,0)</f>
        <v>0</v>
      </c>
      <c r="H144" s="70">
        <f>IF(H109=2,H129,0)</f>
        <v>0</v>
      </c>
      <c r="J144" s="74">
        <f>IF(J109=2,H129,0)</f>
        <v>0</v>
      </c>
      <c r="K144" s="70">
        <f>IF(K109=2,K129,0)</f>
        <v>50</v>
      </c>
      <c r="M144" s="74">
        <f>IF(M109=2,K129,0)</f>
        <v>0</v>
      </c>
      <c r="N144" s="70">
        <f>IF(N109=2,N129,0)</f>
        <v>0</v>
      </c>
      <c r="P144" s="74">
        <f>IF(P109=2,N129,0)</f>
        <v>0</v>
      </c>
      <c r="Q144" s="70">
        <f>IF(Q109=2,Q129,0)</f>
        <v>0</v>
      </c>
      <c r="S144" s="74">
        <f>IF(S109=2,Q129,0)</f>
        <v>0</v>
      </c>
      <c r="T144" s="70">
        <f>IF(T109=2,T129,0)</f>
        <v>50</v>
      </c>
      <c r="V144" s="74">
        <f>IF(V109=2,T129,0)</f>
        <v>0</v>
      </c>
      <c r="W144" s="70">
        <f>IF(W109=2,W129,0)</f>
        <v>0</v>
      </c>
      <c r="Y144" s="74">
        <f>IF(Y109=2,W129,0)</f>
        <v>0</v>
      </c>
      <c r="Z144" s="70">
        <f>IF(Z109=2,Z129,0)</f>
        <v>0</v>
      </c>
      <c r="AB144" s="74">
        <f>IF(AB109=2,Z129,0)</f>
        <v>0</v>
      </c>
      <c r="AC144" s="70">
        <f>IF(AC109=2,AC129,0)</f>
        <v>0</v>
      </c>
      <c r="AE144" s="74">
        <f>IF(AE109=2,AC129,0)</f>
        <v>50</v>
      </c>
      <c r="AF144" s="70">
        <f>SUM(B144:AE144)</f>
        <v>200</v>
      </c>
      <c r="AW144" s="154"/>
    </row>
    <row r="145" spans="1:49" s="70" customFormat="1" ht="12.75" hidden="1" customHeight="1" x14ac:dyDescent="0.2">
      <c r="A145" s="70" t="s">
        <v>99</v>
      </c>
      <c r="B145" s="70">
        <f>IF(B109=3,B129,0)</f>
        <v>0</v>
      </c>
      <c r="D145" s="74">
        <f>IF(D109=3,B129,0)</f>
        <v>0</v>
      </c>
      <c r="E145" s="70">
        <f>IF(E109=3,E129,0)</f>
        <v>0</v>
      </c>
      <c r="G145" s="74">
        <f>IF(G109=3,E129,0)</f>
        <v>0</v>
      </c>
      <c r="H145" s="70">
        <f>IF(H109=3,H129,0)</f>
        <v>50</v>
      </c>
      <c r="J145" s="74">
        <f>IF(J109=3,H129,0)</f>
        <v>0</v>
      </c>
      <c r="K145" s="70">
        <f>IF(K109=3,K129,0)</f>
        <v>0</v>
      </c>
      <c r="M145" s="74">
        <f>IF(M109=3,K129,0)</f>
        <v>0</v>
      </c>
      <c r="N145" s="70">
        <f>IF(N109=3,N129,0)</f>
        <v>0</v>
      </c>
      <c r="P145" s="74">
        <f>IF(P109=3,N129,0)</f>
        <v>50</v>
      </c>
      <c r="Q145" s="70">
        <f>IF(Q109=3,Q129,0)</f>
        <v>0</v>
      </c>
      <c r="S145" s="74">
        <f>IF(S109=3,Q129,0)</f>
        <v>0</v>
      </c>
      <c r="T145" s="70">
        <f>IF(T109=3,T129,0)</f>
        <v>0</v>
      </c>
      <c r="V145" s="74">
        <f>IF(V109=3,T129,0)</f>
        <v>50</v>
      </c>
      <c r="W145" s="70">
        <f>IF(W109=3,W129,0)</f>
        <v>0</v>
      </c>
      <c r="Y145" s="74">
        <f>IF(Y109=3,W129,0)</f>
        <v>0</v>
      </c>
      <c r="Z145" s="70">
        <f>IF(Z109=3,Z129,0)</f>
        <v>50</v>
      </c>
      <c r="AB145" s="74">
        <f>IF(AB109=3,Z129,0)</f>
        <v>0</v>
      </c>
      <c r="AC145" s="70">
        <f>IF(AC109=3,AC129,0)</f>
        <v>0</v>
      </c>
      <c r="AE145" s="74">
        <f>IF(AE109=3,AC129,0)</f>
        <v>0</v>
      </c>
      <c r="AF145" s="70">
        <f>SUM(B145:AE145)</f>
        <v>200</v>
      </c>
      <c r="AW145" s="154"/>
    </row>
    <row r="146" spans="1:49" s="70" customFormat="1" ht="12.75" hidden="1" customHeight="1" x14ac:dyDescent="0.2">
      <c r="A146" s="70" t="s">
        <v>100</v>
      </c>
      <c r="B146" s="70">
        <f>IF(B109=4,B129,0)</f>
        <v>0</v>
      </c>
      <c r="D146" s="74">
        <f>IF(D109=4,B129,0)</f>
        <v>0</v>
      </c>
      <c r="E146" s="70">
        <f>IF(E109=4,E129,0)</f>
        <v>0</v>
      </c>
      <c r="G146" s="74">
        <f>IF(G109=4,E129,0)</f>
        <v>50</v>
      </c>
      <c r="H146" s="70">
        <f>IF(H109=4,H129,0)</f>
        <v>0</v>
      </c>
      <c r="J146" s="74">
        <f>IF(J109=4,H129,0)</f>
        <v>0</v>
      </c>
      <c r="K146" s="70">
        <f>IF(K109=4,K129,0)</f>
        <v>0</v>
      </c>
      <c r="M146" s="74">
        <f>IF(M109=4,K129,0)</f>
        <v>50</v>
      </c>
      <c r="N146" s="70">
        <f>IF(N109=4,N129,0)</f>
        <v>0</v>
      </c>
      <c r="P146" s="74">
        <f>IF(P109=4,N129,0)</f>
        <v>0</v>
      </c>
      <c r="Q146" s="70">
        <f>IF(Q109=4,Q129,0)</f>
        <v>50</v>
      </c>
      <c r="S146" s="74">
        <f>IF(S109=4,Q129,0)</f>
        <v>0</v>
      </c>
      <c r="T146" s="70">
        <f>IF(T109=4,T129,0)</f>
        <v>0</v>
      </c>
      <c r="V146" s="74">
        <f>IF(V109=4,T129,0)</f>
        <v>0</v>
      </c>
      <c r="W146" s="70">
        <f>IF(W109=4,W129,0)</f>
        <v>0</v>
      </c>
      <c r="Y146" s="74">
        <f>IF(Y109=4,W129,0)</f>
        <v>0</v>
      </c>
      <c r="Z146" s="70">
        <f>IF(Z109=4,Z129,0)</f>
        <v>0</v>
      </c>
      <c r="AB146" s="74">
        <f>IF(AB109=4,Z129,0)</f>
        <v>50</v>
      </c>
      <c r="AC146" s="70">
        <f>IF(AC109=4,AC129,0)</f>
        <v>0</v>
      </c>
      <c r="AE146" s="74">
        <f>IF(AE109=4,AC129,0)</f>
        <v>0</v>
      </c>
      <c r="AF146" s="70">
        <f>SUM(B146:AE146)</f>
        <v>200</v>
      </c>
      <c r="AW146" s="154"/>
    </row>
    <row r="147" spans="1:49" s="70" customFormat="1" ht="12.75" hidden="1" customHeight="1" x14ac:dyDescent="0.2">
      <c r="A147" s="70" t="s">
        <v>101</v>
      </c>
      <c r="B147" s="70">
        <f>IF(B109=5,B129,0)</f>
        <v>0</v>
      </c>
      <c r="D147" s="74">
        <f>IF(D109=5,B129,0)</f>
        <v>50</v>
      </c>
      <c r="E147" s="70">
        <f>IF(E109=5,E129,0)</f>
        <v>0</v>
      </c>
      <c r="G147" s="74">
        <f>IF(G109=5,E129,0)</f>
        <v>0</v>
      </c>
      <c r="H147" s="70">
        <f>IF(H109=5,H129,0)</f>
        <v>0</v>
      </c>
      <c r="J147" s="74">
        <f>IF(J109=5,H129,0)</f>
        <v>50</v>
      </c>
      <c r="K147" s="70">
        <f>IF(K109=5,K129,0)</f>
        <v>0</v>
      </c>
      <c r="M147" s="74">
        <f>IF(M109=5,K129,0)</f>
        <v>0</v>
      </c>
      <c r="N147" s="70">
        <f>IF(N109=5,N129,0)</f>
        <v>0</v>
      </c>
      <c r="P147" s="74">
        <f>IF(P109=5,N129,0)</f>
        <v>0</v>
      </c>
      <c r="Q147" s="70">
        <f>IF(Q109=5,Q129,0)</f>
        <v>0</v>
      </c>
      <c r="S147" s="74">
        <f>IF(S109=5,Q129,0)</f>
        <v>50</v>
      </c>
      <c r="T147" s="70">
        <f>IF(T109=5,T129,0)</f>
        <v>0</v>
      </c>
      <c r="V147" s="74">
        <f>IF(V109=5,T129,0)</f>
        <v>0</v>
      </c>
      <c r="W147" s="70">
        <f>IF(W109=5,W129,0)</f>
        <v>0</v>
      </c>
      <c r="Y147" s="74">
        <f>IF(Y109=5,W129,0)</f>
        <v>50</v>
      </c>
      <c r="Z147" s="70">
        <f>IF(Z109=5,Z129,0)</f>
        <v>0</v>
      </c>
      <c r="AB147" s="74">
        <f>IF(AB109=5,Z129,0)</f>
        <v>0</v>
      </c>
      <c r="AC147" s="70">
        <f>IF(AC109=5,AC129,0)</f>
        <v>0</v>
      </c>
      <c r="AE147" s="74">
        <f>IF(AE109=5,AC129,0)</f>
        <v>0</v>
      </c>
      <c r="AF147" s="70">
        <f>SUM(B147:AE147)</f>
        <v>200</v>
      </c>
      <c r="AW147" s="154"/>
    </row>
    <row r="148" spans="1:49" s="70" customFormat="1" ht="38.25" hidden="1" customHeight="1" x14ac:dyDescent="0.2">
      <c r="A148" s="70" t="s">
        <v>103</v>
      </c>
      <c r="D148" s="74"/>
      <c r="G148" s="74"/>
      <c r="J148" s="74"/>
      <c r="M148" s="74"/>
      <c r="P148" s="74"/>
      <c r="S148" s="74"/>
      <c r="V148" s="74"/>
      <c r="Y148" s="74"/>
      <c r="AB148" s="74"/>
      <c r="AE148" s="74"/>
      <c r="AF148" s="73" t="s">
        <v>104</v>
      </c>
      <c r="AG148" s="70" t="s">
        <v>105</v>
      </c>
      <c r="AW148" s="154"/>
    </row>
    <row r="149" spans="1:49" s="70" customFormat="1" ht="12.75" hidden="1" customHeight="1" x14ac:dyDescent="0.2">
      <c r="A149" s="70" t="s">
        <v>91</v>
      </c>
      <c r="B149" s="70">
        <f>IF(B109=1,SUMIF(B116:B120,"&gt;0"),0)</f>
        <v>0</v>
      </c>
      <c r="D149" s="74">
        <f>IF(D109=1,SUMIF(D116:D120,"&gt;0"),0)</f>
        <v>0</v>
      </c>
      <c r="E149" s="70">
        <f>IF(E109=1,SUMIF(E116:E120,"&gt;0"),0)</f>
        <v>1</v>
      </c>
      <c r="G149" s="74">
        <f>IF(G109=1,SUMIF(G116:G120,"&gt;0"),0)</f>
        <v>0</v>
      </c>
      <c r="H149" s="70">
        <f>IF(H109=1,SUMIF(H116:H120,"&gt;0"),0)</f>
        <v>0</v>
      </c>
      <c r="J149" s="74">
        <f>IF(J109=1,SUMIF(J116:J120,"&gt;0"),0)</f>
        <v>0</v>
      </c>
      <c r="K149" s="70">
        <f>IF(K109=1,SUMIF(K116:K120,"&gt;0"),0)</f>
        <v>0</v>
      </c>
      <c r="M149" s="74">
        <f>IF(M109=1,SUMIF(M116:M120,"&gt;0"),0)</f>
        <v>0</v>
      </c>
      <c r="N149" s="70">
        <f>IF(N109=1,SUMIF(N116:N120,"&gt;0"),0)</f>
        <v>2</v>
      </c>
      <c r="P149" s="74">
        <f>IF(P109=1,SUMIF(P116:P120,"&gt;0"),0)</f>
        <v>0</v>
      </c>
      <c r="Q149" s="70">
        <f>IF(Q109=1,SUMIF(Q116:Q120,"&gt;0"),0)</f>
        <v>0</v>
      </c>
      <c r="S149" s="74">
        <f>IF(S109=1,SUMIF(S116:S120,"&gt;0"),0)</f>
        <v>0</v>
      </c>
      <c r="T149" s="70">
        <f>IF(T109=1,SUMIF(T116:T120,"&gt;0"),0)</f>
        <v>0</v>
      </c>
      <c r="V149" s="74">
        <f>IF(V109=1,SUMIF(V116:V120,"&gt;0"),0)</f>
        <v>0</v>
      </c>
      <c r="W149" s="70">
        <f>IF(W109=1,SUMIF(W116:W120,"&gt;0"),0)</f>
        <v>1</v>
      </c>
      <c r="Y149" s="74">
        <f>IF(Y109=1,SUMIF(Y116:Y120,"&gt;0"),0)</f>
        <v>0</v>
      </c>
      <c r="Z149" s="70">
        <f>IF(Z109=1,SUMIF(Z116:Z120,"&gt;0"),0)</f>
        <v>0</v>
      </c>
      <c r="AB149" s="74">
        <f>IF(AB109=1,SUMIF(AB116:AB120,"&gt;0"),0)</f>
        <v>0</v>
      </c>
      <c r="AC149" s="70">
        <f>IF(AC109=1,SUMIF(AC116:AC120,"&gt;0"),0)</f>
        <v>1</v>
      </c>
      <c r="AE149" s="74">
        <f>IF(AE109=1,SUMIF(AE116:AE120,"&gt;0"),0)</f>
        <v>0</v>
      </c>
      <c r="AF149" s="70">
        <f>SUM(B149:AE149)</f>
        <v>5</v>
      </c>
      <c r="AG149" s="70">
        <f>AF157-AF149</f>
        <v>3</v>
      </c>
      <c r="AW149" s="154"/>
    </row>
    <row r="150" spans="1:49" s="70" customFormat="1" ht="12.75" hidden="1" customHeight="1" x14ac:dyDescent="0.2">
      <c r="A150" s="70" t="s">
        <v>92</v>
      </c>
      <c r="B150" s="70">
        <f>IF(B109=2,SUMIF(B116:B120,"&gt;0"),0)</f>
        <v>2</v>
      </c>
      <c r="D150" s="74">
        <f>IF(D109=2,SUMIF(D116:D120,"&gt;0"),0)</f>
        <v>0</v>
      </c>
      <c r="E150" s="70">
        <f>IF(E109=2,SUMIF(E116:E120,"&gt;0"),0)</f>
        <v>0</v>
      </c>
      <c r="G150" s="74">
        <f>IF(G109=2,SUMIF(G116:G120,"&gt;0"),0)</f>
        <v>0</v>
      </c>
      <c r="H150" s="70">
        <f>IF(H109=2,SUMIF(H116:H120,"&gt;0"),0)</f>
        <v>0</v>
      </c>
      <c r="J150" s="74">
        <f>IF(J109=2,SUMIF(J116:J120,"&gt;0"),0)</f>
        <v>0</v>
      </c>
      <c r="K150" s="70">
        <f>IF(K109=2,SUMIF(K116:K120,"&gt;0"),0)</f>
        <v>1</v>
      </c>
      <c r="M150" s="74">
        <f>IF(M109=2,SUMIF(M116:M120,"&gt;0"),0)</f>
        <v>0</v>
      </c>
      <c r="N150" s="70">
        <f>IF(N109=2,SUMIF(N116:N120,"&gt;0"),0)</f>
        <v>0</v>
      </c>
      <c r="P150" s="74">
        <f>IF(P109=2,SUMIF(P116:P120,"&gt;0"),0)</f>
        <v>0</v>
      </c>
      <c r="Q150" s="70">
        <f>IF(Q109=2,SUMIF(Q116:Q120,"&gt;0"),0)</f>
        <v>0</v>
      </c>
      <c r="S150" s="74">
        <f>IF(S109=2,SUMIF(S116:S120,"&gt;0"),0)</f>
        <v>0</v>
      </c>
      <c r="T150" s="70">
        <f>IF(T109=2,SUMIF(T116:T120,"&gt;0"),0)</f>
        <v>1</v>
      </c>
      <c r="V150" s="74">
        <f>IF(V109=2,SUMIF(V116:V120,"&gt;0"),0)</f>
        <v>0</v>
      </c>
      <c r="W150" s="70">
        <f>IF(W109=2,SUMIF(W116:W120,"&gt;0"),0)</f>
        <v>0</v>
      </c>
      <c r="Y150" s="74">
        <f>IF(Y109=2,SUMIF(Y116:Y120,"&gt;0"),0)</f>
        <v>0</v>
      </c>
      <c r="Z150" s="70">
        <f>IF(Z109=2,SUMIF(Z116:Z120,"&gt;0"),0)</f>
        <v>0</v>
      </c>
      <c r="AB150" s="74">
        <f>IF(AB109=2,SUMIF(AB116:AB120,"&gt;0"),0)</f>
        <v>0</v>
      </c>
      <c r="AC150" s="70">
        <f>IF(AC109=2,SUMIF(AC116:AC120,"&gt;0"),0)</f>
        <v>0</v>
      </c>
      <c r="AE150" s="74">
        <f>IF(AE109=2,SUMIF(AE116:AE120,"&gt;0"),0)</f>
        <v>1</v>
      </c>
      <c r="AF150" s="70">
        <f>SUM(B150:AE150)</f>
        <v>5</v>
      </c>
      <c r="AG150" s="70">
        <f>AF158-AF150</f>
        <v>3</v>
      </c>
      <c r="AW150" s="154"/>
    </row>
    <row r="151" spans="1:49" s="70" customFormat="1" ht="12.75" hidden="1" customHeight="1" x14ac:dyDescent="0.2">
      <c r="A151" s="70" t="s">
        <v>93</v>
      </c>
      <c r="B151" s="70">
        <f>IF(B109=3,SUMIF(B116:B120,"&gt;0"),0)</f>
        <v>0</v>
      </c>
      <c r="D151" s="74">
        <f>IF(D109=3,SUMIF(D116:D120,"&gt;0"),0)</f>
        <v>0</v>
      </c>
      <c r="E151" s="70">
        <f>IF(E109=3,SUMIF(E116:E120,"&gt;0"),0)</f>
        <v>0</v>
      </c>
      <c r="G151" s="74">
        <f>IF(G109=3,SUMIF(G116:G120,"&gt;0"),0)</f>
        <v>0</v>
      </c>
      <c r="H151" s="70">
        <f>IF(H109=3,SUMIF(H116:H120,"&gt;0"),0)</f>
        <v>1</v>
      </c>
      <c r="J151" s="74">
        <f>IF(J109=3,SUMIF(J116:J120,"&gt;0"),0)</f>
        <v>0</v>
      </c>
      <c r="K151" s="70">
        <f>IF(K109=3,SUMIF(K116:K120,"&gt;0"),0)</f>
        <v>0</v>
      </c>
      <c r="M151" s="74">
        <f>IF(M109=3,SUMIF(M116:M120,"&gt;0"),0)</f>
        <v>0</v>
      </c>
      <c r="N151" s="70">
        <f>IF(N109=3,SUMIF(N116:N120,"&gt;0"),0)</f>
        <v>0</v>
      </c>
      <c r="P151" s="74">
        <f>IF(P109=3,SUMIF(P116:P120,"&gt;0"),0)</f>
        <v>0</v>
      </c>
      <c r="Q151" s="70">
        <f>IF(Q109=3,SUMIF(Q116:Q120,"&gt;0"),0)</f>
        <v>0</v>
      </c>
      <c r="S151" s="74">
        <f>IF(S109=3,SUMIF(S116:S120,"&gt;0"),0)</f>
        <v>0</v>
      </c>
      <c r="T151" s="70">
        <f>IF(T109=3,SUMIF(T116:T120,"&gt;0"),0)</f>
        <v>0</v>
      </c>
      <c r="V151" s="74">
        <f>IF(V109=3,SUMIF(V116:V120,"&gt;0"),0)</f>
        <v>1</v>
      </c>
      <c r="W151" s="70">
        <f>IF(W109=3,SUMIF(W116:W120,"&gt;0"),0)</f>
        <v>0</v>
      </c>
      <c r="Y151" s="74">
        <f>IF(Y109=3,SUMIF(Y116:Y120,"&gt;0"),0)</f>
        <v>0</v>
      </c>
      <c r="Z151" s="70">
        <f>IF(Z109=3,SUMIF(Z116:Z120,"&gt;0"),0)</f>
        <v>0</v>
      </c>
      <c r="AB151" s="74">
        <f>IF(AB109=3,SUMIF(AB116:AB120,"&gt;0"),0)</f>
        <v>0</v>
      </c>
      <c r="AC151" s="70">
        <f>IF(AC109=3,SUMIF(AC116:AC120,"&gt;0"),0)</f>
        <v>0</v>
      </c>
      <c r="AE151" s="74">
        <f>IF(AE109=3,SUMIF(AE116:AE120,"&gt;0"),0)</f>
        <v>0</v>
      </c>
      <c r="AF151" s="70">
        <f>SUM(B151:AE151)</f>
        <v>2</v>
      </c>
      <c r="AG151" s="70">
        <f>AF159-AF151</f>
        <v>6</v>
      </c>
      <c r="AW151" s="154"/>
    </row>
    <row r="152" spans="1:49" s="70" customFormat="1" ht="12.75" hidden="1" customHeight="1" x14ac:dyDescent="0.2">
      <c r="A152" s="70" t="s">
        <v>94</v>
      </c>
      <c r="B152" s="70">
        <f>IF(B109=4,SUMIF(B116:B120,"&gt;0"),0)</f>
        <v>0</v>
      </c>
      <c r="D152" s="74">
        <f>IF(D109=4,SUMIF(D116:D120,"&gt;0"),0)</f>
        <v>0</v>
      </c>
      <c r="E152" s="70">
        <f>IF(E109=4,SUMIF(E116:E120,"&gt;0"),0)</f>
        <v>0</v>
      </c>
      <c r="G152" s="74">
        <f>IF(G109=4,SUMIF(G116:G120,"&gt;0"),0)</f>
        <v>1</v>
      </c>
      <c r="H152" s="70">
        <f>IF(H109=4,SUMIF(H116:H120,"&gt;0"),0)</f>
        <v>0</v>
      </c>
      <c r="J152" s="74">
        <f>IF(J109=4,SUMIF(J116:J120,"&gt;0"),0)</f>
        <v>0</v>
      </c>
      <c r="K152" s="70">
        <f>IF(K109=4,SUMIF(K116:K120,"&gt;0"),0)</f>
        <v>0</v>
      </c>
      <c r="M152" s="74">
        <f>IF(M109=4,SUMIF(M116:M120,"&gt;0"),0)</f>
        <v>1</v>
      </c>
      <c r="N152" s="70">
        <f>IF(N109=4,SUMIF(N116:N120,"&gt;0"),0)</f>
        <v>0</v>
      </c>
      <c r="P152" s="74">
        <f>IF(P109=4,SUMIF(P116:P120,"&gt;0"),0)</f>
        <v>0</v>
      </c>
      <c r="Q152" s="70">
        <f>IF(Q109=4,SUMIF(Q116:Q120,"&gt;0"),0)</f>
        <v>1</v>
      </c>
      <c r="S152" s="74">
        <f>IF(S109=4,SUMIF(S116:S120,"&gt;0"),0)</f>
        <v>0</v>
      </c>
      <c r="T152" s="70">
        <f>IF(T109=4,SUMIF(T116:T120,"&gt;0"),0)</f>
        <v>0</v>
      </c>
      <c r="V152" s="74">
        <f>IF(V109=4,SUMIF(V116:V120,"&gt;0"),0)</f>
        <v>0</v>
      </c>
      <c r="W152" s="70">
        <f>IF(W109=4,SUMIF(W116:W120,"&gt;0"),0)</f>
        <v>0</v>
      </c>
      <c r="Y152" s="74">
        <f>IF(Y109=4,SUMIF(Y116:Y120,"&gt;0"),0)</f>
        <v>0</v>
      </c>
      <c r="Z152" s="70">
        <f>IF(Z109=4,SUMIF(Z116:Z120,"&gt;0"),0)</f>
        <v>0</v>
      </c>
      <c r="AB152" s="74">
        <f>IF(AB109=4,SUMIF(AB116:AB120,"&gt;0"),0)</f>
        <v>2</v>
      </c>
      <c r="AC152" s="70">
        <f>IF(AC109=4,SUMIF(AC116:AC120,"&gt;0"),0)</f>
        <v>0</v>
      </c>
      <c r="AE152" s="74">
        <f>IF(AE109=4,SUMIF(AE116:AE120,"&gt;0"),0)</f>
        <v>0</v>
      </c>
      <c r="AF152" s="70">
        <f>SUM(B152:AE152)</f>
        <v>5</v>
      </c>
      <c r="AG152" s="70">
        <f>AF160-AF152</f>
        <v>3</v>
      </c>
      <c r="AW152" s="154"/>
    </row>
    <row r="153" spans="1:49" s="70" customFormat="1" ht="12.75" hidden="1" customHeight="1" x14ac:dyDescent="0.2">
      <c r="A153" s="70" t="s">
        <v>95</v>
      </c>
      <c r="B153" s="70">
        <f>IF(B109=5,SUMIF(B116:B120,"&gt;0"),0)</f>
        <v>0</v>
      </c>
      <c r="D153" s="74">
        <f>IF(D109=5,SUMIF(D116:D120,"&gt;0"),0)</f>
        <v>0</v>
      </c>
      <c r="E153" s="70">
        <f>IF(E109=5,SUMIF(E116:E120,"&gt;0"),0)</f>
        <v>0</v>
      </c>
      <c r="G153" s="74">
        <f>IF(G109=5,SUMIF(G116:G120,"&gt;0"),0)</f>
        <v>0</v>
      </c>
      <c r="H153" s="70">
        <f>IF(H109=5,SUMIF(H116:H120,"&gt;0"),0)</f>
        <v>0</v>
      </c>
      <c r="J153" s="74">
        <f>IF(J109=5,SUMIF(J116:J120,"&gt;0"),0)</f>
        <v>1</v>
      </c>
      <c r="K153" s="70">
        <f>IF(K109=5,SUMIF(K116:K120,"&gt;0"),0)</f>
        <v>0</v>
      </c>
      <c r="M153" s="74">
        <f>IF(M109=5,SUMIF(M116:M120,"&gt;0"),0)</f>
        <v>0</v>
      </c>
      <c r="N153" s="70">
        <f>IF(N109=5,SUMIF(N116:N120,"&gt;0"),0)</f>
        <v>0</v>
      </c>
      <c r="P153" s="74">
        <f>IF(P109=5,SUMIF(P116:P120,"&gt;0"),0)</f>
        <v>0</v>
      </c>
      <c r="Q153" s="70">
        <f>IF(Q109=5,SUMIF(Q116:Q120,"&gt;0"),0)</f>
        <v>0</v>
      </c>
      <c r="S153" s="74">
        <f>IF(S109=5,SUMIF(S116:S120,"&gt;0"),0)</f>
        <v>1</v>
      </c>
      <c r="T153" s="70">
        <f>IF(T109=5,SUMIF(T116:T120,"&gt;0"),0)</f>
        <v>0</v>
      </c>
      <c r="V153" s="74">
        <f>IF(V109=5,SUMIF(V116:V120,"&gt;0"),0)</f>
        <v>0</v>
      </c>
      <c r="W153" s="70">
        <f>IF(W109=5,SUMIF(W116:W120,"&gt;0"),0)</f>
        <v>0</v>
      </c>
      <c r="Y153" s="74">
        <f>IF(Y109=5,SUMIF(Y116:Y120,"&gt;0"),0)</f>
        <v>1</v>
      </c>
      <c r="Z153" s="70">
        <f>IF(Z109=5,SUMIF(Z116:Z120,"&gt;0"),0)</f>
        <v>0</v>
      </c>
      <c r="AB153" s="74">
        <f>IF(AB109=5,SUMIF(AB116:AB120,"&gt;0"),0)</f>
        <v>0</v>
      </c>
      <c r="AC153" s="70">
        <f>IF(AC109=5,SUMIF(AC116:AC120,"&gt;0"),0)</f>
        <v>0</v>
      </c>
      <c r="AE153" s="74">
        <f>IF(AE109=5,SUMIF(AE116:AE120,"&gt;0"),0)</f>
        <v>0</v>
      </c>
      <c r="AF153" s="70">
        <f>SUM(B153:AE153)</f>
        <v>3</v>
      </c>
      <c r="AG153" s="70">
        <f>AF161-AF153</f>
        <v>5</v>
      </c>
      <c r="AW153" s="154"/>
    </row>
    <row r="154" spans="1:49" s="70" customFormat="1" ht="12.75" hidden="1" customHeight="1" x14ac:dyDescent="0.2">
      <c r="D154" s="74"/>
      <c r="G154" s="74"/>
      <c r="J154" s="74"/>
      <c r="M154" s="74"/>
      <c r="P154" s="74"/>
      <c r="S154" s="74"/>
      <c r="V154" s="74"/>
      <c r="Y154" s="74"/>
      <c r="AB154" s="74"/>
      <c r="AE154" s="74"/>
      <c r="AW154" s="154"/>
    </row>
    <row r="155" spans="1:49" s="70" customFormat="1" ht="12.75" hidden="1" customHeight="1" x14ac:dyDescent="0.2">
      <c r="D155" s="74"/>
      <c r="G155" s="74"/>
      <c r="J155" s="74"/>
      <c r="M155" s="74"/>
      <c r="P155" s="74"/>
      <c r="S155" s="74"/>
      <c r="V155" s="74"/>
      <c r="Y155" s="74"/>
      <c r="AB155" s="74"/>
      <c r="AE155" s="74"/>
      <c r="AW155" s="154"/>
    </row>
    <row r="156" spans="1:49" s="70" customFormat="1" ht="51" hidden="1" customHeight="1" x14ac:dyDescent="0.2">
      <c r="A156" s="73" t="s">
        <v>106</v>
      </c>
      <c r="C156" s="70">
        <f>SUMIF(B149:D153,"&gt;0")</f>
        <v>2</v>
      </c>
      <c r="D156" s="74"/>
      <c r="F156" s="70">
        <f>SUMIF(E149:G153,"&gt;0")</f>
        <v>2</v>
      </c>
      <c r="G156" s="74"/>
      <c r="I156" s="70">
        <f>SUMIF(H149:J153,"&gt;0")</f>
        <v>2</v>
      </c>
      <c r="J156" s="74"/>
      <c r="L156" s="70">
        <f>SUMIF(K149:M153,"&gt;0")</f>
        <v>2</v>
      </c>
      <c r="M156" s="74"/>
      <c r="O156" s="70">
        <f>SUMIF(N149:P153,"&gt;0")</f>
        <v>2</v>
      </c>
      <c r="P156" s="74"/>
      <c r="R156" s="70">
        <f>SUMIF(Q149:S153,"&gt;0")</f>
        <v>2</v>
      </c>
      <c r="S156" s="74"/>
      <c r="U156" s="70">
        <f>SUMIF(T149:V153,"&gt;0")</f>
        <v>2</v>
      </c>
      <c r="V156" s="74"/>
      <c r="X156" s="70">
        <f>SUMIF(W149:Y153,"&gt;0")</f>
        <v>2</v>
      </c>
      <c r="Y156" s="74"/>
      <c r="AA156" s="70">
        <f>SUMIF(Z149:AB153,"&gt;0")</f>
        <v>2</v>
      </c>
      <c r="AB156" s="74"/>
      <c r="AD156" s="70">
        <f>SUMIF(AC149:AE153,"&gt;0")</f>
        <v>2</v>
      </c>
      <c r="AE156" s="74"/>
      <c r="AF156" s="73" t="s">
        <v>107</v>
      </c>
      <c r="AW156" s="154"/>
    </row>
    <row r="157" spans="1:49" s="70" customFormat="1" ht="12.75" hidden="1" customHeight="1" x14ac:dyDescent="0.2">
      <c r="A157" s="70" t="s">
        <v>97</v>
      </c>
      <c r="B157" s="70">
        <f>IF(B109=1,C156,0)</f>
        <v>0</v>
      </c>
      <c r="D157" s="74">
        <f>IF(D109=1,C156,0)</f>
        <v>0</v>
      </c>
      <c r="E157" s="70">
        <f>IF(E109=1,F156,0)</f>
        <v>2</v>
      </c>
      <c r="G157" s="74">
        <f>IF(G109=1,F156,0)</f>
        <v>0</v>
      </c>
      <c r="H157" s="70">
        <f>IF(H109=1,I156,0)</f>
        <v>0</v>
      </c>
      <c r="J157" s="74">
        <f>IF(J109=1,I156,0)</f>
        <v>0</v>
      </c>
      <c r="K157" s="70">
        <f>IF(K109=1,L156,0)</f>
        <v>0</v>
      </c>
      <c r="M157" s="74">
        <f>IF(M109=1,L156,0)</f>
        <v>0</v>
      </c>
      <c r="N157" s="70">
        <f>IF(N109=1,O156,0)</f>
        <v>2</v>
      </c>
      <c r="P157" s="74">
        <f>IF(P109=1,O156,0)</f>
        <v>0</v>
      </c>
      <c r="Q157" s="70">
        <f>IF(Q109=1,R156,0)</f>
        <v>0</v>
      </c>
      <c r="S157" s="74">
        <f>IF(S109=1,R156,0)</f>
        <v>0</v>
      </c>
      <c r="T157" s="70">
        <f>IF(T109=1,U156,0)</f>
        <v>0</v>
      </c>
      <c r="V157" s="74">
        <f>IF(V109=1,U156,0)</f>
        <v>0</v>
      </c>
      <c r="W157" s="70">
        <f>IF(W109=1,X156,0)</f>
        <v>2</v>
      </c>
      <c r="Y157" s="74">
        <f>IF(Y109=1,X156,0)</f>
        <v>0</v>
      </c>
      <c r="Z157" s="70">
        <f>IF(Z109=1,AA156,0)</f>
        <v>0</v>
      </c>
      <c r="AB157" s="74">
        <f>IF(AB109=1,AA156,0)</f>
        <v>0</v>
      </c>
      <c r="AC157" s="70">
        <f>IF(AC109=1,AD156,0)</f>
        <v>2</v>
      </c>
      <c r="AE157" s="74">
        <f>IF(AE109=1,AD156,0)</f>
        <v>0</v>
      </c>
      <c r="AF157" s="70">
        <f>SUM(B157:AE157)</f>
        <v>8</v>
      </c>
      <c r="AW157" s="154"/>
    </row>
    <row r="158" spans="1:49" s="70" customFormat="1" ht="12.75" hidden="1" customHeight="1" x14ac:dyDescent="0.2">
      <c r="A158" s="70" t="s">
        <v>98</v>
      </c>
      <c r="B158" s="70">
        <f>IF(B109=2,C156,0)</f>
        <v>2</v>
      </c>
      <c r="D158" s="74">
        <f>IF(D109=2,C156,0)</f>
        <v>0</v>
      </c>
      <c r="E158" s="70">
        <f>IF(E109=2,F156,0)</f>
        <v>0</v>
      </c>
      <c r="G158" s="74">
        <f>IF(G109=2,F156,0)</f>
        <v>0</v>
      </c>
      <c r="H158" s="70">
        <f>IF(H109=2,I156,0)</f>
        <v>0</v>
      </c>
      <c r="J158" s="74">
        <f>IF(J109=2,I156,0)</f>
        <v>0</v>
      </c>
      <c r="K158" s="70">
        <f>IF(K109=2,L156,0)</f>
        <v>2</v>
      </c>
      <c r="M158" s="74">
        <f>IF(M109=2,L156,0)</f>
        <v>0</v>
      </c>
      <c r="N158" s="70">
        <f>IF(N109=2,O156,0)</f>
        <v>0</v>
      </c>
      <c r="P158" s="74">
        <f>IF(P109=2,O156,0)</f>
        <v>0</v>
      </c>
      <c r="Q158" s="70">
        <f>IF(Q109=2,R156,0)</f>
        <v>0</v>
      </c>
      <c r="S158" s="74">
        <f>IF(S109=2,R156,0)</f>
        <v>0</v>
      </c>
      <c r="T158" s="70">
        <f>IF(T109=2,U156,0)</f>
        <v>2</v>
      </c>
      <c r="V158" s="74">
        <f>IF(V109=2,U156,0)</f>
        <v>0</v>
      </c>
      <c r="W158" s="70">
        <f>IF(W109=2,X156,0)</f>
        <v>0</v>
      </c>
      <c r="Y158" s="74">
        <f>IF(Y109=2,X156,0)</f>
        <v>0</v>
      </c>
      <c r="Z158" s="70">
        <f>IF(Z109=2,AA156,0)</f>
        <v>0</v>
      </c>
      <c r="AB158" s="74">
        <f>IF(AB109=2,AA156,0)</f>
        <v>0</v>
      </c>
      <c r="AC158" s="70">
        <f>IF(AC109=2,AD156,0)</f>
        <v>0</v>
      </c>
      <c r="AE158" s="74">
        <f>IF(AE109=2,AD156,0)</f>
        <v>2</v>
      </c>
      <c r="AF158" s="70">
        <f>SUM(B158:AE158)</f>
        <v>8</v>
      </c>
      <c r="AW158" s="154"/>
    </row>
    <row r="159" spans="1:49" s="70" customFormat="1" ht="12.75" hidden="1" customHeight="1" x14ac:dyDescent="0.2">
      <c r="A159" s="70" t="s">
        <v>99</v>
      </c>
      <c r="B159" s="70">
        <f>IF(B109=3,C156,0)</f>
        <v>0</v>
      </c>
      <c r="D159" s="74">
        <f>IF(D109=3,C156,0)</f>
        <v>0</v>
      </c>
      <c r="E159" s="70">
        <f>IF(E109=3,F156,0)</f>
        <v>0</v>
      </c>
      <c r="G159" s="74">
        <f>IF(G109=3,F156,0)</f>
        <v>0</v>
      </c>
      <c r="H159" s="70">
        <f>IF(H109=3,I156,0)</f>
        <v>2</v>
      </c>
      <c r="J159" s="74">
        <f>IF(J109=3,I156,0)</f>
        <v>0</v>
      </c>
      <c r="K159" s="70">
        <f>IF(K109=3,L156,0)</f>
        <v>0</v>
      </c>
      <c r="M159" s="74">
        <f>IF(M109=3,L156,0)</f>
        <v>0</v>
      </c>
      <c r="N159" s="70">
        <f>IF(N109=3,O156,0)</f>
        <v>0</v>
      </c>
      <c r="P159" s="74">
        <f>IF(P109=3,O156,0)</f>
        <v>2</v>
      </c>
      <c r="Q159" s="70">
        <f>IF(Q109=3,R156,0)</f>
        <v>0</v>
      </c>
      <c r="S159" s="74">
        <f>IF(S109=3,R156,0)</f>
        <v>0</v>
      </c>
      <c r="T159" s="70">
        <f>IF(T109=3,U156,0)</f>
        <v>0</v>
      </c>
      <c r="V159" s="74">
        <f>IF(V109=3,U156,0)</f>
        <v>2</v>
      </c>
      <c r="W159" s="70">
        <f>IF(W109=3,X156,0)</f>
        <v>0</v>
      </c>
      <c r="Y159" s="74">
        <f>IF(Y109=3,X156,0)</f>
        <v>0</v>
      </c>
      <c r="Z159" s="70">
        <f>IF(Z109=3,AA156,0)</f>
        <v>2</v>
      </c>
      <c r="AB159" s="74">
        <f>IF(AB109=3,AA156,0)</f>
        <v>0</v>
      </c>
      <c r="AC159" s="70">
        <f>IF(AC109=3,AD156,0)</f>
        <v>0</v>
      </c>
      <c r="AE159" s="74">
        <f>IF(AE109=3,AD156,0)</f>
        <v>0</v>
      </c>
      <c r="AF159" s="70">
        <f>SUM(B159:AE159)</f>
        <v>8</v>
      </c>
      <c r="AW159" s="154"/>
    </row>
    <row r="160" spans="1:49" s="70" customFormat="1" ht="12.75" hidden="1" customHeight="1" x14ac:dyDescent="0.2">
      <c r="A160" s="70" t="s">
        <v>100</v>
      </c>
      <c r="B160" s="70">
        <f>IF(B109=4,C156,0)</f>
        <v>0</v>
      </c>
      <c r="D160" s="74">
        <f>IF(D109=4,C156,0)</f>
        <v>0</v>
      </c>
      <c r="E160" s="70">
        <f>IF(E109=4,F156,0)</f>
        <v>0</v>
      </c>
      <c r="G160" s="74">
        <f>IF(G109=4,F156,0)</f>
        <v>2</v>
      </c>
      <c r="H160" s="70">
        <f>IF(H109=4,I156,0)</f>
        <v>0</v>
      </c>
      <c r="J160" s="74">
        <f>IF(J109=4,I156,0)</f>
        <v>0</v>
      </c>
      <c r="K160" s="70">
        <f>IF(K109=4,L156,0)</f>
        <v>0</v>
      </c>
      <c r="M160" s="74">
        <f>IF(M109=4,L156,0)</f>
        <v>2</v>
      </c>
      <c r="N160" s="70">
        <f>IF(N109=4,O156,0)</f>
        <v>0</v>
      </c>
      <c r="P160" s="74">
        <f>IF(P109=4,O156,0)</f>
        <v>0</v>
      </c>
      <c r="Q160" s="70">
        <f>IF(Q109=4,R156,0)</f>
        <v>2</v>
      </c>
      <c r="S160" s="74">
        <f>IF(S109=4,R156,0)</f>
        <v>0</v>
      </c>
      <c r="T160" s="70">
        <f>IF(T109=4,U156,0)</f>
        <v>0</v>
      </c>
      <c r="V160" s="74">
        <f>IF(V109=4,U156,0)</f>
        <v>0</v>
      </c>
      <c r="W160" s="70">
        <f>IF(W109=4,X156,0)</f>
        <v>0</v>
      </c>
      <c r="Y160" s="74">
        <f>IF(Y109=4,X156,0)</f>
        <v>0</v>
      </c>
      <c r="Z160" s="70">
        <f>IF(Z109=4,AA156,0)</f>
        <v>0</v>
      </c>
      <c r="AB160" s="74">
        <f>IF(AB109=4,AA156,0)</f>
        <v>2</v>
      </c>
      <c r="AC160" s="70">
        <f>IF(AC109=4,AD156,0)</f>
        <v>0</v>
      </c>
      <c r="AE160" s="74">
        <f>IF(AE109=4,AD156,0)</f>
        <v>0</v>
      </c>
      <c r="AF160" s="70">
        <f>SUM(B160:AE160)</f>
        <v>8</v>
      </c>
      <c r="AW160" s="154"/>
    </row>
    <row r="161" spans="1:54" s="70" customFormat="1" ht="12.75" hidden="1" customHeight="1" x14ac:dyDescent="0.2">
      <c r="A161" s="70" t="s">
        <v>101</v>
      </c>
      <c r="B161" s="70">
        <f>IF(B109=5,C156,0)</f>
        <v>0</v>
      </c>
      <c r="D161" s="74">
        <f>IF(D109=5,C156,0)</f>
        <v>2</v>
      </c>
      <c r="E161" s="70">
        <f>IF(E109=5,F156,0)</f>
        <v>0</v>
      </c>
      <c r="G161" s="74">
        <f>IF(G109=5,F156,0)</f>
        <v>0</v>
      </c>
      <c r="H161" s="70">
        <f>IF(H109=5,I156,0)</f>
        <v>0</v>
      </c>
      <c r="J161" s="74">
        <f>IF(J109=5,I156,0)</f>
        <v>2</v>
      </c>
      <c r="K161" s="70">
        <f>IF(K109=5,L156,0)</f>
        <v>0</v>
      </c>
      <c r="M161" s="74">
        <f>IF(M109=5,L156,0)</f>
        <v>0</v>
      </c>
      <c r="N161" s="70">
        <f>IF(N109=5,O156,0)</f>
        <v>0</v>
      </c>
      <c r="P161" s="74">
        <f>IF(P109=5,O156,0)</f>
        <v>0</v>
      </c>
      <c r="Q161" s="70">
        <f>IF(Q109=5,R156,0)</f>
        <v>0</v>
      </c>
      <c r="S161" s="74">
        <f>IF(S109=5,R156,0)</f>
        <v>2</v>
      </c>
      <c r="T161" s="70">
        <f>IF(T109=5,U156,0)</f>
        <v>0</v>
      </c>
      <c r="V161" s="74">
        <f>IF(V109=5,U156,0)</f>
        <v>0</v>
      </c>
      <c r="W161" s="70">
        <f>IF(W109=5,X156,0)</f>
        <v>0</v>
      </c>
      <c r="Y161" s="74">
        <f>IF(Y109=5,X156,0)</f>
        <v>2</v>
      </c>
      <c r="Z161" s="70">
        <f>IF(Z109=5,AA156,0)</f>
        <v>0</v>
      </c>
      <c r="AB161" s="74">
        <f>IF(AB109=5,AA156,0)</f>
        <v>0</v>
      </c>
      <c r="AC161" s="70">
        <f>IF(AC109=5,AD156,0)</f>
        <v>0</v>
      </c>
      <c r="AE161" s="74">
        <f>IF(AE109=5,AD156,0)</f>
        <v>0</v>
      </c>
      <c r="AF161" s="70">
        <f>SUM(B161:AE161)</f>
        <v>8</v>
      </c>
      <c r="AW161" s="154"/>
    </row>
    <row r="162" spans="1:54" hidden="1" x14ac:dyDescent="0.2">
      <c r="A162" s="95"/>
      <c r="B162" s="95"/>
      <c r="C162" s="95"/>
      <c r="D162" s="95"/>
      <c r="E162" s="95"/>
      <c r="F162" s="95"/>
      <c r="G162" s="95"/>
      <c r="H162" s="95"/>
      <c r="I162" s="95"/>
      <c r="J162" s="95"/>
      <c r="K162" s="95"/>
      <c r="L162" s="95"/>
      <c r="M162" s="95"/>
      <c r="N162" s="95"/>
      <c r="O162" s="95"/>
      <c r="P162" s="95"/>
      <c r="Q162" s="95"/>
      <c r="R162" s="95"/>
      <c r="S162" s="95"/>
      <c r="T162" s="95"/>
      <c r="U162" s="95"/>
      <c r="V162" s="95"/>
      <c r="W162" s="95"/>
      <c r="X162" s="95"/>
      <c r="Y162" s="95"/>
      <c r="Z162" s="95"/>
      <c r="AA162" s="95"/>
      <c r="AB162" s="95"/>
      <c r="AC162" s="95"/>
      <c r="AD162" s="95"/>
      <c r="AE162" s="95"/>
      <c r="AF162" s="95"/>
      <c r="AG162" s="95"/>
      <c r="AH162" s="95"/>
      <c r="AI162" s="95"/>
      <c r="AJ162" s="95"/>
      <c r="AK162" s="95"/>
      <c r="AL162" s="95"/>
      <c r="AM162" s="95"/>
      <c r="AN162" s="96"/>
      <c r="AO162" s="96"/>
      <c r="AP162" s="96"/>
      <c r="AQ162" s="96"/>
      <c r="AR162" s="77"/>
      <c r="AS162" s="77"/>
      <c r="AT162" s="77"/>
      <c r="AU162" s="77"/>
      <c r="AV162" s="77"/>
      <c r="BB162" s="156"/>
    </row>
    <row r="163" spans="1:54" s="77" customFormat="1" hidden="1" x14ac:dyDescent="0.2">
      <c r="A163" s="79"/>
      <c r="B163" s="79"/>
      <c r="C163" s="79" t="s">
        <v>108</v>
      </c>
      <c r="D163" s="79">
        <v>1</v>
      </c>
      <c r="E163" s="79"/>
      <c r="F163" s="79"/>
      <c r="G163" s="79">
        <v>2</v>
      </c>
      <c r="H163" s="79"/>
      <c r="I163" s="79"/>
      <c r="J163" s="79">
        <v>3</v>
      </c>
      <c r="K163" s="79"/>
      <c r="L163" s="79"/>
      <c r="M163" s="79">
        <v>4</v>
      </c>
      <c r="N163" s="79"/>
      <c r="O163" s="79"/>
      <c r="P163" s="79">
        <v>5</v>
      </c>
      <c r="Q163" s="79"/>
      <c r="R163" s="79"/>
      <c r="S163" s="79">
        <v>6</v>
      </c>
      <c r="T163" s="79"/>
      <c r="U163" s="79"/>
      <c r="V163" s="79">
        <v>7</v>
      </c>
      <c r="W163" s="79"/>
      <c r="X163" s="79"/>
      <c r="Y163" s="79">
        <v>8</v>
      </c>
      <c r="Z163" s="79"/>
      <c r="AA163" s="79"/>
      <c r="AB163" s="79">
        <v>9</v>
      </c>
      <c r="AC163" s="79"/>
      <c r="AD163" s="79"/>
      <c r="AE163" s="79">
        <v>10</v>
      </c>
      <c r="AF163" s="4"/>
      <c r="AG163" s="79"/>
      <c r="AI163" s="80"/>
      <c r="AJ163" s="4"/>
      <c r="AK163" s="4"/>
      <c r="AL163" s="4"/>
      <c r="AM163" s="4"/>
      <c r="AN163" s="4"/>
      <c r="AO163" s="4"/>
      <c r="AT163" s="80" t="s">
        <v>109</v>
      </c>
      <c r="AW163" s="81"/>
      <c r="BB163" s="81"/>
    </row>
    <row r="164" spans="1:54" s="77" customFormat="1" hidden="1" x14ac:dyDescent="0.2">
      <c r="A164" s="82">
        <v>1</v>
      </c>
      <c r="B164" s="82" t="str">
        <f>E93</f>
        <v>High Velocity 16's</v>
      </c>
      <c r="C164" s="82">
        <f>VLOOKUP(B164,AU$3:AY$12,3,FALSE)</f>
        <v>2520.0583393752127</v>
      </c>
      <c r="D164" s="82">
        <f>IF(B157,B172,IF(D157,D172,C164))</f>
        <v>2520.0583393752127</v>
      </c>
      <c r="E164" s="82"/>
      <c r="F164" s="82"/>
      <c r="G164" s="82">
        <f>IF(E157,E172,IF(G157,G172,D164))</f>
        <v>2511.221245602992</v>
      </c>
      <c r="H164" s="82"/>
      <c r="I164" s="82"/>
      <c r="J164" s="82">
        <f>IF(H157,H172,IF(J157,J172,G164))</f>
        <v>2511.221245602992</v>
      </c>
      <c r="K164" s="82"/>
      <c r="L164" s="82"/>
      <c r="M164" s="82">
        <f>IF(K157,K172,IF(M157,M172,J164))</f>
        <v>2511.221245602992</v>
      </c>
      <c r="N164" s="82"/>
      <c r="O164" s="82"/>
      <c r="P164" s="82">
        <f>IF(N157,N172,IF(P157,P172,M164))</f>
        <v>2535.6972617399333</v>
      </c>
      <c r="Q164" s="82"/>
      <c r="R164" s="82"/>
      <c r="S164" s="82">
        <f>IF(Q157,Q172,IF(S157,S172,P164))</f>
        <v>2535.6972617399333</v>
      </c>
      <c r="T164" s="82"/>
      <c r="U164" s="82"/>
      <c r="V164" s="82">
        <f>IF(T157,T172,IF(V157,V172,S164))</f>
        <v>2535.6972617399333</v>
      </c>
      <c r="W164" s="82"/>
      <c r="X164" s="82"/>
      <c r="Y164" s="82">
        <f>IF(W157,W172,IF(Y157,Y172,V164))</f>
        <v>2519.072670918551</v>
      </c>
      <c r="Z164" s="82"/>
      <c r="AA164" s="82"/>
      <c r="AB164" s="82">
        <f>IF(Z157,Z172,IF(AB157,AB172,Y164))</f>
        <v>2519.072670918551</v>
      </c>
      <c r="AC164" s="82"/>
      <c r="AD164" s="82"/>
      <c r="AE164" s="82">
        <f>IF(AC157,AC172,IF(AE157,AE172,AB164))</f>
        <v>2517.4666315372106</v>
      </c>
      <c r="AF164" s="4"/>
      <c r="AG164" s="4"/>
      <c r="AJ164" s="4"/>
      <c r="AK164" s="4"/>
      <c r="AL164" s="4"/>
      <c r="AM164" s="4"/>
      <c r="AN164" s="4"/>
      <c r="AO164" s="4"/>
      <c r="AT164" s="77" t="str">
        <f>B164</f>
        <v>High Velocity 16's</v>
      </c>
      <c r="AU164" s="77">
        <f>AE164</f>
        <v>2517.4666315372106</v>
      </c>
      <c r="AW164" s="81"/>
      <c r="BB164" s="81"/>
    </row>
    <row r="165" spans="1:54" s="77" customFormat="1" hidden="1" x14ac:dyDescent="0.2">
      <c r="A165" s="82">
        <v>2</v>
      </c>
      <c r="B165" s="82" t="str">
        <f>E95</f>
        <v>MOTO 16 IGNITE</v>
      </c>
      <c r="C165" s="82">
        <f>VLOOKUP(B165,AU$3:AY$12,3,FALSE)</f>
        <v>2501.7317909930653</v>
      </c>
      <c r="D165" s="82">
        <f>IF(B158,B172,IF(D158,D172,C165))</f>
        <v>2519.24775209572</v>
      </c>
      <c r="E165" s="82"/>
      <c r="F165" s="82"/>
      <c r="G165" s="82">
        <f>IF(E158,E172,IF(G158,G172,D165))</f>
        <v>2519.24775209572</v>
      </c>
      <c r="H165" s="82"/>
      <c r="I165" s="82"/>
      <c r="J165" s="82">
        <f>IF(H158,H172,IF(J158,J172,G165))</f>
        <v>2519.24775209572</v>
      </c>
      <c r="K165" s="82"/>
      <c r="L165" s="82"/>
      <c r="M165" s="82">
        <f>IF(K158,K172,IF(M158,M172,J165))</f>
        <v>2511.2376045597111</v>
      </c>
      <c r="N165" s="82"/>
      <c r="O165" s="82"/>
      <c r="P165" s="82">
        <f>IF(N158,N172,IF(P158,P172,M165))</f>
        <v>2511.2376045597111</v>
      </c>
      <c r="Q165" s="82"/>
      <c r="R165" s="82"/>
      <c r="S165" s="82">
        <f>IF(Q158,Q172,IF(S158,S172,P165))</f>
        <v>2511.2376045597111</v>
      </c>
      <c r="T165" s="82"/>
      <c r="U165" s="82"/>
      <c r="V165" s="82">
        <f>IF(T158,T172,IF(V158,V172,S165))</f>
        <v>2501.6206566934679</v>
      </c>
      <c r="W165" s="82"/>
      <c r="X165" s="82"/>
      <c r="Y165" s="82">
        <f>IF(W158,W172,IF(Y158,Y172,V165))</f>
        <v>2501.6206566934679</v>
      </c>
      <c r="Z165" s="82"/>
      <c r="AA165" s="82"/>
      <c r="AB165" s="82">
        <f>IF(Z158,Z172,IF(AB158,AB172,Y165))</f>
        <v>2501.6206566934679</v>
      </c>
      <c r="AC165" s="82"/>
      <c r="AD165" s="82"/>
      <c r="AE165" s="82">
        <f>IF(AC158,AC172,IF(AE158,AE172,AB165))</f>
        <v>2503.2266960748084</v>
      </c>
      <c r="AF165" s="4"/>
      <c r="AG165" s="4"/>
      <c r="AJ165" s="4"/>
      <c r="AL165" s="4"/>
      <c r="AM165" s="4"/>
      <c r="AN165" s="4"/>
      <c r="AO165" s="4"/>
      <c r="AT165" s="77" t="str">
        <f>B165</f>
        <v>MOTO 16 IGNITE</v>
      </c>
      <c r="AU165" s="77">
        <f>AE165</f>
        <v>2503.2266960748084</v>
      </c>
      <c r="AW165" s="81"/>
      <c r="BB165" s="81"/>
    </row>
    <row r="166" spans="1:54" s="77" customFormat="1" hidden="1" x14ac:dyDescent="0.2">
      <c r="A166" s="82">
        <v>3</v>
      </c>
      <c r="B166" s="82" t="str">
        <f>E97</f>
        <v>Crossfire 16 Power</v>
      </c>
      <c r="C166" s="82">
        <f>VLOOKUP(B166,AU$3:AY$12,3,FALSE)</f>
        <v>2438.9560736569474</v>
      </c>
      <c r="D166" s="82">
        <f>IF(B159,B172,IF(D159,D172,C166))</f>
        <v>2438.9560736569474</v>
      </c>
      <c r="E166" s="82"/>
      <c r="F166" s="82"/>
      <c r="G166" s="82">
        <f>IF(E159,E172,IF(G159,G172,D166))</f>
        <v>2438.9560736569474</v>
      </c>
      <c r="H166" s="82"/>
      <c r="I166" s="82"/>
      <c r="J166" s="82">
        <f>IF(H159,H172,IF(J159,J172,G166))</f>
        <v>2427.9732526211842</v>
      </c>
      <c r="K166" s="82"/>
      <c r="L166" s="82"/>
      <c r="M166" s="82">
        <f>IF(K159,K172,IF(M159,M172,J166))</f>
        <v>2427.9732526211842</v>
      </c>
      <c r="N166" s="82"/>
      <c r="O166" s="82"/>
      <c r="P166" s="82">
        <f>IF(N159,N172,IF(P159,P172,M166))</f>
        <v>2403.4972364842429</v>
      </c>
      <c r="Q166" s="82"/>
      <c r="R166" s="82"/>
      <c r="S166" s="82">
        <f>IF(Q159,Q172,IF(S159,S172,P166))</f>
        <v>2403.4972364842429</v>
      </c>
      <c r="T166" s="82"/>
      <c r="U166" s="82"/>
      <c r="V166" s="82">
        <f>IF(T159,T172,IF(V159,V172,S166))</f>
        <v>2413.1141843504861</v>
      </c>
      <c r="W166" s="82"/>
      <c r="X166" s="82"/>
      <c r="Y166" s="82">
        <f>IF(W159,W172,IF(Y159,Y172,V166))</f>
        <v>2413.1141843504861</v>
      </c>
      <c r="Z166" s="82"/>
      <c r="AA166" s="82"/>
      <c r="AB166" s="82">
        <f>IF(Z159,Z172,IF(AB159,AB172,Y166))</f>
        <v>2382.5180283075724</v>
      </c>
      <c r="AC166" s="82"/>
      <c r="AD166" s="82"/>
      <c r="AE166" s="82">
        <f>IF(AC159,AC172,IF(AE159,AE172,AB166))</f>
        <v>2382.5180283075724</v>
      </c>
      <c r="AF166" s="4"/>
      <c r="AG166" s="4"/>
      <c r="AJ166" s="4"/>
      <c r="AL166" s="4"/>
      <c r="AM166" s="4"/>
      <c r="AN166" s="4"/>
      <c r="AO166" s="4"/>
      <c r="AT166" s="77" t="str">
        <f>B166</f>
        <v>Crossfire 16 Power</v>
      </c>
      <c r="AU166" s="77">
        <f>AE166</f>
        <v>2382.5180283075724</v>
      </c>
      <c r="AW166" s="81"/>
      <c r="BB166" s="81"/>
    </row>
    <row r="167" spans="1:54" s="77" customFormat="1" hidden="1" x14ac:dyDescent="0.2">
      <c r="A167" s="82">
        <v>4</v>
      </c>
      <c r="B167" s="82" t="str">
        <f>E99</f>
        <v>Intense 16 Perf Columbia</v>
      </c>
      <c r="C167" s="82">
        <f>VLOOKUP(B167,AU$3:AY$12,3,FALSE)</f>
        <v>2421.5536280299398</v>
      </c>
      <c r="D167" s="82">
        <f>IF(B160,B172,IF(D160,D172,C167))</f>
        <v>2421.5536280299398</v>
      </c>
      <c r="E167" s="82"/>
      <c r="F167" s="82"/>
      <c r="G167" s="82">
        <f>IF(E160,E172,IF(G160,G172,D167))</f>
        <v>2430.3907218021604</v>
      </c>
      <c r="H167" s="82"/>
      <c r="I167" s="82"/>
      <c r="J167" s="82">
        <f>IF(H160,H172,IF(J160,J172,G167))</f>
        <v>2430.3907218021604</v>
      </c>
      <c r="K167" s="82"/>
      <c r="L167" s="82"/>
      <c r="M167" s="82">
        <f>IF(K160,K172,IF(M160,M172,J167))</f>
        <v>2438.4008693381693</v>
      </c>
      <c r="N167" s="82"/>
      <c r="O167" s="82"/>
      <c r="P167" s="82">
        <f>IF(N160,N172,IF(P160,P172,M167))</f>
        <v>2438.4008693381693</v>
      </c>
      <c r="Q167" s="82"/>
      <c r="R167" s="82"/>
      <c r="S167" s="82">
        <f>IF(Q160,Q172,IF(S160,S172,P167))</f>
        <v>2428.3660159736851</v>
      </c>
      <c r="T167" s="82"/>
      <c r="U167" s="82"/>
      <c r="V167" s="82">
        <f>IF(T160,T172,IF(V160,V172,S167))</f>
        <v>2428.3660159736851</v>
      </c>
      <c r="W167" s="82"/>
      <c r="X167" s="82"/>
      <c r="Y167" s="82">
        <f>IF(W160,W172,IF(Y160,Y172,V167))</f>
        <v>2428.3660159736851</v>
      </c>
      <c r="Z167" s="82"/>
      <c r="AA167" s="82"/>
      <c r="AB167" s="82">
        <f>IF(Z160,Z172,IF(AB160,AB172,Y167))</f>
        <v>2458.9621720165987</v>
      </c>
      <c r="AC167" s="82"/>
      <c r="AD167" s="82"/>
      <c r="AE167" s="82">
        <f>IF(AC160,AC172,IF(AE160,AE172,AB167))</f>
        <v>2458.9621720165987</v>
      </c>
      <c r="AF167" s="4"/>
      <c r="AG167" s="4"/>
      <c r="AJ167" s="4"/>
      <c r="AL167" s="4"/>
      <c r="AM167" s="4"/>
      <c r="AN167" s="4"/>
      <c r="AO167" s="4"/>
      <c r="AT167" s="77" t="str">
        <f>B167</f>
        <v>Intense 16 Perf Columbia</v>
      </c>
      <c r="AU167" s="77">
        <f>AE167</f>
        <v>2458.9621720165987</v>
      </c>
      <c r="AW167" s="81"/>
      <c r="BB167" s="81"/>
    </row>
    <row r="168" spans="1:54" s="77" customFormat="1" hidden="1" x14ac:dyDescent="0.2">
      <c r="A168" s="82">
        <v>5</v>
      </c>
      <c r="B168" s="82" t="str">
        <f>E101</f>
        <v>Hurricane VBC 16 Tsunami</v>
      </c>
      <c r="C168" s="82">
        <f>VLOOKUP(B168,AU$3:AY$12,3,FALSE)</f>
        <v>2332.1838374588774</v>
      </c>
      <c r="D168" s="82">
        <f>IF(B161,B172,IF(D161,D172,C168))</f>
        <v>2314.6678763562227</v>
      </c>
      <c r="E168" s="82"/>
      <c r="F168" s="82"/>
      <c r="G168" s="82">
        <f>IF(E161,E172,IF(G161,G172,D168))</f>
        <v>2314.6678763562227</v>
      </c>
      <c r="H168" s="82"/>
      <c r="I168" s="82"/>
      <c r="J168" s="82">
        <f>IF(H161,H172,IF(J161,J172,G168))</f>
        <v>2325.6506973919859</v>
      </c>
      <c r="K168" s="82"/>
      <c r="L168" s="82"/>
      <c r="M168" s="82">
        <f>IF(K161,K172,IF(M161,M172,J168))</f>
        <v>2325.6506973919859</v>
      </c>
      <c r="N168" s="82"/>
      <c r="O168" s="82"/>
      <c r="P168" s="82">
        <f>IF(N161,N172,IF(P161,P172,M168))</f>
        <v>2325.6506973919859</v>
      </c>
      <c r="Q168" s="82"/>
      <c r="R168" s="82"/>
      <c r="S168" s="82">
        <f>IF(Q161,Q172,IF(S161,S172,P168))</f>
        <v>2335.6855507564701</v>
      </c>
      <c r="T168" s="82"/>
      <c r="U168" s="82"/>
      <c r="V168" s="82">
        <f>IF(T161,T172,IF(V161,V172,S168))</f>
        <v>2335.6855507564701</v>
      </c>
      <c r="W168" s="82"/>
      <c r="X168" s="82"/>
      <c r="Y168" s="82">
        <f>IF(W161,W172,IF(Y161,Y172,V168))</f>
        <v>2352.3101415778524</v>
      </c>
      <c r="Z168" s="82"/>
      <c r="AA168" s="82"/>
      <c r="AB168" s="82">
        <f>IF(Z161,Z172,IF(AB161,AB172,Y168))</f>
        <v>2352.3101415778524</v>
      </c>
      <c r="AC168" s="82"/>
      <c r="AD168" s="82"/>
      <c r="AE168" s="82">
        <f>IF(AC161,AC172,IF(AE161,AE172,AB168))</f>
        <v>2352.3101415778524</v>
      </c>
      <c r="AF168" s="4"/>
      <c r="AG168" s="4"/>
      <c r="AJ168" s="4"/>
      <c r="AL168" s="4"/>
      <c r="AM168" s="4"/>
      <c r="AN168" s="4"/>
      <c r="AO168" s="4"/>
      <c r="AT168" s="77" t="str">
        <f>B168</f>
        <v>Hurricane VBC 16 Tsunami</v>
      </c>
      <c r="AU168" s="77">
        <f>AE168</f>
        <v>2352.3101415778524</v>
      </c>
      <c r="AW168" s="81"/>
      <c r="BB168" s="81"/>
    </row>
    <row r="169" spans="1:54" s="77" customFormat="1" hidden="1" x14ac:dyDescent="0.2">
      <c r="A169" s="82"/>
      <c r="B169" s="82"/>
      <c r="C169" s="82"/>
      <c r="D169" s="82"/>
      <c r="E169" s="82"/>
      <c r="F169" s="82"/>
      <c r="G169" s="82"/>
      <c r="H169" s="82"/>
      <c r="I169" s="82"/>
      <c r="J169" s="82"/>
      <c r="K169" s="82"/>
      <c r="L169" s="82"/>
      <c r="M169" s="82"/>
      <c r="N169" s="82"/>
      <c r="O169" s="82"/>
      <c r="P169" s="82"/>
      <c r="Q169" s="82"/>
      <c r="R169" s="82"/>
      <c r="S169" s="82"/>
      <c r="T169" s="82"/>
      <c r="U169" s="82"/>
      <c r="V169" s="82"/>
      <c r="W169" s="82"/>
      <c r="X169" s="82"/>
      <c r="Y169" s="82"/>
      <c r="Z169" s="82"/>
      <c r="AA169" s="82"/>
      <c r="AB169" s="82"/>
      <c r="AC169" s="82"/>
      <c r="AD169" s="82"/>
      <c r="AE169" s="82"/>
      <c r="AF169" s="4"/>
      <c r="AG169" s="4"/>
      <c r="AJ169" s="4"/>
      <c r="AL169" s="4"/>
      <c r="AM169" s="4"/>
      <c r="AN169" s="4"/>
      <c r="AO169" s="4"/>
      <c r="AW169" s="81"/>
      <c r="BB169" s="81"/>
    </row>
    <row r="170" spans="1:54" s="77" customFormat="1" hidden="1" x14ac:dyDescent="0.2">
      <c r="A170" s="82" t="s">
        <v>110</v>
      </c>
      <c r="B170" s="82">
        <f>VLOOKUP(B109,$A164:$AE168,3,FALSE)</f>
        <v>2501.7317909930653</v>
      </c>
      <c r="C170" s="82">
        <v>1</v>
      </c>
      <c r="D170" s="82">
        <f>VLOOKUP(D109,$A164:$AE168,3,FALSE)</f>
        <v>2332.1838374588774</v>
      </c>
      <c r="E170" s="82">
        <f>VLOOKUP(E109,$A164:$AE168,4,FALSE)</f>
        <v>2520.0583393752127</v>
      </c>
      <c r="F170" s="82">
        <v>2</v>
      </c>
      <c r="G170" s="82">
        <f>VLOOKUP(G109,$A164:$AE168,4,FALSE)</f>
        <v>2421.5536280299398</v>
      </c>
      <c r="H170" s="82">
        <f>VLOOKUP(H109,$A164:$AE168,7,FALSE)</f>
        <v>2438.9560736569474</v>
      </c>
      <c r="I170" s="82">
        <v>3</v>
      </c>
      <c r="J170" s="82">
        <f>VLOOKUP(J109,$A164:$AE168,7,FALSE)</f>
        <v>2314.6678763562227</v>
      </c>
      <c r="K170" s="82">
        <f>VLOOKUP(K109,$A164:$AE168,10,FALSE)</f>
        <v>2519.24775209572</v>
      </c>
      <c r="L170" s="82">
        <v>4</v>
      </c>
      <c r="M170" s="82">
        <f>VLOOKUP(M109,$A164:$AE168,10,FALSE)</f>
        <v>2430.3907218021604</v>
      </c>
      <c r="N170" s="82">
        <f>VLOOKUP(N109,$A164:$AE168,13,FALSE)</f>
        <v>2511.221245602992</v>
      </c>
      <c r="O170" s="82">
        <v>5</v>
      </c>
      <c r="P170" s="82">
        <f>VLOOKUP(P109,$A164:$AE168,13,FALSE)</f>
        <v>2427.9732526211842</v>
      </c>
      <c r="Q170" s="82">
        <f>VLOOKUP(Q109,$A164:$AE168,16,FALSE)</f>
        <v>2438.4008693381693</v>
      </c>
      <c r="R170" s="82">
        <v>6</v>
      </c>
      <c r="S170" s="82">
        <f>VLOOKUP(S109,$A164:$AE168,16,FALSE)</f>
        <v>2325.6506973919859</v>
      </c>
      <c r="T170" s="82">
        <f>VLOOKUP(T109,$A164:$AE168,19,FALSE)</f>
        <v>2511.2376045597111</v>
      </c>
      <c r="U170" s="82">
        <v>7</v>
      </c>
      <c r="V170" s="82">
        <f>VLOOKUP(V109,$A164:$AE168,19,FALSE)</f>
        <v>2403.4972364842429</v>
      </c>
      <c r="W170" s="82">
        <f>VLOOKUP(W109,$A164:$AE168,22,FALSE)</f>
        <v>2535.6972617399333</v>
      </c>
      <c r="X170" s="82">
        <v>8</v>
      </c>
      <c r="Y170" s="82">
        <f>VLOOKUP(Y109,$A164:$AE168,22,FALSE)</f>
        <v>2335.6855507564701</v>
      </c>
      <c r="Z170" s="82">
        <f>VLOOKUP(Z109,$A164:$AE168,25,FALSE)</f>
        <v>2413.1141843504861</v>
      </c>
      <c r="AA170" s="82">
        <v>9</v>
      </c>
      <c r="AB170" s="82">
        <f>VLOOKUP(AB109,$A164:$AE168,25,FALSE)</f>
        <v>2428.3660159736851</v>
      </c>
      <c r="AC170" s="82">
        <f>VLOOKUP(AC109,$A164:$AE168,28,FALSE)</f>
        <v>2519.072670918551</v>
      </c>
      <c r="AD170" s="82">
        <v>10</v>
      </c>
      <c r="AE170" s="82">
        <f>VLOOKUP(AE109,$A164:$AE168,28,FALSE)</f>
        <v>2501.6206566934679</v>
      </c>
      <c r="AF170" s="4"/>
      <c r="AG170" s="95"/>
      <c r="AH170" s="95"/>
      <c r="AI170" s="95"/>
      <c r="AJ170" s="95"/>
      <c r="AK170" s="95"/>
      <c r="AL170" s="95"/>
      <c r="AM170" s="95"/>
      <c r="AN170" s="96"/>
      <c r="AO170" s="96"/>
      <c r="AP170" s="96"/>
      <c r="AQ170" s="96"/>
      <c r="AW170" s="81"/>
      <c r="BB170" s="81"/>
    </row>
    <row r="171" spans="1:54" s="87" customFormat="1" hidden="1" x14ac:dyDescent="0.2">
      <c r="A171" s="83" t="s">
        <v>111</v>
      </c>
      <c r="B171" s="83">
        <f>1/(1+(10^-((B170-D170)/400)))*(B121+D121)</f>
        <v>1.452626215542036</v>
      </c>
      <c r="C171" s="83"/>
      <c r="D171" s="83">
        <f>1/(1+(10^-((D170-B170)/400)))*(B121+D121)</f>
        <v>0.54737378445796414</v>
      </c>
      <c r="E171" s="83">
        <f>1/(1+(10^-((E170-G170)/400)))*(E121+G121)</f>
        <v>1.2761591803819023</v>
      </c>
      <c r="F171" s="83"/>
      <c r="G171" s="83">
        <f>1/(1+(10^-((G170-E170)/400)))*(E121+G121)</f>
        <v>0.72384081961809776</v>
      </c>
      <c r="H171" s="83">
        <f>1/(1+(10^-((H170-J170)/400)))*(H121+J121)</f>
        <v>1.3432131573675947</v>
      </c>
      <c r="I171" s="83"/>
      <c r="J171" s="83">
        <f>1/(1+(10^-((J170-H170)/400)))*(H121+J121)</f>
        <v>0.65678684263240528</v>
      </c>
      <c r="K171" s="83">
        <f>1/(1+(10^-((K170-M170)/400)))*(K121+M121)</f>
        <v>1.2503171105002828</v>
      </c>
      <c r="L171" s="83"/>
      <c r="M171" s="83">
        <f>1/(1+(10^-((M170-K170)/400)))*(K121+M121)</f>
        <v>0.74968288949971718</v>
      </c>
      <c r="N171" s="83">
        <f>1/(1+(10^-((N170-P170)/400)))*(N121+P121)</f>
        <v>1.2351244957205838</v>
      </c>
      <c r="O171" s="83"/>
      <c r="P171" s="83">
        <f>1/(1+(10^-((P170-N170)/400)))*(N121+P121)</f>
        <v>0.7648755042794162</v>
      </c>
      <c r="Q171" s="83">
        <f>1/(1+(10^-((Q170-S170)/400)))*(Q121+S121)</f>
        <v>1.3135891676401277</v>
      </c>
      <c r="R171" s="83"/>
      <c r="S171" s="83">
        <f>1/(1+(10^-((S170-Q170)/400)))*(Q121+S121)</f>
        <v>0.68641083235987232</v>
      </c>
      <c r="T171" s="83">
        <f>1/(1+(10^-((T170-V170)/400)))*(T121+V121)</f>
        <v>1.3005296208201029</v>
      </c>
      <c r="U171" s="83"/>
      <c r="V171" s="83">
        <f>1/(1+(10^-((V170-T170)/400)))*(T121+V121)</f>
        <v>0.69947037917989729</v>
      </c>
      <c r="W171" s="83">
        <f>1/(1+(10^-((W170-Y170)/400)))*(W121+Y121)</f>
        <v>1.5195184631681948</v>
      </c>
      <c r="X171" s="83"/>
      <c r="Y171" s="83">
        <f>1/(1+(10^-((Y170-W170)/400)))*(W121+Y121)</f>
        <v>0.48048153683180522</v>
      </c>
      <c r="Z171" s="83">
        <f>1/(1+(10^-((Z170-AB170)/400)))*(Z121+AB121)</f>
        <v>0.95612987634104973</v>
      </c>
      <c r="AA171" s="83"/>
      <c r="AB171" s="83">
        <f>1/(1+(10^-((AB170-Z170)/400)))*(Z121+AB121)</f>
        <v>1.0438701236589503</v>
      </c>
      <c r="AC171" s="83">
        <f>1/(1+(10^-((AC170-AE170)/400)))*(AC121+AE121)</f>
        <v>1.0501887306668878</v>
      </c>
      <c r="AD171" s="83"/>
      <c r="AE171" s="83">
        <f>1/(1+(10^-((AE170-AC170)/400)))*(AC121+AE121)</f>
        <v>0.94981126933311222</v>
      </c>
      <c r="AF171" s="84"/>
      <c r="AG171" s="85"/>
      <c r="AH171" s="85"/>
      <c r="AI171" s="85"/>
      <c r="AJ171" s="85"/>
      <c r="AK171" s="85"/>
      <c r="AL171" s="85"/>
      <c r="AM171" s="85"/>
      <c r="AN171" s="86"/>
      <c r="AO171" s="86"/>
      <c r="AP171" s="86"/>
      <c r="AQ171" s="86"/>
      <c r="AW171" s="88"/>
      <c r="BB171" s="88"/>
    </row>
    <row r="172" spans="1:54" s="93" customFormat="1" hidden="1" x14ac:dyDescent="0.2">
      <c r="A172" s="89" t="s">
        <v>112</v>
      </c>
      <c r="B172" s="89">
        <f>B170+(B121-B171)*$BA$1</f>
        <v>2519.24775209572</v>
      </c>
      <c r="C172" s="89"/>
      <c r="D172" s="89">
        <f>D170+(D121-D171)*$BA$1</f>
        <v>2314.6678763562227</v>
      </c>
      <c r="E172" s="89">
        <f>E170+(E121-E171)*$BA$1</f>
        <v>2511.221245602992</v>
      </c>
      <c r="F172" s="89"/>
      <c r="G172" s="89">
        <f>G170+(G121-G171)*$BA$1</f>
        <v>2430.3907218021604</v>
      </c>
      <c r="H172" s="89">
        <f>H170+(H121-H171)*$BA$1</f>
        <v>2427.9732526211842</v>
      </c>
      <c r="I172" s="89"/>
      <c r="J172" s="89">
        <f>J170+(J121-J171)*$BA$1</f>
        <v>2325.6506973919859</v>
      </c>
      <c r="K172" s="89">
        <f>K170+(K121-K171)*$BA$1</f>
        <v>2511.2376045597111</v>
      </c>
      <c r="L172" s="89"/>
      <c r="M172" s="89">
        <f>M170+(M121-M171)*$BA$1</f>
        <v>2438.4008693381693</v>
      </c>
      <c r="N172" s="89">
        <f>N170+(N121-N171)*$BA$1</f>
        <v>2535.6972617399333</v>
      </c>
      <c r="O172" s="89"/>
      <c r="P172" s="89">
        <f>P170+(P121-P171)*$BA$1</f>
        <v>2403.4972364842429</v>
      </c>
      <c r="Q172" s="89">
        <f>Q170+(Q121-Q171)*$BA$1</f>
        <v>2428.3660159736851</v>
      </c>
      <c r="R172" s="89"/>
      <c r="S172" s="89">
        <f>S170+(S121-S171)*$BA$1</f>
        <v>2335.6855507564701</v>
      </c>
      <c r="T172" s="89">
        <f>T170+(T121-T171)*$BA$1</f>
        <v>2501.6206566934679</v>
      </c>
      <c r="U172" s="89"/>
      <c r="V172" s="89">
        <f>V170+(V121-V171)*$BA$1</f>
        <v>2413.1141843504861</v>
      </c>
      <c r="W172" s="89">
        <f>W170+(W121-W171)*$BA$1</f>
        <v>2519.072670918551</v>
      </c>
      <c r="X172" s="89"/>
      <c r="Y172" s="89">
        <f>Y170+(Y121-Y171)*$BA$1</f>
        <v>2352.3101415778524</v>
      </c>
      <c r="Z172" s="89">
        <f>Z170+(Z121-Z171)*$BA$1</f>
        <v>2382.5180283075724</v>
      </c>
      <c r="AA172" s="89"/>
      <c r="AB172" s="89">
        <f>AB170+(AB121-AB171)*$BA$1</f>
        <v>2458.9621720165987</v>
      </c>
      <c r="AC172" s="89">
        <f>AC170+(AC121-AC171)*$BA$1</f>
        <v>2517.4666315372106</v>
      </c>
      <c r="AD172" s="89"/>
      <c r="AE172" s="89">
        <f>AE170+(AE121-AE171)*$BA$1</f>
        <v>2503.2266960748084</v>
      </c>
      <c r="AF172" s="90"/>
      <c r="AG172" s="91"/>
      <c r="AH172" s="91"/>
      <c r="AI172" s="91"/>
      <c r="AJ172" s="91"/>
      <c r="AK172" s="91"/>
      <c r="AL172" s="91"/>
      <c r="AM172" s="91"/>
      <c r="AN172" s="92"/>
      <c r="AO172" s="92"/>
      <c r="AP172" s="92"/>
      <c r="AQ172" s="92"/>
      <c r="AW172" s="94"/>
      <c r="BB172" s="94"/>
    </row>
    <row r="173" spans="1:54" s="93" customFormat="1" hidden="1" x14ac:dyDescent="0.2">
      <c r="A173" s="89"/>
      <c r="B173" s="89"/>
      <c r="C173" s="89"/>
      <c r="D173" s="89"/>
      <c r="E173" s="89"/>
      <c r="F173" s="89"/>
      <c r="G173" s="89"/>
      <c r="H173" s="89"/>
      <c r="I173" s="89"/>
      <c r="J173" s="89"/>
      <c r="K173" s="89"/>
      <c r="L173" s="89"/>
      <c r="M173" s="89"/>
      <c r="N173" s="89"/>
      <c r="O173" s="89"/>
      <c r="P173" s="89"/>
      <c r="Q173" s="89"/>
      <c r="R173" s="89"/>
      <c r="S173" s="89"/>
      <c r="T173" s="89"/>
      <c r="U173" s="89"/>
      <c r="V173" s="89"/>
      <c r="W173" s="89"/>
      <c r="X173" s="89"/>
      <c r="Y173" s="89"/>
      <c r="Z173" s="89"/>
      <c r="AA173" s="89"/>
      <c r="AB173" s="89"/>
      <c r="AC173" s="89"/>
      <c r="AD173" s="89"/>
      <c r="AE173" s="89"/>
      <c r="AF173" s="90"/>
      <c r="AG173" s="91"/>
      <c r="AH173" s="91"/>
      <c r="AI173" s="91"/>
      <c r="AJ173" s="91"/>
      <c r="AK173" s="91"/>
      <c r="AL173" s="91"/>
      <c r="AM173" s="91"/>
      <c r="AN173" s="92"/>
      <c r="AO173" s="92"/>
      <c r="AP173" s="92"/>
      <c r="AQ173" s="92"/>
      <c r="AW173" s="94"/>
      <c r="BB173" s="94"/>
    </row>
    <row r="174" spans="1:54" s="77" customFormat="1" x14ac:dyDescent="0.2">
      <c r="A174" s="281" t="str">
        <f>IF($AK95=1,"Pool Tiereaker : 1) Matches Won vs Lost (if 3 way tie then #4)  2) Head to Head  3) Game Win %  4) Total Pool Net Points  5) Flip a Coin","Pool Tiebreaker : 1) Games Won vs Lost (if 3 way tie then #5)  2) Head to Head  3) Head to Head Net Points  4) Game Win %  5) Total Pool Net Points  6) Flip a Coin")</f>
        <v>Pool Tiebreaker : 1) Games Won vs Lost (if 3 way tie then #5)  2) Head to Head  3) Head to Head Net Points  4) Game Win %  5) Total Pool Net Points  6) Flip a Coin</v>
      </c>
      <c r="B174" s="281"/>
      <c r="C174" s="281"/>
      <c r="D174" s="281"/>
      <c r="E174" s="281"/>
      <c r="F174" s="281"/>
      <c r="G174" s="281"/>
      <c r="H174" s="281"/>
      <c r="I174" s="281"/>
      <c r="J174" s="281"/>
      <c r="K174" s="281"/>
      <c r="L174" s="281"/>
      <c r="M174" s="281"/>
      <c r="N174" s="281"/>
      <c r="O174" s="281"/>
      <c r="P174" s="281"/>
      <c r="Q174" s="281"/>
      <c r="R174" s="281"/>
      <c r="S174" s="281"/>
      <c r="T174" s="281"/>
      <c r="U174" s="281"/>
      <c r="V174" s="281"/>
      <c r="W174" s="281"/>
      <c r="X174" s="281"/>
      <c r="Y174" s="281"/>
      <c r="Z174" s="281"/>
      <c r="AA174" s="281"/>
      <c r="AB174" s="281"/>
      <c r="AC174" s="281"/>
      <c r="AD174" s="281"/>
      <c r="AE174" s="281"/>
      <c r="AF174" s="281"/>
      <c r="AG174" s="281"/>
      <c r="AH174" s="281"/>
      <c r="AI174" s="281"/>
      <c r="AJ174" s="281"/>
      <c r="AK174" s="281"/>
      <c r="AL174" s="281"/>
      <c r="AM174" s="281"/>
      <c r="AN174" s="259"/>
      <c r="AO174" s="259"/>
      <c r="AP174" s="259"/>
      <c r="AQ174" s="259"/>
      <c r="AW174" s="81"/>
    </row>
    <row r="175" spans="1:54" s="77" customFormat="1" x14ac:dyDescent="0.2">
      <c r="A175" s="282"/>
      <c r="B175" s="282"/>
      <c r="C175" s="282"/>
      <c r="D175" s="282"/>
      <c r="E175" s="282"/>
      <c r="F175" s="282"/>
      <c r="G175" s="282"/>
      <c r="H175" s="282"/>
      <c r="I175" s="282"/>
      <c r="J175" s="282"/>
      <c r="K175" s="282"/>
      <c r="L175" s="282"/>
      <c r="M175" s="282"/>
      <c r="N175" s="282"/>
      <c r="O175" s="282"/>
      <c r="P175" s="282"/>
      <c r="Q175" s="282"/>
      <c r="R175" s="282"/>
      <c r="S175" s="282"/>
      <c r="T175" s="282"/>
      <c r="U175" s="282"/>
      <c r="V175" s="282"/>
      <c r="W175" s="282"/>
      <c r="X175" s="282"/>
      <c r="Y175" s="282"/>
      <c r="Z175" s="282"/>
      <c r="AA175" s="282"/>
      <c r="AB175" s="282"/>
      <c r="AC175" s="282"/>
      <c r="AD175" s="282"/>
      <c r="AE175" s="282"/>
      <c r="AF175" s="282"/>
      <c r="AG175" s="282"/>
      <c r="AH175" s="282"/>
      <c r="AI175" s="282"/>
      <c r="AJ175" s="282"/>
      <c r="AK175" s="282"/>
      <c r="AL175" s="282"/>
      <c r="AM175" s="282"/>
      <c r="AN175" s="282"/>
      <c r="AO175" s="282"/>
      <c r="AP175" s="282"/>
      <c r="AQ175" s="282"/>
      <c r="AW175" s="81"/>
    </row>
    <row r="176" spans="1:54" ht="21" thickBot="1" x14ac:dyDescent="0.35">
      <c r="A176" s="271" t="s">
        <v>114</v>
      </c>
      <c r="B176" s="271"/>
      <c r="C176" s="271"/>
      <c r="D176" s="271"/>
      <c r="E176" s="271"/>
      <c r="F176" s="271"/>
      <c r="G176" s="271"/>
      <c r="H176" s="271"/>
      <c r="I176" s="271"/>
      <c r="J176" s="271"/>
      <c r="K176" s="271"/>
      <c r="L176" s="271"/>
      <c r="M176" s="271"/>
      <c r="N176" s="271"/>
      <c r="O176" s="271"/>
      <c r="P176" s="271"/>
      <c r="Q176" s="271"/>
      <c r="R176" s="271"/>
      <c r="S176" s="271"/>
      <c r="T176" s="271"/>
      <c r="U176" s="271"/>
      <c r="V176" s="271"/>
      <c r="W176" s="271"/>
      <c r="X176" s="271"/>
      <c r="Y176" s="271"/>
      <c r="Z176" s="271"/>
      <c r="AA176" s="271"/>
      <c r="AB176" s="271"/>
      <c r="AC176" s="271"/>
      <c r="AD176" s="271"/>
      <c r="AE176" s="271"/>
      <c r="AF176" s="271"/>
      <c r="AG176" s="271"/>
      <c r="AH176" s="271"/>
      <c r="AI176" s="271"/>
      <c r="AJ176" s="271"/>
      <c r="AK176" s="271"/>
      <c r="AL176" s="271"/>
      <c r="AM176" s="271"/>
      <c r="AN176" s="271"/>
      <c r="AO176" s="271"/>
      <c r="AP176" s="271"/>
      <c r="AQ176" s="271"/>
    </row>
    <row r="177" spans="1:53" ht="13.5" thickBot="1" x14ac:dyDescent="0.25">
      <c r="A177" s="272" t="s">
        <v>115</v>
      </c>
      <c r="B177" s="274" t="s">
        <v>116</v>
      </c>
      <c r="C177" s="275"/>
      <c r="D177" s="275"/>
      <c r="E177" s="275"/>
      <c r="F177" s="275"/>
      <c r="G177" s="275"/>
      <c r="H177" s="275"/>
      <c r="I177" s="275"/>
      <c r="J177" s="275"/>
      <c r="K177" s="276"/>
      <c r="L177" s="274" t="s">
        <v>117</v>
      </c>
      <c r="M177" s="275"/>
      <c r="N177" s="275"/>
      <c r="O177" s="275"/>
      <c r="P177" s="275"/>
      <c r="Q177" s="275"/>
      <c r="R177" s="275"/>
      <c r="S177" s="275"/>
      <c r="T177" s="275"/>
      <c r="U177" s="276"/>
      <c r="V177" s="274" t="s">
        <v>118</v>
      </c>
      <c r="W177" s="275"/>
      <c r="X177" s="275"/>
      <c r="Y177" s="275"/>
      <c r="Z177" s="275"/>
      <c r="AA177" s="275"/>
      <c r="AB177" s="275"/>
      <c r="AC177" s="275"/>
      <c r="AD177" s="275"/>
      <c r="AE177" s="276"/>
      <c r="AF177" s="274" t="s">
        <v>119</v>
      </c>
      <c r="AG177" s="275"/>
      <c r="AH177" s="275"/>
      <c r="AI177" s="275"/>
      <c r="AJ177" s="275"/>
      <c r="AK177" s="275"/>
      <c r="AL177" s="275"/>
      <c r="AM177" s="275"/>
      <c r="AN177" s="275"/>
      <c r="AO177" s="276"/>
    </row>
    <row r="178" spans="1:53" ht="13.5" thickBot="1" x14ac:dyDescent="0.25">
      <c r="A178" s="273"/>
      <c r="B178" s="268" t="s">
        <v>10</v>
      </c>
      <c r="C178" s="269"/>
      <c r="D178" s="269"/>
      <c r="E178" s="269"/>
      <c r="F178" s="269"/>
      <c r="G178" s="270"/>
      <c r="H178" s="268" t="s">
        <v>120</v>
      </c>
      <c r="I178" s="269"/>
      <c r="J178" s="269"/>
      <c r="K178" s="270"/>
      <c r="L178" s="268" t="s">
        <v>10</v>
      </c>
      <c r="M178" s="269"/>
      <c r="N178" s="269"/>
      <c r="O178" s="269"/>
      <c r="P178" s="269"/>
      <c r="Q178" s="270"/>
      <c r="R178" s="268" t="s">
        <v>120</v>
      </c>
      <c r="S178" s="269"/>
      <c r="T178" s="269"/>
      <c r="U178" s="270"/>
      <c r="V178" s="268" t="s">
        <v>10</v>
      </c>
      <c r="W178" s="269"/>
      <c r="X178" s="269"/>
      <c r="Y178" s="269"/>
      <c r="Z178" s="269"/>
      <c r="AA178" s="270"/>
      <c r="AB178" s="268" t="s">
        <v>120</v>
      </c>
      <c r="AC178" s="269"/>
      <c r="AD178" s="269"/>
      <c r="AE178" s="270"/>
      <c r="AF178" s="268" t="s">
        <v>10</v>
      </c>
      <c r="AG178" s="269"/>
      <c r="AH178" s="269"/>
      <c r="AI178" s="269"/>
      <c r="AJ178" s="269"/>
      <c r="AK178" s="270"/>
      <c r="AL178" s="268" t="s">
        <v>120</v>
      </c>
      <c r="AM178" s="269"/>
      <c r="AN178" s="269"/>
      <c r="AO178" s="270"/>
    </row>
    <row r="179" spans="1:53" x14ac:dyDescent="0.2">
      <c r="A179" s="97" t="s">
        <v>121</v>
      </c>
      <c r="B179" s="260" t="str">
        <f>IF($AF$8=1,$E$8,IF($AF$10=1,$E$10,IF($AF$12=1,$E$12,IF($AF$14=1,$E$14,IF($AF$16=1,$E$16,"1st Place "&amp;$A179)))))</f>
        <v>Vision 16-Erika &amp; Marissa</v>
      </c>
      <c r="C179" s="261"/>
      <c r="D179" s="261"/>
      <c r="E179" s="261"/>
      <c r="F179" s="261"/>
      <c r="G179" s="261"/>
      <c r="H179" s="262" t="str">
        <f>IF($AF$8=1,$E$9,IF($AF$10=1,$E$11,IF($AF$12=1,$E$13,IF($AF$14=1,$E$15,IF($AF$16=1,$E$17,"1st Place "&amp;$A179)))))</f>
        <v>fj6vison1pm</v>
      </c>
      <c r="I179" s="262"/>
      <c r="J179" s="262"/>
      <c r="K179" s="263"/>
      <c r="L179" s="260" t="str">
        <f>IF($AF$8=2,$E$8,IF($AF$10=2,$E$10,IF($AF$12=2,$E$12,IF($AF$14=2,$E$14,IF($AF$16=2,$E$16,"2nd Place "&amp;$A179)))))</f>
        <v>SC Midlands 16 Perf</v>
      </c>
      <c r="M179" s="261"/>
      <c r="N179" s="261"/>
      <c r="O179" s="261"/>
      <c r="P179" s="261"/>
      <c r="Q179" s="261"/>
      <c r="R179" s="262" t="str">
        <f>IF($AF$8=2,$E$9,IF($AF$10=2,$E$11,IF($AF$12=2,$E$13,IF($AF$14=2,$E$15,IF($AF$16=2,$E$17,"2nd Place "&amp;$A179)))))</f>
        <v>fj6scmid2pm</v>
      </c>
      <c r="S179" s="262"/>
      <c r="T179" s="262"/>
      <c r="U179" s="263"/>
      <c r="V179" s="260" t="str">
        <f>IF($AF$8=3,$E$8,IF($AF$10=3,$E$10,IF($AF$12=3,$E$12,IF($AF$14=3,$E$14,IF($AF$16=3,$E$16,"3rd Place "&amp;$A179)))))</f>
        <v>Low Country 16 Power</v>
      </c>
      <c r="W179" s="261"/>
      <c r="X179" s="261"/>
      <c r="Y179" s="261"/>
      <c r="Z179" s="261"/>
      <c r="AA179" s="261"/>
      <c r="AB179" s="262" t="str">
        <f>IF($AF$8=3,$E$9,IF($AF$10=3,$E$11,IF($AF$12=3,$E$13,IF($AF$14=3,$E$15,IF($AF$16=3,$E$17,"3rd Place "&amp;$A179)))))</f>
        <v>fj6lowco1pm</v>
      </c>
      <c r="AC179" s="262"/>
      <c r="AD179" s="262"/>
      <c r="AE179" s="263"/>
      <c r="AF179" s="260" t="str">
        <f>IF($AF$8=4,$E$8,IF($AF$10=4,$E$10,IF($AF$12=4,$E$12,IF($AF$14=4,$E$14,IF($AF$16=4,$E$16,"4th Place "&amp;$A179)))))</f>
        <v>CSRA Heat 16 Gold</v>
      </c>
      <c r="AG179" s="261"/>
      <c r="AH179" s="261"/>
      <c r="AI179" s="261"/>
      <c r="AJ179" s="261"/>
      <c r="AK179" s="261"/>
      <c r="AL179" s="262" t="str">
        <f>IF($AF$8=4,$E$9,IF($AF$10=4,$E$11,IF($AF$12=4,$E$13,IF($AF$14=4,$E$15,IF($AF$16=4,$E$17,"4th Place "&amp;$A179)))))</f>
        <v>fj6csrah2pm</v>
      </c>
      <c r="AM179" s="262"/>
      <c r="AN179" s="262"/>
      <c r="AO179" s="263"/>
    </row>
    <row r="180" spans="1:53" ht="13.5" thickBot="1" x14ac:dyDescent="0.25">
      <c r="A180" s="98" t="s">
        <v>122</v>
      </c>
      <c r="B180" s="264" t="str">
        <f>IF($AF$93=1,$E$93,IF($AF$95=1,$E$95,IF($AF$97=1,$E$97,IF($AF$99=1,$E$99,IF($AF$101=1,$E$101,"1st Place "&amp;$A180)))))</f>
        <v>High Velocity 16's</v>
      </c>
      <c r="C180" s="265"/>
      <c r="D180" s="265"/>
      <c r="E180" s="265"/>
      <c r="F180" s="265"/>
      <c r="G180" s="265"/>
      <c r="H180" s="266" t="str">
        <f>IF($AF$93=1,$E$94,IF($AF$95=1,$E$96,IF($AF$97=1,$E$98,IF($AF$99=1,$E$100,IF($AF$101=1,$E$102,"1st Place "&amp;$A180)))))</f>
        <v>fj6hvelo1pm</v>
      </c>
      <c r="I180" s="266"/>
      <c r="J180" s="266"/>
      <c r="K180" s="267"/>
      <c r="L180" s="264" t="str">
        <f>IF($AF$93=2,$E$93,IF($AF$95=2,$E$95,IF($AF$97=2,$E$97,IF($AF$99=2,$E$99,IF($AF$101=2,$E$101,"2nd Place "&amp;$A180)))))</f>
        <v>MOTO 16 IGNITE</v>
      </c>
      <c r="M180" s="265"/>
      <c r="N180" s="265"/>
      <c r="O180" s="265"/>
      <c r="P180" s="265"/>
      <c r="Q180" s="265"/>
      <c r="R180" s="266" t="str">
        <f>IF($AF$93=2,$E$94,IF($AF$95=2,$E$96,IF($AF$97=2,$E$98,IF($AF$99=2,$E$100,IF($AF$101=2,$E$102,"2nd Place "&amp;$A180)))))</f>
        <v>fj6motoj1pm</v>
      </c>
      <c r="S180" s="266"/>
      <c r="T180" s="266"/>
      <c r="U180" s="267"/>
      <c r="V180" s="264" t="str">
        <f>IF($AF$93=3,$E$93,IF($AF$95=3,$E$95,IF($AF$97=3,$E$97,IF($AF$99=3,$E$99,IF($AF$101=3,$E$101,"3rd Place "&amp;$A180)))))</f>
        <v>Intense 16 Perf Columbia</v>
      </c>
      <c r="W180" s="265"/>
      <c r="X180" s="265"/>
      <c r="Y180" s="265"/>
      <c r="Z180" s="265"/>
      <c r="AA180" s="265"/>
      <c r="AB180" s="266" t="str">
        <f>IF($AF$93=3,$E$94,IF($AF$95=3,$E$96,IF($AF$97=3,$E$98,IF($AF$99=3,$E$100,IF($AF$101=3,$E$102,"3rd Place "&amp;$A180)))))</f>
        <v>fj6inten2pm</v>
      </c>
      <c r="AC180" s="266"/>
      <c r="AD180" s="266"/>
      <c r="AE180" s="267"/>
      <c r="AF180" s="264" t="str">
        <f>IF($AF$93=4,$E$93,IF($AF$95=4,$E$95,IF($AF$97=4,$E$97,IF($AF$99=4,$E$99,IF($AF$101=4,$E$101,"4th Place "&amp;$A180)))))</f>
        <v>Hurricane VBC 16 Tsunami</v>
      </c>
      <c r="AG180" s="265"/>
      <c r="AH180" s="265"/>
      <c r="AI180" s="265"/>
      <c r="AJ180" s="265"/>
      <c r="AK180" s="265"/>
      <c r="AL180" s="266" t="str">
        <f>IF($AF$93=4,$E$94,IF($AF$95=4,$E$96,IF($AF$97=4,$E$98,IF($AF$99=4,$E$100,IF($AF$101=4,$E$102,"4th Place "&amp;$A180)))))</f>
        <v>fj6hurrc1pm</v>
      </c>
      <c r="AM180" s="266"/>
      <c r="AN180" s="266"/>
      <c r="AO180" s="267"/>
    </row>
    <row r="181" spans="1:53" s="3" customFormat="1" x14ac:dyDescent="0.2">
      <c r="A181" s="99"/>
      <c r="B181" s="100"/>
      <c r="C181" s="100"/>
      <c r="D181" s="100"/>
      <c r="E181" s="100"/>
      <c r="F181" s="100"/>
      <c r="G181" s="100"/>
      <c r="H181" s="100"/>
      <c r="I181" s="100"/>
      <c r="J181" s="100"/>
      <c r="K181" s="100"/>
      <c r="L181" s="100"/>
      <c r="M181" s="100"/>
      <c r="N181" s="100"/>
      <c r="O181" s="100"/>
      <c r="P181" s="100"/>
      <c r="Q181" s="100"/>
      <c r="R181" s="100"/>
      <c r="S181" s="100"/>
      <c r="T181" s="100"/>
      <c r="U181" s="100"/>
      <c r="V181" s="100"/>
      <c r="W181" s="100"/>
      <c r="X181" s="100"/>
      <c r="Y181" s="100"/>
      <c r="Z181" s="100"/>
      <c r="AA181" s="100"/>
      <c r="AB181" s="100"/>
      <c r="AC181" s="100"/>
      <c r="AD181" s="100"/>
      <c r="AE181" s="100"/>
      <c r="AF181" s="100"/>
      <c r="AG181" s="100"/>
      <c r="AH181" s="100"/>
      <c r="AI181" s="100"/>
      <c r="AJ181" s="100"/>
      <c r="AK181" s="100"/>
      <c r="AL181" s="100"/>
      <c r="AM181" s="100"/>
      <c r="AN181" s="100"/>
      <c r="AO181" s="100"/>
      <c r="AW181" s="156"/>
      <c r="AX181" s="4"/>
      <c r="AY181" s="4"/>
      <c r="AZ181" s="4"/>
      <c r="BA181" s="4"/>
    </row>
    <row r="182" spans="1:53" ht="15.75" x14ac:dyDescent="0.25">
      <c r="A182" s="255" t="s">
        <v>123</v>
      </c>
      <c r="B182" s="255"/>
      <c r="C182" s="255"/>
      <c r="D182" s="255"/>
      <c r="E182" s="255"/>
      <c r="F182" s="255"/>
      <c r="G182" s="255"/>
      <c r="H182" s="255"/>
      <c r="I182" s="255"/>
      <c r="J182" s="255"/>
      <c r="K182" s="255"/>
      <c r="L182" s="255"/>
      <c r="M182" s="255"/>
      <c r="N182" s="255"/>
      <c r="O182" s="255"/>
      <c r="P182" s="255"/>
      <c r="Q182" s="255"/>
      <c r="R182" s="255"/>
      <c r="S182" s="255"/>
      <c r="T182" s="255"/>
      <c r="U182" s="255"/>
      <c r="V182" s="255"/>
      <c r="W182" s="255"/>
      <c r="X182" s="255"/>
      <c r="Y182" s="255"/>
      <c r="Z182" s="255"/>
      <c r="AA182" s="255"/>
      <c r="AB182" s="255"/>
      <c r="AC182" s="255"/>
      <c r="AD182" s="255"/>
      <c r="AE182" s="255"/>
      <c r="AF182" s="255"/>
      <c r="AG182" s="255"/>
      <c r="AH182" s="255"/>
      <c r="AI182" s="255"/>
      <c r="AJ182" s="255"/>
      <c r="AK182" s="255"/>
      <c r="AL182" s="255"/>
      <c r="AM182" s="255"/>
      <c r="AN182" s="255"/>
      <c r="AO182" s="255"/>
      <c r="AP182" s="255"/>
      <c r="AQ182" s="255"/>
      <c r="AT182" s="101"/>
      <c r="AU182" s="101"/>
      <c r="AV182" s="101"/>
    </row>
    <row r="183" spans="1:53" ht="14.25" x14ac:dyDescent="0.2">
      <c r="A183" s="443" t="s">
        <v>258</v>
      </c>
      <c r="B183" s="443"/>
      <c r="C183" s="443"/>
      <c r="D183" s="443"/>
      <c r="E183" s="443"/>
      <c r="F183" s="443"/>
      <c r="G183" s="443"/>
      <c r="H183" s="443"/>
      <c r="I183" s="443"/>
      <c r="J183" s="443"/>
      <c r="K183" s="443"/>
      <c r="L183" s="443"/>
      <c r="M183" s="443"/>
      <c r="N183" s="443"/>
      <c r="O183" s="443"/>
      <c r="P183" s="443"/>
      <c r="Q183" s="443"/>
      <c r="R183" s="443"/>
      <c r="S183" s="443"/>
      <c r="T183" s="443"/>
      <c r="U183" s="443"/>
      <c r="V183" s="443"/>
      <c r="W183" s="443"/>
      <c r="X183" s="443"/>
      <c r="Y183" s="443"/>
      <c r="Z183" s="443"/>
      <c r="AA183" s="443"/>
      <c r="AB183" s="443"/>
      <c r="AC183" s="443"/>
      <c r="AD183" s="443"/>
      <c r="AE183" s="443"/>
      <c r="AF183" s="443"/>
      <c r="AG183" s="443"/>
      <c r="AH183" s="443"/>
      <c r="AI183" s="443"/>
      <c r="AJ183" s="443"/>
      <c r="AK183" s="443"/>
      <c r="AL183" s="443"/>
      <c r="AM183" s="443"/>
      <c r="AN183" s="443"/>
      <c r="AO183" s="443"/>
      <c r="AP183" s="443"/>
      <c r="AQ183" s="443"/>
    </row>
    <row r="184" spans="1:53" x14ac:dyDescent="0.2">
      <c r="A184" s="257" t="s">
        <v>259</v>
      </c>
      <c r="B184" s="257"/>
      <c r="C184" s="257"/>
      <c r="D184" s="257"/>
      <c r="E184" s="257"/>
      <c r="F184" s="257"/>
      <c r="G184" s="257"/>
      <c r="H184" s="257"/>
      <c r="I184" s="257"/>
      <c r="J184" s="257"/>
      <c r="K184" s="257"/>
      <c r="L184" s="257"/>
      <c r="M184" s="257"/>
      <c r="N184" s="257"/>
      <c r="O184" s="257"/>
      <c r="P184" s="257"/>
      <c r="Q184" s="257"/>
      <c r="R184" s="257"/>
      <c r="S184" s="257"/>
      <c r="T184" s="257"/>
      <c r="U184" s="257"/>
      <c r="V184" s="257"/>
      <c r="W184" s="257"/>
      <c r="X184" s="257"/>
      <c r="Y184" s="257"/>
      <c r="Z184" s="257"/>
      <c r="AA184" s="257"/>
      <c r="AB184" s="257"/>
      <c r="AC184" s="257"/>
      <c r="AD184" s="257"/>
      <c r="AE184" s="257"/>
      <c r="AF184" s="257"/>
      <c r="AG184" s="257"/>
      <c r="AH184" s="257"/>
      <c r="AI184" s="257"/>
      <c r="AJ184" s="257"/>
      <c r="AK184" s="257"/>
      <c r="AL184" s="257"/>
      <c r="AM184" s="257"/>
      <c r="AN184" s="257"/>
      <c r="AO184" s="257"/>
      <c r="AP184" s="257"/>
      <c r="AQ184" s="257"/>
    </row>
    <row r="185" spans="1:53" x14ac:dyDescent="0.2">
      <c r="A185" s="257"/>
      <c r="B185" s="257"/>
      <c r="C185" s="257"/>
      <c r="D185" s="257"/>
      <c r="E185" s="257"/>
      <c r="F185" s="257"/>
      <c r="G185" s="257"/>
      <c r="H185" s="257"/>
      <c r="I185" s="257"/>
      <c r="J185" s="257"/>
      <c r="K185" s="257"/>
      <c r="L185" s="257"/>
      <c r="M185" s="257"/>
      <c r="N185" s="257"/>
      <c r="O185" s="257"/>
      <c r="P185" s="257"/>
      <c r="Q185" s="257"/>
      <c r="R185" s="257"/>
      <c r="S185" s="257"/>
      <c r="T185" s="257"/>
      <c r="U185" s="257"/>
      <c r="V185" s="257"/>
      <c r="W185" s="257"/>
      <c r="X185" s="257"/>
      <c r="Y185" s="257"/>
      <c r="Z185" s="257"/>
      <c r="AA185" s="257"/>
      <c r="AB185" s="257"/>
      <c r="AC185" s="257"/>
      <c r="AD185" s="257"/>
      <c r="AE185" s="257"/>
      <c r="AF185" s="257"/>
      <c r="AG185" s="257"/>
      <c r="AH185" s="257"/>
      <c r="AI185" s="257"/>
      <c r="AJ185" s="257"/>
      <c r="AK185" s="257"/>
      <c r="AL185" s="257"/>
      <c r="AM185" s="257"/>
      <c r="AN185" s="257"/>
      <c r="AO185" s="257"/>
      <c r="AP185" s="257"/>
      <c r="AQ185" s="257"/>
    </row>
    <row r="186" spans="1:53" x14ac:dyDescent="0.2">
      <c r="A186" s="258" t="s">
        <v>126</v>
      </c>
      <c r="B186" s="258"/>
      <c r="C186" s="258"/>
      <c r="D186" s="258"/>
      <c r="E186" s="258"/>
      <c r="F186" s="258"/>
      <c r="G186" s="258"/>
      <c r="H186" s="258"/>
      <c r="I186" s="258"/>
      <c r="J186" s="258"/>
      <c r="K186" s="258"/>
      <c r="L186" s="102"/>
    </row>
    <row r="187" spans="1:53" x14ac:dyDescent="0.2">
      <c r="C187" s="3"/>
      <c r="D187" s="3"/>
      <c r="E187" s="3"/>
      <c r="L187" s="102"/>
    </row>
    <row r="188" spans="1:53" x14ac:dyDescent="0.2">
      <c r="A188" s="259" t="s">
        <v>127</v>
      </c>
      <c r="B188" s="259"/>
      <c r="C188" s="259"/>
      <c r="D188" s="259"/>
      <c r="E188" s="259"/>
      <c r="F188" s="259"/>
      <c r="G188" s="259"/>
      <c r="H188" s="259"/>
      <c r="I188" s="259"/>
      <c r="J188" s="259"/>
      <c r="K188" s="259"/>
      <c r="L188" s="259"/>
      <c r="M188" s="259"/>
      <c r="N188" s="259"/>
      <c r="O188" s="259"/>
      <c r="P188" s="156"/>
      <c r="R188" s="259" t="s">
        <v>128</v>
      </c>
      <c r="S188" s="259"/>
      <c r="T188" s="259"/>
      <c r="U188" s="259"/>
      <c r="V188" s="259"/>
      <c r="W188" s="259"/>
      <c r="X188" s="259"/>
      <c r="Y188" s="259"/>
      <c r="Z188" s="259"/>
      <c r="AA188" s="259"/>
      <c r="AB188" s="259"/>
      <c r="AC188" s="259"/>
      <c r="AD188" s="259"/>
      <c r="AE188" s="259"/>
      <c r="AF188" s="259"/>
    </row>
    <row r="190" spans="1:53" ht="13.5" thickBot="1" x14ac:dyDescent="0.25">
      <c r="A190" s="225" t="str">
        <f>IF(B218=1,B210,IF(B218=2,B211,IF(B218=3,B212,IF(B218=4,B213,IF(OR(B218="B",B218="b"),"BYE","invalid")))))</f>
        <v>Vision 16-Erika &amp; Marissa</v>
      </c>
      <c r="B190" s="225"/>
      <c r="C190" s="225"/>
      <c r="D190" s="225"/>
      <c r="E190" s="225"/>
      <c r="F190" s="103"/>
      <c r="G190" s="103"/>
      <c r="H190" s="103"/>
      <c r="I190" s="103"/>
      <c r="J190" s="103"/>
      <c r="K190" s="103"/>
      <c r="L190" s="103"/>
      <c r="M190" s="103"/>
      <c r="N190" s="103"/>
      <c r="S190" s="157"/>
      <c r="T190" s="157"/>
      <c r="U190" s="225" t="str">
        <f>IF(W218=1,X210,IF(W218=2,X211,IF(W218=3,X212,IF(W218=4,X213,IF(OR(W218="B",W218="b"),"BYE","invalid")))))</f>
        <v>Low Country 16 Power</v>
      </c>
      <c r="V190" s="225"/>
      <c r="W190" s="225"/>
      <c r="X190" s="225"/>
      <c r="Y190" s="225"/>
      <c r="Z190" s="225"/>
      <c r="AA190" s="225"/>
      <c r="AB190" s="103"/>
      <c r="AC190" s="103"/>
      <c r="AD190" s="103"/>
      <c r="AE190" s="103"/>
    </row>
    <row r="191" spans="1:53" x14ac:dyDescent="0.2">
      <c r="A191" s="227" t="s">
        <v>129</v>
      </c>
      <c r="B191" s="227"/>
      <c r="C191" s="227"/>
      <c r="D191" s="227"/>
      <c r="E191" s="227"/>
      <c r="F191" s="105"/>
      <c r="G191" s="103"/>
      <c r="H191" s="103"/>
      <c r="I191" s="103"/>
      <c r="J191" s="103"/>
      <c r="K191" s="103"/>
      <c r="L191" s="103"/>
      <c r="M191" s="103"/>
      <c r="N191" s="103"/>
      <c r="S191" s="106"/>
      <c r="T191" s="106"/>
      <c r="U191" s="228" t="s">
        <v>130</v>
      </c>
      <c r="V191" s="228"/>
      <c r="W191" s="228"/>
      <c r="X191" s="228"/>
      <c r="Y191" s="228"/>
      <c r="Z191" s="228"/>
      <c r="AA191" s="242"/>
      <c r="AB191" s="103"/>
      <c r="AC191" s="103"/>
      <c r="AD191" s="103"/>
      <c r="AE191" s="103"/>
    </row>
    <row r="192" spans="1:53" x14ac:dyDescent="0.2">
      <c r="A192" s="103"/>
      <c r="B192" s="103"/>
      <c r="C192" s="103"/>
      <c r="D192" s="103"/>
      <c r="E192" s="103"/>
      <c r="F192" s="105"/>
      <c r="G192" s="103"/>
      <c r="H192" s="103"/>
      <c r="I192" s="103"/>
      <c r="J192" s="103"/>
      <c r="K192" s="103"/>
      <c r="L192" s="103"/>
      <c r="M192" s="103"/>
      <c r="N192" s="103"/>
      <c r="R192" s="103"/>
      <c r="S192" s="103"/>
      <c r="T192" s="103"/>
      <c r="U192" s="103"/>
      <c r="V192" s="103"/>
      <c r="W192" s="103"/>
      <c r="X192" s="103"/>
      <c r="Y192" s="103"/>
      <c r="Z192" s="103"/>
      <c r="AA192" s="107"/>
      <c r="AB192" s="103"/>
      <c r="AC192" s="103"/>
      <c r="AD192" s="103"/>
      <c r="AE192" s="103"/>
    </row>
    <row r="193" spans="1:53" ht="13.5" thickBot="1" x14ac:dyDescent="0.25">
      <c r="A193" s="228" t="str">
        <f>B212&amp;" ref"</f>
        <v>SC Midlands 16 Perf ref</v>
      </c>
      <c r="B193" s="228"/>
      <c r="C193" s="228"/>
      <c r="D193" s="228"/>
      <c r="E193" s="242"/>
      <c r="F193" s="237" t="str">
        <f>IF(H218=1,B210,IF(H218=2,B211,IF(H218=3,B212,IF(H218=4,B213,"Winner Match 1"))))</f>
        <v>Vision 16-Erika &amp; Marissa</v>
      </c>
      <c r="G193" s="238"/>
      <c r="H193" s="238"/>
      <c r="I193" s="238"/>
      <c r="J193" s="238"/>
      <c r="K193" s="238"/>
      <c r="L193" s="238"/>
      <c r="M193" s="238"/>
      <c r="N193" s="103"/>
      <c r="P193" s="108"/>
      <c r="Q193" s="108"/>
      <c r="R193" s="108"/>
      <c r="S193" s="108"/>
      <c r="T193" s="228" t="str">
        <f>X212&amp;" ref"</f>
        <v>CSRA Heat 16 Gold ref</v>
      </c>
      <c r="U193" s="228"/>
      <c r="V193" s="228"/>
      <c r="W193" s="228"/>
      <c r="X193" s="228"/>
      <c r="Y193" s="228"/>
      <c r="Z193" s="228"/>
      <c r="AA193" s="242"/>
      <c r="AB193" s="237" t="str">
        <f>IF(AC218=1,X210,IF(AC218=2,X211,IF(AC218=3,X212,IF(AC218=4,X213,"Winner Match 1"))))</f>
        <v>Low Country 16 Power</v>
      </c>
      <c r="AC193" s="238"/>
      <c r="AD193" s="238"/>
      <c r="AE193" s="238"/>
      <c r="AF193" s="238"/>
      <c r="AG193" s="238"/>
      <c r="AH193" s="238"/>
    </row>
    <row r="194" spans="1:53" x14ac:dyDescent="0.2">
      <c r="A194" s="239" t="s">
        <v>131</v>
      </c>
      <c r="B194" s="239"/>
      <c r="C194" s="239"/>
      <c r="D194" s="239"/>
      <c r="E194" s="239"/>
      <c r="F194" s="251"/>
      <c r="G194" s="252"/>
      <c r="H194" s="252"/>
      <c r="I194" s="253"/>
      <c r="J194" s="233"/>
      <c r="K194" s="234"/>
      <c r="L194" s="234"/>
      <c r="M194" s="234"/>
      <c r="N194" s="103"/>
      <c r="O194" s="103"/>
      <c r="P194" s="114"/>
      <c r="Q194" s="7"/>
      <c r="R194" s="115"/>
      <c r="S194" s="115"/>
      <c r="T194" s="254" t="s">
        <v>132</v>
      </c>
      <c r="U194" s="254"/>
      <c r="V194" s="254"/>
      <c r="W194" s="254"/>
      <c r="X194" s="254"/>
      <c r="Y194" s="254"/>
      <c r="Z194" s="254"/>
      <c r="AA194" s="107"/>
      <c r="AB194" s="251"/>
      <c r="AC194" s="252"/>
      <c r="AD194" s="252"/>
      <c r="AE194" s="253"/>
      <c r="AF194" s="233"/>
      <c r="AG194" s="234"/>
      <c r="AH194" s="234"/>
    </row>
    <row r="195" spans="1:53" ht="13.5" thickBot="1" x14ac:dyDescent="0.25">
      <c r="A195" s="225" t="str">
        <f>IF(D218=1,B210,IF(D218=2,B211,IF(D218=3,B212,IF(D218=4,B213,IF(OR(D218="B",D218="b"),"BYE","invalid")))))</f>
        <v>MOTO 16 IGNITE</v>
      </c>
      <c r="B195" s="225"/>
      <c r="C195" s="225"/>
      <c r="D195" s="225"/>
      <c r="E195" s="226"/>
      <c r="F195" s="105"/>
      <c r="G195" s="103"/>
      <c r="H195" s="103"/>
      <c r="I195" s="103"/>
      <c r="J195" s="105"/>
      <c r="K195" s="103"/>
      <c r="L195" s="103"/>
      <c r="M195" s="103"/>
      <c r="N195" s="103"/>
      <c r="O195" s="103"/>
      <c r="P195" s="103"/>
      <c r="T195" s="103"/>
      <c r="U195" s="225" t="str">
        <f>IF(Y218=1,X210,IF(Y218=2,X211,IF(Y218=3,X212,IF(Y218=4,X213,IF(OR(Y218="B",Y218="b"),"BYE","invalid")))))</f>
        <v>Hurricane VBC 16 Tsunami</v>
      </c>
      <c r="V195" s="225"/>
      <c r="W195" s="225"/>
      <c r="X195" s="225"/>
      <c r="Y195" s="225"/>
      <c r="Z195" s="225"/>
      <c r="AA195" s="226"/>
      <c r="AB195" s="103"/>
      <c r="AC195" s="103"/>
      <c r="AD195" s="103"/>
      <c r="AE195" s="107"/>
      <c r="AF195" s="103"/>
      <c r="AG195" s="103"/>
    </row>
    <row r="196" spans="1:53" x14ac:dyDescent="0.2">
      <c r="A196" s="227" t="s">
        <v>133</v>
      </c>
      <c r="B196" s="227"/>
      <c r="C196" s="227"/>
      <c r="D196" s="227"/>
      <c r="E196" s="227"/>
      <c r="F196" s="103"/>
      <c r="G196" s="103"/>
      <c r="H196" s="103"/>
      <c r="I196" s="103"/>
      <c r="J196" s="105"/>
      <c r="K196" s="103"/>
      <c r="L196" s="103"/>
      <c r="M196" s="103"/>
      <c r="N196" s="103"/>
      <c r="O196" s="103"/>
      <c r="P196" s="103"/>
      <c r="U196" s="249" t="s">
        <v>134</v>
      </c>
      <c r="V196" s="249"/>
      <c r="W196" s="249"/>
      <c r="X196" s="249"/>
      <c r="Y196" s="249"/>
      <c r="Z196" s="249"/>
      <c r="AA196" s="249"/>
      <c r="AB196" s="103"/>
      <c r="AC196" s="103"/>
      <c r="AD196" s="103"/>
      <c r="AE196" s="107"/>
      <c r="AF196" s="103"/>
      <c r="AG196" s="103"/>
      <c r="AQ196" s="116"/>
      <c r="AR196" s="116"/>
      <c r="AS196" s="116"/>
    </row>
    <row r="197" spans="1:53" x14ac:dyDescent="0.2">
      <c r="A197" s="103"/>
      <c r="B197" s="103"/>
      <c r="C197" s="103"/>
      <c r="D197" s="103"/>
      <c r="E197" s="103"/>
      <c r="F197" s="241" t="s">
        <v>135</v>
      </c>
      <c r="G197" s="241"/>
      <c r="H197" s="241"/>
      <c r="I197" s="250"/>
      <c r="J197" s="105"/>
      <c r="K197" s="103"/>
      <c r="L197" s="103"/>
      <c r="M197" s="103"/>
      <c r="N197" s="103"/>
      <c r="O197" s="103"/>
      <c r="P197" s="103"/>
      <c r="R197" s="103"/>
      <c r="S197" s="103"/>
      <c r="T197" s="103"/>
      <c r="U197" s="103"/>
      <c r="V197" s="103"/>
      <c r="W197" s="108"/>
      <c r="X197" s="108"/>
      <c r="Y197" s="108"/>
      <c r="AA197" s="108"/>
      <c r="AB197" s="241" t="s">
        <v>135</v>
      </c>
      <c r="AC197" s="241"/>
      <c r="AD197" s="241"/>
      <c r="AE197" s="250"/>
      <c r="AF197" s="103"/>
      <c r="AG197" s="103"/>
    </row>
    <row r="198" spans="1:53" ht="13.5" thickBot="1" x14ac:dyDescent="0.25">
      <c r="A198" s="103"/>
      <c r="B198" s="103"/>
      <c r="C198" s="103"/>
      <c r="D198" s="103"/>
      <c r="E198" s="103"/>
      <c r="F198" s="103"/>
      <c r="G198" s="103"/>
      <c r="H198" s="103"/>
      <c r="I198" s="103"/>
      <c r="J198" s="244" t="str">
        <f>IF(K223=1,B210,IF(K223=2,B211,IF(K223=3,B212,IF(K223=4,B213,"Division Winner"))))</f>
        <v>Vision 16-Erika &amp; Marissa</v>
      </c>
      <c r="K198" s="245"/>
      <c r="L198" s="245"/>
      <c r="M198" s="245"/>
      <c r="N198" s="245"/>
      <c r="O198" s="245"/>
      <c r="P198" s="245"/>
      <c r="Q198" s="157"/>
      <c r="R198" s="103"/>
      <c r="S198" s="103"/>
      <c r="T198" s="103"/>
      <c r="U198" s="103"/>
      <c r="V198" s="103"/>
      <c r="W198" s="103"/>
      <c r="X198" s="103"/>
      <c r="Y198" s="103"/>
      <c r="Z198" s="103"/>
      <c r="AA198" s="118"/>
      <c r="AB198" s="118"/>
      <c r="AC198" s="118"/>
      <c r="AD198" s="118"/>
      <c r="AE198" s="119"/>
      <c r="AF198" s="245" t="str">
        <f>IF(AF223=1,X210,IF(AF223=2,X211,IF(AF223=3,X212,IF(AF223=4,X213,"Division Winner"))))</f>
        <v>Low Country 16 Power</v>
      </c>
      <c r="AG198" s="245"/>
      <c r="AH198" s="245"/>
      <c r="AI198" s="245"/>
      <c r="AJ198" s="245"/>
      <c r="AK198" s="118"/>
    </row>
    <row r="199" spans="1:53" ht="13.5" thickBot="1" x14ac:dyDescent="0.25">
      <c r="A199" s="225" t="str">
        <f>IF(E218=1,B210,IF(E218=2,B211,IF(E218=3,B212,IF(E218=4,B213,IF(OR(E218="B",E218="b"),"BYE","invalid")))))</f>
        <v>High Velocity 16's</v>
      </c>
      <c r="B199" s="225"/>
      <c r="C199" s="225"/>
      <c r="D199" s="225"/>
      <c r="E199" s="225"/>
      <c r="F199" s="239" t="s">
        <v>136</v>
      </c>
      <c r="G199" s="239"/>
      <c r="H199" s="239"/>
      <c r="I199" s="239"/>
      <c r="J199" s="240" t="s">
        <v>137</v>
      </c>
      <c r="K199" s="241"/>
      <c r="L199" s="241"/>
      <c r="M199" s="241"/>
      <c r="N199" s="241"/>
      <c r="O199" s="241"/>
      <c r="P199" s="241"/>
      <c r="R199" s="118"/>
      <c r="S199" s="118"/>
      <c r="T199" s="118"/>
      <c r="U199" s="225" t="str">
        <f>IF(Z218=1,X210,IF(Z218=2,X211,IF(Z218=3,X212,IF(Z218=4,X213,IF(OR(Z218="B",Z218="b"),"BYE","invalid")))))</f>
        <v>Intense 16 Perf Columbia</v>
      </c>
      <c r="V199" s="225"/>
      <c r="W199" s="225"/>
      <c r="X199" s="225"/>
      <c r="Y199" s="225"/>
      <c r="Z199" s="225"/>
      <c r="AA199" s="225"/>
      <c r="AB199" s="239" t="s">
        <v>138</v>
      </c>
      <c r="AC199" s="239"/>
      <c r="AD199" s="239"/>
      <c r="AE199" s="246"/>
      <c r="AF199" s="247" t="s">
        <v>139</v>
      </c>
      <c r="AG199" s="248"/>
      <c r="AH199" s="248"/>
      <c r="AI199" s="248"/>
      <c r="AJ199" s="248"/>
    </row>
    <row r="200" spans="1:53" x14ac:dyDescent="0.2">
      <c r="A200" s="227" t="s">
        <v>140</v>
      </c>
      <c r="B200" s="227"/>
      <c r="C200" s="227"/>
      <c r="D200" s="227"/>
      <c r="E200" s="227"/>
      <c r="F200" s="105"/>
      <c r="G200" s="103"/>
      <c r="H200" s="103"/>
      <c r="I200" s="103"/>
      <c r="J200" s="240"/>
      <c r="K200" s="241"/>
      <c r="L200" s="241"/>
      <c r="M200" s="241"/>
      <c r="N200" s="241"/>
      <c r="O200" s="241"/>
      <c r="P200" s="241"/>
      <c r="Q200" s="103"/>
      <c r="R200" s="116"/>
      <c r="S200" s="116"/>
      <c r="T200" s="116"/>
      <c r="U200" s="228" t="s">
        <v>141</v>
      </c>
      <c r="V200" s="228"/>
      <c r="W200" s="228"/>
      <c r="X200" s="228"/>
      <c r="Y200" s="228"/>
      <c r="Z200" s="228"/>
      <c r="AA200" s="242"/>
      <c r="AB200" s="103"/>
      <c r="AC200" s="103"/>
      <c r="AD200" s="103"/>
      <c r="AE200" s="107"/>
      <c r="AF200" s="103"/>
      <c r="AG200" s="103"/>
    </row>
    <row r="201" spans="1:53" x14ac:dyDescent="0.2">
      <c r="A201" s="103"/>
      <c r="B201" s="103"/>
      <c r="C201" s="103"/>
      <c r="D201" s="103"/>
      <c r="E201" s="103"/>
      <c r="F201" s="105"/>
      <c r="G201" s="103"/>
      <c r="H201" s="103"/>
      <c r="I201" s="103"/>
      <c r="J201" s="105"/>
      <c r="K201" s="103"/>
      <c r="L201" s="103"/>
      <c r="M201" s="103"/>
      <c r="N201" s="103"/>
      <c r="P201" s="103"/>
      <c r="Q201" s="103"/>
      <c r="R201" s="103"/>
      <c r="S201" s="103"/>
      <c r="T201" s="103"/>
      <c r="U201" s="103"/>
      <c r="V201" s="103"/>
      <c r="W201" s="103"/>
      <c r="X201" s="103"/>
      <c r="Y201" s="103"/>
      <c r="Z201" s="103"/>
      <c r="AA201" s="107"/>
      <c r="AB201" s="105"/>
      <c r="AC201" s="103"/>
      <c r="AD201" s="103"/>
      <c r="AE201" s="107"/>
      <c r="AF201" s="103"/>
      <c r="AG201" s="103"/>
      <c r="AW201" s="154"/>
      <c r="AX201" s="70"/>
      <c r="AY201" s="70"/>
      <c r="AZ201" s="70"/>
      <c r="BA201" s="70"/>
    </row>
    <row r="202" spans="1:53" ht="13.5" thickBot="1" x14ac:dyDescent="0.25">
      <c r="A202" s="241" t="s">
        <v>142</v>
      </c>
      <c r="B202" s="241"/>
      <c r="C202" s="241"/>
      <c r="D202" s="241"/>
      <c r="E202" s="114"/>
      <c r="F202" s="230"/>
      <c r="G202" s="231"/>
      <c r="H202" s="231"/>
      <c r="I202" s="232"/>
      <c r="J202" s="233"/>
      <c r="K202" s="234"/>
      <c r="L202" s="234"/>
      <c r="M202" s="234"/>
      <c r="N202" s="103"/>
      <c r="Q202" s="108"/>
      <c r="R202" s="108"/>
      <c r="S202" s="108"/>
      <c r="T202" s="241" t="s">
        <v>142</v>
      </c>
      <c r="U202" s="241"/>
      <c r="V202" s="241"/>
      <c r="W202" s="241"/>
      <c r="X202" s="241"/>
      <c r="Y202" s="241"/>
      <c r="Z202" s="241"/>
      <c r="AA202" s="103"/>
      <c r="AB202" s="230"/>
      <c r="AC202" s="231"/>
      <c r="AD202" s="231"/>
      <c r="AE202" s="232"/>
      <c r="AF202" s="233"/>
      <c r="AG202" s="234"/>
      <c r="AH202" s="234"/>
      <c r="AW202" s="154"/>
      <c r="AX202" s="70"/>
      <c r="AY202" s="70"/>
      <c r="AZ202" s="70"/>
      <c r="BA202" s="70"/>
    </row>
    <row r="203" spans="1:53" x14ac:dyDescent="0.2">
      <c r="A203" s="239" t="s">
        <v>131</v>
      </c>
      <c r="B203" s="239"/>
      <c r="C203" s="239"/>
      <c r="D203" s="239"/>
      <c r="E203" s="246"/>
      <c r="F203" s="237" t="str">
        <f>IF(J218=1,B210,IF(J218=2,B211,IF(J218=3,B212,IF(J218=4,B213,"Winner Match 2"))))</f>
        <v>SC Midlands 16 Perf</v>
      </c>
      <c r="G203" s="238"/>
      <c r="H203" s="238"/>
      <c r="I203" s="238"/>
      <c r="J203" s="238"/>
      <c r="K203" s="238"/>
      <c r="L203" s="238"/>
      <c r="M203" s="238"/>
      <c r="N203" s="103"/>
      <c r="P203" s="114"/>
      <c r="Q203" s="114"/>
      <c r="S203" s="115"/>
      <c r="T203" s="239" t="s">
        <v>132</v>
      </c>
      <c r="U203" s="239"/>
      <c r="V203" s="239"/>
      <c r="W203" s="239"/>
      <c r="X203" s="239"/>
      <c r="Y203" s="239"/>
      <c r="Z203" s="239"/>
      <c r="AA203" s="107"/>
      <c r="AB203" s="237" t="str">
        <f>IF(AE218=1,X210,IF(AE218=2,X211,IF(AE218=3,X212,IF(AE218=4,X213,"Winner Match 2"))))</f>
        <v>Intense 16 Perf Columbia</v>
      </c>
      <c r="AC203" s="238"/>
      <c r="AD203" s="238"/>
      <c r="AE203" s="238"/>
      <c r="AF203" s="238"/>
      <c r="AG203" s="238"/>
      <c r="AH203" s="238"/>
      <c r="AW203" s="154"/>
      <c r="AX203" s="70"/>
      <c r="AY203" s="70"/>
      <c r="AZ203" s="70"/>
      <c r="BA203" s="70"/>
    </row>
    <row r="204" spans="1:53" ht="13.5" thickBot="1" x14ac:dyDescent="0.25">
      <c r="A204" s="225" t="str">
        <f>IF(G218=1,B210,IF(G218=2,B211,IF(G218=3,B212,IF(G218=4,B213,IF(OR(G218="B",G218="b"),"BYE","invalid")))))</f>
        <v>SC Midlands 16 Perf</v>
      </c>
      <c r="B204" s="225"/>
      <c r="C204" s="225"/>
      <c r="D204" s="225"/>
      <c r="E204" s="226"/>
      <c r="F204" s="105"/>
      <c r="G204" s="103"/>
      <c r="H204" s="103"/>
      <c r="I204" s="103"/>
      <c r="J204" s="103"/>
      <c r="K204" s="103"/>
      <c r="L204" s="103"/>
      <c r="M204" s="103"/>
      <c r="N204" s="103"/>
      <c r="P204" s="103"/>
      <c r="Q204" s="103"/>
      <c r="R204" s="103"/>
      <c r="S204" s="118"/>
      <c r="T204" s="118"/>
      <c r="U204" s="225" t="str">
        <f>IF(AB218=1,X210,IF(AB218=2,X211,IF(AB218=3,X212,IF(AB218=4,X213,IF(OR(AB218="B",AB218="b"),"BYE","invalid")))))</f>
        <v>CSRA Heat 16 Gold</v>
      </c>
      <c r="V204" s="225"/>
      <c r="W204" s="225"/>
      <c r="X204" s="225"/>
      <c r="Y204" s="225"/>
      <c r="Z204" s="225"/>
      <c r="AA204" s="226"/>
      <c r="AB204" s="103"/>
      <c r="AC204" s="103"/>
      <c r="AD204" s="103"/>
      <c r="AE204" s="103"/>
      <c r="AW204" s="154"/>
      <c r="AX204" s="70"/>
      <c r="AY204" s="70"/>
      <c r="AZ204" s="70"/>
      <c r="BA204" s="70"/>
    </row>
    <row r="205" spans="1:53" x14ac:dyDescent="0.2">
      <c r="A205" s="227" t="s">
        <v>143</v>
      </c>
      <c r="B205" s="227"/>
      <c r="C205" s="227"/>
      <c r="D205" s="227"/>
      <c r="E205" s="227"/>
      <c r="S205" s="116"/>
      <c r="T205" s="116"/>
      <c r="U205" s="228" t="s">
        <v>144</v>
      </c>
      <c r="V205" s="228"/>
      <c r="W205" s="228"/>
      <c r="X205" s="228"/>
      <c r="Y205" s="228"/>
      <c r="Z205" s="228"/>
      <c r="AA205" s="228"/>
      <c r="AW205" s="154"/>
      <c r="AX205" s="70"/>
      <c r="AY205" s="70"/>
      <c r="AZ205" s="70"/>
      <c r="BA205" s="70"/>
    </row>
    <row r="206" spans="1:53" x14ac:dyDescent="0.2">
      <c r="AT206" s="70"/>
      <c r="AU206" s="70"/>
      <c r="AV206" s="70"/>
      <c r="AW206" s="154"/>
      <c r="AX206" s="70"/>
      <c r="AY206" s="70"/>
      <c r="AZ206" s="70"/>
      <c r="BA206" s="70"/>
    </row>
    <row r="207" spans="1:53" x14ac:dyDescent="0.2">
      <c r="AT207" s="70"/>
      <c r="AU207" s="70"/>
      <c r="AV207" s="70"/>
      <c r="AW207" s="154"/>
      <c r="AX207" s="70"/>
      <c r="AY207" s="70"/>
      <c r="AZ207" s="70"/>
      <c r="BA207" s="70"/>
    </row>
    <row r="208" spans="1:53" ht="16.5" thickBot="1" x14ac:dyDescent="0.3">
      <c r="A208" s="229" t="s">
        <v>145</v>
      </c>
      <c r="B208" s="229"/>
      <c r="C208" s="229"/>
      <c r="D208" s="229"/>
      <c r="E208" s="229"/>
      <c r="F208" s="229"/>
      <c r="G208" s="229"/>
      <c r="H208" s="229"/>
      <c r="I208" s="229"/>
      <c r="J208" s="229"/>
      <c r="Q208" s="125"/>
      <c r="R208" s="125"/>
      <c r="S208" s="125"/>
      <c r="U208" s="229" t="s">
        <v>146</v>
      </c>
      <c r="V208" s="229"/>
      <c r="W208" s="229"/>
      <c r="X208" s="229"/>
      <c r="Y208" s="229"/>
      <c r="Z208" s="229"/>
      <c r="AA208" s="229"/>
      <c r="AB208" s="229"/>
      <c r="AC208" s="229"/>
      <c r="AD208" s="229"/>
      <c r="AE208" s="229"/>
      <c r="AF208" s="229"/>
      <c r="AT208" s="70"/>
      <c r="AU208" s="70"/>
      <c r="AV208" s="70"/>
      <c r="AW208" s="154"/>
      <c r="AX208" s="70"/>
      <c r="AY208" s="70"/>
      <c r="AZ208" s="70"/>
      <c r="BA208" s="70"/>
    </row>
    <row r="209" spans="1:53" ht="13.5" thickBot="1" x14ac:dyDescent="0.25">
      <c r="A209" s="126" t="s">
        <v>147</v>
      </c>
      <c r="B209" s="219" t="s">
        <v>148</v>
      </c>
      <c r="C209" s="220"/>
      <c r="D209" s="220"/>
      <c r="E209" s="220"/>
      <c r="F209" s="220"/>
      <c r="G209" s="220"/>
      <c r="H209" s="220"/>
      <c r="I209" s="220"/>
      <c r="J209" s="221"/>
      <c r="K209" s="222" t="s">
        <v>149</v>
      </c>
      <c r="L209" s="223"/>
      <c r="M209" s="223"/>
      <c r="N209" s="223"/>
      <c r="O209" s="223"/>
      <c r="P209" s="223"/>
      <c r="Q209" s="224"/>
      <c r="U209" s="207" t="s">
        <v>147</v>
      </c>
      <c r="V209" s="208"/>
      <c r="W209" s="209"/>
      <c r="X209" s="219" t="s">
        <v>148</v>
      </c>
      <c r="Y209" s="220"/>
      <c r="Z209" s="220"/>
      <c r="AA209" s="220"/>
      <c r="AB209" s="220"/>
      <c r="AC209" s="220"/>
      <c r="AD209" s="220"/>
      <c r="AE209" s="220"/>
      <c r="AF209" s="221"/>
      <c r="AG209" s="222" t="s">
        <v>149</v>
      </c>
      <c r="AH209" s="223"/>
      <c r="AI209" s="223"/>
      <c r="AJ209" s="223"/>
      <c r="AK209" s="223"/>
      <c r="AL209" s="223"/>
      <c r="AM209" s="224"/>
      <c r="AT209" s="70"/>
      <c r="AU209" s="70"/>
      <c r="AV209" s="70"/>
      <c r="AW209" s="154"/>
      <c r="AX209" s="70"/>
      <c r="AY209" s="70"/>
      <c r="AZ209" s="70"/>
      <c r="BA209" s="70"/>
    </row>
    <row r="210" spans="1:53" ht="13.5" thickBot="1" x14ac:dyDescent="0.25">
      <c r="A210" s="126">
        <v>1</v>
      </c>
      <c r="B210" s="201" t="str">
        <f>B179</f>
        <v>Vision 16-Erika &amp; Marissa</v>
      </c>
      <c r="C210" s="202"/>
      <c r="D210" s="202"/>
      <c r="E210" s="202"/>
      <c r="F210" s="202"/>
      <c r="G210" s="202"/>
      <c r="H210" s="202"/>
      <c r="I210" s="202"/>
      <c r="J210" s="203"/>
      <c r="K210" s="204" t="str">
        <f>H179</f>
        <v>fj6vison1pm</v>
      </c>
      <c r="L210" s="205"/>
      <c r="M210" s="205"/>
      <c r="N210" s="205"/>
      <c r="O210" s="205"/>
      <c r="P210" s="205"/>
      <c r="Q210" s="206"/>
      <c r="U210" s="207">
        <v>1</v>
      </c>
      <c r="V210" s="208"/>
      <c r="W210" s="209"/>
      <c r="X210" s="201" t="str">
        <f>V179</f>
        <v>Low Country 16 Power</v>
      </c>
      <c r="Y210" s="202"/>
      <c r="Z210" s="202"/>
      <c r="AA210" s="202"/>
      <c r="AB210" s="202"/>
      <c r="AC210" s="202"/>
      <c r="AD210" s="202"/>
      <c r="AE210" s="202"/>
      <c r="AF210" s="203"/>
      <c r="AG210" s="204" t="str">
        <f>AB179</f>
        <v>fj6lowco1pm</v>
      </c>
      <c r="AH210" s="205"/>
      <c r="AI210" s="205"/>
      <c r="AJ210" s="205"/>
      <c r="AK210" s="205"/>
      <c r="AL210" s="205"/>
      <c r="AM210" s="206"/>
      <c r="AT210" s="70"/>
      <c r="AU210" s="70"/>
      <c r="AV210" s="70"/>
      <c r="AW210" s="154"/>
      <c r="AX210" s="70"/>
      <c r="AY210" s="70"/>
      <c r="AZ210" s="70"/>
      <c r="BA210" s="70"/>
    </row>
    <row r="211" spans="1:53" ht="13.5" thickBot="1" x14ac:dyDescent="0.25">
      <c r="A211" s="126">
        <v>2</v>
      </c>
      <c r="B211" s="201" t="str">
        <f>B180</f>
        <v>High Velocity 16's</v>
      </c>
      <c r="C211" s="202"/>
      <c r="D211" s="202"/>
      <c r="E211" s="202"/>
      <c r="F211" s="202"/>
      <c r="G211" s="202"/>
      <c r="H211" s="202"/>
      <c r="I211" s="202"/>
      <c r="J211" s="203"/>
      <c r="K211" s="204" t="str">
        <f>H180</f>
        <v>fj6hvelo1pm</v>
      </c>
      <c r="L211" s="205"/>
      <c r="M211" s="205"/>
      <c r="N211" s="205"/>
      <c r="O211" s="205"/>
      <c r="P211" s="205"/>
      <c r="Q211" s="206"/>
      <c r="U211" s="207">
        <v>2</v>
      </c>
      <c r="V211" s="208"/>
      <c r="W211" s="209"/>
      <c r="X211" s="201" t="str">
        <f>V180</f>
        <v>Intense 16 Perf Columbia</v>
      </c>
      <c r="Y211" s="202"/>
      <c r="Z211" s="202"/>
      <c r="AA211" s="202"/>
      <c r="AB211" s="202"/>
      <c r="AC211" s="202"/>
      <c r="AD211" s="202"/>
      <c r="AE211" s="202"/>
      <c r="AF211" s="203"/>
      <c r="AG211" s="204" t="str">
        <f>AB180</f>
        <v>fj6inten2pm</v>
      </c>
      <c r="AH211" s="205"/>
      <c r="AI211" s="205"/>
      <c r="AJ211" s="205"/>
      <c r="AK211" s="205"/>
      <c r="AL211" s="205"/>
      <c r="AM211" s="206"/>
      <c r="AT211" s="70"/>
      <c r="AU211" s="70"/>
      <c r="AV211" s="70"/>
      <c r="AW211" s="154"/>
      <c r="AX211" s="70"/>
      <c r="AY211" s="70"/>
      <c r="AZ211" s="70"/>
      <c r="BA211" s="70"/>
    </row>
    <row r="212" spans="1:53" ht="13.5" thickBot="1" x14ac:dyDescent="0.25">
      <c r="A212" s="126">
        <v>3</v>
      </c>
      <c r="B212" s="201" t="str">
        <f>L179</f>
        <v>SC Midlands 16 Perf</v>
      </c>
      <c r="C212" s="202"/>
      <c r="D212" s="202"/>
      <c r="E212" s="202"/>
      <c r="F212" s="202"/>
      <c r="G212" s="202"/>
      <c r="H212" s="202"/>
      <c r="I212" s="202"/>
      <c r="J212" s="203"/>
      <c r="K212" s="204" t="str">
        <f>R179</f>
        <v>fj6scmid2pm</v>
      </c>
      <c r="L212" s="205"/>
      <c r="M212" s="205"/>
      <c r="N212" s="205"/>
      <c r="O212" s="205"/>
      <c r="P212" s="205"/>
      <c r="Q212" s="206"/>
      <c r="U212" s="207">
        <v>3</v>
      </c>
      <c r="V212" s="208"/>
      <c r="W212" s="209"/>
      <c r="X212" s="201" t="str">
        <f>AF179</f>
        <v>CSRA Heat 16 Gold</v>
      </c>
      <c r="Y212" s="202"/>
      <c r="Z212" s="202"/>
      <c r="AA212" s="202"/>
      <c r="AB212" s="202"/>
      <c r="AC212" s="202"/>
      <c r="AD212" s="202"/>
      <c r="AE212" s="202"/>
      <c r="AF212" s="203"/>
      <c r="AG212" s="204" t="str">
        <f>AL179</f>
        <v>fj6csrah2pm</v>
      </c>
      <c r="AH212" s="205"/>
      <c r="AI212" s="205"/>
      <c r="AJ212" s="205"/>
      <c r="AK212" s="205"/>
      <c r="AL212" s="205"/>
      <c r="AM212" s="206"/>
      <c r="AT212" s="70"/>
      <c r="AU212" s="70"/>
      <c r="AV212" s="70"/>
      <c r="AW212" s="154"/>
      <c r="AX212" s="70"/>
      <c r="AY212" s="70"/>
      <c r="AZ212" s="70"/>
      <c r="BA212" s="70"/>
    </row>
    <row r="213" spans="1:53" ht="13.5" thickBot="1" x14ac:dyDescent="0.25">
      <c r="A213" s="126">
        <v>4</v>
      </c>
      <c r="B213" s="201" t="str">
        <f>L180</f>
        <v>MOTO 16 IGNITE</v>
      </c>
      <c r="C213" s="202"/>
      <c r="D213" s="202"/>
      <c r="E213" s="202"/>
      <c r="F213" s="202"/>
      <c r="G213" s="202"/>
      <c r="H213" s="202"/>
      <c r="I213" s="202"/>
      <c r="J213" s="203"/>
      <c r="K213" s="204" t="str">
        <f>R180</f>
        <v>fj6motoj1pm</v>
      </c>
      <c r="L213" s="205"/>
      <c r="M213" s="205"/>
      <c r="N213" s="205"/>
      <c r="O213" s="205"/>
      <c r="P213" s="205"/>
      <c r="Q213" s="206"/>
      <c r="U213" s="207">
        <v>4</v>
      </c>
      <c r="V213" s="208"/>
      <c r="W213" s="209"/>
      <c r="X213" s="201" t="str">
        <f>AF180</f>
        <v>Hurricane VBC 16 Tsunami</v>
      </c>
      <c r="Y213" s="202"/>
      <c r="Z213" s="202"/>
      <c r="AA213" s="202"/>
      <c r="AB213" s="202"/>
      <c r="AC213" s="202"/>
      <c r="AD213" s="202"/>
      <c r="AE213" s="202"/>
      <c r="AF213" s="203"/>
      <c r="AG213" s="204" t="str">
        <f>AL180</f>
        <v>fj6hurrc1pm</v>
      </c>
      <c r="AH213" s="205"/>
      <c r="AI213" s="205"/>
      <c r="AJ213" s="205"/>
      <c r="AK213" s="205"/>
      <c r="AL213" s="205"/>
      <c r="AM213" s="206"/>
      <c r="AT213" s="70"/>
      <c r="AU213" s="70"/>
      <c r="AV213" s="70"/>
      <c r="AW213" s="154"/>
      <c r="AX213" s="70"/>
      <c r="AY213" s="70"/>
      <c r="AZ213" s="70"/>
      <c r="BA213" s="70"/>
    </row>
    <row r="214" spans="1:53" ht="13.5" thickBot="1" x14ac:dyDescent="0.25">
      <c r="AT214" s="70"/>
      <c r="AU214" s="70"/>
      <c r="AV214" s="70"/>
      <c r="AW214" s="154"/>
      <c r="AX214" s="70"/>
      <c r="AY214" s="70"/>
      <c r="AZ214" s="70"/>
      <c r="BA214" s="70"/>
    </row>
    <row r="215" spans="1:53" x14ac:dyDescent="0.2">
      <c r="B215" s="210" t="s">
        <v>150</v>
      </c>
      <c r="C215" s="182"/>
      <c r="D215" s="183"/>
      <c r="E215" s="181" t="s">
        <v>150</v>
      </c>
      <c r="F215" s="182"/>
      <c r="G215" s="183"/>
      <c r="H215" s="181" t="s">
        <v>14</v>
      </c>
      <c r="I215" s="182"/>
      <c r="J215" s="184"/>
      <c r="K215" s="185" t="s">
        <v>151</v>
      </c>
      <c r="L215" s="211"/>
      <c r="M215" s="211"/>
      <c r="N215" s="211"/>
      <c r="O215" s="211"/>
      <c r="P215" s="211"/>
      <c r="Q215" s="212"/>
      <c r="R215" s="127"/>
      <c r="S215" s="127"/>
      <c r="T215" s="127"/>
      <c r="U215" s="127"/>
      <c r="W215" s="210" t="s">
        <v>150</v>
      </c>
      <c r="X215" s="182"/>
      <c r="Y215" s="183"/>
      <c r="Z215" s="181" t="s">
        <v>150</v>
      </c>
      <c r="AA215" s="182"/>
      <c r="AB215" s="183"/>
      <c r="AC215" s="181" t="s">
        <v>14</v>
      </c>
      <c r="AD215" s="182"/>
      <c r="AE215" s="184"/>
      <c r="AF215" s="185" t="s">
        <v>151</v>
      </c>
      <c r="AG215" s="186"/>
      <c r="AH215" s="186"/>
      <c r="AI215" s="186"/>
      <c r="AJ215" s="187"/>
      <c r="AW215" s="154"/>
      <c r="AX215" s="70"/>
      <c r="AY215" s="70"/>
      <c r="AZ215" s="70"/>
      <c r="BA215" s="70"/>
    </row>
    <row r="216" spans="1:53" x14ac:dyDescent="0.2">
      <c r="A216" s="56" t="s">
        <v>152</v>
      </c>
      <c r="B216" s="194">
        <v>3</v>
      </c>
      <c r="C216" s="195"/>
      <c r="D216" s="196"/>
      <c r="E216" s="197" t="s">
        <v>153</v>
      </c>
      <c r="F216" s="195"/>
      <c r="G216" s="196"/>
      <c r="H216" s="197" t="s">
        <v>154</v>
      </c>
      <c r="I216" s="195"/>
      <c r="J216" s="198"/>
      <c r="K216" s="213"/>
      <c r="L216" s="214"/>
      <c r="M216" s="214"/>
      <c r="N216" s="214"/>
      <c r="O216" s="214"/>
      <c r="P216" s="214"/>
      <c r="Q216" s="215"/>
      <c r="R216" s="127"/>
      <c r="S216" s="127"/>
      <c r="T216" s="199" t="s">
        <v>152</v>
      </c>
      <c r="U216" s="199"/>
      <c r="V216" s="200"/>
      <c r="W216" s="194">
        <v>3</v>
      </c>
      <c r="X216" s="195"/>
      <c r="Y216" s="196"/>
      <c r="Z216" s="197" t="s">
        <v>153</v>
      </c>
      <c r="AA216" s="195"/>
      <c r="AB216" s="196"/>
      <c r="AC216" s="197" t="s">
        <v>154</v>
      </c>
      <c r="AD216" s="195"/>
      <c r="AE216" s="198"/>
      <c r="AF216" s="188"/>
      <c r="AG216" s="189"/>
      <c r="AH216" s="189"/>
      <c r="AI216" s="189"/>
      <c r="AJ216" s="190"/>
      <c r="AW216" s="154"/>
      <c r="AX216" s="70"/>
      <c r="AY216" s="70"/>
      <c r="AZ216" s="70"/>
      <c r="BA216" s="70"/>
    </row>
    <row r="217" spans="1:53" ht="13.5" thickBot="1" x14ac:dyDescent="0.25">
      <c r="A217" s="8"/>
      <c r="B217" s="179" t="s">
        <v>64</v>
      </c>
      <c r="C217" s="174"/>
      <c r="D217" s="180"/>
      <c r="E217" s="173" t="s">
        <v>155</v>
      </c>
      <c r="F217" s="174"/>
      <c r="G217" s="180"/>
      <c r="H217" s="173" t="s">
        <v>156</v>
      </c>
      <c r="I217" s="174"/>
      <c r="J217" s="175"/>
      <c r="K217" s="216"/>
      <c r="L217" s="217"/>
      <c r="M217" s="217"/>
      <c r="N217" s="217"/>
      <c r="O217" s="217"/>
      <c r="P217" s="217"/>
      <c r="Q217" s="218"/>
      <c r="R217" s="127"/>
      <c r="S217" s="127"/>
      <c r="T217" s="160"/>
      <c r="U217" s="160"/>
      <c r="V217" s="161"/>
      <c r="W217" s="179" t="s">
        <v>64</v>
      </c>
      <c r="X217" s="174"/>
      <c r="Y217" s="180"/>
      <c r="Z217" s="173" t="s">
        <v>155</v>
      </c>
      <c r="AA217" s="174"/>
      <c r="AB217" s="180"/>
      <c r="AC217" s="173" t="s">
        <v>156</v>
      </c>
      <c r="AD217" s="174"/>
      <c r="AE217" s="175"/>
      <c r="AF217" s="191"/>
      <c r="AG217" s="192"/>
      <c r="AH217" s="192"/>
      <c r="AI217" s="192"/>
      <c r="AJ217" s="193"/>
      <c r="AW217" s="154"/>
      <c r="AX217" s="70"/>
      <c r="AY217" s="70"/>
      <c r="AZ217" s="70"/>
      <c r="BA217" s="70"/>
    </row>
    <row r="218" spans="1:53" ht="13.5" thickBot="1" x14ac:dyDescent="0.25">
      <c r="A218" s="8"/>
      <c r="B218" s="128">
        <v>1</v>
      </c>
      <c r="C218" s="129" t="s">
        <v>72</v>
      </c>
      <c r="D218" s="130">
        <v>4</v>
      </c>
      <c r="E218" s="131">
        <v>2</v>
      </c>
      <c r="F218" s="129" t="s">
        <v>72</v>
      </c>
      <c r="G218" s="130">
        <v>3</v>
      </c>
      <c r="H218" s="132">
        <f>IF(OR(AND(OR(B222&gt;0,D222&gt;0),B222&gt;D222),OR(D218="b",D218="B")),B218,IF(OR(AND(OR(B222&gt;0,D222&gt;0),D222&gt;B222),OR(B218="b",B218="B")),D218,"W1"))</f>
        <v>1</v>
      </c>
      <c r="I218" s="133" t="s">
        <v>72</v>
      </c>
      <c r="J218" s="134">
        <f>IF(OR(AND(OR(E222&gt;0,G222&gt;0),E222&gt;G222),OR(G218="b",G218="B")),E218,IF(OR(AND(OR(E222&gt;0,G222&gt;0),G222&gt;E222),OR(E218="b",E218="B")),G218,"W2"))</f>
        <v>3</v>
      </c>
      <c r="K218" s="176" t="s">
        <v>157</v>
      </c>
      <c r="L218" s="177"/>
      <c r="M218" s="177"/>
      <c r="N218" s="178"/>
      <c r="R218" s="127"/>
      <c r="S218" s="127"/>
      <c r="T218" s="160"/>
      <c r="U218" s="160"/>
      <c r="V218" s="161"/>
      <c r="W218" s="128">
        <v>1</v>
      </c>
      <c r="X218" s="129" t="s">
        <v>72</v>
      </c>
      <c r="Y218" s="130">
        <v>4</v>
      </c>
      <c r="Z218" s="131">
        <v>2</v>
      </c>
      <c r="AA218" s="129" t="s">
        <v>72</v>
      </c>
      <c r="AB218" s="130">
        <v>3</v>
      </c>
      <c r="AC218" s="132">
        <f>IF(OR(AND(OR(W222&gt;0,Y222&gt;0),W222&gt;Y222),OR(Y218="b",Y218="B")),W218,IF(OR(AND(OR(W222&gt;0,Y222&gt;0),Y222&gt;W222),OR(W218="b",W218="B")),Y218,"W1"))</f>
        <v>1</v>
      </c>
      <c r="AD218" s="133" t="s">
        <v>72</v>
      </c>
      <c r="AE218" s="134">
        <f>IF(OR(AND(OR(Z222&gt;0,AB222&gt;0),Z222&gt;AB222),OR(AB222="b",AB222="B")),Z218,IF(OR(AND(OR(Z222&gt;0,AB222&gt;0),AB222&gt;Z222),OR(Z222="b",Z222="B")),AB218,"W2"))</f>
        <v>2</v>
      </c>
      <c r="AF218" s="176" t="s">
        <v>157</v>
      </c>
      <c r="AG218" s="178"/>
      <c r="AH218" s="127"/>
      <c r="AI218" s="127"/>
      <c r="AJ218" s="127"/>
      <c r="AW218" s="154"/>
      <c r="AX218" s="70"/>
      <c r="AY218" s="70"/>
      <c r="AZ218" s="70"/>
      <c r="BA218" s="70"/>
    </row>
    <row r="219" spans="1:53" ht="13.5" hidden="1" customHeight="1" x14ac:dyDescent="0.2">
      <c r="A219" s="8"/>
      <c r="B219" s="135">
        <f>IF(B223&gt;D223,1,0)</f>
        <v>1</v>
      </c>
      <c r="C219" s="136"/>
      <c r="D219" s="137">
        <f>IF(D223&gt;B223,1,0)</f>
        <v>0</v>
      </c>
      <c r="E219" s="135">
        <f>IF(E223&gt;G223,1,0)</f>
        <v>0</v>
      </c>
      <c r="F219" s="136"/>
      <c r="G219" s="137">
        <f>IF(G223&gt;E223,1,0)</f>
        <v>1</v>
      </c>
      <c r="H219" s="135">
        <f>IF(H223&gt;J223,1,0)</f>
        <v>0</v>
      </c>
      <c r="I219" s="136"/>
      <c r="J219" s="137">
        <f>IF(J223&gt;H223,1,0)</f>
        <v>1</v>
      </c>
      <c r="K219" s="138"/>
      <c r="L219" s="139"/>
      <c r="M219" s="139"/>
      <c r="N219" s="140"/>
      <c r="R219" s="127"/>
      <c r="S219" s="127"/>
      <c r="T219" s="160"/>
      <c r="U219" s="160"/>
      <c r="V219" s="161"/>
      <c r="W219" s="135">
        <f>IF(W223&gt;Y223,1,0)</f>
        <v>1</v>
      </c>
      <c r="X219" s="136"/>
      <c r="Y219" s="137">
        <f>IF(Y223&gt;W223,1,0)</f>
        <v>0</v>
      </c>
      <c r="Z219" s="135">
        <f>IF(Z223&gt;AB223,1,0)</f>
        <v>1</v>
      </c>
      <c r="AA219" s="136"/>
      <c r="AB219" s="137">
        <f>IF(AB223&gt;Z223,1,0)</f>
        <v>0</v>
      </c>
      <c r="AC219" s="135">
        <f>IF(AC223&gt;AE223,1,0)</f>
        <v>0</v>
      </c>
      <c r="AD219" s="136"/>
      <c r="AE219" s="137">
        <f>IF(AE223&gt;AC223,1,0)</f>
        <v>1</v>
      </c>
      <c r="AF219" s="141"/>
      <c r="AG219" s="142"/>
      <c r="AH219" s="127"/>
      <c r="AI219" s="127"/>
      <c r="AJ219" s="127"/>
      <c r="AW219" s="154"/>
      <c r="AX219" s="70"/>
      <c r="AY219" s="70"/>
      <c r="AZ219" s="70"/>
      <c r="BA219" s="70"/>
    </row>
    <row r="220" spans="1:53" ht="13.5" hidden="1" customHeight="1" x14ac:dyDescent="0.2">
      <c r="A220" s="8"/>
      <c r="B220" s="135">
        <f>IF(B224&gt;D224,1,0)</f>
        <v>0</v>
      </c>
      <c r="C220" s="136"/>
      <c r="D220" s="137">
        <f>IF(D224&gt;B224,1,0)</f>
        <v>0</v>
      </c>
      <c r="E220" s="135">
        <f>IF(E224&gt;G224,1,0)</f>
        <v>0</v>
      </c>
      <c r="F220" s="136"/>
      <c r="G220" s="137">
        <f>IF(G224&gt;E224,1,0)</f>
        <v>0</v>
      </c>
      <c r="H220" s="135">
        <f>IF(H224&gt;J224,1,0)</f>
        <v>1</v>
      </c>
      <c r="I220" s="136"/>
      <c r="J220" s="137">
        <f>IF(J224&gt;H224,1,0)</f>
        <v>0</v>
      </c>
      <c r="K220" s="138"/>
      <c r="L220" s="139"/>
      <c r="M220" s="139"/>
      <c r="N220" s="140"/>
      <c r="R220" s="127"/>
      <c r="S220" s="127"/>
      <c r="T220" s="160"/>
      <c r="U220" s="160"/>
      <c r="V220" s="161"/>
      <c r="W220" s="135">
        <f>IF(W224&gt;Y224,1,0)</f>
        <v>0</v>
      </c>
      <c r="X220" s="136"/>
      <c r="Y220" s="137">
        <f>IF(Y224&gt;W224,1,0)</f>
        <v>0</v>
      </c>
      <c r="Z220" s="135">
        <f>IF(Z224&gt;AB224,1,0)</f>
        <v>0</v>
      </c>
      <c r="AA220" s="136"/>
      <c r="AB220" s="137">
        <f>IF(AB224&gt;Z224,1,0)</f>
        <v>0</v>
      </c>
      <c r="AC220" s="135">
        <f>IF(AC224&gt;AE224,1,0)</f>
        <v>1</v>
      </c>
      <c r="AD220" s="136"/>
      <c r="AE220" s="137">
        <f>IF(AE224&gt;AC224,1,0)</f>
        <v>0</v>
      </c>
      <c r="AF220" s="141"/>
      <c r="AG220" s="142"/>
      <c r="AH220" s="127"/>
      <c r="AI220" s="127"/>
      <c r="AJ220" s="127"/>
      <c r="AW220" s="154"/>
      <c r="AX220" s="70"/>
      <c r="AY220" s="70"/>
      <c r="AZ220" s="70"/>
      <c r="BA220" s="70"/>
    </row>
    <row r="221" spans="1:53" ht="13.5" hidden="1" customHeight="1" thickBot="1" x14ac:dyDescent="0.25">
      <c r="A221" s="8"/>
      <c r="B221" s="135">
        <f>IF(B225&gt;D225,1,0)</f>
        <v>0</v>
      </c>
      <c r="C221" s="136"/>
      <c r="D221" s="137">
        <f>IF(D225&gt;B225,1,0)</f>
        <v>0</v>
      </c>
      <c r="E221" s="135">
        <f>IF(E225&gt;G225,1,0)</f>
        <v>0</v>
      </c>
      <c r="F221" s="136"/>
      <c r="G221" s="137">
        <f>IF(G225&gt;E225,1,0)</f>
        <v>0</v>
      </c>
      <c r="H221" s="135">
        <f>IF(H225&gt;J225,1,0)</f>
        <v>1</v>
      </c>
      <c r="I221" s="136"/>
      <c r="J221" s="137">
        <f>IF(J225&gt;H225,1,0)</f>
        <v>0</v>
      </c>
      <c r="K221" s="138"/>
      <c r="L221" s="139"/>
      <c r="M221" s="139"/>
      <c r="N221" s="140"/>
      <c r="R221" s="127"/>
      <c r="S221" s="127"/>
      <c r="T221" s="160"/>
      <c r="U221" s="160"/>
      <c r="V221" s="161"/>
      <c r="W221" s="135">
        <f>IF(W225&gt;Y225,1,0)</f>
        <v>0</v>
      </c>
      <c r="X221" s="136"/>
      <c r="Y221" s="137">
        <f>IF(Y225&gt;W225,1,0)</f>
        <v>0</v>
      </c>
      <c r="Z221" s="135">
        <f>IF(Z225&gt;AB225,1,0)</f>
        <v>0</v>
      </c>
      <c r="AA221" s="136"/>
      <c r="AB221" s="137">
        <f>IF(AB225&gt;Z225,1,0)</f>
        <v>0</v>
      </c>
      <c r="AC221" s="135">
        <f>IF(AC225&gt;AE225,1,0)</f>
        <v>1</v>
      </c>
      <c r="AD221" s="136"/>
      <c r="AE221" s="137">
        <f>IF(AE225&gt;AC225,1,0)</f>
        <v>0</v>
      </c>
      <c r="AF221" s="141"/>
      <c r="AG221" s="142"/>
      <c r="AH221" s="127"/>
      <c r="AI221" s="127"/>
      <c r="AJ221" s="127"/>
      <c r="AW221" s="154"/>
      <c r="AX221" s="70"/>
      <c r="AY221" s="70"/>
      <c r="AZ221" s="70"/>
      <c r="BA221" s="70"/>
    </row>
    <row r="222" spans="1:53" ht="13.5" hidden="1" customHeight="1" x14ac:dyDescent="0.2">
      <c r="A222" s="8"/>
      <c r="B222" s="135">
        <f>SUM(B219:B221)</f>
        <v>1</v>
      </c>
      <c r="C222" s="136"/>
      <c r="D222" s="135">
        <f>SUM(D219:D221)</f>
        <v>0</v>
      </c>
      <c r="E222" s="135">
        <f>SUM(E219:E221)</f>
        <v>0</v>
      </c>
      <c r="F222" s="136"/>
      <c r="G222" s="135">
        <f>SUM(G219:G221)</f>
        <v>1</v>
      </c>
      <c r="H222" s="135">
        <f>SUM(H219:H221)</f>
        <v>2</v>
      </c>
      <c r="I222" s="136"/>
      <c r="J222" s="135">
        <f>SUM(J219:J221)</f>
        <v>1</v>
      </c>
      <c r="K222" s="138"/>
      <c r="L222" s="139"/>
      <c r="M222" s="139"/>
      <c r="N222" s="140"/>
      <c r="R222" s="127"/>
      <c r="S222" s="127"/>
      <c r="T222" s="160"/>
      <c r="U222" s="160"/>
      <c r="V222" s="161"/>
      <c r="W222" s="135">
        <f>SUM(W219:W221)</f>
        <v>1</v>
      </c>
      <c r="X222" s="136"/>
      <c r="Y222" s="135">
        <f>SUM(Y219:Y221)</f>
        <v>0</v>
      </c>
      <c r="Z222" s="135">
        <f>SUM(Z219:Z221)</f>
        <v>1</v>
      </c>
      <c r="AA222" s="136"/>
      <c r="AB222" s="135">
        <f>SUM(AB219:AB221)</f>
        <v>0</v>
      </c>
      <c r="AC222" s="135">
        <f>SUM(AC219:AC221)</f>
        <v>2</v>
      </c>
      <c r="AD222" s="136"/>
      <c r="AE222" s="135">
        <f>SUM(AE219:AE221)</f>
        <v>1</v>
      </c>
      <c r="AF222" s="141"/>
      <c r="AG222" s="142"/>
      <c r="AH222" s="127"/>
      <c r="AI222" s="127"/>
      <c r="AJ222" s="127"/>
      <c r="AW222" s="154"/>
      <c r="AX222" s="70"/>
      <c r="AY222" s="70"/>
      <c r="AZ222" s="70"/>
      <c r="BA222" s="70"/>
    </row>
    <row r="223" spans="1:53" ht="12.75" customHeight="1" x14ac:dyDescent="0.2">
      <c r="A223" s="6" t="s">
        <v>73</v>
      </c>
      <c r="B223" s="143">
        <v>25</v>
      </c>
      <c r="C223" s="66" t="s">
        <v>74</v>
      </c>
      <c r="D223" s="144">
        <v>12</v>
      </c>
      <c r="E223" s="145">
        <v>19</v>
      </c>
      <c r="F223" s="66" t="s">
        <v>74</v>
      </c>
      <c r="G223" s="144">
        <v>25</v>
      </c>
      <c r="H223" s="145">
        <v>22</v>
      </c>
      <c r="I223" s="66" t="s">
        <v>74</v>
      </c>
      <c r="J223" s="146">
        <v>25</v>
      </c>
      <c r="K223" s="162">
        <f>IF(AND(OR(H222&gt;0,J222&gt;0),AND(1&lt;=H218,H218&lt;=4),AND(1&lt;=J218,J218&lt;=4)),IF(H222&gt;J222,H218,IF(J222&gt;H222,J218,"")),"")</f>
        <v>1</v>
      </c>
      <c r="L223" s="163"/>
      <c r="M223" s="163"/>
      <c r="N223" s="164"/>
      <c r="R223" s="127"/>
      <c r="S223" s="127"/>
      <c r="T223" s="147"/>
      <c r="U223" s="147"/>
      <c r="V223" s="6" t="s">
        <v>73</v>
      </c>
      <c r="W223" s="143">
        <v>25</v>
      </c>
      <c r="X223" s="66" t="s">
        <v>74</v>
      </c>
      <c r="Y223" s="144">
        <v>16</v>
      </c>
      <c r="Z223" s="145">
        <v>28</v>
      </c>
      <c r="AA223" s="66" t="s">
        <v>74</v>
      </c>
      <c r="AB223" s="144">
        <v>26</v>
      </c>
      <c r="AC223" s="145">
        <v>25</v>
      </c>
      <c r="AD223" s="66" t="s">
        <v>74</v>
      </c>
      <c r="AE223" s="146">
        <v>27</v>
      </c>
      <c r="AF223" s="162">
        <f>IF(AND(OR(AC222&gt;0,AE222&gt;0),AND(1&lt;=AC218,AC218&lt;=4),AND(1&lt;=AE218,AE218&lt;=4)),IF(AC222&gt;AE222,AC218,IF(AE222&gt;AC222,AE218,"")),"")</f>
        <v>1</v>
      </c>
      <c r="AG223" s="164"/>
      <c r="AH223" s="127"/>
      <c r="AI223" s="127"/>
      <c r="AJ223" s="127"/>
      <c r="AW223" s="154"/>
      <c r="AX223" s="70"/>
      <c r="AY223" s="70"/>
      <c r="AZ223" s="70"/>
      <c r="BA223" s="70"/>
    </row>
    <row r="224" spans="1:53" ht="12.75" customHeight="1" x14ac:dyDescent="0.2">
      <c r="A224" s="6" t="s">
        <v>158</v>
      </c>
      <c r="B224" s="143"/>
      <c r="C224" s="66" t="s">
        <v>74</v>
      </c>
      <c r="D224" s="144"/>
      <c r="E224" s="145"/>
      <c r="F224" s="66" t="s">
        <v>74</v>
      </c>
      <c r="G224" s="144"/>
      <c r="H224" s="145">
        <v>25</v>
      </c>
      <c r="I224" s="66" t="s">
        <v>74</v>
      </c>
      <c r="J224" s="146">
        <v>19</v>
      </c>
      <c r="K224" s="165"/>
      <c r="L224" s="166"/>
      <c r="M224" s="166"/>
      <c r="N224" s="167"/>
      <c r="R224" s="127"/>
      <c r="S224" s="127"/>
      <c r="T224" s="147"/>
      <c r="U224" s="147"/>
      <c r="V224" s="6" t="s">
        <v>158</v>
      </c>
      <c r="W224" s="143"/>
      <c r="X224" s="66" t="s">
        <v>74</v>
      </c>
      <c r="Y224" s="144"/>
      <c r="Z224" s="145"/>
      <c r="AA224" s="66" t="s">
        <v>74</v>
      </c>
      <c r="AB224" s="144"/>
      <c r="AC224" s="145">
        <v>25</v>
      </c>
      <c r="AD224" s="66" t="s">
        <v>74</v>
      </c>
      <c r="AE224" s="146">
        <v>23</v>
      </c>
      <c r="AF224" s="165"/>
      <c r="AG224" s="167"/>
      <c r="AH224" s="127"/>
      <c r="AI224" s="127"/>
      <c r="AJ224" s="127"/>
      <c r="AW224" s="154"/>
      <c r="AX224" s="70"/>
      <c r="AY224" s="70"/>
      <c r="AZ224" s="70"/>
      <c r="BA224" s="70"/>
    </row>
    <row r="225" spans="1:77" ht="13.5" customHeight="1" thickBot="1" x14ac:dyDescent="0.25">
      <c r="A225" s="6" t="s">
        <v>159</v>
      </c>
      <c r="B225" s="148"/>
      <c r="C225" s="149" t="s">
        <v>74</v>
      </c>
      <c r="D225" s="150"/>
      <c r="E225" s="151"/>
      <c r="F225" s="149" t="s">
        <v>74</v>
      </c>
      <c r="G225" s="150"/>
      <c r="H225" s="151">
        <v>15</v>
      </c>
      <c r="I225" s="149" t="s">
        <v>74</v>
      </c>
      <c r="J225" s="152">
        <v>11</v>
      </c>
      <c r="K225" s="168"/>
      <c r="L225" s="169"/>
      <c r="M225" s="169"/>
      <c r="N225" s="170"/>
      <c r="R225" s="127"/>
      <c r="S225" s="127"/>
      <c r="T225" s="147"/>
      <c r="U225" s="147"/>
      <c r="V225" s="6" t="s">
        <v>159</v>
      </c>
      <c r="W225" s="148"/>
      <c r="X225" s="149" t="s">
        <v>74</v>
      </c>
      <c r="Y225" s="150"/>
      <c r="Z225" s="151"/>
      <c r="AA225" s="149" t="s">
        <v>74</v>
      </c>
      <c r="AB225" s="150"/>
      <c r="AC225" s="151">
        <v>17</v>
      </c>
      <c r="AD225" s="149" t="s">
        <v>74</v>
      </c>
      <c r="AE225" s="152">
        <v>15</v>
      </c>
      <c r="AF225" s="168"/>
      <c r="AG225" s="170"/>
      <c r="AH225" s="127"/>
      <c r="AI225" s="127"/>
      <c r="AJ225" s="127"/>
      <c r="AW225" s="154"/>
      <c r="AX225" s="70"/>
      <c r="AY225" s="70"/>
      <c r="AZ225" s="70"/>
      <c r="BA225" s="70"/>
    </row>
    <row r="226" spans="1:77" hidden="1" x14ac:dyDescent="0.2">
      <c r="B226" s="3"/>
      <c r="C226" s="153" t="s">
        <v>108</v>
      </c>
      <c r="D226" s="3" t="s">
        <v>160</v>
      </c>
      <c r="E226" s="3"/>
      <c r="F226" s="153"/>
      <c r="G226" s="4" t="s">
        <v>161</v>
      </c>
      <c r="J226" s="4" t="s">
        <v>162</v>
      </c>
      <c r="W226" s="3"/>
      <c r="X226" s="153" t="s">
        <v>108</v>
      </c>
      <c r="Y226" s="3" t="s">
        <v>160</v>
      </c>
      <c r="Z226" s="3"/>
      <c r="AA226" s="153"/>
      <c r="AB226" s="4" t="s">
        <v>161</v>
      </c>
      <c r="AE226" s="4" t="s">
        <v>162</v>
      </c>
      <c r="AT226" s="4" t="str">
        <f>B227</f>
        <v>Vision 16-Erika &amp; Marissa</v>
      </c>
      <c r="AU226" s="4">
        <f>J227</f>
        <v>2616.9676096987464</v>
      </c>
      <c r="AW226" s="154"/>
      <c r="AX226" s="70"/>
      <c r="AY226" s="70"/>
      <c r="AZ226" s="70"/>
      <c r="BA226" s="70"/>
      <c r="BB226" s="154"/>
      <c r="BC226" s="70"/>
      <c r="BD226" s="70"/>
      <c r="BE226" s="154"/>
      <c r="BF226" s="70"/>
      <c r="BG226" s="70"/>
      <c r="BH226" s="154"/>
      <c r="BI226" s="70"/>
      <c r="BJ226" s="70"/>
      <c r="BK226" s="154"/>
      <c r="BL226" s="70"/>
      <c r="BM226" s="70"/>
      <c r="BN226" s="154"/>
      <c r="BO226" s="70"/>
      <c r="BP226" s="70"/>
      <c r="BQ226" s="154"/>
      <c r="BR226" s="70"/>
      <c r="BS226" s="70"/>
      <c r="BT226" s="154"/>
      <c r="BU226" s="70"/>
      <c r="BV226" s="70"/>
      <c r="BW226" s="154"/>
      <c r="BX226" s="70"/>
      <c r="BY226" s="70"/>
    </row>
    <row r="227" spans="1:77" hidden="1" x14ac:dyDescent="0.2">
      <c r="A227" s="4">
        <v>1</v>
      </c>
      <c r="B227" s="4" t="str">
        <f>B210</f>
        <v>Vision 16-Erika &amp; Marissa</v>
      </c>
      <c r="C227" s="4">
        <f>VLOOKUP(B227,AU$2:AY$22,4,FALSE)</f>
        <v>2610.403755270524</v>
      </c>
      <c r="D227" s="4">
        <f>IF(A227=B218,B233,IF(A227=D218,D233,C227))</f>
        <v>2616.0113232266376</v>
      </c>
      <c r="G227" s="4">
        <f>IF(A227=E218,E233,IF(A227=G218,G233,D227))</f>
        <v>2616.0113232266376</v>
      </c>
      <c r="J227" s="4">
        <f>IF(A227=H218,H233,IF(A227=J218,J233,G227))</f>
        <v>2616.9676096987464</v>
      </c>
      <c r="U227" s="155"/>
      <c r="V227" s="155">
        <v>1</v>
      </c>
      <c r="W227" s="4" t="str">
        <f>X210</f>
        <v>Low Country 16 Power</v>
      </c>
      <c r="X227" s="4">
        <f>VLOOKUP(W227,AU$2:AY$22,4,FALSE)</f>
        <v>2422.5577357365946</v>
      </c>
      <c r="Y227" s="4">
        <f>IF(V227=W218,W233,IF(V227=Y218,Y233,X227))</f>
        <v>2428.9619119994313</v>
      </c>
      <c r="AB227" s="4">
        <f>IF(V227=Z218,Z233,IF(V227=AB218,AB233,Y227))</f>
        <v>2428.9619119994313</v>
      </c>
      <c r="AE227" s="4">
        <f>IF(V227=AC218,AC233,IF(V227=AE218,AE233,AB227))</f>
        <v>2439.393995156976</v>
      </c>
      <c r="AT227" s="4" t="str">
        <f>B228</f>
        <v>High Velocity 16's</v>
      </c>
      <c r="AU227" s="4">
        <f>J228</f>
        <v>2509.1248068497748</v>
      </c>
      <c r="AW227" s="154"/>
      <c r="AX227" s="70"/>
      <c r="AY227" s="70"/>
      <c r="AZ227" s="70"/>
      <c r="BA227" s="70"/>
      <c r="BB227" s="154"/>
      <c r="BC227" s="70"/>
      <c r="BD227" s="70"/>
      <c r="BE227" s="154"/>
      <c r="BF227" s="70"/>
      <c r="BG227" s="70"/>
      <c r="BH227" s="154"/>
      <c r="BI227" s="70"/>
      <c r="BJ227" s="70"/>
      <c r="BK227" s="154"/>
      <c r="BL227" s="70"/>
      <c r="BM227" s="70"/>
      <c r="BN227" s="154"/>
      <c r="BO227" s="70"/>
      <c r="BP227" s="70"/>
      <c r="BQ227" s="154"/>
      <c r="BR227" s="70"/>
      <c r="BS227" s="70"/>
      <c r="BT227" s="154"/>
      <c r="BU227" s="70"/>
      <c r="BV227" s="70"/>
      <c r="BW227" s="154"/>
      <c r="BX227" s="70"/>
      <c r="BY227" s="70"/>
    </row>
    <row r="228" spans="1:77" hidden="1" x14ac:dyDescent="0.2">
      <c r="A228" s="4">
        <v>2</v>
      </c>
      <c r="B228" s="4" t="str">
        <f>B211</f>
        <v>High Velocity 16's</v>
      </c>
      <c r="C228" s="4">
        <f>VLOOKUP(B228,AU$2:AY$22,4,FALSE)</f>
        <v>2517.4666315372106</v>
      </c>
      <c r="D228" s="4">
        <f>IF(A228=B218,B233,IF(A228=D218,D233,C228))</f>
        <v>2517.4666315372106</v>
      </c>
      <c r="G228" s="4">
        <f>IF(A228=E218,E233,IF(A228=G218,G233,D228))</f>
        <v>2509.1248068497748</v>
      </c>
      <c r="J228" s="4">
        <f>IF(A228=H218,H233,IF(A228=J218,J233,G228))</f>
        <v>2509.1248068497748</v>
      </c>
      <c r="U228" s="155"/>
      <c r="V228" s="155">
        <v>2</v>
      </c>
      <c r="W228" s="4" t="str">
        <f>X211</f>
        <v>Intense 16 Perf Columbia</v>
      </c>
      <c r="X228" s="4">
        <f>VLOOKUP(W228,AU$2:AY$22,4,FALSE)</f>
        <v>2458.9621720165987</v>
      </c>
      <c r="Y228" s="4">
        <f>IF(V228=W218,W233,IF(V228=Y218,Y233,X228))</f>
        <v>2458.9621720165987</v>
      </c>
      <c r="AB228" s="4">
        <f>IF(V228=Z218,Z233,IF(V228=AB218,AB233,Y228))</f>
        <v>2464.2911886323445</v>
      </c>
      <c r="AE228" s="4">
        <f>IF(V228=AC218,AC233,IF(V228=AE218,AE233,AB228))</f>
        <v>2453.8591054747999</v>
      </c>
      <c r="AT228" s="4" t="str">
        <f>B229</f>
        <v>SC Midlands 16 Perf</v>
      </c>
      <c r="AU228" s="4">
        <f>J229</f>
        <v>2509.9978680140835</v>
      </c>
      <c r="AW228" s="154"/>
      <c r="AX228" s="70"/>
      <c r="AY228" s="70"/>
      <c r="AZ228" s="70"/>
      <c r="BA228" s="70"/>
      <c r="BB228" s="154"/>
      <c r="BC228" s="70"/>
      <c r="BD228" s="70"/>
      <c r="BE228" s="154"/>
      <c r="BF228" s="70"/>
      <c r="BG228" s="70"/>
      <c r="BH228" s="154"/>
      <c r="BI228" s="70"/>
      <c r="BJ228" s="70"/>
      <c r="BK228" s="154"/>
      <c r="BL228" s="70"/>
      <c r="BM228" s="70"/>
      <c r="BN228" s="154"/>
      <c r="BO228" s="70"/>
      <c r="BP228" s="70"/>
      <c r="BQ228" s="154"/>
      <c r="BR228" s="70"/>
      <c r="BS228" s="70"/>
      <c r="BT228" s="154"/>
      <c r="BU228" s="70"/>
      <c r="BV228" s="70"/>
      <c r="BW228" s="154"/>
      <c r="BX228" s="70"/>
      <c r="BY228" s="70"/>
    </row>
    <row r="229" spans="1:77" hidden="1" x14ac:dyDescent="0.2">
      <c r="A229" s="4">
        <v>3</v>
      </c>
      <c r="B229" s="4" t="str">
        <f>B212</f>
        <v>SC Midlands 16 Perf</v>
      </c>
      <c r="C229" s="4">
        <f>VLOOKUP(B229,AU$2:AY$22,4,FALSE)</f>
        <v>2502.6123297987565</v>
      </c>
      <c r="D229" s="4">
        <f>IF(A229=B218,B233,IF(A229=D218,D233,C229))</f>
        <v>2502.6123297987565</v>
      </c>
      <c r="G229" s="4">
        <f>IF(A229=E218,E233,IF(A229=G218,G233,D229))</f>
        <v>2510.9541544861922</v>
      </c>
      <c r="J229" s="4">
        <f>IF(A229=H218,H233,IF(A229=J218,J233,G229))</f>
        <v>2509.9978680140835</v>
      </c>
      <c r="U229" s="155"/>
      <c r="V229" s="155">
        <v>3</v>
      </c>
      <c r="W229" s="4" t="str">
        <f>X212</f>
        <v>CSRA Heat 16 Gold</v>
      </c>
      <c r="X229" s="4">
        <f>VLOOKUP(W229,AU$2:AY$22,4,FALSE)</f>
        <v>2338.3392242946156</v>
      </c>
      <c r="Y229" s="4">
        <f>IF(V229=W218,W233,IF(V229=Y218,Y233,X229))</f>
        <v>2338.3392242946156</v>
      </c>
      <c r="AB229" s="4">
        <f>IF(V229=Z218,Z233,IF(V229=AB218,AB233,Y229))</f>
        <v>2333.0102076788698</v>
      </c>
      <c r="AE229" s="4">
        <f>IF(V229=AC218,AC233,IF(V229=AE218,AE233,AB229))</f>
        <v>2333.0102076788698</v>
      </c>
      <c r="AT229" s="4" t="str">
        <f>B230</f>
        <v>MOTO 16 IGNITE</v>
      </c>
      <c r="AU229" s="4">
        <f>J230</f>
        <v>2497.6191281186948</v>
      </c>
      <c r="AW229" s="154"/>
      <c r="AX229" s="70"/>
      <c r="AY229" s="70"/>
      <c r="AZ229" s="70"/>
      <c r="BA229" s="70"/>
      <c r="BB229" s="154"/>
      <c r="BC229" s="70"/>
      <c r="BD229" s="70"/>
      <c r="BE229" s="154"/>
      <c r="BF229" s="70"/>
      <c r="BG229" s="70"/>
      <c r="BH229" s="154"/>
      <c r="BI229" s="70"/>
      <c r="BJ229" s="70"/>
      <c r="BK229" s="154"/>
      <c r="BL229" s="70"/>
      <c r="BM229" s="70"/>
      <c r="BN229" s="154"/>
      <c r="BO229" s="70"/>
      <c r="BP229" s="70"/>
      <c r="BQ229" s="154"/>
      <c r="BR229" s="70"/>
      <c r="BS229" s="70"/>
      <c r="BT229" s="154"/>
      <c r="BU229" s="70"/>
      <c r="BV229" s="70"/>
      <c r="BW229" s="154"/>
      <c r="BX229" s="70"/>
      <c r="BY229" s="70"/>
    </row>
    <row r="230" spans="1:77" hidden="1" x14ac:dyDescent="0.2">
      <c r="A230" s="4">
        <v>4</v>
      </c>
      <c r="B230" s="4" t="str">
        <f>B213</f>
        <v>MOTO 16 IGNITE</v>
      </c>
      <c r="C230" s="4">
        <f>VLOOKUP(B230,AU$2:AY$22,4,FALSE)</f>
        <v>2503.2266960748084</v>
      </c>
      <c r="D230" s="4">
        <f>IF(A230=B218,B233,IF(A230=D218,D233,C230))</f>
        <v>2497.6191281186948</v>
      </c>
      <c r="G230" s="4">
        <f>IF(A230=E218,E233,IF(A230=G218,G233,D230))</f>
        <v>2497.6191281186948</v>
      </c>
      <c r="J230" s="4">
        <f>IF(A230=H218,H233,IF(A230=J218,J233,G230))</f>
        <v>2497.6191281186948</v>
      </c>
      <c r="U230" s="155"/>
      <c r="V230" s="155">
        <v>4</v>
      </c>
      <c r="W230" s="4" t="str">
        <f>X213</f>
        <v>Hurricane VBC 16 Tsunami</v>
      </c>
      <c r="X230" s="4">
        <f>VLOOKUP(W230,AU$2:AY$22,4,FALSE)</f>
        <v>2352.3101415778524</v>
      </c>
      <c r="Y230" s="4">
        <f>IF(V230=W218,W233,IF(V230=Y218,Y233,X230))</f>
        <v>2345.9059653150157</v>
      </c>
      <c r="AB230" s="4">
        <f>IF(V230=Z218,Z233,IF(V230=AB218,AB233,Y230))</f>
        <v>2345.9059653150157</v>
      </c>
      <c r="AE230" s="4">
        <f>IF(V230=AC218,AC233,IF(V230=AE218,AE233,AB230))</f>
        <v>2345.9059653150157</v>
      </c>
      <c r="AT230" s="4" t="str">
        <f>W227</f>
        <v>Low Country 16 Power</v>
      </c>
      <c r="AU230" s="4">
        <f>AE227</f>
        <v>2439.393995156976</v>
      </c>
      <c r="AW230" s="154"/>
      <c r="AX230" s="70"/>
      <c r="AY230" s="70"/>
      <c r="AZ230" s="70"/>
      <c r="BA230" s="70"/>
      <c r="BB230" s="154"/>
      <c r="BC230" s="70"/>
      <c r="BD230" s="70"/>
      <c r="BE230" s="154"/>
      <c r="BF230" s="70"/>
      <c r="BG230" s="70"/>
      <c r="BH230" s="154"/>
      <c r="BI230" s="70"/>
      <c r="BJ230" s="70"/>
      <c r="BK230" s="154"/>
      <c r="BL230" s="70"/>
      <c r="BM230" s="70"/>
      <c r="BN230" s="154"/>
      <c r="BO230" s="70"/>
      <c r="BP230" s="70"/>
      <c r="BQ230" s="154"/>
      <c r="BR230" s="70"/>
      <c r="BS230" s="70"/>
      <c r="BT230" s="154"/>
      <c r="BU230" s="70"/>
      <c r="BV230" s="70"/>
      <c r="BW230" s="154"/>
      <c r="BX230" s="70"/>
      <c r="BY230" s="70"/>
    </row>
    <row r="231" spans="1:77" hidden="1" x14ac:dyDescent="0.2">
      <c r="A231" s="4" t="s">
        <v>110</v>
      </c>
      <c r="B231" s="4">
        <f>VLOOKUP(B218,$A227:$J230,3,FALSE)</f>
        <v>2610.403755270524</v>
      </c>
      <c r="D231" s="4">
        <f>VLOOKUP(D218,$A227:$J230,3,FALSE)</f>
        <v>2503.2266960748084</v>
      </c>
      <c r="E231" s="4">
        <f>VLOOKUP(E218,$A227:$J230,4,FALSE)</f>
        <v>2517.4666315372106</v>
      </c>
      <c r="G231" s="4">
        <f>VLOOKUP(G218,$A227:$J230,4,FALSE)</f>
        <v>2502.6123297987565</v>
      </c>
      <c r="H231" s="4">
        <f>VLOOKUP(H218,$A227:$J230,7,FALSE)</f>
        <v>2616.0113232266376</v>
      </c>
      <c r="J231" s="4">
        <f>VLOOKUP(J218,$A227:$J230,7,FALSE)</f>
        <v>2510.9541544861922</v>
      </c>
      <c r="T231" s="171" t="s">
        <v>110</v>
      </c>
      <c r="U231" s="171"/>
      <c r="V231" s="171"/>
      <c r="W231" s="4">
        <f>VLOOKUP(W218,$V227:$AE230,3,FALSE)</f>
        <v>2422.5577357365946</v>
      </c>
      <c r="Y231" s="4">
        <f>VLOOKUP(Y218,$V227:$AE230,3,FALSE)</f>
        <v>2352.3101415778524</v>
      </c>
      <c r="Z231" s="4">
        <f>VLOOKUP(Z218,$V227:$AE230,4,FALSE)</f>
        <v>2458.9621720165987</v>
      </c>
      <c r="AB231" s="4">
        <f>VLOOKUP(AB218,$V227:$AE230,4,FALSE)</f>
        <v>2338.3392242946156</v>
      </c>
      <c r="AC231" s="4">
        <f>VLOOKUP(AC218,$V227:$AE230,7,FALSE)</f>
        <v>2428.9619119994313</v>
      </c>
      <c r="AE231" s="4">
        <f>VLOOKUP(AE218,$V227:$AE230,7,FALSE)</f>
        <v>2464.2911886323445</v>
      </c>
      <c r="AT231" s="4" t="str">
        <f>W228</f>
        <v>Intense 16 Perf Columbia</v>
      </c>
      <c r="AU231" s="4">
        <f>AE228</f>
        <v>2453.8591054747999</v>
      </c>
      <c r="AW231" s="154"/>
      <c r="AX231" s="70"/>
      <c r="AY231" s="70"/>
      <c r="AZ231" s="70"/>
      <c r="BA231" s="70"/>
      <c r="BB231" s="154"/>
      <c r="BC231" s="70"/>
      <c r="BD231" s="70"/>
      <c r="BE231" s="154"/>
      <c r="BF231" s="70"/>
      <c r="BG231" s="70"/>
      <c r="BH231" s="154"/>
      <c r="BI231" s="70"/>
      <c r="BJ231" s="70"/>
      <c r="BK231" s="154"/>
      <c r="BL231" s="70"/>
      <c r="BM231" s="70"/>
      <c r="BN231" s="154"/>
      <c r="BO231" s="70"/>
      <c r="BP231" s="70"/>
      <c r="BQ231" s="154"/>
      <c r="BR231" s="70"/>
      <c r="BS231" s="70"/>
      <c r="BT231" s="154"/>
      <c r="BU231" s="70"/>
      <c r="BV231" s="70"/>
      <c r="BW231" s="154"/>
      <c r="BX231" s="70"/>
      <c r="BY231" s="70"/>
    </row>
    <row r="232" spans="1:77" hidden="1" x14ac:dyDescent="0.2">
      <c r="A232" s="84" t="s">
        <v>111</v>
      </c>
      <c r="B232" s="84">
        <f>1/(1+(10^-((B231-D231)/400)))*(B222+D222)</f>
        <v>0.64952700274291286</v>
      </c>
      <c r="C232" s="84"/>
      <c r="D232" s="84">
        <f>1/(1+(10^-((D231-B231)/400)))*(B222+D222)</f>
        <v>0.35047299725708719</v>
      </c>
      <c r="E232" s="84">
        <f>1/(1+(10^-((E231-G231)/400)))*(E222+G222)</f>
        <v>0.52136404296474159</v>
      </c>
      <c r="G232" s="84">
        <f>1/(1+(10^-((G231-E231)/400)))*(E222+G222)</f>
        <v>0.47863595703525841</v>
      </c>
      <c r="H232" s="84">
        <f>1/(1+(10^-((H231-J231)/400)))*(H222+J222)</f>
        <v>1.9402320954932049</v>
      </c>
      <c r="J232" s="84">
        <f>1/(1+(10^-((J231-H231)/400)))*(H222+J222)</f>
        <v>1.0597679045067949</v>
      </c>
      <c r="T232" s="172" t="s">
        <v>111</v>
      </c>
      <c r="U232" s="172"/>
      <c r="V232" s="172"/>
      <c r="W232" s="84">
        <f>1/(1+(10^-((W231-Y231)/400)))*(W222+Y222)</f>
        <v>0.59973898357269295</v>
      </c>
      <c r="X232" s="84"/>
      <c r="Y232" s="84">
        <f>1/(1+(10^-((Y231-W231)/400)))*(W222+Y222)</f>
        <v>0.40026101642730699</v>
      </c>
      <c r="Z232" s="84">
        <f>1/(1+(10^-((Z231-AB231)/400)))*(Z222+AB222)</f>
        <v>0.66693646151587971</v>
      </c>
      <c r="AB232" s="84">
        <f>1/(1+(10^-((AB231-Z231)/400)))*(Z222+AB222)</f>
        <v>0.33306353848412024</v>
      </c>
      <c r="AC232" s="84">
        <f>1/(1+(10^-((AC231-AE231)/400)))*(AC222+AE222)</f>
        <v>1.3479948026534627</v>
      </c>
      <c r="AE232" s="84">
        <f>1/(1+(10^-((AE231-AC231)/400)))*(AC222+AE222)</f>
        <v>1.6520051973465373</v>
      </c>
      <c r="AT232" s="4" t="str">
        <f>W229</f>
        <v>CSRA Heat 16 Gold</v>
      </c>
      <c r="AU232" s="4">
        <f>AE229</f>
        <v>2333.0102076788698</v>
      </c>
      <c r="AW232" s="154"/>
      <c r="AX232" s="70"/>
      <c r="AY232" s="70"/>
      <c r="AZ232" s="70"/>
      <c r="BA232" s="70"/>
      <c r="BB232" s="154"/>
      <c r="BC232" s="70"/>
      <c r="BD232" s="70"/>
      <c r="BE232" s="154"/>
      <c r="BF232" s="70"/>
      <c r="BG232" s="70"/>
      <c r="BH232" s="154"/>
      <c r="BI232" s="70"/>
      <c r="BJ232" s="70"/>
      <c r="BK232" s="154"/>
      <c r="BL232" s="70"/>
      <c r="BM232" s="70"/>
      <c r="BN232" s="154"/>
      <c r="BO232" s="70"/>
      <c r="BP232" s="70"/>
      <c r="BQ232" s="154"/>
      <c r="BR232" s="70"/>
      <c r="BS232" s="70"/>
      <c r="BT232" s="154"/>
      <c r="BU232" s="70"/>
      <c r="BV232" s="70"/>
      <c r="BW232" s="154"/>
      <c r="BX232" s="70"/>
      <c r="BY232" s="70"/>
    </row>
    <row r="233" spans="1:77" hidden="1" x14ac:dyDescent="0.2">
      <c r="A233" s="90" t="s">
        <v>112</v>
      </c>
      <c r="B233" s="90">
        <f>B231+(B222-B232)*$BA$2</f>
        <v>2616.0113232266376</v>
      </c>
      <c r="C233" s="90"/>
      <c r="D233" s="90">
        <f>D231+(D222-D232)*$BA$2</f>
        <v>2497.6191281186948</v>
      </c>
      <c r="E233" s="90">
        <f>E231+(E222-E232)*$BA$2</f>
        <v>2509.1248068497748</v>
      </c>
      <c r="G233" s="90">
        <f>G231+(G222-G232)*$BA$2</f>
        <v>2510.9541544861922</v>
      </c>
      <c r="H233" s="90">
        <f>H231+(H222-H232)*$BA$2</f>
        <v>2616.9676096987464</v>
      </c>
      <c r="J233" s="90">
        <f>J231+(J222-J232)*$BA$2</f>
        <v>2509.9978680140835</v>
      </c>
      <c r="T233" s="158" t="s">
        <v>112</v>
      </c>
      <c r="U233" s="158"/>
      <c r="V233" s="158"/>
      <c r="W233" s="90">
        <f>W231+(W222-W232)*$BA$2</f>
        <v>2428.9619119994313</v>
      </c>
      <c r="X233" s="90"/>
      <c r="Y233" s="90">
        <f>Y231+(Y222-Y232)*$BA$2</f>
        <v>2345.9059653150157</v>
      </c>
      <c r="Z233" s="90">
        <f>Z231+(Z222-Z232)*$BA$2</f>
        <v>2464.2911886323445</v>
      </c>
      <c r="AB233" s="90">
        <f>AB231+(AB222-AB232)*$BA$2</f>
        <v>2333.0102076788698</v>
      </c>
      <c r="AC233" s="90">
        <f>AC231+(AC222-AC232)*$BA$2</f>
        <v>2439.393995156976</v>
      </c>
      <c r="AE233" s="90">
        <f>AE231+(AE222-AE232)*$BA$2</f>
        <v>2453.8591054747999</v>
      </c>
      <c r="AT233" s="4" t="str">
        <f>W230</f>
        <v>Hurricane VBC 16 Tsunami</v>
      </c>
      <c r="AU233" s="4">
        <f>AE230</f>
        <v>2345.9059653150157</v>
      </c>
      <c r="AW233" s="154"/>
      <c r="AX233" s="70"/>
      <c r="AY233" s="70"/>
      <c r="AZ233" s="70"/>
      <c r="BA233" s="70"/>
      <c r="BB233" s="154"/>
      <c r="BC233" s="70"/>
      <c r="BD233" s="70"/>
      <c r="BE233" s="154"/>
      <c r="BF233" s="70"/>
      <c r="BG233" s="70"/>
      <c r="BH233" s="154"/>
      <c r="BI233" s="70"/>
      <c r="BJ233" s="70"/>
      <c r="BK233" s="154"/>
      <c r="BL233" s="70"/>
      <c r="BM233" s="70"/>
      <c r="BN233" s="154"/>
      <c r="BO233" s="70"/>
      <c r="BP233" s="70"/>
      <c r="BQ233" s="154"/>
      <c r="BR233" s="70"/>
      <c r="BS233" s="70"/>
      <c r="BT233" s="154"/>
      <c r="BU233" s="70"/>
      <c r="BV233" s="70"/>
      <c r="BW233" s="154"/>
      <c r="BX233" s="70"/>
      <c r="BY233" s="70"/>
    </row>
    <row r="234" spans="1:77" x14ac:dyDescent="0.2">
      <c r="A234" s="159" t="s">
        <v>163</v>
      </c>
      <c r="B234" s="159"/>
      <c r="C234" s="159"/>
      <c r="D234" s="159"/>
      <c r="E234" s="159"/>
      <c r="F234" s="159"/>
      <c r="G234" s="159"/>
      <c r="H234" s="159"/>
      <c r="I234" s="159"/>
      <c r="J234" s="159"/>
      <c r="K234" s="159"/>
      <c r="L234" s="159"/>
      <c r="M234" s="159"/>
      <c r="R234" s="127"/>
      <c r="S234" s="127"/>
      <c r="T234" s="147"/>
      <c r="U234" s="147"/>
      <c r="V234" s="159" t="s">
        <v>163</v>
      </c>
      <c r="W234" s="159"/>
      <c r="X234" s="159"/>
      <c r="Y234" s="159"/>
      <c r="Z234" s="159"/>
      <c r="AA234" s="159"/>
      <c r="AB234" s="159"/>
      <c r="AC234" s="159"/>
      <c r="AD234" s="159"/>
      <c r="AE234" s="159"/>
      <c r="AF234" s="159"/>
      <c r="AG234" s="159"/>
      <c r="AH234" s="127"/>
      <c r="AI234" s="127"/>
      <c r="AJ234" s="127"/>
      <c r="AW234" s="154"/>
      <c r="AX234" s="70"/>
      <c r="AY234" s="70"/>
      <c r="AZ234" s="70"/>
      <c r="BA234" s="70"/>
    </row>
    <row r="235" spans="1:77" x14ac:dyDescent="0.2">
      <c r="AT235" s="70"/>
      <c r="AU235" s="70"/>
      <c r="AV235" s="70"/>
      <c r="AW235" s="154"/>
      <c r="AX235" s="70"/>
      <c r="AY235" s="70"/>
      <c r="AZ235" s="70"/>
      <c r="BA235" s="70"/>
    </row>
    <row r="236" spans="1:77" x14ac:dyDescent="0.2">
      <c r="AT236" s="70"/>
      <c r="AU236" s="70"/>
      <c r="AV236" s="70"/>
      <c r="AW236" s="154"/>
      <c r="AX236" s="70"/>
      <c r="AY236" s="70"/>
      <c r="AZ236" s="70"/>
      <c r="BA236" s="70"/>
    </row>
    <row r="237" spans="1:77" x14ac:dyDescent="0.2">
      <c r="AT237" s="70"/>
      <c r="AU237" s="70"/>
      <c r="AV237" s="70"/>
      <c r="AW237" s="154"/>
      <c r="AX237" s="70"/>
      <c r="AY237" s="70"/>
      <c r="AZ237" s="70"/>
      <c r="BA237" s="70"/>
    </row>
    <row r="238" spans="1:77" x14ac:dyDescent="0.2">
      <c r="AT238" s="70"/>
      <c r="AU238" s="70"/>
      <c r="AV238" s="70"/>
      <c r="AW238" s="154"/>
      <c r="AX238" s="70"/>
      <c r="AY238" s="70"/>
      <c r="AZ238" s="70"/>
      <c r="BA238" s="70"/>
    </row>
    <row r="239" spans="1:77" x14ac:dyDescent="0.2">
      <c r="AT239" s="70"/>
      <c r="AU239" s="70"/>
      <c r="AV239" s="70"/>
      <c r="AW239" s="154"/>
      <c r="AX239" s="70"/>
      <c r="AY239" s="70"/>
      <c r="AZ239" s="70"/>
      <c r="BA239" s="70"/>
    </row>
    <row r="240" spans="1:77" x14ac:dyDescent="0.2">
      <c r="AT240" s="70"/>
      <c r="AU240" s="70"/>
      <c r="AV240" s="70"/>
      <c r="AW240" s="154"/>
      <c r="AX240" s="70"/>
      <c r="AY240" s="70"/>
      <c r="AZ240" s="70"/>
      <c r="BA240" s="70"/>
    </row>
    <row r="241" spans="46:53" x14ac:dyDescent="0.2">
      <c r="AT241" s="70"/>
      <c r="AU241" s="70"/>
      <c r="AV241" s="70"/>
      <c r="AW241" s="154"/>
      <c r="AX241" s="70"/>
      <c r="AY241" s="70"/>
      <c r="AZ241" s="70"/>
      <c r="BA241" s="70"/>
    </row>
    <row r="242" spans="46:53" x14ac:dyDescent="0.2">
      <c r="AT242" s="70"/>
      <c r="AU242" s="70"/>
      <c r="AV242" s="70"/>
      <c r="AW242" s="154"/>
      <c r="AX242" s="70"/>
      <c r="AY242" s="70"/>
      <c r="AZ242" s="70"/>
      <c r="BA242" s="70"/>
    </row>
    <row r="243" spans="46:53" x14ac:dyDescent="0.2">
      <c r="AT243" s="70"/>
      <c r="AU243" s="70"/>
      <c r="AV243" s="70"/>
      <c r="AW243" s="154"/>
      <c r="AX243" s="70"/>
      <c r="AY243" s="70"/>
      <c r="AZ243" s="70"/>
      <c r="BA243" s="70"/>
    </row>
    <row r="244" spans="46:53" x14ac:dyDescent="0.2">
      <c r="AT244" s="70"/>
      <c r="AU244" s="70"/>
      <c r="AV244" s="70"/>
      <c r="AW244" s="154"/>
      <c r="AX244" s="70"/>
      <c r="AY244" s="70"/>
      <c r="AZ244" s="70"/>
      <c r="BA244" s="70"/>
    </row>
    <row r="245" spans="46:53" x14ac:dyDescent="0.2">
      <c r="AT245" s="70"/>
      <c r="AU245" s="70"/>
      <c r="AV245" s="70"/>
      <c r="AW245" s="154"/>
      <c r="AX245" s="70"/>
      <c r="AY245" s="70"/>
      <c r="AZ245" s="70"/>
      <c r="BA245" s="70"/>
    </row>
    <row r="246" spans="46:53" x14ac:dyDescent="0.2">
      <c r="AT246" s="70"/>
      <c r="AU246" s="70"/>
      <c r="AV246" s="70"/>
      <c r="AW246" s="154"/>
      <c r="AX246" s="70"/>
      <c r="AY246" s="70"/>
      <c r="AZ246" s="70"/>
      <c r="BA246" s="70"/>
    </row>
    <row r="247" spans="46:53" x14ac:dyDescent="0.2">
      <c r="AT247" s="70"/>
      <c r="AU247" s="70"/>
      <c r="AV247" s="70"/>
    </row>
    <row r="248" spans="46:53" x14ac:dyDescent="0.2">
      <c r="AT248" s="70"/>
      <c r="AU248" s="70"/>
      <c r="AV248" s="70"/>
      <c r="AW248" s="81"/>
      <c r="AX248" s="77"/>
      <c r="AY248" s="77"/>
      <c r="AZ248" s="77"/>
      <c r="BA248" s="77"/>
    </row>
    <row r="249" spans="46:53" x14ac:dyDescent="0.2">
      <c r="AT249" s="70"/>
      <c r="AU249" s="70"/>
      <c r="AV249" s="70"/>
      <c r="AW249" s="81"/>
      <c r="AX249" s="77"/>
      <c r="AY249" s="77"/>
      <c r="AZ249" s="77"/>
      <c r="BA249" s="77"/>
    </row>
    <row r="250" spans="46:53" x14ac:dyDescent="0.2">
      <c r="AT250" s="70"/>
      <c r="AU250" s="70"/>
      <c r="AV250" s="70"/>
      <c r="AW250" s="81"/>
      <c r="AX250" s="77"/>
      <c r="AY250" s="77"/>
      <c r="AZ250" s="77"/>
      <c r="BA250" s="77"/>
    </row>
    <row r="251" spans="46:53" x14ac:dyDescent="0.2">
      <c r="AT251" s="70"/>
      <c r="AU251" s="70"/>
      <c r="AV251" s="70"/>
      <c r="AW251" s="81"/>
      <c r="AX251" s="77"/>
      <c r="AY251" s="77"/>
      <c r="AZ251" s="77"/>
      <c r="BA251" s="77"/>
    </row>
    <row r="252" spans="46:53" x14ac:dyDescent="0.2">
      <c r="AT252" s="70"/>
      <c r="AU252" s="70"/>
      <c r="AV252" s="70"/>
      <c r="AW252" s="81"/>
      <c r="AX252" s="77"/>
      <c r="AY252" s="77"/>
      <c r="AZ252" s="77"/>
      <c r="BA252" s="77"/>
    </row>
    <row r="253" spans="46:53" x14ac:dyDescent="0.2">
      <c r="AT253" s="70"/>
      <c r="AU253" s="70"/>
      <c r="AV253" s="70"/>
      <c r="AW253" s="81"/>
      <c r="AX253" s="77"/>
      <c r="AY253" s="77"/>
      <c r="AZ253" s="77"/>
      <c r="BA253" s="77"/>
    </row>
    <row r="254" spans="46:53" x14ac:dyDescent="0.2">
      <c r="AT254" s="70"/>
      <c r="AU254" s="70"/>
      <c r="AV254" s="70"/>
      <c r="AW254" s="81"/>
      <c r="AX254" s="77"/>
      <c r="AY254" s="77"/>
      <c r="AZ254" s="77"/>
      <c r="BA254" s="77"/>
    </row>
    <row r="255" spans="46:53" x14ac:dyDescent="0.2">
      <c r="AT255" s="70"/>
      <c r="AU255" s="70"/>
      <c r="AV255" s="70"/>
      <c r="AW255" s="81"/>
      <c r="AX255" s="77"/>
      <c r="AY255" s="77"/>
      <c r="AZ255" s="77"/>
      <c r="BA255" s="77"/>
    </row>
    <row r="256" spans="46:53" x14ac:dyDescent="0.2">
      <c r="AT256" s="70"/>
      <c r="AU256" s="70"/>
      <c r="AV256" s="70"/>
      <c r="AW256" s="88"/>
      <c r="AX256" s="87"/>
      <c r="AY256" s="87"/>
      <c r="AZ256" s="87"/>
      <c r="BA256" s="87"/>
    </row>
    <row r="257" spans="46:53" x14ac:dyDescent="0.2">
      <c r="AT257" s="70"/>
      <c r="AU257" s="70"/>
      <c r="AV257" s="70"/>
      <c r="AW257" s="94"/>
      <c r="AX257" s="93"/>
      <c r="AY257" s="93"/>
      <c r="AZ257" s="93"/>
      <c r="BA257" s="93"/>
    </row>
    <row r="258" spans="46:53" x14ac:dyDescent="0.2">
      <c r="AT258" s="70"/>
      <c r="AU258" s="70"/>
      <c r="AV258" s="70"/>
      <c r="AW258" s="94"/>
      <c r="AX258" s="93"/>
      <c r="AY258" s="93"/>
      <c r="AZ258" s="93"/>
      <c r="BA258" s="93"/>
    </row>
    <row r="259" spans="46:53" x14ac:dyDescent="0.2">
      <c r="AT259" s="70"/>
      <c r="AU259" s="70"/>
      <c r="AV259" s="70"/>
      <c r="AW259" s="81"/>
      <c r="AX259" s="77"/>
      <c r="AY259" s="77"/>
      <c r="AZ259" s="77"/>
      <c r="BA259" s="77"/>
    </row>
    <row r="260" spans="46:53" x14ac:dyDescent="0.2">
      <c r="AT260" s="77"/>
      <c r="AU260" s="77"/>
      <c r="AV260" s="77"/>
      <c r="AW260" s="81"/>
      <c r="AX260" s="77"/>
      <c r="AY260" s="77"/>
      <c r="AZ260" s="77"/>
      <c r="BA260" s="77"/>
    </row>
    <row r="261" spans="46:53" x14ac:dyDescent="0.2">
      <c r="AT261" s="77"/>
      <c r="AU261" s="77"/>
      <c r="AV261" s="77"/>
    </row>
    <row r="286" spans="46:53" x14ac:dyDescent="0.2">
      <c r="AT286" s="70"/>
      <c r="AU286" s="70"/>
      <c r="AV286" s="70"/>
      <c r="AW286" s="154"/>
      <c r="AX286" s="70"/>
      <c r="AY286" s="70"/>
      <c r="AZ286" s="70"/>
      <c r="BA286" s="70"/>
    </row>
    <row r="287" spans="46:53" x14ac:dyDescent="0.2">
      <c r="AT287" s="70"/>
      <c r="AU287" s="70"/>
      <c r="AV287" s="70"/>
      <c r="AW287" s="154"/>
      <c r="AX287" s="70"/>
      <c r="AY287" s="70"/>
      <c r="AZ287" s="70"/>
      <c r="BA287" s="70"/>
    </row>
    <row r="288" spans="46:53" x14ac:dyDescent="0.2">
      <c r="AT288" s="70"/>
      <c r="AU288" s="70"/>
      <c r="AV288" s="70"/>
      <c r="AW288" s="154"/>
      <c r="AX288" s="70"/>
      <c r="AY288" s="70"/>
      <c r="AZ288" s="70"/>
      <c r="BA288" s="70"/>
    </row>
    <row r="289" spans="46:53" x14ac:dyDescent="0.2">
      <c r="AT289" s="70"/>
      <c r="AU289" s="70"/>
      <c r="AV289" s="70"/>
      <c r="AW289" s="154"/>
      <c r="AX289" s="70"/>
      <c r="AY289" s="70"/>
      <c r="AZ289" s="70"/>
      <c r="BA289" s="70"/>
    </row>
    <row r="290" spans="46:53" x14ac:dyDescent="0.2">
      <c r="AT290" s="70"/>
      <c r="AU290" s="70"/>
      <c r="AV290" s="70"/>
      <c r="AW290" s="154"/>
      <c r="AX290" s="70"/>
      <c r="AY290" s="70"/>
      <c r="AZ290" s="70"/>
      <c r="BA290" s="70"/>
    </row>
    <row r="291" spans="46:53" x14ac:dyDescent="0.2">
      <c r="AT291" s="70"/>
      <c r="AU291" s="70"/>
      <c r="AV291" s="70"/>
      <c r="AW291" s="154"/>
      <c r="AX291" s="70"/>
      <c r="AY291" s="70"/>
      <c r="AZ291" s="70"/>
      <c r="BA291" s="70"/>
    </row>
    <row r="292" spans="46:53" x14ac:dyDescent="0.2">
      <c r="AT292" s="70"/>
      <c r="AU292" s="70"/>
      <c r="AV292" s="70"/>
      <c r="AW292" s="154"/>
      <c r="AX292" s="70"/>
      <c r="AY292" s="70"/>
      <c r="AZ292" s="70"/>
      <c r="BA292" s="70"/>
    </row>
    <row r="293" spans="46:53" x14ac:dyDescent="0.2">
      <c r="AT293" s="70"/>
      <c r="AU293" s="70"/>
      <c r="AV293" s="70"/>
      <c r="AW293" s="154"/>
      <c r="AX293" s="70"/>
      <c r="AY293" s="70"/>
      <c r="AZ293" s="70"/>
      <c r="BA293" s="70"/>
    </row>
    <row r="294" spans="46:53" x14ac:dyDescent="0.2">
      <c r="AT294" s="70"/>
      <c r="AU294" s="70"/>
      <c r="AV294" s="70"/>
      <c r="AW294" s="154"/>
      <c r="AX294" s="70"/>
      <c r="AY294" s="70"/>
      <c r="AZ294" s="70"/>
      <c r="BA294" s="70"/>
    </row>
    <row r="295" spans="46:53" x14ac:dyDescent="0.2">
      <c r="AT295" s="70"/>
      <c r="AU295" s="70"/>
      <c r="AV295" s="70"/>
      <c r="AW295" s="154"/>
      <c r="AX295" s="70"/>
      <c r="AY295" s="70"/>
      <c r="AZ295" s="70"/>
      <c r="BA295" s="70"/>
    </row>
    <row r="296" spans="46:53" x14ac:dyDescent="0.2">
      <c r="AT296" s="70"/>
      <c r="AU296" s="70"/>
      <c r="AV296" s="70"/>
      <c r="AW296" s="154"/>
      <c r="AX296" s="70"/>
      <c r="AY296" s="70"/>
      <c r="AZ296" s="70"/>
      <c r="BA296" s="70"/>
    </row>
    <row r="297" spans="46:53" x14ac:dyDescent="0.2">
      <c r="AT297" s="70"/>
      <c r="AU297" s="70"/>
      <c r="AV297" s="70"/>
      <c r="AW297" s="154"/>
      <c r="AX297" s="70"/>
      <c r="AY297" s="70"/>
      <c r="AZ297" s="70"/>
      <c r="BA297" s="70"/>
    </row>
    <row r="298" spans="46:53" x14ac:dyDescent="0.2">
      <c r="AT298" s="70"/>
      <c r="AU298" s="70"/>
      <c r="AV298" s="70"/>
      <c r="AW298" s="154"/>
      <c r="AX298" s="70"/>
      <c r="AY298" s="70"/>
      <c r="AZ298" s="70"/>
      <c r="BA298" s="70"/>
    </row>
    <row r="299" spans="46:53" x14ac:dyDescent="0.2">
      <c r="AT299" s="70"/>
      <c r="AU299" s="70"/>
      <c r="AV299" s="70"/>
      <c r="AW299" s="154"/>
      <c r="AX299" s="70"/>
      <c r="AY299" s="70"/>
      <c r="AZ299" s="70"/>
      <c r="BA299" s="70"/>
    </row>
    <row r="300" spans="46:53" x14ac:dyDescent="0.2">
      <c r="AT300" s="70"/>
      <c r="AU300" s="70"/>
      <c r="AV300" s="70"/>
      <c r="AW300" s="154"/>
      <c r="AX300" s="70"/>
      <c r="AY300" s="70"/>
      <c r="AZ300" s="70"/>
      <c r="BA300" s="70"/>
    </row>
    <row r="301" spans="46:53" x14ac:dyDescent="0.2">
      <c r="AT301" s="70"/>
      <c r="AU301" s="70"/>
      <c r="AV301" s="70"/>
      <c r="AW301" s="154"/>
      <c r="AX301" s="70"/>
      <c r="AY301" s="70"/>
      <c r="AZ301" s="70"/>
      <c r="BA301" s="70"/>
    </row>
    <row r="302" spans="46:53" x14ac:dyDescent="0.2">
      <c r="AT302" s="70"/>
      <c r="AU302" s="70"/>
      <c r="AV302" s="70"/>
      <c r="AW302" s="154"/>
      <c r="AX302" s="70"/>
      <c r="AY302" s="70"/>
      <c r="AZ302" s="70"/>
      <c r="BA302" s="70"/>
    </row>
    <row r="303" spans="46:53" x14ac:dyDescent="0.2">
      <c r="AT303" s="70"/>
      <c r="AU303" s="70"/>
      <c r="AV303" s="70"/>
      <c r="AW303" s="154"/>
      <c r="AX303" s="70"/>
      <c r="AY303" s="70"/>
      <c r="AZ303" s="70"/>
      <c r="BA303" s="70"/>
    </row>
    <row r="304" spans="46:53" x14ac:dyDescent="0.2">
      <c r="AT304" s="70"/>
      <c r="AU304" s="70"/>
      <c r="AV304" s="70"/>
      <c r="AW304" s="154"/>
      <c r="AX304" s="70"/>
      <c r="AY304" s="70"/>
      <c r="AZ304" s="70"/>
      <c r="BA304" s="70"/>
    </row>
    <row r="305" spans="46:53" x14ac:dyDescent="0.2">
      <c r="AT305" s="70"/>
      <c r="AU305" s="70"/>
      <c r="AV305" s="70"/>
      <c r="AW305" s="154"/>
      <c r="AX305" s="70"/>
      <c r="AY305" s="70"/>
      <c r="AZ305" s="70"/>
      <c r="BA305" s="70"/>
    </row>
    <row r="306" spans="46:53" x14ac:dyDescent="0.2">
      <c r="AT306" s="70"/>
      <c r="AU306" s="70"/>
      <c r="AV306" s="70"/>
      <c r="AW306" s="154"/>
      <c r="AX306" s="70"/>
      <c r="AY306" s="70"/>
      <c r="AZ306" s="70"/>
      <c r="BA306" s="70"/>
    </row>
    <row r="307" spans="46:53" x14ac:dyDescent="0.2">
      <c r="AT307" s="70"/>
      <c r="AU307" s="70"/>
      <c r="AV307" s="70"/>
      <c r="AW307" s="154"/>
      <c r="AX307" s="70"/>
      <c r="AY307" s="70"/>
      <c r="AZ307" s="70"/>
      <c r="BA307" s="70"/>
    </row>
    <row r="308" spans="46:53" x14ac:dyDescent="0.2">
      <c r="AT308" s="70"/>
      <c r="AU308" s="70"/>
      <c r="AV308" s="70"/>
      <c r="AW308" s="154"/>
      <c r="AX308" s="70"/>
      <c r="AY308" s="70"/>
      <c r="AZ308" s="70"/>
      <c r="BA308" s="70"/>
    </row>
    <row r="309" spans="46:53" x14ac:dyDescent="0.2">
      <c r="AT309" s="70"/>
      <c r="AU309" s="70"/>
      <c r="AV309" s="70"/>
      <c r="AW309" s="154"/>
      <c r="AX309" s="70"/>
      <c r="AY309" s="70"/>
      <c r="AZ309" s="70"/>
      <c r="BA309" s="70"/>
    </row>
    <row r="310" spans="46:53" x14ac:dyDescent="0.2">
      <c r="AT310" s="70"/>
      <c r="AU310" s="70"/>
      <c r="AV310" s="70"/>
      <c r="AW310" s="154"/>
      <c r="AX310" s="70"/>
      <c r="AY310" s="70"/>
      <c r="AZ310" s="70"/>
      <c r="BA310" s="70"/>
    </row>
    <row r="311" spans="46:53" x14ac:dyDescent="0.2">
      <c r="AT311" s="70"/>
      <c r="AU311" s="70"/>
      <c r="AV311" s="70"/>
      <c r="AW311" s="154"/>
      <c r="AX311" s="70"/>
      <c r="AY311" s="70"/>
      <c r="AZ311" s="70"/>
      <c r="BA311" s="70"/>
    </row>
    <row r="312" spans="46:53" x14ac:dyDescent="0.2">
      <c r="AT312" s="70"/>
      <c r="AU312" s="70"/>
      <c r="AV312" s="70"/>
      <c r="AW312" s="154"/>
      <c r="AX312" s="70"/>
      <c r="AY312" s="70"/>
      <c r="AZ312" s="70"/>
      <c r="BA312" s="70"/>
    </row>
    <row r="313" spans="46:53" x14ac:dyDescent="0.2">
      <c r="AT313" s="70"/>
      <c r="AU313" s="70"/>
      <c r="AV313" s="70"/>
      <c r="AW313" s="154"/>
      <c r="AX313" s="70"/>
      <c r="AY313" s="70"/>
      <c r="AZ313" s="70"/>
      <c r="BA313" s="70"/>
    </row>
    <row r="314" spans="46:53" x14ac:dyDescent="0.2">
      <c r="AT314" s="70"/>
      <c r="AU314" s="70"/>
      <c r="AV314" s="70"/>
      <c r="AW314" s="154"/>
      <c r="AX314" s="70"/>
      <c r="AY314" s="70"/>
      <c r="AZ314" s="70"/>
      <c r="BA314" s="70"/>
    </row>
    <row r="315" spans="46:53" x14ac:dyDescent="0.2">
      <c r="AT315" s="70"/>
      <c r="AU315" s="70"/>
      <c r="AV315" s="70"/>
      <c r="AW315" s="154"/>
      <c r="AX315" s="70"/>
      <c r="AY315" s="70"/>
      <c r="AZ315" s="70"/>
      <c r="BA315" s="70"/>
    </row>
    <row r="316" spans="46:53" x14ac:dyDescent="0.2">
      <c r="AT316" s="70"/>
      <c r="AU316" s="70"/>
      <c r="AV316" s="70"/>
      <c r="AW316" s="154"/>
      <c r="AX316" s="70"/>
      <c r="AY316" s="70"/>
      <c r="AZ316" s="70"/>
      <c r="BA316" s="70"/>
    </row>
    <row r="317" spans="46:53" x14ac:dyDescent="0.2">
      <c r="AT317" s="70"/>
      <c r="AU317" s="70"/>
      <c r="AV317" s="70"/>
      <c r="AW317" s="154"/>
      <c r="AX317" s="70"/>
      <c r="AY317" s="70"/>
      <c r="AZ317" s="70"/>
      <c r="BA317" s="70"/>
    </row>
    <row r="318" spans="46:53" x14ac:dyDescent="0.2">
      <c r="AT318" s="70"/>
      <c r="AU318" s="70"/>
      <c r="AV318" s="70"/>
      <c r="AW318" s="154"/>
      <c r="AX318" s="70"/>
      <c r="AY318" s="70"/>
      <c r="AZ318" s="70"/>
      <c r="BA318" s="70"/>
    </row>
    <row r="319" spans="46:53" x14ac:dyDescent="0.2">
      <c r="AT319" s="70"/>
      <c r="AU319" s="70"/>
      <c r="AV319" s="70"/>
      <c r="AW319" s="154"/>
      <c r="AX319" s="70"/>
      <c r="AY319" s="70"/>
      <c r="AZ319" s="70"/>
      <c r="BA319" s="70"/>
    </row>
    <row r="320" spans="46:53" x14ac:dyDescent="0.2">
      <c r="AT320" s="70"/>
      <c r="AU320" s="70"/>
      <c r="AV320" s="70"/>
      <c r="AW320" s="154"/>
      <c r="AX320" s="70"/>
      <c r="AY320" s="70"/>
      <c r="AZ320" s="70"/>
      <c r="BA320" s="70"/>
    </row>
    <row r="321" spans="46:53" x14ac:dyDescent="0.2">
      <c r="AT321" s="70"/>
      <c r="AU321" s="70"/>
      <c r="AV321" s="70"/>
      <c r="AW321" s="154"/>
      <c r="AX321" s="70"/>
      <c r="AY321" s="70"/>
      <c r="AZ321" s="70"/>
      <c r="BA321" s="70"/>
    </row>
    <row r="322" spans="46:53" x14ac:dyDescent="0.2">
      <c r="AT322" s="70"/>
      <c r="AU322" s="70"/>
      <c r="AV322" s="70"/>
      <c r="AW322" s="154"/>
      <c r="AX322" s="70"/>
      <c r="AY322" s="70"/>
      <c r="AZ322" s="70"/>
      <c r="BA322" s="70"/>
    </row>
    <row r="323" spans="46:53" x14ac:dyDescent="0.2">
      <c r="AT323" s="70"/>
      <c r="AU323" s="70"/>
      <c r="AV323" s="70"/>
      <c r="AW323" s="154"/>
      <c r="AX323" s="70"/>
      <c r="AY323" s="70"/>
      <c r="AZ323" s="70"/>
      <c r="BA323" s="70"/>
    </row>
    <row r="324" spans="46:53" x14ac:dyDescent="0.2">
      <c r="AT324" s="70"/>
      <c r="AU324" s="70"/>
      <c r="AV324" s="70"/>
      <c r="AW324" s="154"/>
      <c r="AX324" s="70"/>
      <c r="AY324" s="70"/>
      <c r="AZ324" s="70"/>
      <c r="BA324" s="70"/>
    </row>
    <row r="325" spans="46:53" x14ac:dyDescent="0.2">
      <c r="AT325" s="70"/>
      <c r="AU325" s="70"/>
      <c r="AV325" s="70"/>
      <c r="AW325" s="154"/>
      <c r="AX325" s="70"/>
      <c r="AY325" s="70"/>
      <c r="AZ325" s="70"/>
      <c r="BA325" s="70"/>
    </row>
    <row r="326" spans="46:53" x14ac:dyDescent="0.2">
      <c r="AT326" s="70"/>
      <c r="AU326" s="70"/>
      <c r="AV326" s="70"/>
      <c r="AW326" s="154"/>
      <c r="AX326" s="70"/>
      <c r="AY326" s="70"/>
      <c r="AZ326" s="70"/>
      <c r="BA326" s="70"/>
    </row>
    <row r="327" spans="46:53" x14ac:dyDescent="0.2">
      <c r="AT327" s="70"/>
      <c r="AU327" s="70"/>
      <c r="AV327" s="70"/>
      <c r="AW327" s="154"/>
      <c r="AX327" s="70"/>
      <c r="AY327" s="70"/>
      <c r="AZ327" s="70"/>
      <c r="BA327" s="70"/>
    </row>
    <row r="328" spans="46:53" x14ac:dyDescent="0.2">
      <c r="AT328" s="70"/>
      <c r="AU328" s="70"/>
      <c r="AV328" s="70"/>
      <c r="AW328" s="154"/>
      <c r="AX328" s="70"/>
      <c r="AY328" s="70"/>
      <c r="AZ328" s="70"/>
      <c r="BA328" s="70"/>
    </row>
    <row r="329" spans="46:53" x14ac:dyDescent="0.2">
      <c r="AT329" s="70"/>
      <c r="AU329" s="70"/>
      <c r="AV329" s="70"/>
      <c r="AW329" s="154"/>
      <c r="AX329" s="70"/>
      <c r="AY329" s="70"/>
      <c r="AZ329" s="70"/>
      <c r="BA329" s="70"/>
    </row>
    <row r="330" spans="46:53" x14ac:dyDescent="0.2">
      <c r="AT330" s="70"/>
      <c r="AU330" s="70"/>
      <c r="AV330" s="70"/>
      <c r="AW330" s="154"/>
      <c r="AX330" s="70"/>
      <c r="AY330" s="70"/>
      <c r="AZ330" s="70"/>
      <c r="BA330" s="70"/>
    </row>
    <row r="331" spans="46:53" x14ac:dyDescent="0.2">
      <c r="AT331" s="70"/>
      <c r="AU331" s="70"/>
      <c r="AV331" s="70"/>
      <c r="AW331" s="154"/>
      <c r="AX331" s="70"/>
      <c r="AY331" s="70"/>
      <c r="AZ331" s="70"/>
      <c r="BA331" s="70"/>
    </row>
    <row r="332" spans="46:53" x14ac:dyDescent="0.2">
      <c r="AT332" s="77"/>
      <c r="AU332" s="77"/>
      <c r="AV332" s="77"/>
    </row>
    <row r="333" spans="46:53" x14ac:dyDescent="0.2">
      <c r="AT333" s="77"/>
      <c r="AU333" s="77"/>
      <c r="AV333" s="77"/>
      <c r="AW333" s="81"/>
      <c r="AX333" s="77"/>
      <c r="AY333" s="77"/>
      <c r="AZ333" s="77"/>
      <c r="BA333" s="77"/>
    </row>
    <row r="334" spans="46:53" x14ac:dyDescent="0.2">
      <c r="AW334" s="81"/>
      <c r="AX334" s="77"/>
      <c r="AY334" s="77"/>
      <c r="AZ334" s="77"/>
      <c r="BA334" s="77"/>
    </row>
    <row r="335" spans="46:53" x14ac:dyDescent="0.2">
      <c r="AW335" s="81"/>
      <c r="AX335" s="77"/>
      <c r="AY335" s="77"/>
      <c r="AZ335" s="77"/>
      <c r="BA335" s="77"/>
    </row>
    <row r="336" spans="46:53" x14ac:dyDescent="0.2">
      <c r="AW336" s="81"/>
      <c r="AX336" s="77"/>
      <c r="AY336" s="77"/>
      <c r="AZ336" s="77"/>
      <c r="BA336" s="77"/>
    </row>
    <row r="337" spans="46:53" x14ac:dyDescent="0.2">
      <c r="AW337" s="81"/>
      <c r="AX337" s="77"/>
      <c r="AY337" s="77"/>
      <c r="AZ337" s="77"/>
      <c r="BA337" s="77"/>
    </row>
    <row r="338" spans="46:53" x14ac:dyDescent="0.2">
      <c r="AW338" s="81"/>
      <c r="AX338" s="77"/>
      <c r="AY338" s="77"/>
      <c r="AZ338" s="77"/>
      <c r="BA338" s="77"/>
    </row>
    <row r="339" spans="46:53" x14ac:dyDescent="0.2">
      <c r="AW339" s="81"/>
      <c r="AX339" s="77"/>
      <c r="AY339" s="77"/>
      <c r="AZ339" s="77"/>
      <c r="BA339" s="77"/>
    </row>
    <row r="340" spans="46:53" x14ac:dyDescent="0.2">
      <c r="AW340" s="81"/>
      <c r="AX340" s="77"/>
      <c r="AY340" s="77"/>
      <c r="AZ340" s="77"/>
      <c r="BA340" s="77"/>
    </row>
    <row r="341" spans="46:53" x14ac:dyDescent="0.2">
      <c r="AW341" s="88"/>
      <c r="AX341" s="87"/>
      <c r="AY341" s="87"/>
      <c r="AZ341" s="87"/>
      <c r="BA341" s="87"/>
    </row>
    <row r="342" spans="46:53" x14ac:dyDescent="0.2">
      <c r="AW342" s="94"/>
      <c r="AX342" s="93"/>
      <c r="AY342" s="93"/>
      <c r="AZ342" s="93"/>
      <c r="BA342" s="93"/>
    </row>
    <row r="343" spans="46:53" x14ac:dyDescent="0.2">
      <c r="AW343" s="94"/>
      <c r="AX343" s="93"/>
      <c r="AY343" s="93"/>
      <c r="AZ343" s="93"/>
      <c r="BA343" s="93"/>
    </row>
    <row r="344" spans="46:53" x14ac:dyDescent="0.2">
      <c r="AW344" s="81"/>
      <c r="AX344" s="77"/>
      <c r="AY344" s="77"/>
      <c r="AZ344" s="77"/>
      <c r="BA344" s="77"/>
    </row>
    <row r="345" spans="46:53" x14ac:dyDescent="0.2">
      <c r="AW345" s="81"/>
      <c r="AX345" s="77"/>
      <c r="AY345" s="77"/>
      <c r="AZ345" s="77"/>
      <c r="BA345" s="77"/>
    </row>
    <row r="348" spans="46:53" x14ac:dyDescent="0.2">
      <c r="AT348" s="116"/>
      <c r="AU348" s="116"/>
    </row>
    <row r="371" spans="46:53" x14ac:dyDescent="0.2">
      <c r="AW371" s="154"/>
      <c r="AX371" s="70"/>
      <c r="AY371" s="70"/>
      <c r="AZ371" s="70"/>
      <c r="BA371" s="70"/>
    </row>
    <row r="372" spans="46:53" x14ac:dyDescent="0.2">
      <c r="AW372" s="154"/>
      <c r="AX372" s="70"/>
      <c r="AY372" s="70"/>
      <c r="AZ372" s="70"/>
      <c r="BA372" s="70"/>
    </row>
    <row r="373" spans="46:53" x14ac:dyDescent="0.2">
      <c r="AW373" s="154"/>
      <c r="AX373" s="70"/>
      <c r="AY373" s="70"/>
      <c r="AZ373" s="70"/>
      <c r="BA373" s="70"/>
    </row>
    <row r="374" spans="46:53" x14ac:dyDescent="0.2">
      <c r="AW374" s="154"/>
      <c r="AX374" s="70"/>
      <c r="AY374" s="70"/>
      <c r="AZ374" s="70"/>
      <c r="BA374" s="70"/>
    </row>
    <row r="375" spans="46:53" x14ac:dyDescent="0.2">
      <c r="AW375" s="154"/>
      <c r="AX375" s="70"/>
      <c r="AY375" s="70"/>
      <c r="AZ375" s="70"/>
      <c r="BA375" s="70"/>
    </row>
    <row r="376" spans="46:53" x14ac:dyDescent="0.2">
      <c r="AW376" s="154"/>
      <c r="AX376" s="70"/>
      <c r="AY376" s="70"/>
      <c r="AZ376" s="70"/>
      <c r="BA376" s="70"/>
    </row>
    <row r="377" spans="46:53" x14ac:dyDescent="0.2">
      <c r="AW377" s="154"/>
      <c r="AX377" s="70"/>
      <c r="AY377" s="70"/>
      <c r="AZ377" s="70"/>
      <c r="BA377" s="70"/>
    </row>
    <row r="378" spans="46:53" x14ac:dyDescent="0.2">
      <c r="AW378" s="154"/>
      <c r="AX378" s="70"/>
      <c r="AY378" s="70"/>
      <c r="AZ378" s="70"/>
      <c r="BA378" s="70"/>
    </row>
    <row r="379" spans="46:53" x14ac:dyDescent="0.2">
      <c r="AW379" s="154"/>
      <c r="AX379" s="70"/>
      <c r="AY379" s="70"/>
      <c r="AZ379" s="70"/>
      <c r="BA379" s="70"/>
    </row>
    <row r="380" spans="46:53" x14ac:dyDescent="0.2">
      <c r="AW380" s="154"/>
      <c r="AX380" s="70"/>
      <c r="AY380" s="70"/>
      <c r="AZ380" s="70"/>
      <c r="BA380" s="70"/>
    </row>
    <row r="381" spans="46:53" x14ac:dyDescent="0.2">
      <c r="AW381" s="154"/>
      <c r="AX381" s="70"/>
      <c r="AY381" s="70"/>
      <c r="AZ381" s="70"/>
      <c r="BA381" s="70"/>
    </row>
    <row r="382" spans="46:53" x14ac:dyDescent="0.2">
      <c r="AW382" s="154"/>
      <c r="AX382" s="70"/>
      <c r="AY382" s="70"/>
      <c r="AZ382" s="70"/>
      <c r="BA382" s="70"/>
    </row>
    <row r="383" spans="46:53" x14ac:dyDescent="0.2">
      <c r="AW383" s="154"/>
      <c r="AX383" s="70"/>
      <c r="AY383" s="70"/>
      <c r="AZ383" s="70"/>
      <c r="BA383" s="70"/>
    </row>
    <row r="384" spans="46:53" x14ac:dyDescent="0.2">
      <c r="AT384" s="116"/>
      <c r="AU384" s="116"/>
      <c r="AW384" s="154"/>
      <c r="AX384" s="70"/>
      <c r="AY384" s="70"/>
      <c r="AZ384" s="70"/>
      <c r="BA384" s="70"/>
    </row>
    <row r="385" spans="49:53" x14ac:dyDescent="0.2">
      <c r="AW385" s="154"/>
      <c r="AX385" s="70"/>
      <c r="AY385" s="70"/>
      <c r="AZ385" s="70"/>
      <c r="BA385" s="70"/>
    </row>
    <row r="386" spans="49:53" x14ac:dyDescent="0.2">
      <c r="AW386" s="154"/>
      <c r="AX386" s="70"/>
      <c r="AY386" s="70"/>
      <c r="AZ386" s="70"/>
      <c r="BA386" s="70"/>
    </row>
    <row r="387" spans="49:53" x14ac:dyDescent="0.2">
      <c r="AW387" s="154"/>
      <c r="AX387" s="70"/>
      <c r="AY387" s="70"/>
      <c r="AZ387" s="70"/>
      <c r="BA387" s="70"/>
    </row>
    <row r="388" spans="49:53" x14ac:dyDescent="0.2">
      <c r="AW388" s="154"/>
      <c r="AX388" s="70"/>
      <c r="AY388" s="70"/>
      <c r="AZ388" s="70"/>
      <c r="BA388" s="70"/>
    </row>
    <row r="389" spans="49:53" x14ac:dyDescent="0.2">
      <c r="AW389" s="154"/>
      <c r="AX389" s="70"/>
      <c r="AY389" s="70"/>
      <c r="AZ389" s="70"/>
      <c r="BA389" s="70"/>
    </row>
    <row r="390" spans="49:53" x14ac:dyDescent="0.2">
      <c r="AW390" s="154"/>
      <c r="AX390" s="70"/>
      <c r="AY390" s="70"/>
      <c r="AZ390" s="70"/>
      <c r="BA390" s="70"/>
    </row>
    <row r="391" spans="49:53" x14ac:dyDescent="0.2">
      <c r="AW391" s="154"/>
      <c r="AX391" s="70"/>
      <c r="AY391" s="70"/>
      <c r="AZ391" s="70"/>
      <c r="BA391" s="70"/>
    </row>
    <row r="392" spans="49:53" x14ac:dyDescent="0.2">
      <c r="AW392" s="154"/>
      <c r="AX392" s="70"/>
      <c r="AY392" s="70"/>
      <c r="AZ392" s="70"/>
      <c r="BA392" s="70"/>
    </row>
    <row r="393" spans="49:53" x14ac:dyDescent="0.2">
      <c r="AW393" s="154"/>
      <c r="AX393" s="70"/>
      <c r="AY393" s="70"/>
      <c r="AZ393" s="70"/>
      <c r="BA393" s="70"/>
    </row>
    <row r="394" spans="49:53" x14ac:dyDescent="0.2">
      <c r="AW394" s="154"/>
      <c r="AX394" s="70"/>
      <c r="AY394" s="70"/>
      <c r="AZ394" s="70"/>
      <c r="BA394" s="70"/>
    </row>
    <row r="395" spans="49:53" x14ac:dyDescent="0.2">
      <c r="AW395" s="154"/>
      <c r="AX395" s="70"/>
      <c r="AY395" s="70"/>
      <c r="AZ395" s="70"/>
      <c r="BA395" s="70"/>
    </row>
    <row r="396" spans="49:53" x14ac:dyDescent="0.2">
      <c r="AW396" s="154"/>
      <c r="AX396" s="70"/>
      <c r="AY396" s="70"/>
      <c r="AZ396" s="70"/>
      <c r="BA396" s="70"/>
    </row>
    <row r="397" spans="49:53" x14ac:dyDescent="0.2">
      <c r="AW397" s="154"/>
      <c r="AX397" s="70"/>
      <c r="AY397" s="70"/>
      <c r="AZ397" s="70"/>
      <c r="BA397" s="70"/>
    </row>
    <row r="398" spans="49:53" x14ac:dyDescent="0.2">
      <c r="AW398" s="154"/>
      <c r="AX398" s="70"/>
      <c r="AY398" s="70"/>
      <c r="AZ398" s="70"/>
      <c r="BA398" s="70"/>
    </row>
    <row r="399" spans="49:53" x14ac:dyDescent="0.2">
      <c r="AW399" s="154"/>
      <c r="AX399" s="70"/>
      <c r="AY399" s="70"/>
      <c r="AZ399" s="70"/>
      <c r="BA399" s="70"/>
    </row>
    <row r="400" spans="49:53" x14ac:dyDescent="0.2">
      <c r="AW400" s="154"/>
      <c r="AX400" s="70"/>
      <c r="AY400" s="70"/>
      <c r="AZ400" s="70"/>
      <c r="BA400" s="70"/>
    </row>
    <row r="401" spans="49:53" x14ac:dyDescent="0.2">
      <c r="AW401" s="154"/>
      <c r="AX401" s="70"/>
      <c r="AY401" s="70"/>
      <c r="AZ401" s="70"/>
      <c r="BA401" s="70"/>
    </row>
    <row r="402" spans="49:53" x14ac:dyDescent="0.2">
      <c r="AW402" s="154"/>
      <c r="AX402" s="70"/>
      <c r="AY402" s="70"/>
      <c r="AZ402" s="70"/>
      <c r="BA402" s="70"/>
    </row>
    <row r="403" spans="49:53" x14ac:dyDescent="0.2">
      <c r="AW403" s="154"/>
      <c r="AX403" s="70"/>
      <c r="AY403" s="70"/>
      <c r="AZ403" s="70"/>
      <c r="BA403" s="70"/>
    </row>
    <row r="404" spans="49:53" x14ac:dyDescent="0.2">
      <c r="AW404" s="154"/>
      <c r="AX404" s="70"/>
      <c r="AY404" s="70"/>
      <c r="AZ404" s="70"/>
      <c r="BA404" s="70"/>
    </row>
    <row r="405" spans="49:53" x14ac:dyDescent="0.2">
      <c r="AW405" s="154"/>
      <c r="AX405" s="70"/>
      <c r="AY405" s="70"/>
      <c r="AZ405" s="70"/>
      <c r="BA405" s="70"/>
    </row>
    <row r="406" spans="49:53" x14ac:dyDescent="0.2">
      <c r="AW406" s="154"/>
      <c r="AX406" s="70"/>
      <c r="AY406" s="70"/>
      <c r="AZ406" s="70"/>
      <c r="BA406" s="70"/>
    </row>
    <row r="407" spans="49:53" x14ac:dyDescent="0.2">
      <c r="AW407" s="154"/>
      <c r="AX407" s="70"/>
      <c r="AY407" s="70"/>
      <c r="AZ407" s="70"/>
      <c r="BA407" s="70"/>
    </row>
    <row r="408" spans="49:53" x14ac:dyDescent="0.2">
      <c r="AW408" s="154"/>
      <c r="AX408" s="70"/>
      <c r="AY408" s="70"/>
      <c r="AZ408" s="70"/>
      <c r="BA408" s="70"/>
    </row>
    <row r="409" spans="49:53" x14ac:dyDescent="0.2">
      <c r="AW409" s="154"/>
      <c r="AX409" s="70"/>
      <c r="AY409" s="70"/>
      <c r="AZ409" s="70"/>
      <c r="BA409" s="70"/>
    </row>
    <row r="410" spans="49:53" x14ac:dyDescent="0.2">
      <c r="AW410" s="154"/>
      <c r="AX410" s="70"/>
      <c r="AY410" s="70"/>
      <c r="AZ410" s="70"/>
      <c r="BA410" s="70"/>
    </row>
    <row r="411" spans="49:53" x14ac:dyDescent="0.2">
      <c r="AW411" s="154"/>
      <c r="AX411" s="70"/>
      <c r="AY411" s="70"/>
      <c r="AZ411" s="70"/>
      <c r="BA411" s="70"/>
    </row>
    <row r="412" spans="49:53" x14ac:dyDescent="0.2">
      <c r="AW412" s="154"/>
      <c r="AX412" s="70"/>
      <c r="AY412" s="70"/>
      <c r="AZ412" s="70"/>
      <c r="BA412" s="70"/>
    </row>
    <row r="413" spans="49:53" x14ac:dyDescent="0.2">
      <c r="AW413" s="154"/>
      <c r="AX413" s="70"/>
      <c r="AY413" s="70"/>
      <c r="AZ413" s="70"/>
      <c r="BA413" s="70"/>
    </row>
    <row r="414" spans="49:53" x14ac:dyDescent="0.2">
      <c r="AW414" s="154"/>
      <c r="AX414" s="70"/>
      <c r="AY414" s="70"/>
      <c r="AZ414" s="70"/>
      <c r="BA414" s="70"/>
    </row>
    <row r="415" spans="49:53" x14ac:dyDescent="0.2">
      <c r="AW415" s="154"/>
      <c r="AX415" s="70"/>
      <c r="AY415" s="70"/>
      <c r="AZ415" s="70"/>
      <c r="BA415" s="70"/>
    </row>
    <row r="416" spans="49:53" x14ac:dyDescent="0.2">
      <c r="AW416" s="154"/>
      <c r="AX416" s="70"/>
      <c r="AY416" s="70"/>
      <c r="AZ416" s="70"/>
      <c r="BA416" s="70"/>
    </row>
    <row r="418" spans="49:53" x14ac:dyDescent="0.2">
      <c r="AW418" s="81"/>
      <c r="AX418" s="77"/>
      <c r="AY418" s="77"/>
      <c r="AZ418" s="77"/>
      <c r="BA418" s="77"/>
    </row>
    <row r="419" spans="49:53" x14ac:dyDescent="0.2">
      <c r="AW419" s="81"/>
      <c r="AX419" s="77"/>
      <c r="AY419" s="77"/>
      <c r="AZ419" s="77"/>
      <c r="BA419" s="77"/>
    </row>
    <row r="420" spans="49:53" x14ac:dyDescent="0.2">
      <c r="AW420" s="81"/>
      <c r="AX420" s="77"/>
      <c r="AY420" s="77"/>
      <c r="AZ420" s="77"/>
      <c r="BA420" s="77"/>
    </row>
    <row r="421" spans="49:53" x14ac:dyDescent="0.2">
      <c r="AW421" s="81"/>
      <c r="AX421" s="77"/>
      <c r="AY421" s="77"/>
      <c r="AZ421" s="77"/>
      <c r="BA421" s="77"/>
    </row>
    <row r="422" spans="49:53" x14ac:dyDescent="0.2">
      <c r="AW422" s="81"/>
      <c r="AX422" s="77"/>
      <c r="AY422" s="77"/>
      <c r="AZ422" s="77"/>
      <c r="BA422" s="77"/>
    </row>
    <row r="423" spans="49:53" x14ac:dyDescent="0.2">
      <c r="AW423" s="81"/>
      <c r="AX423" s="77"/>
      <c r="AY423" s="77"/>
      <c r="AZ423" s="77"/>
      <c r="BA423" s="77"/>
    </row>
    <row r="424" spans="49:53" x14ac:dyDescent="0.2">
      <c r="AW424" s="81"/>
      <c r="AX424" s="77"/>
      <c r="AY424" s="77"/>
      <c r="AZ424" s="77"/>
      <c r="BA424" s="77"/>
    </row>
    <row r="425" spans="49:53" x14ac:dyDescent="0.2">
      <c r="AW425" s="81"/>
      <c r="AX425" s="77"/>
      <c r="AY425" s="77"/>
      <c r="AZ425" s="77"/>
      <c r="BA425" s="77"/>
    </row>
    <row r="426" spans="49:53" x14ac:dyDescent="0.2">
      <c r="AW426" s="88"/>
      <c r="AX426" s="87"/>
      <c r="AY426" s="87"/>
      <c r="AZ426" s="87"/>
      <c r="BA426" s="87"/>
    </row>
    <row r="427" spans="49:53" x14ac:dyDescent="0.2">
      <c r="AW427" s="94"/>
      <c r="AX427" s="93"/>
      <c r="AY427" s="93"/>
      <c r="AZ427" s="93"/>
      <c r="BA427" s="93"/>
    </row>
    <row r="428" spans="49:53" x14ac:dyDescent="0.2">
      <c r="AW428" s="94"/>
      <c r="AX428" s="93"/>
      <c r="AY428" s="93"/>
      <c r="AZ428" s="93"/>
      <c r="BA428" s="93"/>
    </row>
    <row r="429" spans="49:53" x14ac:dyDescent="0.2">
      <c r="AW429" s="81"/>
      <c r="AX429" s="77"/>
      <c r="AY429" s="77"/>
      <c r="AZ429" s="77"/>
      <c r="BA429" s="77"/>
    </row>
    <row r="430" spans="49:53" x14ac:dyDescent="0.2">
      <c r="AW430" s="81"/>
      <c r="AX430" s="77"/>
      <c r="AY430" s="77"/>
      <c r="AZ430" s="77"/>
      <c r="BA430" s="77"/>
    </row>
    <row r="488" spans="49:49" x14ac:dyDescent="0.2">
      <c r="AW488" s="4"/>
    </row>
    <row r="489" spans="49:49" x14ac:dyDescent="0.2">
      <c r="AW489" s="4"/>
    </row>
    <row r="490" spans="49:49" x14ac:dyDescent="0.2">
      <c r="AW490" s="4"/>
    </row>
    <row r="491" spans="49:49" x14ac:dyDescent="0.2">
      <c r="AW491" s="4"/>
    </row>
    <row r="492" spans="49:49" x14ac:dyDescent="0.2">
      <c r="AW492" s="4"/>
    </row>
    <row r="493" spans="49:49" x14ac:dyDescent="0.2">
      <c r="AW493" s="4"/>
    </row>
    <row r="494" spans="49:49" x14ac:dyDescent="0.2">
      <c r="AW494" s="4"/>
    </row>
    <row r="495" spans="49:49" x14ac:dyDescent="0.2">
      <c r="AW495" s="4"/>
    </row>
    <row r="496" spans="49:49" x14ac:dyDescent="0.2">
      <c r="AW496" s="4"/>
    </row>
    <row r="542" spans="49:49" x14ac:dyDescent="0.2">
      <c r="AW542" s="4"/>
    </row>
    <row r="543" spans="49:49" x14ac:dyDescent="0.2">
      <c r="AW543" s="4"/>
    </row>
    <row r="544" spans="49:49" x14ac:dyDescent="0.2">
      <c r="AW544" s="4"/>
    </row>
    <row r="545" spans="49:49" x14ac:dyDescent="0.2">
      <c r="AW545" s="4"/>
    </row>
    <row r="546" spans="49:49" x14ac:dyDescent="0.2">
      <c r="AW546" s="4"/>
    </row>
    <row r="547" spans="49:49" x14ac:dyDescent="0.2">
      <c r="AW547" s="4"/>
    </row>
    <row r="548" spans="49:49" x14ac:dyDescent="0.2">
      <c r="AW548" s="4"/>
    </row>
    <row r="549" spans="49:49" x14ac:dyDescent="0.2">
      <c r="AW549" s="4"/>
    </row>
    <row r="550" spans="49:49" x14ac:dyDescent="0.2">
      <c r="AW550" s="4"/>
    </row>
    <row r="596" spans="49:49" x14ac:dyDescent="0.2">
      <c r="AW596" s="4"/>
    </row>
    <row r="597" spans="49:49" x14ac:dyDescent="0.2">
      <c r="AW597" s="4"/>
    </row>
    <row r="598" spans="49:49" x14ac:dyDescent="0.2">
      <c r="AW598" s="4"/>
    </row>
    <row r="599" spans="49:49" x14ac:dyDescent="0.2">
      <c r="AW599" s="4"/>
    </row>
    <row r="600" spans="49:49" x14ac:dyDescent="0.2">
      <c r="AW600" s="4"/>
    </row>
    <row r="601" spans="49:49" x14ac:dyDescent="0.2">
      <c r="AW601" s="4"/>
    </row>
    <row r="602" spans="49:49" x14ac:dyDescent="0.2">
      <c r="AW602" s="4"/>
    </row>
    <row r="603" spans="49:49" x14ac:dyDescent="0.2">
      <c r="AW603" s="4"/>
    </row>
    <row r="604" spans="49:49" x14ac:dyDescent="0.2">
      <c r="AW604" s="4"/>
    </row>
    <row r="650" spans="49:49" x14ac:dyDescent="0.2">
      <c r="AW650" s="4"/>
    </row>
    <row r="651" spans="49:49" x14ac:dyDescent="0.2">
      <c r="AW651" s="4"/>
    </row>
    <row r="652" spans="49:49" x14ac:dyDescent="0.2">
      <c r="AW652" s="4"/>
    </row>
    <row r="653" spans="49:49" x14ac:dyDescent="0.2">
      <c r="AW653" s="4"/>
    </row>
    <row r="654" spans="49:49" x14ac:dyDescent="0.2">
      <c r="AW654" s="4"/>
    </row>
    <row r="655" spans="49:49" x14ac:dyDescent="0.2">
      <c r="AW655" s="4"/>
    </row>
    <row r="656" spans="49:49" x14ac:dyDescent="0.2">
      <c r="AW656" s="4"/>
    </row>
    <row r="657" spans="49:49" x14ac:dyDescent="0.2">
      <c r="AW657" s="4"/>
    </row>
    <row r="658" spans="49:49" x14ac:dyDescent="0.2">
      <c r="AW658" s="4"/>
    </row>
  </sheetData>
  <sheetProtection sheet="1" objects="1" scenarios="1" formatCells="0" selectLockedCells="1"/>
  <mergeCells count="431">
    <mergeCell ref="T233:V233"/>
    <mergeCell ref="A234:M234"/>
    <mergeCell ref="V234:AG234"/>
    <mergeCell ref="T221:V221"/>
    <mergeCell ref="T222:V222"/>
    <mergeCell ref="K223:N225"/>
    <mergeCell ref="AF223:AG225"/>
    <mergeCell ref="T231:V231"/>
    <mergeCell ref="T232:V232"/>
    <mergeCell ref="AC217:AE217"/>
    <mergeCell ref="K218:N218"/>
    <mergeCell ref="T218:V218"/>
    <mergeCell ref="AF218:AG218"/>
    <mergeCell ref="T219:V219"/>
    <mergeCell ref="T220:V220"/>
    <mergeCell ref="B217:D217"/>
    <mergeCell ref="E217:G217"/>
    <mergeCell ref="H217:J217"/>
    <mergeCell ref="T217:V217"/>
    <mergeCell ref="W217:Y217"/>
    <mergeCell ref="Z217:AB217"/>
    <mergeCell ref="Z215:AB215"/>
    <mergeCell ref="AC215:AE215"/>
    <mergeCell ref="AF215:AJ217"/>
    <mergeCell ref="B216:D216"/>
    <mergeCell ref="E216:G216"/>
    <mergeCell ref="H216:J216"/>
    <mergeCell ref="T216:V216"/>
    <mergeCell ref="W216:Y216"/>
    <mergeCell ref="Z216:AB216"/>
    <mergeCell ref="AC216:AE216"/>
    <mergeCell ref="B213:J213"/>
    <mergeCell ref="K213:Q213"/>
    <mergeCell ref="U213:W213"/>
    <mergeCell ref="X213:AF213"/>
    <mergeCell ref="AG213:AM213"/>
    <mergeCell ref="B215:D215"/>
    <mergeCell ref="E215:G215"/>
    <mergeCell ref="H215:J215"/>
    <mergeCell ref="K215:Q217"/>
    <mergeCell ref="W215:Y215"/>
    <mergeCell ref="B211:J211"/>
    <mergeCell ref="K211:Q211"/>
    <mergeCell ref="U211:W211"/>
    <mergeCell ref="X211:AF211"/>
    <mergeCell ref="AG211:AM211"/>
    <mergeCell ref="B212:J212"/>
    <mergeCell ref="K212:Q212"/>
    <mergeCell ref="U212:W212"/>
    <mergeCell ref="X212:AF212"/>
    <mergeCell ref="AG212:AM212"/>
    <mergeCell ref="B209:J209"/>
    <mergeCell ref="K209:Q209"/>
    <mergeCell ref="U209:W209"/>
    <mergeCell ref="X209:AF209"/>
    <mergeCell ref="AG209:AM209"/>
    <mergeCell ref="B210:J210"/>
    <mergeCell ref="K210:Q210"/>
    <mergeCell ref="U210:W210"/>
    <mergeCell ref="X210:AF210"/>
    <mergeCell ref="AG210:AM210"/>
    <mergeCell ref="A204:E204"/>
    <mergeCell ref="U204:AA204"/>
    <mergeCell ref="A205:E205"/>
    <mergeCell ref="U205:AA205"/>
    <mergeCell ref="A208:J208"/>
    <mergeCell ref="U208:AF208"/>
    <mergeCell ref="AB202:AE202"/>
    <mergeCell ref="AF202:AH202"/>
    <mergeCell ref="A203:E203"/>
    <mergeCell ref="F203:M203"/>
    <mergeCell ref="T203:Z203"/>
    <mergeCell ref="AB203:AH203"/>
    <mergeCell ref="A200:E200"/>
    <mergeCell ref="J200:P200"/>
    <mergeCell ref="U200:AA200"/>
    <mergeCell ref="A202:D202"/>
    <mergeCell ref="F202:I202"/>
    <mergeCell ref="J202:M202"/>
    <mergeCell ref="T202:Z202"/>
    <mergeCell ref="J198:P198"/>
    <mergeCell ref="AF198:AJ198"/>
    <mergeCell ref="A199:E199"/>
    <mergeCell ref="F199:I199"/>
    <mergeCell ref="J199:P199"/>
    <mergeCell ref="U199:AA199"/>
    <mergeCell ref="AB199:AE199"/>
    <mergeCell ref="AF199:AJ199"/>
    <mergeCell ref="A195:E195"/>
    <mergeCell ref="U195:AA195"/>
    <mergeCell ref="A196:E196"/>
    <mergeCell ref="U196:AA196"/>
    <mergeCell ref="F197:I197"/>
    <mergeCell ref="AB197:AE197"/>
    <mergeCell ref="AB193:AH193"/>
    <mergeCell ref="A194:E194"/>
    <mergeCell ref="F194:I194"/>
    <mergeCell ref="J194:M194"/>
    <mergeCell ref="T194:Z194"/>
    <mergeCell ref="AB194:AE194"/>
    <mergeCell ref="AF194:AH194"/>
    <mergeCell ref="A190:E190"/>
    <mergeCell ref="U190:AA190"/>
    <mergeCell ref="A191:E191"/>
    <mergeCell ref="U191:AA191"/>
    <mergeCell ref="A193:E193"/>
    <mergeCell ref="F193:M193"/>
    <mergeCell ref="T193:AA193"/>
    <mergeCell ref="A182:AQ182"/>
    <mergeCell ref="A183:AQ183"/>
    <mergeCell ref="A184:AQ184"/>
    <mergeCell ref="A185:AQ185"/>
    <mergeCell ref="A186:K186"/>
    <mergeCell ref="A188:O188"/>
    <mergeCell ref="R188:AF188"/>
    <mergeCell ref="AF179:AK179"/>
    <mergeCell ref="AL179:AO179"/>
    <mergeCell ref="B180:G180"/>
    <mergeCell ref="H180:K180"/>
    <mergeCell ref="L180:Q180"/>
    <mergeCell ref="R180:U180"/>
    <mergeCell ref="V180:AA180"/>
    <mergeCell ref="AB180:AE180"/>
    <mergeCell ref="AF180:AK180"/>
    <mergeCell ref="AL180:AO180"/>
    <mergeCell ref="V178:AA178"/>
    <mergeCell ref="AB178:AE178"/>
    <mergeCell ref="AF178:AK178"/>
    <mergeCell ref="AL178:AO178"/>
    <mergeCell ref="B179:G179"/>
    <mergeCell ref="H179:K179"/>
    <mergeCell ref="L179:Q179"/>
    <mergeCell ref="R179:U179"/>
    <mergeCell ref="V179:AA179"/>
    <mergeCell ref="AB179:AE179"/>
    <mergeCell ref="A176:AQ176"/>
    <mergeCell ref="A177:A178"/>
    <mergeCell ref="B177:K177"/>
    <mergeCell ref="L177:U177"/>
    <mergeCell ref="V177:AE177"/>
    <mergeCell ref="AF177:AO177"/>
    <mergeCell ref="B178:G178"/>
    <mergeCell ref="H178:K178"/>
    <mergeCell ref="L178:Q178"/>
    <mergeCell ref="R178:U178"/>
    <mergeCell ref="Z108:AB108"/>
    <mergeCell ref="AC108:AE108"/>
    <mergeCell ref="AG142:AK142"/>
    <mergeCell ref="A174:AM174"/>
    <mergeCell ref="AN174:AQ174"/>
    <mergeCell ref="A175:AQ175"/>
    <mergeCell ref="Z107:AB107"/>
    <mergeCell ref="AC107:AE107"/>
    <mergeCell ref="B108:D108"/>
    <mergeCell ref="E108:G108"/>
    <mergeCell ref="H108:J108"/>
    <mergeCell ref="K108:M108"/>
    <mergeCell ref="N108:P108"/>
    <mergeCell ref="Q108:S108"/>
    <mergeCell ref="T108:V108"/>
    <mergeCell ref="W108:Y108"/>
    <mergeCell ref="Z106:AB106"/>
    <mergeCell ref="AC106:AE106"/>
    <mergeCell ref="B107:D107"/>
    <mergeCell ref="E107:G107"/>
    <mergeCell ref="H107:J107"/>
    <mergeCell ref="K107:M107"/>
    <mergeCell ref="N107:P107"/>
    <mergeCell ref="Q107:S107"/>
    <mergeCell ref="T107:V107"/>
    <mergeCell ref="W107:Y107"/>
    <mergeCell ref="Z105:AB105"/>
    <mergeCell ref="AC105:AE105"/>
    <mergeCell ref="B106:D106"/>
    <mergeCell ref="E106:G106"/>
    <mergeCell ref="H106:J106"/>
    <mergeCell ref="K106:M106"/>
    <mergeCell ref="N106:P106"/>
    <mergeCell ref="Q106:S106"/>
    <mergeCell ref="T106:V106"/>
    <mergeCell ref="W106:Y106"/>
    <mergeCell ref="AC104:AE104"/>
    <mergeCell ref="AF104:AQ107"/>
    <mergeCell ref="B105:D105"/>
    <mergeCell ref="E105:G105"/>
    <mergeCell ref="H105:J105"/>
    <mergeCell ref="K105:M105"/>
    <mergeCell ref="N105:P105"/>
    <mergeCell ref="Q105:S105"/>
    <mergeCell ref="T105:V105"/>
    <mergeCell ref="W105:Y105"/>
    <mergeCell ref="B103:AI103"/>
    <mergeCell ref="B104:D104"/>
    <mergeCell ref="E104:G104"/>
    <mergeCell ref="H104:J104"/>
    <mergeCell ref="K104:M104"/>
    <mergeCell ref="N104:P104"/>
    <mergeCell ref="Q104:S104"/>
    <mergeCell ref="T104:V104"/>
    <mergeCell ref="W104:Y104"/>
    <mergeCell ref="Z104:AB104"/>
    <mergeCell ref="Z101:AB102"/>
    <mergeCell ref="AC101:AE102"/>
    <mergeCell ref="AF101:AF102"/>
    <mergeCell ref="AG101:AG102"/>
    <mergeCell ref="AH101:AI102"/>
    <mergeCell ref="B102:D102"/>
    <mergeCell ref="E102:K102"/>
    <mergeCell ref="A101:A102"/>
    <mergeCell ref="B101:D101"/>
    <mergeCell ref="E101:K101"/>
    <mergeCell ref="L101:P102"/>
    <mergeCell ref="R101:V102"/>
    <mergeCell ref="W101:Y102"/>
    <mergeCell ref="Z99:AB100"/>
    <mergeCell ref="AC99:AE100"/>
    <mergeCell ref="AF99:AF100"/>
    <mergeCell ref="AG99:AG100"/>
    <mergeCell ref="AH99:AI100"/>
    <mergeCell ref="B100:D100"/>
    <mergeCell ref="E100:K100"/>
    <mergeCell ref="A99:A100"/>
    <mergeCell ref="B99:D99"/>
    <mergeCell ref="E99:K99"/>
    <mergeCell ref="L99:P100"/>
    <mergeCell ref="R99:V100"/>
    <mergeCell ref="W99:Y100"/>
    <mergeCell ref="Z97:AB98"/>
    <mergeCell ref="AC97:AE98"/>
    <mergeCell ref="AF97:AF98"/>
    <mergeCell ref="AG97:AG98"/>
    <mergeCell ref="AH97:AI98"/>
    <mergeCell ref="B98:D98"/>
    <mergeCell ref="E98:K98"/>
    <mergeCell ref="A97:A98"/>
    <mergeCell ref="B97:D97"/>
    <mergeCell ref="E97:K97"/>
    <mergeCell ref="L97:P98"/>
    <mergeCell ref="R97:V98"/>
    <mergeCell ref="W97:Y98"/>
    <mergeCell ref="Z95:AB96"/>
    <mergeCell ref="AC95:AE96"/>
    <mergeCell ref="AF95:AF96"/>
    <mergeCell ref="AG95:AG96"/>
    <mergeCell ref="AH95:AI96"/>
    <mergeCell ref="B96:D96"/>
    <mergeCell ref="E96:K96"/>
    <mergeCell ref="AG93:AG94"/>
    <mergeCell ref="AH93:AI94"/>
    <mergeCell ref="B94:D94"/>
    <mergeCell ref="E94:K94"/>
    <mergeCell ref="A95:A96"/>
    <mergeCell ref="B95:D95"/>
    <mergeCell ref="E95:K95"/>
    <mergeCell ref="L95:P96"/>
    <mergeCell ref="R95:V96"/>
    <mergeCell ref="W95:Y96"/>
    <mergeCell ref="AH92:AI92"/>
    <mergeCell ref="A93:A94"/>
    <mergeCell ref="B93:D93"/>
    <mergeCell ref="E93:K93"/>
    <mergeCell ref="L93:P94"/>
    <mergeCell ref="R93:V94"/>
    <mergeCell ref="W93:Y94"/>
    <mergeCell ref="Z93:AB94"/>
    <mergeCell ref="AC93:AE94"/>
    <mergeCell ref="AF93:AF94"/>
    <mergeCell ref="C91:H91"/>
    <mergeCell ref="I91:J91"/>
    <mergeCell ref="K91:AI91"/>
    <mergeCell ref="B92:K92"/>
    <mergeCell ref="L92:P92"/>
    <mergeCell ref="Q92:Q102"/>
    <mergeCell ref="R92:V92"/>
    <mergeCell ref="W92:Y92"/>
    <mergeCell ref="Z92:AB92"/>
    <mergeCell ref="AC92:AE92"/>
    <mergeCell ref="Z23:AB23"/>
    <mergeCell ref="AC23:AE23"/>
    <mergeCell ref="AG57:AK57"/>
    <mergeCell ref="A89:AM89"/>
    <mergeCell ref="AN89:AQ89"/>
    <mergeCell ref="A90:AQ90"/>
    <mergeCell ref="Z22:AB22"/>
    <mergeCell ref="AC22:AE22"/>
    <mergeCell ref="B23:D23"/>
    <mergeCell ref="E23:G23"/>
    <mergeCell ref="H23:J23"/>
    <mergeCell ref="K23:M23"/>
    <mergeCell ref="N23:P23"/>
    <mergeCell ref="Q23:S23"/>
    <mergeCell ref="T23:V23"/>
    <mergeCell ref="W23:Y23"/>
    <mergeCell ref="Z21:AB21"/>
    <mergeCell ref="AC21:AE21"/>
    <mergeCell ref="B22:D22"/>
    <mergeCell ref="E22:G22"/>
    <mergeCell ref="H22:J22"/>
    <mergeCell ref="K22:M22"/>
    <mergeCell ref="N22:P22"/>
    <mergeCell ref="Q22:S22"/>
    <mergeCell ref="T22:V22"/>
    <mergeCell ref="W22:Y22"/>
    <mergeCell ref="Z20:AB20"/>
    <mergeCell ref="AC20:AE20"/>
    <mergeCell ref="B21:D21"/>
    <mergeCell ref="E21:G21"/>
    <mergeCell ref="H21:J21"/>
    <mergeCell ref="K21:M21"/>
    <mergeCell ref="N21:P21"/>
    <mergeCell ref="Q21:S21"/>
    <mergeCell ref="T21:V21"/>
    <mergeCell ref="W21:Y21"/>
    <mergeCell ref="AC19:AE19"/>
    <mergeCell ref="AF19:AQ22"/>
    <mergeCell ref="B20:D20"/>
    <mergeCell ref="E20:G20"/>
    <mergeCell ref="H20:J20"/>
    <mergeCell ref="K20:M20"/>
    <mergeCell ref="N20:P20"/>
    <mergeCell ref="Q20:S20"/>
    <mergeCell ref="T20:V20"/>
    <mergeCell ref="W20:Y20"/>
    <mergeCell ref="B18:AI18"/>
    <mergeCell ref="B19:D19"/>
    <mergeCell ref="E19:G19"/>
    <mergeCell ref="H19:J19"/>
    <mergeCell ref="K19:M19"/>
    <mergeCell ref="N19:P19"/>
    <mergeCell ref="Q19:S19"/>
    <mergeCell ref="T19:V19"/>
    <mergeCell ref="W19:Y19"/>
    <mergeCell ref="Z19:AB19"/>
    <mergeCell ref="Z16:AB17"/>
    <mergeCell ref="AC16:AE17"/>
    <mergeCell ref="AF16:AF17"/>
    <mergeCell ref="AG16:AG17"/>
    <mergeCell ref="AH16:AI17"/>
    <mergeCell ref="B17:D17"/>
    <mergeCell ref="E17:K17"/>
    <mergeCell ref="AG14:AG15"/>
    <mergeCell ref="AH14:AI15"/>
    <mergeCell ref="B15:D15"/>
    <mergeCell ref="E15:K15"/>
    <mergeCell ref="A16:A17"/>
    <mergeCell ref="B16:D16"/>
    <mergeCell ref="E16:K16"/>
    <mergeCell ref="L16:P17"/>
    <mergeCell ref="R16:V17"/>
    <mergeCell ref="W16:Y17"/>
    <mergeCell ref="AT13:AY14"/>
    <mergeCell ref="A14:A15"/>
    <mergeCell ref="B14:D14"/>
    <mergeCell ref="E14:K14"/>
    <mergeCell ref="L14:P15"/>
    <mergeCell ref="R14:V15"/>
    <mergeCell ref="W14:Y15"/>
    <mergeCell ref="Z14:AB15"/>
    <mergeCell ref="AC14:AE15"/>
    <mergeCell ref="AF14:AF15"/>
    <mergeCell ref="Z12:AB13"/>
    <mergeCell ref="AC12:AE13"/>
    <mergeCell ref="AF12:AF13"/>
    <mergeCell ref="AG12:AG13"/>
    <mergeCell ref="AH12:AI13"/>
    <mergeCell ref="B13:D13"/>
    <mergeCell ref="E13:K13"/>
    <mergeCell ref="A12:A13"/>
    <mergeCell ref="B12:D12"/>
    <mergeCell ref="E12:K12"/>
    <mergeCell ref="L12:P13"/>
    <mergeCell ref="R12:V13"/>
    <mergeCell ref="W12:Y13"/>
    <mergeCell ref="Z10:AB11"/>
    <mergeCell ref="AC10:AE11"/>
    <mergeCell ref="AF10:AF11"/>
    <mergeCell ref="AG10:AG11"/>
    <mergeCell ref="AH10:AI11"/>
    <mergeCell ref="B11:D11"/>
    <mergeCell ref="E11:K11"/>
    <mergeCell ref="A10:A11"/>
    <mergeCell ref="B10:D10"/>
    <mergeCell ref="E10:K10"/>
    <mergeCell ref="L10:P11"/>
    <mergeCell ref="R10:V11"/>
    <mergeCell ref="W10:Y11"/>
    <mergeCell ref="AC8:AE9"/>
    <mergeCell ref="AF8:AF9"/>
    <mergeCell ref="AG8:AG9"/>
    <mergeCell ref="AH8:AI9"/>
    <mergeCell ref="B9:D9"/>
    <mergeCell ref="E9:K9"/>
    <mergeCell ref="Z7:AB7"/>
    <mergeCell ref="AC7:AE7"/>
    <mergeCell ref="AH7:AI7"/>
    <mergeCell ref="A8:A9"/>
    <mergeCell ref="B8:D8"/>
    <mergeCell ref="E8:K8"/>
    <mergeCell ref="L8:P9"/>
    <mergeCell ref="R8:V9"/>
    <mergeCell ref="W8:Y9"/>
    <mergeCell ref="Z8:AB9"/>
    <mergeCell ref="B5:J5"/>
    <mergeCell ref="K5:AE5"/>
    <mergeCell ref="C6:H6"/>
    <mergeCell ref="I6:J6"/>
    <mergeCell ref="K6:AI6"/>
    <mergeCell ref="B7:K7"/>
    <mergeCell ref="L7:P7"/>
    <mergeCell ref="Q7:Q17"/>
    <mergeCell ref="R7:V7"/>
    <mergeCell ref="W7:Y7"/>
    <mergeCell ref="A4:D4"/>
    <mergeCell ref="E4:M4"/>
    <mergeCell ref="N4:Q4"/>
    <mergeCell ref="R4:AA4"/>
    <mergeCell ref="AB4:AE4"/>
    <mergeCell ref="AF4:AI4"/>
    <mergeCell ref="B3:O3"/>
    <mergeCell ref="P3:R3"/>
    <mergeCell ref="S3:X3"/>
    <mergeCell ref="Y3:AD3"/>
    <mergeCell ref="AE3:AF3"/>
    <mergeCell ref="AG3:AI3"/>
    <mergeCell ref="A1:AI1"/>
    <mergeCell ref="AT1:AW1"/>
    <mergeCell ref="AX1:AY1"/>
    <mergeCell ref="A2:I2"/>
    <mergeCell ref="J2:X2"/>
    <mergeCell ref="Y2:AC2"/>
    <mergeCell ref="AD2:AI2"/>
  </mergeCells>
  <conditionalFormatting sqref="A8 A93">
    <cfRule type="expression" dxfId="4181" priority="4" stopIfTrue="1">
      <formula>IF(AK9&gt;0,0,1)</formula>
    </cfRule>
  </conditionalFormatting>
  <conditionalFormatting sqref="A10:A11 A95:A96">
    <cfRule type="expression" dxfId="4180" priority="5" stopIfTrue="1">
      <formula>IF(#REF!&gt;1,0,1)</formula>
    </cfRule>
  </conditionalFormatting>
  <conditionalFormatting sqref="A12:A13 A97:A98">
    <cfRule type="expression" dxfId="4179" priority="6" stopIfTrue="1">
      <formula>IF(#REF!&gt;2,0,1)</formula>
    </cfRule>
  </conditionalFormatting>
  <conditionalFormatting sqref="A14:A15 A99:A100">
    <cfRule type="expression" dxfId="4178" priority="7" stopIfTrue="1">
      <formula>IF(#REF!&gt;3,0,1)</formula>
    </cfRule>
  </conditionalFormatting>
  <conditionalFormatting sqref="A16:A17 A101:A102">
    <cfRule type="expression" dxfId="4177" priority="8" stopIfTrue="1">
      <formula>IF(#REF!&gt;4,0,1)</formula>
    </cfRule>
  </conditionalFormatting>
  <conditionalFormatting sqref="B8 B93">
    <cfRule type="expression" dxfId="4176" priority="9" stopIfTrue="1">
      <formula>IF(AK9&gt;0,0,1)</formula>
    </cfRule>
  </conditionalFormatting>
  <conditionalFormatting sqref="B9 B94">
    <cfRule type="expression" dxfId="4175" priority="10" stopIfTrue="1">
      <formula>IF(AK9&gt;0,0,1)</formula>
    </cfRule>
  </conditionalFormatting>
  <conditionalFormatting sqref="B10 B95">
    <cfRule type="expression" dxfId="4174" priority="11" stopIfTrue="1">
      <formula>IF(#REF!&gt;1,0,1)</formula>
    </cfRule>
  </conditionalFormatting>
  <conditionalFormatting sqref="B11:D11 B96:D96">
    <cfRule type="expression" dxfId="4173" priority="12" stopIfTrue="1">
      <formula>IF(#REF!&gt;1,0,1)</formula>
    </cfRule>
  </conditionalFormatting>
  <conditionalFormatting sqref="B12:D12 B97:D97">
    <cfRule type="expression" dxfId="4172" priority="13" stopIfTrue="1">
      <formula>IF(#REF!&gt;2,0,1)</formula>
    </cfRule>
  </conditionalFormatting>
  <conditionalFormatting sqref="B13:D13 B98:D98">
    <cfRule type="expression" dxfId="4171" priority="14" stopIfTrue="1">
      <formula>IF(#REF!&gt;2,0,1)</formula>
    </cfRule>
  </conditionalFormatting>
  <conditionalFormatting sqref="B14:D14 B99:D99">
    <cfRule type="expression" dxfId="4170" priority="15" stopIfTrue="1">
      <formula>IF(#REF!&gt;3,0,1)</formula>
    </cfRule>
  </conditionalFormatting>
  <conditionalFormatting sqref="B15:D15 B100:D100">
    <cfRule type="expression" dxfId="4169" priority="16" stopIfTrue="1">
      <formula>IF(#REF!&gt;3,0,1)</formula>
    </cfRule>
  </conditionalFormatting>
  <conditionalFormatting sqref="B16:D16 B101:D101">
    <cfRule type="expression" dxfId="4168" priority="17" stopIfTrue="1">
      <formula>IF(#REF!&gt;4,0,1)</formula>
    </cfRule>
  </conditionalFormatting>
  <conditionalFormatting sqref="B17:D17 B102:D102">
    <cfRule type="expression" dxfId="4167" priority="18" stopIfTrue="1">
      <formula>IF(#REF!&gt;4,0,1)</formula>
    </cfRule>
  </conditionalFormatting>
  <conditionalFormatting sqref="E8 E93">
    <cfRule type="expression" dxfId="4166" priority="19" stopIfTrue="1">
      <formula>IF(AK9&gt;0,0,1)</formula>
    </cfRule>
  </conditionalFormatting>
  <conditionalFormatting sqref="E9 E94">
    <cfRule type="expression" dxfId="4165" priority="20" stopIfTrue="1">
      <formula>IF(AK9&gt;0,0,1)</formula>
    </cfRule>
  </conditionalFormatting>
  <conditionalFormatting sqref="E10 E95">
    <cfRule type="expression" dxfId="4164" priority="21" stopIfTrue="1">
      <formula>IF(#REF!&gt;1,0,1)</formula>
    </cfRule>
  </conditionalFormatting>
  <conditionalFormatting sqref="E11 E96">
    <cfRule type="expression" dxfId="4163" priority="22" stopIfTrue="1">
      <formula>IF(#REF!&gt;1,0,1)</formula>
    </cfRule>
  </conditionalFormatting>
  <conditionalFormatting sqref="E12 E97">
    <cfRule type="expression" dxfId="4162" priority="23" stopIfTrue="1">
      <formula>IF(#REF!&gt;2,0,1)</formula>
    </cfRule>
  </conditionalFormatting>
  <conditionalFormatting sqref="E13 E98">
    <cfRule type="expression" dxfId="4161" priority="24" stopIfTrue="1">
      <formula>IF(#REF!&gt;2,0,1)</formula>
    </cfRule>
  </conditionalFormatting>
  <conditionalFormatting sqref="E14 E99">
    <cfRule type="expression" dxfId="4160" priority="25" stopIfTrue="1">
      <formula>IF(#REF!&gt;3,0,1)</formula>
    </cfRule>
  </conditionalFormatting>
  <conditionalFormatting sqref="E15 E100">
    <cfRule type="expression" dxfId="4159" priority="26" stopIfTrue="1">
      <formula>IF(#REF!&gt;3,0,1)</formula>
    </cfRule>
  </conditionalFormatting>
  <conditionalFormatting sqref="E16 E101">
    <cfRule type="expression" dxfId="4158" priority="27" stopIfTrue="1">
      <formula>IF(#REF!&gt;4,0,1)</formula>
    </cfRule>
  </conditionalFormatting>
  <conditionalFormatting sqref="E17 E102">
    <cfRule type="expression" dxfId="4157" priority="28" stopIfTrue="1">
      <formula>IF(#REF!&gt;4,0,1)</formula>
    </cfRule>
  </conditionalFormatting>
  <conditionalFormatting sqref="AC8 AC93">
    <cfRule type="expression" dxfId="4156" priority="29" stopIfTrue="1">
      <formula>IF(AK11=1,IF(AK9&gt;0,0,1),1)</formula>
    </cfRule>
  </conditionalFormatting>
  <conditionalFormatting sqref="AC10:AE11 AC95:AE96">
    <cfRule type="expression" dxfId="4155" priority="30" stopIfTrue="1">
      <formula>IF(AK11=1,IF(#REF!&gt;1,0,1),1)</formula>
    </cfRule>
  </conditionalFormatting>
  <conditionalFormatting sqref="AC12:AE13 AC97:AE98">
    <cfRule type="expression" dxfId="4154" priority="31" stopIfTrue="1">
      <formula>IF(#REF!=1,IF(#REF!&gt;2,0,1),1)</formula>
    </cfRule>
  </conditionalFormatting>
  <conditionalFormatting sqref="AC14:AE15 AC99:AE100">
    <cfRule type="expression" dxfId="4153" priority="32" stopIfTrue="1">
      <formula>IF(#REF!=1,IF(#REF!&gt;3,0,1),1)</formula>
    </cfRule>
  </conditionalFormatting>
  <conditionalFormatting sqref="AC16:AE17 AC101:AE102">
    <cfRule type="expression" dxfId="4152" priority="33" stopIfTrue="1">
      <formula>IF(#REF!=1,IF(#REF!&gt;4,0,1),1)</formula>
    </cfRule>
  </conditionalFormatting>
  <conditionalFormatting sqref="AH8 AH93">
    <cfRule type="expression" dxfId="4151" priority="34" stopIfTrue="1">
      <formula>IF(AK9&gt;0,0,1)</formula>
    </cfRule>
  </conditionalFormatting>
  <conditionalFormatting sqref="AH10:AI11 AH95:AI96">
    <cfRule type="expression" dxfId="4150" priority="35" stopIfTrue="1">
      <formula>IF(#REF!&gt;1,0,1)</formula>
    </cfRule>
  </conditionalFormatting>
  <conditionalFormatting sqref="AH12:AI13 AH97:AI98">
    <cfRule type="expression" dxfId="4149" priority="36" stopIfTrue="1">
      <formula>IF(#REF!&gt;2,0,1)</formula>
    </cfRule>
  </conditionalFormatting>
  <conditionalFormatting sqref="AH14:AI15 AH99:AI100">
    <cfRule type="expression" dxfId="4148" priority="37" stopIfTrue="1">
      <formula>IF(#REF!&gt;3,0,1)</formula>
    </cfRule>
  </conditionalFormatting>
  <conditionalFormatting sqref="AH16:AI17 AH101:AI102">
    <cfRule type="expression" dxfId="4147" priority="38" stopIfTrue="1">
      <formula>IF(#REF!&gt;4,0,1)</formula>
    </cfRule>
  </conditionalFormatting>
  <conditionalFormatting sqref="B19:D19 B104:D104">
    <cfRule type="expression" dxfId="4146" priority="39" stopIfTrue="1">
      <formula>IF(#REF!&gt;0,0,1)</formula>
    </cfRule>
  </conditionalFormatting>
  <conditionalFormatting sqref="E19:G19 E104:G104">
    <cfRule type="expression" dxfId="4145" priority="40" stopIfTrue="1">
      <formula>IF(#REF!&gt;1,0,1)</formula>
    </cfRule>
  </conditionalFormatting>
  <conditionalFormatting sqref="H19:J19 H104:J104">
    <cfRule type="expression" dxfId="4144" priority="41" stopIfTrue="1">
      <formula>IF(#REF!&gt;2,0,1)</formula>
    </cfRule>
  </conditionalFormatting>
  <conditionalFormatting sqref="K19:M19 K104:M104">
    <cfRule type="expression" dxfId="4143" priority="42" stopIfTrue="1">
      <formula>IF(#REF!&gt;3,0,1)</formula>
    </cfRule>
  </conditionalFormatting>
  <conditionalFormatting sqref="N19:P19 N104:P104">
    <cfRule type="expression" dxfId="4142" priority="43" stopIfTrue="1">
      <formula>IF(#REF!&gt;4,0,1)</formula>
    </cfRule>
  </conditionalFormatting>
  <conditionalFormatting sqref="Q19:S19 Q104:S104">
    <cfRule type="expression" dxfId="4141" priority="44" stopIfTrue="1">
      <formula>IF(#REF!&gt;5,0,1)</formula>
    </cfRule>
  </conditionalFormatting>
  <conditionalFormatting sqref="T19:V19 T104:V104">
    <cfRule type="expression" dxfId="4140" priority="45" stopIfTrue="1">
      <formula>IF(#REF!&gt;6,0,1)</formula>
    </cfRule>
  </conditionalFormatting>
  <conditionalFormatting sqref="W19:Y19 W104:Y104">
    <cfRule type="expression" dxfId="4139" priority="46" stopIfTrue="1">
      <formula>IF(#REF!&gt;7,0,1)</formula>
    </cfRule>
  </conditionalFormatting>
  <conditionalFormatting sqref="Z19:AB19 Z104:AB104">
    <cfRule type="expression" dxfId="4138" priority="47" stopIfTrue="1">
      <formula>IF(#REF!&gt;8,0,1)</formula>
    </cfRule>
  </conditionalFormatting>
  <conditionalFormatting sqref="AC19:AE19 AC104:AE104">
    <cfRule type="expression" dxfId="4137" priority="48" stopIfTrue="1">
      <formula>IF(#REF!&gt;9,0,1)</formula>
    </cfRule>
  </conditionalFormatting>
  <conditionalFormatting sqref="B20:D20 B105:D105">
    <cfRule type="expression" dxfId="4136" priority="49" stopIfTrue="1">
      <formula>IF(#REF!&gt;0,0,1)</formula>
    </cfRule>
  </conditionalFormatting>
  <conditionalFormatting sqref="E20:G20 E105:G105">
    <cfRule type="expression" dxfId="4135" priority="50" stopIfTrue="1">
      <formula>IF(#REF!&gt;1,0,1)</formula>
    </cfRule>
  </conditionalFormatting>
  <conditionalFormatting sqref="H20:J20 H105:J105">
    <cfRule type="expression" dxfId="4134" priority="51" stopIfTrue="1">
      <formula>IF(#REF!&gt;2,0,1)</formula>
    </cfRule>
  </conditionalFormatting>
  <conditionalFormatting sqref="K20:M20 K105:M105">
    <cfRule type="expression" dxfId="4133" priority="52" stopIfTrue="1">
      <formula>IF(#REF!&gt;3,0,1)</formula>
    </cfRule>
  </conditionalFormatting>
  <conditionalFormatting sqref="N20:P20 N105:P105">
    <cfRule type="expression" dxfId="4132" priority="53" stopIfTrue="1">
      <formula>IF(#REF!&gt;4,0,1)</formula>
    </cfRule>
  </conditionalFormatting>
  <conditionalFormatting sqref="Q20:S20 Q105:S105">
    <cfRule type="expression" dxfId="4131" priority="54" stopIfTrue="1">
      <formula>IF(#REF!&gt;5,0,1)</formula>
    </cfRule>
  </conditionalFormatting>
  <conditionalFormatting sqref="T20:V20 T105:V105">
    <cfRule type="expression" dxfId="4130" priority="55" stopIfTrue="1">
      <formula>IF(#REF!&gt;6,0,1)</formula>
    </cfRule>
  </conditionalFormatting>
  <conditionalFormatting sqref="W20:Y20 W105:Y105">
    <cfRule type="expression" dxfId="4129" priority="56" stopIfTrue="1">
      <formula>IF(#REF!&gt;7,0,1)</formula>
    </cfRule>
  </conditionalFormatting>
  <conditionalFormatting sqref="Z20:AB20 Z105:AB105">
    <cfRule type="expression" dxfId="4128" priority="57" stopIfTrue="1">
      <formula>IF(#REF!&gt;8,0,1)</formula>
    </cfRule>
  </conditionalFormatting>
  <conditionalFormatting sqref="AC20:AE20 AC105:AE105">
    <cfRule type="expression" dxfId="4127" priority="58" stopIfTrue="1">
      <formula>IF(#REF!&gt;9,0,1)</formula>
    </cfRule>
  </conditionalFormatting>
  <conditionalFormatting sqref="E22:G22 E107:G107">
    <cfRule type="expression" dxfId="4126" priority="59" stopIfTrue="1">
      <formula>IF(#REF!&gt;1,0,1)</formula>
    </cfRule>
  </conditionalFormatting>
  <conditionalFormatting sqref="H22:J22 H107:J107">
    <cfRule type="expression" dxfId="4125" priority="60" stopIfTrue="1">
      <formula>IF(#REF!&gt;2,0,1)</formula>
    </cfRule>
  </conditionalFormatting>
  <conditionalFormatting sqref="K22:M22 K107:M107">
    <cfRule type="expression" dxfId="4124" priority="61" stopIfTrue="1">
      <formula>IF(#REF!&gt;3,0,1)</formula>
    </cfRule>
  </conditionalFormatting>
  <conditionalFormatting sqref="N22:P22 N107:P107">
    <cfRule type="expression" dxfId="4123" priority="62" stopIfTrue="1">
      <formula>IF(#REF!&gt;4,0,1)</formula>
    </cfRule>
  </conditionalFormatting>
  <conditionalFormatting sqref="Q22:S22 Q107:S107">
    <cfRule type="expression" dxfId="4122" priority="63" stopIfTrue="1">
      <formula>IF(#REF!&gt;5,0,1)</formula>
    </cfRule>
  </conditionalFormatting>
  <conditionalFormatting sqref="T22:V22 T107:V107">
    <cfRule type="expression" dxfId="4121" priority="64" stopIfTrue="1">
      <formula>IF(#REF!&gt;6,0,1)</formula>
    </cfRule>
  </conditionalFormatting>
  <conditionalFormatting sqref="W22:Y22 W107:Y107">
    <cfRule type="expression" dxfId="4120" priority="65" stopIfTrue="1">
      <formula>IF(#REF!&gt;7,0,1)</formula>
    </cfRule>
  </conditionalFormatting>
  <conditionalFormatting sqref="Z22:AB22 Z107:AB107">
    <cfRule type="expression" dxfId="4119" priority="66" stopIfTrue="1">
      <formula>IF(#REF!&gt;8,0,1)</formula>
    </cfRule>
  </conditionalFormatting>
  <conditionalFormatting sqref="AC22:AE22 AC107:AE107">
    <cfRule type="expression" dxfId="4118" priority="67" stopIfTrue="1">
      <formula>IF(#REF!&gt;9,0,1)</formula>
    </cfRule>
  </conditionalFormatting>
  <conditionalFormatting sqref="B24 B109">
    <cfRule type="expression" dxfId="4117" priority="68" stopIfTrue="1">
      <formula>IF(#REF!&gt;0,0,1)</formula>
    </cfRule>
  </conditionalFormatting>
  <conditionalFormatting sqref="C24 C109">
    <cfRule type="expression" dxfId="4116" priority="69" stopIfTrue="1">
      <formula>IF(#REF!&gt;0,0,1)</formula>
    </cfRule>
  </conditionalFormatting>
  <conditionalFormatting sqref="D24 D109">
    <cfRule type="expression" dxfId="4115" priority="70" stopIfTrue="1">
      <formula>IF(#REF!&gt;0,0,1)</formula>
    </cfRule>
  </conditionalFormatting>
  <conditionalFormatting sqref="E23:G23 E108:G108">
    <cfRule type="expression" dxfId="4114" priority="71" stopIfTrue="1">
      <formula>IF(#REF!&gt;1,0,1)</formula>
    </cfRule>
  </conditionalFormatting>
  <conditionalFormatting sqref="F24 F109">
    <cfRule type="expression" dxfId="4113" priority="72" stopIfTrue="1">
      <formula>IF(#REF!&gt;1,0,1)</formula>
    </cfRule>
  </conditionalFormatting>
  <conditionalFormatting sqref="G24 G109">
    <cfRule type="expression" dxfId="4112" priority="73" stopIfTrue="1">
      <formula>IF(#REF!&gt;1,0,1)</formula>
    </cfRule>
  </conditionalFormatting>
  <conditionalFormatting sqref="H23:J23 H108:J108">
    <cfRule type="expression" dxfId="4111" priority="74" stopIfTrue="1">
      <formula>IF(#REF!&gt;2,0,1)</formula>
    </cfRule>
  </conditionalFormatting>
  <conditionalFormatting sqref="I24 I109">
    <cfRule type="expression" dxfId="4110" priority="75" stopIfTrue="1">
      <formula>IF(#REF!&gt;2,0,1)</formula>
    </cfRule>
  </conditionalFormatting>
  <conditionalFormatting sqref="J24 J109">
    <cfRule type="expression" dxfId="4109" priority="76" stopIfTrue="1">
      <formula>IF(#REF!&gt;2,0,1)</formula>
    </cfRule>
  </conditionalFormatting>
  <conditionalFormatting sqref="K23:M23 K108:M108">
    <cfRule type="expression" dxfId="4108" priority="77" stopIfTrue="1">
      <formula>IF(#REF!&gt;3,0,1)</formula>
    </cfRule>
  </conditionalFormatting>
  <conditionalFormatting sqref="L24 L109">
    <cfRule type="expression" dxfId="4107" priority="78" stopIfTrue="1">
      <formula>IF(#REF!&gt;3,0,1)</formula>
    </cfRule>
  </conditionalFormatting>
  <conditionalFormatting sqref="M24 M109">
    <cfRule type="expression" dxfId="4106" priority="79" stopIfTrue="1">
      <formula>IF(#REF!&gt;3,0,1)</formula>
    </cfRule>
  </conditionalFormatting>
  <conditionalFormatting sqref="N23:P23 N108:P108">
    <cfRule type="expression" dxfId="4105" priority="80" stopIfTrue="1">
      <formula>IF(#REF!&gt;4,0,1)</formula>
    </cfRule>
  </conditionalFormatting>
  <conditionalFormatting sqref="O24 O109">
    <cfRule type="expression" dxfId="4104" priority="81" stopIfTrue="1">
      <formula>IF(#REF!&gt;4,0,1)</formula>
    </cfRule>
  </conditionalFormatting>
  <conditionalFormatting sqref="P24 P109">
    <cfRule type="expression" dxfId="4103" priority="82" stopIfTrue="1">
      <formula>IF(#REF!&gt;4,0,1)</formula>
    </cfRule>
  </conditionalFormatting>
  <conditionalFormatting sqref="Q23:S23 Q108:S108">
    <cfRule type="expression" dxfId="4102" priority="83" stopIfTrue="1">
      <formula>IF(#REF!&gt;5,0,1)</formula>
    </cfRule>
  </conditionalFormatting>
  <conditionalFormatting sqref="R24 R109">
    <cfRule type="expression" dxfId="4101" priority="84" stopIfTrue="1">
      <formula>IF(#REF!&gt;5,0,1)</formula>
    </cfRule>
  </conditionalFormatting>
  <conditionalFormatting sqref="S24 S109">
    <cfRule type="expression" dxfId="4100" priority="85" stopIfTrue="1">
      <formula>IF(#REF!&gt;5,0,1)</formula>
    </cfRule>
  </conditionalFormatting>
  <conditionalFormatting sqref="T23:V23 T108:V108">
    <cfRule type="expression" dxfId="4099" priority="86" stopIfTrue="1">
      <formula>IF(#REF!&gt;6,0,1)</formula>
    </cfRule>
  </conditionalFormatting>
  <conditionalFormatting sqref="U24 U109">
    <cfRule type="expression" dxfId="4098" priority="87" stopIfTrue="1">
      <formula>IF(#REF!&gt;6,0,1)</formula>
    </cfRule>
  </conditionalFormatting>
  <conditionalFormatting sqref="V24 V109">
    <cfRule type="expression" dxfId="4097" priority="88" stopIfTrue="1">
      <formula>IF(#REF!&gt;6,0,1)</formula>
    </cfRule>
  </conditionalFormatting>
  <conditionalFormatting sqref="W23:Y23 W108:Y108">
    <cfRule type="expression" dxfId="4096" priority="89" stopIfTrue="1">
      <formula>IF(#REF!&gt;7,0,1)</formula>
    </cfRule>
  </conditionalFormatting>
  <conditionalFormatting sqref="X24 X109">
    <cfRule type="expression" dxfId="4095" priority="90" stopIfTrue="1">
      <formula>IF(#REF!&gt;7,0,1)</formula>
    </cfRule>
  </conditionalFormatting>
  <conditionalFormatting sqref="Y24 Y109">
    <cfRule type="expression" dxfId="4094" priority="91" stopIfTrue="1">
      <formula>IF(#REF!&gt;7,0,1)</formula>
    </cfRule>
  </conditionalFormatting>
  <conditionalFormatting sqref="Z23:AB23 Z108:AB108">
    <cfRule type="expression" dxfId="4093" priority="92" stopIfTrue="1">
      <formula>IF(#REF!&gt;8,0,1)</formula>
    </cfRule>
  </conditionalFormatting>
  <conditionalFormatting sqref="AA24 AA109">
    <cfRule type="expression" dxfId="4092" priority="93" stopIfTrue="1">
      <formula>IF(#REF!&gt;8,0,1)</formula>
    </cfRule>
  </conditionalFormatting>
  <conditionalFormatting sqref="AB24 AB109">
    <cfRule type="expression" dxfId="4091" priority="94" stopIfTrue="1">
      <formula>IF(#REF!&gt;8,0,1)</formula>
    </cfRule>
  </conditionalFormatting>
  <conditionalFormatting sqref="AC23:AE23 AC108:AE108">
    <cfRule type="expression" dxfId="4090" priority="95" stopIfTrue="1">
      <formula>IF(#REF!&gt;9,0,1)</formula>
    </cfRule>
  </conditionalFormatting>
  <conditionalFormatting sqref="AD24 AD109">
    <cfRule type="expression" dxfId="4089" priority="96" stopIfTrue="1">
      <formula>IF(#REF!&gt;9,0,1)</formula>
    </cfRule>
  </conditionalFormatting>
  <conditionalFormatting sqref="AE24 AE109">
    <cfRule type="expression" dxfId="4088" priority="97" stopIfTrue="1">
      <formula>IF(#REF!&gt;9,0,1)</formula>
    </cfRule>
  </conditionalFormatting>
  <conditionalFormatting sqref="A26 A111">
    <cfRule type="expression" dxfId="4087" priority="98" stopIfTrue="1">
      <formula>IF(#REF!&gt;1,0,1)</formula>
    </cfRule>
  </conditionalFormatting>
  <conditionalFormatting sqref="A27 A112">
    <cfRule type="expression" dxfId="4086" priority="99" stopIfTrue="1">
      <formula>IF(#REF!&gt;2,0,1)</formula>
    </cfRule>
  </conditionalFormatting>
  <conditionalFormatting sqref="A28 A113">
    <cfRule type="expression" dxfId="4085" priority="100" stopIfTrue="1">
      <formula>IF(#REF!&gt;3,0,1)</formula>
    </cfRule>
  </conditionalFormatting>
  <conditionalFormatting sqref="A29 A114">
    <cfRule type="expression" dxfId="4084" priority="101" stopIfTrue="1">
      <formula>IF(#REF!&gt;4,0,1)</formula>
    </cfRule>
  </conditionalFormatting>
  <conditionalFormatting sqref="B25:D25 B110:D110">
    <cfRule type="expression" dxfId="4083" priority="102" stopIfTrue="1">
      <formula>IF(#REF!&gt;0,0,1)</formula>
    </cfRule>
  </conditionalFormatting>
  <conditionalFormatting sqref="B26:D26 B111:D111">
    <cfRule type="expression" dxfId="4082" priority="103" stopIfTrue="1">
      <formula>IF(#REF!&lt;1,1,IF(#REF!&lt;2,1,0))</formula>
    </cfRule>
  </conditionalFormatting>
  <conditionalFormatting sqref="B27:D27 B112:D112">
    <cfRule type="expression" dxfId="4081" priority="104" stopIfTrue="1">
      <formula>IF(#REF!&lt;1,1,IF(#REF!&lt;3,1,0))</formula>
    </cfRule>
  </conditionalFormatting>
  <conditionalFormatting sqref="B28:D28 B113:D113">
    <cfRule type="expression" dxfId="4080" priority="105" stopIfTrue="1">
      <formula>IF(#REF!&lt;1,1,IF(#REF!&lt;4,1,0))</formula>
    </cfRule>
  </conditionalFormatting>
  <conditionalFormatting sqref="B29:D29 B114:D114">
    <cfRule type="expression" dxfId="4079" priority="106" stopIfTrue="1">
      <formula>IF(#REF!&lt;1,1,IF(#REF!&lt;5,1,0))</formula>
    </cfRule>
  </conditionalFormatting>
  <conditionalFormatting sqref="AG23 AG108">
    <cfRule type="expression" dxfId="4078" priority="107" stopIfTrue="1">
      <formula>IF(#REF!&lt;1,1,0)</formula>
    </cfRule>
  </conditionalFormatting>
  <conditionalFormatting sqref="AH23 AH108">
    <cfRule type="expression" dxfId="4077" priority="108" stopIfTrue="1">
      <formula>IF(#REF!&lt;2,1,0)</formula>
    </cfRule>
  </conditionalFormatting>
  <conditionalFormatting sqref="AI23 AI108">
    <cfRule type="expression" dxfId="4076" priority="109" stopIfTrue="1">
      <formula>IF(#REF!&lt;3,1,0)</formula>
    </cfRule>
  </conditionalFormatting>
  <conditionalFormatting sqref="AJ23 AJ108">
    <cfRule type="expression" dxfId="4075" priority="110" stopIfTrue="1">
      <formula>IF(#REF!&lt;4,1,0)</formula>
    </cfRule>
  </conditionalFormatting>
  <conditionalFormatting sqref="AK23 AK108">
    <cfRule type="expression" dxfId="4074" priority="111" stopIfTrue="1">
      <formula>IF(#REF!&lt;5,1,0)</formula>
    </cfRule>
  </conditionalFormatting>
  <conditionalFormatting sqref="AL23 AL108">
    <cfRule type="expression" dxfId="4073" priority="112" stopIfTrue="1">
      <formula>IF(#REF!&lt;6,1,0)</formula>
    </cfRule>
  </conditionalFormatting>
  <conditionalFormatting sqref="AM23 AM108">
    <cfRule type="expression" dxfId="4072" priority="113" stopIfTrue="1">
      <formula>IF(#REF!&lt;7,1,0)</formula>
    </cfRule>
  </conditionalFormatting>
  <conditionalFormatting sqref="AN23 AN108">
    <cfRule type="expression" dxfId="4071" priority="114" stopIfTrue="1">
      <formula>IF(#REF!&lt;8,1,0)</formula>
    </cfRule>
  </conditionalFormatting>
  <conditionalFormatting sqref="AO23 AO108">
    <cfRule type="expression" dxfId="4070" priority="115" stopIfTrue="1">
      <formula>IF(#REF!&lt;9,1,0)</formula>
    </cfRule>
  </conditionalFormatting>
  <conditionalFormatting sqref="AP23 AP108">
    <cfRule type="expression" dxfId="4069" priority="116" stopIfTrue="1">
      <formula>IF(#REF!&lt;10,1,0)</formula>
    </cfRule>
  </conditionalFormatting>
  <conditionalFormatting sqref="AQ24 AQ109">
    <cfRule type="expression" dxfId="4068" priority="117" stopIfTrue="1">
      <formula>IF(#REF!&gt;0,0,1)</formula>
    </cfRule>
  </conditionalFormatting>
  <conditionalFormatting sqref="AQ25 AQ110">
    <cfRule type="expression" dxfId="4067" priority="118" stopIfTrue="1">
      <formula>IF(#REF!&gt;1,0,1)</formula>
    </cfRule>
  </conditionalFormatting>
  <conditionalFormatting sqref="AQ26 H25:J25 AQ111 H110:J110">
    <cfRule type="expression" dxfId="4066" priority="119" stopIfTrue="1">
      <formula>IF(#REF!&gt;2,0,1)</formula>
    </cfRule>
  </conditionalFormatting>
  <conditionalFormatting sqref="K25:M25 K110:M110">
    <cfRule type="expression" dxfId="4065" priority="120" stopIfTrue="1">
      <formula>IF(#REF!&gt;3,0,1)</formula>
    </cfRule>
  </conditionalFormatting>
  <conditionalFormatting sqref="AQ28 AQ113">
    <cfRule type="expression" dxfId="4064" priority="121" stopIfTrue="1">
      <formula>IF(#REF!&gt;4,0,1)</formula>
    </cfRule>
  </conditionalFormatting>
  <conditionalFormatting sqref="E26:G26 E111:G111">
    <cfRule type="expression" dxfId="4063" priority="122" stopIfTrue="1">
      <formula>IF(#REF!&lt;2,1,IF(#REF!&lt;2,1,0))</formula>
    </cfRule>
  </conditionalFormatting>
  <conditionalFormatting sqref="E27:G27 E112:G112">
    <cfRule type="expression" dxfId="4062" priority="123" stopIfTrue="1">
      <formula>IF(#REF!&lt;2,1,IF(#REF!&lt;3,1,0))</formula>
    </cfRule>
  </conditionalFormatting>
  <conditionalFormatting sqref="E28:G28 E113:G113">
    <cfRule type="expression" dxfId="4061" priority="124" stopIfTrue="1">
      <formula>IF(#REF!&lt;2,1,IF(#REF!&lt;4,1,0))</formula>
    </cfRule>
  </conditionalFormatting>
  <conditionalFormatting sqref="E29:G29 E114:G114">
    <cfRule type="expression" dxfId="4060" priority="125" stopIfTrue="1">
      <formula>IF(#REF!&lt;2,1,IF(#REF!&lt;5,1,0))</formula>
    </cfRule>
  </conditionalFormatting>
  <conditionalFormatting sqref="N25:P25 N110:P110">
    <cfRule type="expression" dxfId="4059" priority="126" stopIfTrue="1">
      <formula>IF(#REF!&gt;4,0,1)</formula>
    </cfRule>
  </conditionalFormatting>
  <conditionalFormatting sqref="Q25:S25 Q110:S110">
    <cfRule type="expression" dxfId="4058" priority="127" stopIfTrue="1">
      <formula>IF(#REF!&gt;5,0,1)</formula>
    </cfRule>
  </conditionalFormatting>
  <conditionalFormatting sqref="T25:V25 T110:V110">
    <cfRule type="expression" dxfId="4057" priority="128" stopIfTrue="1">
      <formula>IF(#REF!&gt;6,0,1)</formula>
    </cfRule>
  </conditionalFormatting>
  <conditionalFormatting sqref="W25:Y25 W110:Y110">
    <cfRule type="expression" dxfId="4056" priority="129" stopIfTrue="1">
      <formula>IF(#REF!&gt;7,0,1)</formula>
    </cfRule>
  </conditionalFormatting>
  <conditionalFormatting sqref="Z25:AB25 Z110:AB110">
    <cfRule type="expression" dxfId="4055" priority="130" stopIfTrue="1">
      <formula>IF(#REF!&gt;8,0,1)</formula>
    </cfRule>
  </conditionalFormatting>
  <conditionalFormatting sqref="AC25:AE25 AC110:AE110">
    <cfRule type="expression" dxfId="4054" priority="131" stopIfTrue="1">
      <formula>IF(#REF!&gt;9,0,1)</formula>
    </cfRule>
  </conditionalFormatting>
  <conditionalFormatting sqref="H26:J26 H111:J111">
    <cfRule type="expression" dxfId="4053" priority="132" stopIfTrue="1">
      <formula>IF(#REF!&lt;3,1,IF(#REF!&lt;2,1,0))</formula>
    </cfRule>
  </conditionalFormatting>
  <conditionalFormatting sqref="K26:M26 K111:M111">
    <cfRule type="expression" dxfId="4052" priority="133" stopIfTrue="1">
      <formula>IF(#REF!&lt;4,1,IF(#REF!&lt;2,1,0))</formula>
    </cfRule>
  </conditionalFormatting>
  <conditionalFormatting sqref="N26:P26 N111:P111">
    <cfRule type="expression" dxfId="4051" priority="134" stopIfTrue="1">
      <formula>IF(#REF!&lt;5,1,IF(#REF!&lt;2,1,0))</formula>
    </cfRule>
  </conditionalFormatting>
  <conditionalFormatting sqref="Q26:S26 Q111:S111">
    <cfRule type="expression" dxfId="4050" priority="135" stopIfTrue="1">
      <formula>IF(#REF!&lt;6,1,IF(#REF!&lt;2,1,0))</formula>
    </cfRule>
  </conditionalFormatting>
  <conditionalFormatting sqref="T26:V26 T111:V111">
    <cfRule type="expression" dxfId="4049" priority="136" stopIfTrue="1">
      <formula>IF(#REF!&lt;7,1,IF(#REF!&lt;2,1,0))</formula>
    </cfRule>
  </conditionalFormatting>
  <conditionalFormatting sqref="W26:Y26 W111:Y111">
    <cfRule type="expression" dxfId="4048" priority="137" stopIfTrue="1">
      <formula>IF(#REF!&lt;8,1,IF(#REF!&lt;2,1,0))</formula>
    </cfRule>
  </conditionalFormatting>
  <conditionalFormatting sqref="Z26:AB26 Z111:AB111">
    <cfRule type="expression" dxfId="4047" priority="138" stopIfTrue="1">
      <formula>IF(#REF!&lt;9,1,IF(#REF!&lt;2,1,0))</formula>
    </cfRule>
  </conditionalFormatting>
  <conditionalFormatting sqref="AC26:AE26 AC111:AE111">
    <cfRule type="expression" dxfId="4046" priority="139" stopIfTrue="1">
      <formula>IF(#REF!&lt;10,1,IF(#REF!&lt;2,1,0))</formula>
    </cfRule>
  </conditionalFormatting>
  <conditionalFormatting sqref="H27:J27 H112:J112">
    <cfRule type="expression" dxfId="4045" priority="140" stopIfTrue="1">
      <formula>IF(#REF!&lt;3,1,IF(#REF!&lt;3,1,0))</formula>
    </cfRule>
  </conditionalFormatting>
  <conditionalFormatting sqref="K27:M27 K112:M112">
    <cfRule type="expression" dxfId="4044" priority="141" stopIfTrue="1">
      <formula>IF(#REF!&lt;4,1,IF(#REF!&lt;3,1,0))</formula>
    </cfRule>
  </conditionalFormatting>
  <conditionalFormatting sqref="N27:P27 N112:P112">
    <cfRule type="expression" dxfId="4043" priority="142" stopIfTrue="1">
      <formula>IF(#REF!&lt;5,1,IF(#REF!&lt;3,1,0))</formula>
    </cfRule>
  </conditionalFormatting>
  <conditionalFormatting sqref="Q27:S27 Q112:S112">
    <cfRule type="expression" dxfId="4042" priority="143" stopIfTrue="1">
      <formula>IF(#REF!&lt;6,1,IF(#REF!&lt;3,1,0))</formula>
    </cfRule>
  </conditionalFormatting>
  <conditionalFormatting sqref="T27:V27 T112:V112">
    <cfRule type="expression" dxfId="4041" priority="144" stopIfTrue="1">
      <formula>IF(#REF!&lt;7,1,IF(#REF!&lt;3,1,0))</formula>
    </cfRule>
  </conditionalFormatting>
  <conditionalFormatting sqref="W27:Y27 W112:Y112">
    <cfRule type="expression" dxfId="4040" priority="145" stopIfTrue="1">
      <formula>IF(#REF!&lt;8,1,IF(#REF!&lt;3,1,0))</formula>
    </cfRule>
  </conditionalFormatting>
  <conditionalFormatting sqref="Z27:AB27 Z112:AB112">
    <cfRule type="expression" dxfId="4039" priority="146" stopIfTrue="1">
      <formula>IF(#REF!&lt;9,1,IF(#REF!&lt;3,1,0))</formula>
    </cfRule>
  </conditionalFormatting>
  <conditionalFormatting sqref="AC27:AE27 AC112:AE112">
    <cfRule type="expression" dxfId="4038" priority="147" stopIfTrue="1">
      <formula>IF(#REF!&lt;10,1,IF(#REF!&lt;3,1,0))</formula>
    </cfRule>
  </conditionalFormatting>
  <conditionalFormatting sqref="H28:J28 H113:J113">
    <cfRule type="expression" dxfId="4037" priority="148" stopIfTrue="1">
      <formula>IF(#REF!&lt;3,1,IF(#REF!&lt;4,1,0))</formula>
    </cfRule>
  </conditionalFormatting>
  <conditionalFormatting sqref="K28:M28 K113:M113">
    <cfRule type="expression" dxfId="4036" priority="149" stopIfTrue="1">
      <formula>IF(#REF!&lt;4,1,IF(#REF!&lt;4,1,0))</formula>
    </cfRule>
  </conditionalFormatting>
  <conditionalFormatting sqref="N28:P28 N113:P113">
    <cfRule type="expression" dxfId="4035" priority="150" stopIfTrue="1">
      <formula>IF(#REF!&lt;5,1,IF(#REF!&lt;4,1,0))</formula>
    </cfRule>
  </conditionalFormatting>
  <conditionalFormatting sqref="Q28:S28 Q113:S113">
    <cfRule type="expression" dxfId="4034" priority="151" stopIfTrue="1">
      <formula>IF(#REF!&lt;6,1,IF(#REF!&lt;4,1,0))</formula>
    </cfRule>
  </conditionalFormatting>
  <conditionalFormatting sqref="T28:V28 T113:V113">
    <cfRule type="expression" dxfId="4033" priority="152" stopIfTrue="1">
      <formula>IF(#REF!&lt;7,1,IF(#REF!&lt;4,1,0))</formula>
    </cfRule>
  </conditionalFormatting>
  <conditionalFormatting sqref="W28:Y28 W113:Y113">
    <cfRule type="expression" dxfId="4032" priority="153" stopIfTrue="1">
      <formula>IF(#REF!&lt;8,1,IF(#REF!&lt;4,1,0))</formula>
    </cfRule>
  </conditionalFormatting>
  <conditionalFormatting sqref="Z28:AB28 Z113:AB113">
    <cfRule type="expression" dxfId="4031" priority="154" stopIfTrue="1">
      <formula>IF(#REF!&lt;9,1,IF(#REF!&lt;4,1,0))</formula>
    </cfRule>
  </conditionalFormatting>
  <conditionalFormatting sqref="AC28:AE28 AC113:AE113">
    <cfRule type="expression" dxfId="4030" priority="155" stopIfTrue="1">
      <formula>IF(#REF!&lt;10,1,IF(#REF!&lt;4,1,0))</formula>
    </cfRule>
  </conditionalFormatting>
  <conditionalFormatting sqref="H29:J29 H114:J114">
    <cfRule type="expression" dxfId="4029" priority="156" stopIfTrue="1">
      <formula>IF(#REF!&lt;3,1,IF(#REF!&lt;5,1,0))</formula>
    </cfRule>
  </conditionalFormatting>
  <conditionalFormatting sqref="K29:M29 K114:M114">
    <cfRule type="expression" dxfId="4028" priority="157" stopIfTrue="1">
      <formula>IF(#REF!&lt;4,1,IF(#REF!&lt;5,1,0))</formula>
    </cfRule>
  </conditionalFormatting>
  <conditionalFormatting sqref="N29:P29 N114:P114">
    <cfRule type="expression" dxfId="4027" priority="158" stopIfTrue="1">
      <formula>IF(#REF!&lt;5,1,IF(#REF!&lt;5,1,0))</formula>
    </cfRule>
  </conditionalFormatting>
  <conditionalFormatting sqref="Q29:S29 Q114:S114">
    <cfRule type="expression" dxfId="4026" priority="159" stopIfTrue="1">
      <formula>IF(#REF!&lt;6,1,IF(#REF!&lt;5,1,0))</formula>
    </cfRule>
  </conditionalFormatting>
  <conditionalFormatting sqref="T29:V29 T114:V114">
    <cfRule type="expression" dxfId="4025" priority="160" stopIfTrue="1">
      <formula>IF(#REF!&lt;7,1,IF(#REF!&lt;5,1,0))</formula>
    </cfRule>
  </conditionalFormatting>
  <conditionalFormatting sqref="W29:Y29 W114:Y114">
    <cfRule type="expression" dxfId="4024" priority="161" stopIfTrue="1">
      <formula>IF(#REF!&lt;8,1,IF(#REF!&lt;5,1,0))</formula>
    </cfRule>
  </conditionalFormatting>
  <conditionalFormatting sqref="Z29:AB29 Z114:AB114">
    <cfRule type="expression" dxfId="4023" priority="162" stopIfTrue="1">
      <formula>IF(#REF!&lt;9,1,IF(#REF!&lt;5,1,0))</formula>
    </cfRule>
  </conditionalFormatting>
  <conditionalFormatting sqref="AC29:AE29 AC114:AE114">
    <cfRule type="expression" dxfId="4022" priority="163" stopIfTrue="1">
      <formula>IF(#REF!&lt;10,1,IF(#REF!&lt;5,1,0))</formula>
    </cfRule>
  </conditionalFormatting>
  <conditionalFormatting sqref="R14:AB15 AF14:AF15 L14:P15 R99:AB100 AF99:AF100 L99:P100 AG14 AG99">
    <cfRule type="expression" dxfId="4021" priority="164" stopIfTrue="1">
      <formula>IF(#REF!&gt;3,0,1)</formula>
    </cfRule>
  </conditionalFormatting>
  <conditionalFormatting sqref="R16:AB17 AF16:AF17 L16:P17 R101:AB102 AF101:AF102 L101:P102 AG16 AG101">
    <cfRule type="expression" dxfId="4020" priority="165" stopIfTrue="1">
      <formula>IF(#REF!&gt;4,0,1)</formula>
    </cfRule>
  </conditionalFormatting>
  <conditionalFormatting sqref="R8:AB9 AF8:AF9 L8:P9 R93:AB94 AF93:AF94 L93:P94 AG8 AG93">
    <cfRule type="expression" dxfId="4019" priority="166" stopIfTrue="1">
      <formula>IF($AK9&gt;0,0,1)</formula>
    </cfRule>
  </conditionalFormatting>
  <conditionalFormatting sqref="R10:AB11 AF10:AF11 L10:P11 R95:AB96 AF95:AF96 L95:P96 AG10 AG95">
    <cfRule type="expression" dxfId="4018" priority="167" stopIfTrue="1">
      <formula>IF(#REF!&gt;1,0,1)</formula>
    </cfRule>
  </conditionalFormatting>
  <conditionalFormatting sqref="R12:AB13 AF12:AF13 L12:P13 R97:AB98 AF97:AF98 L97:P98 AG12 AG97">
    <cfRule type="expression" dxfId="4017" priority="168" stopIfTrue="1">
      <formula>IF(#REF!&gt;2,0,1)</formula>
    </cfRule>
  </conditionalFormatting>
  <conditionalFormatting sqref="E24 E109">
    <cfRule type="expression" dxfId="4016" priority="169" stopIfTrue="1">
      <formula>IF(#REF!&gt;1,0,1)</formula>
    </cfRule>
  </conditionalFormatting>
  <conditionalFormatting sqref="H24 H109">
    <cfRule type="expression" dxfId="4015" priority="170" stopIfTrue="1">
      <formula>IF(#REF!&gt;2,0,1)</formula>
    </cfRule>
  </conditionalFormatting>
  <conditionalFormatting sqref="K24 K109">
    <cfRule type="expression" dxfId="4014" priority="171" stopIfTrue="1">
      <formula>IF(#REF!&gt;3,0,1)</formula>
    </cfRule>
  </conditionalFormatting>
  <conditionalFormatting sqref="N24 N109">
    <cfRule type="expression" dxfId="4013" priority="172" stopIfTrue="1">
      <formula>IF(#REF!&gt;4,0,1)</formula>
    </cfRule>
  </conditionalFormatting>
  <conditionalFormatting sqref="Q24 Q109">
    <cfRule type="expression" dxfId="4012" priority="173" stopIfTrue="1">
      <formula>IF(#REF!&gt;5,0,1)</formula>
    </cfRule>
  </conditionalFormatting>
  <conditionalFormatting sqref="T24 T109">
    <cfRule type="expression" dxfId="4011" priority="174" stopIfTrue="1">
      <formula>IF(#REF!&gt;6,0,1)</formula>
    </cfRule>
  </conditionalFormatting>
  <conditionalFormatting sqref="W24 W109">
    <cfRule type="expression" dxfId="4010" priority="175" stopIfTrue="1">
      <formula>IF(#REF!&gt;7,0,1)</formula>
    </cfRule>
  </conditionalFormatting>
  <conditionalFormatting sqref="Z24 Z109">
    <cfRule type="expression" dxfId="4009" priority="176" stopIfTrue="1">
      <formula>IF(#REF!&gt;8,0,1)</formula>
    </cfRule>
  </conditionalFormatting>
  <conditionalFormatting sqref="AC24 AC109">
    <cfRule type="expression" dxfId="4008" priority="177" stopIfTrue="1">
      <formula>IF(#REF!&gt;9,0,1)</formula>
    </cfRule>
  </conditionalFormatting>
  <conditionalFormatting sqref="AQ27 AQ112">
    <cfRule type="expression" dxfId="4007" priority="178" stopIfTrue="1">
      <formula>IF(#REF!&gt;3,0,1)</formula>
    </cfRule>
  </conditionalFormatting>
  <conditionalFormatting sqref="E25:G25 E110:G110">
    <cfRule type="expression" dxfId="4006" priority="179" stopIfTrue="1">
      <formula>IF(#REF!&gt;1,0,1)</formula>
    </cfRule>
  </conditionalFormatting>
  <conditionalFormatting sqref="B21:D21 B106:D106">
    <cfRule type="expression" dxfId="4005" priority="180" stopIfTrue="1">
      <formula>IF(#REF!&gt;0,0,1)</formula>
    </cfRule>
  </conditionalFormatting>
  <conditionalFormatting sqref="E21:G21 E106:G106">
    <cfRule type="expression" dxfId="4004" priority="181" stopIfTrue="1">
      <formula>IF(#REF!&gt;1,0,1)</formula>
    </cfRule>
  </conditionalFormatting>
  <conditionalFormatting sqref="H21:J21 H106:J106">
    <cfRule type="expression" dxfId="4003" priority="182" stopIfTrue="1">
      <formula>IF(#REF!&gt;2,0,1)</formula>
    </cfRule>
  </conditionalFormatting>
  <conditionalFormatting sqref="K21:M21 K106:M106">
    <cfRule type="expression" dxfId="4002" priority="183" stopIfTrue="1">
      <formula>IF(#REF!&gt;3,0,1)</formula>
    </cfRule>
  </conditionalFormatting>
  <conditionalFormatting sqref="N21:P21 N106:P106">
    <cfRule type="expression" dxfId="4001" priority="184" stopIfTrue="1">
      <formula>IF(#REF!&gt;4,0,1)</formula>
    </cfRule>
  </conditionalFormatting>
  <conditionalFormatting sqref="Q21:S21 Q106:S106">
    <cfRule type="expression" dxfId="4000" priority="185" stopIfTrue="1">
      <formula>IF(#REF!&gt;5,0,1)</formula>
    </cfRule>
  </conditionalFormatting>
  <conditionalFormatting sqref="T21:V21 T106:V106">
    <cfRule type="expression" dxfId="3999" priority="186" stopIfTrue="1">
      <formula>IF(#REF!&gt;6,0,1)</formula>
    </cfRule>
  </conditionalFormatting>
  <conditionalFormatting sqref="W21:Y21 W106:Y106">
    <cfRule type="expression" dxfId="3998" priority="187" stopIfTrue="1">
      <formula>IF(#REF!&gt;7,0,1)</formula>
    </cfRule>
  </conditionalFormatting>
  <conditionalFormatting sqref="Z21:AB21 Z106:AB106">
    <cfRule type="expression" dxfId="3997" priority="188" stopIfTrue="1">
      <formula>IF(#REF!&gt;8,0,1)</formula>
    </cfRule>
  </conditionalFormatting>
  <conditionalFormatting sqref="AC21:AE21 AC106:AE106">
    <cfRule type="expression" dxfId="3996" priority="189" stopIfTrue="1">
      <formula>IF(#REF!&gt;9,0,1)</formula>
    </cfRule>
  </conditionalFormatting>
  <conditionalFormatting sqref="X224:X225 W215:W216 X215:Y215 W218:Y223 Z219:AE222 AA223:AA225 I223:I225 C224:C225 B215:B216 C215:D215 B218:D223 E219:J222 F223:F225 AD223:AD225">
    <cfRule type="expression" dxfId="3995" priority="190" stopIfTrue="1">
      <formula>IF(#REF!&gt;0,0,1)</formula>
    </cfRule>
  </conditionalFormatting>
  <conditionalFormatting sqref="AA215:AB215 AB223 AA218:AB218 Z223 Z215:Z218 F215:G215 G223 F218:G218 E223 E215:E218">
    <cfRule type="expression" dxfId="3994" priority="191" stopIfTrue="1">
      <formula>IF(#REF!&gt;1,0,1)</formula>
    </cfRule>
  </conditionalFormatting>
  <conditionalFormatting sqref="AC215:AC218 AD215:AE215 AE223 AD218:AE218 AC223 H223 H215:H218 I215:J215 J223 I218:J218">
    <cfRule type="expression" dxfId="3993" priority="192" stopIfTrue="1">
      <formula>IF(#REF!&gt;2,0,1)</formula>
    </cfRule>
  </conditionalFormatting>
  <conditionalFormatting sqref="W224 Y224 B224 D224">
    <cfRule type="expression" dxfId="3992" priority="193" stopIfTrue="1">
      <formula>IF(#REF!&lt;1,1,IF(#REF!&lt;2,1,0))</formula>
    </cfRule>
  </conditionalFormatting>
  <conditionalFormatting sqref="Z224 AB224 E224 G224">
    <cfRule type="expression" dxfId="3991" priority="194" stopIfTrue="1">
      <formula>IF(#REF!&lt;2,1,IF(#REF!&lt;2,1,0))</formula>
    </cfRule>
  </conditionalFormatting>
  <conditionalFormatting sqref="AC224 AE224 H224 J224">
    <cfRule type="expression" dxfId="3990" priority="195" stopIfTrue="1">
      <formula>IF(#REF!&lt;3,1,IF(#REF!&lt;2,1,0))</formula>
    </cfRule>
  </conditionalFormatting>
  <conditionalFormatting sqref="Y225 B225 D225 W225">
    <cfRule type="expression" dxfId="3989" priority="196" stopIfTrue="1">
      <formula>IF(#REF!&lt;1,1,IF(#REF!&lt;3,1,0))</formula>
    </cfRule>
  </conditionalFormatting>
  <conditionalFormatting sqref="AB225 E225 G225 Z225">
    <cfRule type="expression" dxfId="3988" priority="197" stopIfTrue="1">
      <formula>IF(#REF!&lt;2,1,IF(#REF!&lt;3,1,0))</formula>
    </cfRule>
  </conditionalFormatting>
  <conditionalFormatting sqref="AE225 H225 J225 AC225">
    <cfRule type="expression" dxfId="3987" priority="198" stopIfTrue="1">
      <formula>IF(#REF!&lt;3,1,IF(#REF!&lt;3,1,0))</formula>
    </cfRule>
  </conditionalFormatting>
  <conditionalFormatting sqref="AG24:AP28 AG109:AP113">
    <cfRule type="cellIs" dxfId="3986" priority="199" stopIfTrue="1" operator="notBetween">
      <formula>-9999</formula>
      <formula>9999</formula>
    </cfRule>
  </conditionalFormatting>
  <conditionalFormatting sqref="AC7 AC92">
    <cfRule type="expression" dxfId="3985" priority="200" stopIfTrue="1">
      <formula>IF($AK$11=0,1,0)</formula>
    </cfRule>
  </conditionalFormatting>
  <conditionalFormatting sqref="B18 B103">
    <cfRule type="expression" dxfId="3984" priority="201" stopIfTrue="1">
      <formula>IF($AK$9&gt;0,0,1)</formula>
    </cfRule>
  </conditionalFormatting>
  <conditionalFormatting sqref="B22:D23 B107:D108">
    <cfRule type="cellIs" dxfId="3983" priority="202" stopIfTrue="1" operator="equal">
      <formula>99</formula>
    </cfRule>
  </conditionalFormatting>
  <conditionalFormatting sqref="X226 AA226 C226 F226">
    <cfRule type="expression" dxfId="3982" priority="203" stopIfTrue="1">
      <formula>IF(#REF!&gt;0,0,1)</formula>
    </cfRule>
  </conditionalFormatting>
  <conditionalFormatting sqref="K215">
    <cfRule type="expression" dxfId="3981" priority="3" stopIfTrue="1">
      <formula>IF(#REF!&gt;2,0,1)</formula>
    </cfRule>
  </conditionalFormatting>
  <conditionalFormatting sqref="K215">
    <cfRule type="expression" dxfId="3980" priority="2" stopIfTrue="1">
      <formula>IF(ISNUMBER(K223),0,1)</formula>
    </cfRule>
  </conditionalFormatting>
  <conditionalFormatting sqref="AF215">
    <cfRule type="expression" dxfId="3979" priority="1" stopIfTrue="1">
      <formula>IF(ISNUMBER(AF223),0,1)</formula>
    </cfRule>
  </conditionalFormatting>
  <pageMargins left="0.25" right="0.25" top="0.25" bottom="0.25" header="0" footer="0"/>
  <pageSetup scale="80" fitToHeight="5" orientation="landscape"/>
  <headerFooter alignWithMargins="0"/>
  <rowBreaks count="2" manualBreakCount="2">
    <brk id="90" max="42" man="1"/>
    <brk id="181" max="42" man="1"/>
  </rowBreaks>
  <drawing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1">
    <tabColor indexed="11"/>
  </sheetPr>
  <dimension ref="A1:BS658"/>
  <sheetViews>
    <sheetView topLeftCell="AJ1" zoomScale="70" zoomScaleNormal="70" workbookViewId="0">
      <selection activeCell="H22" sqref="H22:J22"/>
    </sheetView>
  </sheetViews>
  <sheetFormatPr defaultColWidth="8.85546875" defaultRowHeight="12.75" x14ac:dyDescent="0.2"/>
  <cols>
    <col min="1" max="1" width="8.85546875" style="4"/>
    <col min="2" max="2" width="3.7109375" style="4" customWidth="1"/>
    <col min="3" max="3" width="2.28515625" style="4" customWidth="1"/>
    <col min="4" max="5" width="3.7109375" style="4" customWidth="1"/>
    <col min="6" max="6" width="2.28515625" style="4" customWidth="1"/>
    <col min="7" max="8" width="3.7109375" style="4" customWidth="1"/>
    <col min="9" max="9" width="2.28515625" style="4" customWidth="1"/>
    <col min="10" max="11" width="3.7109375" style="4" customWidth="1"/>
    <col min="12" max="12" width="2.28515625" style="4" customWidth="1"/>
    <col min="13" max="14" width="3.7109375" style="4" customWidth="1"/>
    <col min="15" max="15" width="2.28515625" style="4" customWidth="1"/>
    <col min="16" max="17" width="3.7109375" style="4" customWidth="1"/>
    <col min="18" max="18" width="2.28515625" style="4" customWidth="1"/>
    <col min="19" max="20" width="3.7109375" style="4" customWidth="1"/>
    <col min="21" max="21" width="2.28515625" style="4" customWidth="1"/>
    <col min="22" max="23" width="3.7109375" style="4" customWidth="1"/>
    <col min="24" max="24" width="2.28515625" style="4" customWidth="1"/>
    <col min="25" max="26" width="3.7109375" style="4" customWidth="1"/>
    <col min="27" max="27" width="2.28515625" style="4" customWidth="1"/>
    <col min="28" max="29" width="3.7109375" style="4" customWidth="1"/>
    <col min="30" max="30" width="2.28515625" style="4" customWidth="1"/>
    <col min="31" max="31" width="3.7109375" style="4" customWidth="1"/>
    <col min="32" max="32" width="9.7109375" style="4" customWidth="1"/>
    <col min="33" max="42" width="3.7109375" style="4" customWidth="1"/>
    <col min="43" max="43" width="11" style="4" customWidth="1"/>
    <col min="44" max="46" width="8.85546875" style="4"/>
    <col min="47" max="47" width="21" style="4" customWidth="1"/>
    <col min="48" max="48" width="24.42578125" style="4" customWidth="1"/>
    <col min="49" max="49" width="15.28515625" style="156" customWidth="1"/>
    <col min="50" max="50" width="10.5703125" style="4" customWidth="1"/>
    <col min="51" max="51" width="11.28515625" style="4" customWidth="1"/>
    <col min="52" max="52" width="25" style="4" customWidth="1"/>
    <col min="53" max="53" width="6" style="4" customWidth="1"/>
    <col min="54" max="257" width="8.85546875" style="4"/>
    <col min="258" max="258" width="3.7109375" style="4" customWidth="1"/>
    <col min="259" max="259" width="2.28515625" style="4" customWidth="1"/>
    <col min="260" max="261" width="3.7109375" style="4" customWidth="1"/>
    <col min="262" max="262" width="2.28515625" style="4" customWidth="1"/>
    <col min="263" max="264" width="3.7109375" style="4" customWidth="1"/>
    <col min="265" max="265" width="2.28515625" style="4" customWidth="1"/>
    <col min="266" max="267" width="3.7109375" style="4" customWidth="1"/>
    <col min="268" max="268" width="2.28515625" style="4" customWidth="1"/>
    <col min="269" max="270" width="3.7109375" style="4" customWidth="1"/>
    <col min="271" max="271" width="2.28515625" style="4" customWidth="1"/>
    <col min="272" max="273" width="3.7109375" style="4" customWidth="1"/>
    <col min="274" max="274" width="2.28515625" style="4" customWidth="1"/>
    <col min="275" max="276" width="3.7109375" style="4" customWidth="1"/>
    <col min="277" max="277" width="2.28515625" style="4" customWidth="1"/>
    <col min="278" max="279" width="3.7109375" style="4" customWidth="1"/>
    <col min="280" max="280" width="2.28515625" style="4" customWidth="1"/>
    <col min="281" max="282" width="3.7109375" style="4" customWidth="1"/>
    <col min="283" max="283" width="2.28515625" style="4" customWidth="1"/>
    <col min="284" max="285" width="3.7109375" style="4" customWidth="1"/>
    <col min="286" max="286" width="2.28515625" style="4" customWidth="1"/>
    <col min="287" max="287" width="3.7109375" style="4" customWidth="1"/>
    <col min="288" max="288" width="9.7109375" style="4" customWidth="1"/>
    <col min="289" max="298" width="3.7109375" style="4" customWidth="1"/>
    <col min="299" max="299" width="11" style="4" customWidth="1"/>
    <col min="300" max="302" width="8.85546875" style="4"/>
    <col min="303" max="303" width="21" style="4" customWidth="1"/>
    <col min="304" max="304" width="24.42578125" style="4" customWidth="1"/>
    <col min="305" max="305" width="15.28515625" style="4" customWidth="1"/>
    <col min="306" max="306" width="10.5703125" style="4" customWidth="1"/>
    <col min="307" max="307" width="11.28515625" style="4" customWidth="1"/>
    <col min="308" max="308" width="25" style="4" customWidth="1"/>
    <col min="309" max="309" width="6" style="4" customWidth="1"/>
    <col min="310" max="513" width="8.85546875" style="4"/>
    <col min="514" max="514" width="3.7109375" style="4" customWidth="1"/>
    <col min="515" max="515" width="2.28515625" style="4" customWidth="1"/>
    <col min="516" max="517" width="3.7109375" style="4" customWidth="1"/>
    <col min="518" max="518" width="2.28515625" style="4" customWidth="1"/>
    <col min="519" max="520" width="3.7109375" style="4" customWidth="1"/>
    <col min="521" max="521" width="2.28515625" style="4" customWidth="1"/>
    <col min="522" max="523" width="3.7109375" style="4" customWidth="1"/>
    <col min="524" max="524" width="2.28515625" style="4" customWidth="1"/>
    <col min="525" max="526" width="3.7109375" style="4" customWidth="1"/>
    <col min="527" max="527" width="2.28515625" style="4" customWidth="1"/>
    <col min="528" max="529" width="3.7109375" style="4" customWidth="1"/>
    <col min="530" max="530" width="2.28515625" style="4" customWidth="1"/>
    <col min="531" max="532" width="3.7109375" style="4" customWidth="1"/>
    <col min="533" max="533" width="2.28515625" style="4" customWidth="1"/>
    <col min="534" max="535" width="3.7109375" style="4" customWidth="1"/>
    <col min="536" max="536" width="2.28515625" style="4" customWidth="1"/>
    <col min="537" max="538" width="3.7109375" style="4" customWidth="1"/>
    <col min="539" max="539" width="2.28515625" style="4" customWidth="1"/>
    <col min="540" max="541" width="3.7109375" style="4" customWidth="1"/>
    <col min="542" max="542" width="2.28515625" style="4" customWidth="1"/>
    <col min="543" max="543" width="3.7109375" style="4" customWidth="1"/>
    <col min="544" max="544" width="9.7109375" style="4" customWidth="1"/>
    <col min="545" max="554" width="3.7109375" style="4" customWidth="1"/>
    <col min="555" max="555" width="11" style="4" customWidth="1"/>
    <col min="556" max="558" width="8.85546875" style="4"/>
    <col min="559" max="559" width="21" style="4" customWidth="1"/>
    <col min="560" max="560" width="24.42578125" style="4" customWidth="1"/>
    <col min="561" max="561" width="15.28515625" style="4" customWidth="1"/>
    <col min="562" max="562" width="10.5703125" style="4" customWidth="1"/>
    <col min="563" max="563" width="11.28515625" style="4" customWidth="1"/>
    <col min="564" max="564" width="25" style="4" customWidth="1"/>
    <col min="565" max="565" width="6" style="4" customWidth="1"/>
    <col min="566" max="769" width="8.85546875" style="4"/>
    <col min="770" max="770" width="3.7109375" style="4" customWidth="1"/>
    <col min="771" max="771" width="2.28515625" style="4" customWidth="1"/>
    <col min="772" max="773" width="3.7109375" style="4" customWidth="1"/>
    <col min="774" max="774" width="2.28515625" style="4" customWidth="1"/>
    <col min="775" max="776" width="3.7109375" style="4" customWidth="1"/>
    <col min="777" max="777" width="2.28515625" style="4" customWidth="1"/>
    <col min="778" max="779" width="3.7109375" style="4" customWidth="1"/>
    <col min="780" max="780" width="2.28515625" style="4" customWidth="1"/>
    <col min="781" max="782" width="3.7109375" style="4" customWidth="1"/>
    <col min="783" max="783" width="2.28515625" style="4" customWidth="1"/>
    <col min="784" max="785" width="3.7109375" style="4" customWidth="1"/>
    <col min="786" max="786" width="2.28515625" style="4" customWidth="1"/>
    <col min="787" max="788" width="3.7109375" style="4" customWidth="1"/>
    <col min="789" max="789" width="2.28515625" style="4" customWidth="1"/>
    <col min="790" max="791" width="3.7109375" style="4" customWidth="1"/>
    <col min="792" max="792" width="2.28515625" style="4" customWidth="1"/>
    <col min="793" max="794" width="3.7109375" style="4" customWidth="1"/>
    <col min="795" max="795" width="2.28515625" style="4" customWidth="1"/>
    <col min="796" max="797" width="3.7109375" style="4" customWidth="1"/>
    <col min="798" max="798" width="2.28515625" style="4" customWidth="1"/>
    <col min="799" max="799" width="3.7109375" style="4" customWidth="1"/>
    <col min="800" max="800" width="9.7109375" style="4" customWidth="1"/>
    <col min="801" max="810" width="3.7109375" style="4" customWidth="1"/>
    <col min="811" max="811" width="11" style="4" customWidth="1"/>
    <col min="812" max="814" width="8.85546875" style="4"/>
    <col min="815" max="815" width="21" style="4" customWidth="1"/>
    <col min="816" max="816" width="24.42578125" style="4" customWidth="1"/>
    <col min="817" max="817" width="15.28515625" style="4" customWidth="1"/>
    <col min="818" max="818" width="10.5703125" style="4" customWidth="1"/>
    <col min="819" max="819" width="11.28515625" style="4" customWidth="1"/>
    <col min="820" max="820" width="25" style="4" customWidth="1"/>
    <col min="821" max="821" width="6" style="4" customWidth="1"/>
    <col min="822" max="1025" width="8.85546875" style="4"/>
    <col min="1026" max="1026" width="3.7109375" style="4" customWidth="1"/>
    <col min="1027" max="1027" width="2.28515625" style="4" customWidth="1"/>
    <col min="1028" max="1029" width="3.7109375" style="4" customWidth="1"/>
    <col min="1030" max="1030" width="2.28515625" style="4" customWidth="1"/>
    <col min="1031" max="1032" width="3.7109375" style="4" customWidth="1"/>
    <col min="1033" max="1033" width="2.28515625" style="4" customWidth="1"/>
    <col min="1034" max="1035" width="3.7109375" style="4" customWidth="1"/>
    <col min="1036" max="1036" width="2.28515625" style="4" customWidth="1"/>
    <col min="1037" max="1038" width="3.7109375" style="4" customWidth="1"/>
    <col min="1039" max="1039" width="2.28515625" style="4" customWidth="1"/>
    <col min="1040" max="1041" width="3.7109375" style="4" customWidth="1"/>
    <col min="1042" max="1042" width="2.28515625" style="4" customWidth="1"/>
    <col min="1043" max="1044" width="3.7109375" style="4" customWidth="1"/>
    <col min="1045" max="1045" width="2.28515625" style="4" customWidth="1"/>
    <col min="1046" max="1047" width="3.7109375" style="4" customWidth="1"/>
    <col min="1048" max="1048" width="2.28515625" style="4" customWidth="1"/>
    <col min="1049" max="1050" width="3.7109375" style="4" customWidth="1"/>
    <col min="1051" max="1051" width="2.28515625" style="4" customWidth="1"/>
    <col min="1052" max="1053" width="3.7109375" style="4" customWidth="1"/>
    <col min="1054" max="1054" width="2.28515625" style="4" customWidth="1"/>
    <col min="1055" max="1055" width="3.7109375" style="4" customWidth="1"/>
    <col min="1056" max="1056" width="9.7109375" style="4" customWidth="1"/>
    <col min="1057" max="1066" width="3.7109375" style="4" customWidth="1"/>
    <col min="1067" max="1067" width="11" style="4" customWidth="1"/>
    <col min="1068" max="1070" width="8.85546875" style="4"/>
    <col min="1071" max="1071" width="21" style="4" customWidth="1"/>
    <col min="1072" max="1072" width="24.42578125" style="4" customWidth="1"/>
    <col min="1073" max="1073" width="15.28515625" style="4" customWidth="1"/>
    <col min="1074" max="1074" width="10.5703125" style="4" customWidth="1"/>
    <col min="1075" max="1075" width="11.28515625" style="4" customWidth="1"/>
    <col min="1076" max="1076" width="25" style="4" customWidth="1"/>
    <col min="1077" max="1077" width="6" style="4" customWidth="1"/>
    <col min="1078" max="1281" width="8.85546875" style="4"/>
    <col min="1282" max="1282" width="3.7109375" style="4" customWidth="1"/>
    <col min="1283" max="1283" width="2.28515625" style="4" customWidth="1"/>
    <col min="1284" max="1285" width="3.7109375" style="4" customWidth="1"/>
    <col min="1286" max="1286" width="2.28515625" style="4" customWidth="1"/>
    <col min="1287" max="1288" width="3.7109375" style="4" customWidth="1"/>
    <col min="1289" max="1289" width="2.28515625" style="4" customWidth="1"/>
    <col min="1290" max="1291" width="3.7109375" style="4" customWidth="1"/>
    <col min="1292" max="1292" width="2.28515625" style="4" customWidth="1"/>
    <col min="1293" max="1294" width="3.7109375" style="4" customWidth="1"/>
    <col min="1295" max="1295" width="2.28515625" style="4" customWidth="1"/>
    <col min="1296" max="1297" width="3.7109375" style="4" customWidth="1"/>
    <col min="1298" max="1298" width="2.28515625" style="4" customWidth="1"/>
    <col min="1299" max="1300" width="3.7109375" style="4" customWidth="1"/>
    <col min="1301" max="1301" width="2.28515625" style="4" customWidth="1"/>
    <col min="1302" max="1303" width="3.7109375" style="4" customWidth="1"/>
    <col min="1304" max="1304" width="2.28515625" style="4" customWidth="1"/>
    <col min="1305" max="1306" width="3.7109375" style="4" customWidth="1"/>
    <col min="1307" max="1307" width="2.28515625" style="4" customWidth="1"/>
    <col min="1308" max="1309" width="3.7109375" style="4" customWidth="1"/>
    <col min="1310" max="1310" width="2.28515625" style="4" customWidth="1"/>
    <col min="1311" max="1311" width="3.7109375" style="4" customWidth="1"/>
    <col min="1312" max="1312" width="9.7109375" style="4" customWidth="1"/>
    <col min="1313" max="1322" width="3.7109375" style="4" customWidth="1"/>
    <col min="1323" max="1323" width="11" style="4" customWidth="1"/>
    <col min="1324" max="1326" width="8.85546875" style="4"/>
    <col min="1327" max="1327" width="21" style="4" customWidth="1"/>
    <col min="1328" max="1328" width="24.42578125" style="4" customWidth="1"/>
    <col min="1329" max="1329" width="15.28515625" style="4" customWidth="1"/>
    <col min="1330" max="1330" width="10.5703125" style="4" customWidth="1"/>
    <col min="1331" max="1331" width="11.28515625" style="4" customWidth="1"/>
    <col min="1332" max="1332" width="25" style="4" customWidth="1"/>
    <col min="1333" max="1333" width="6" style="4" customWidth="1"/>
    <col min="1334" max="1537" width="8.85546875" style="4"/>
    <col min="1538" max="1538" width="3.7109375" style="4" customWidth="1"/>
    <col min="1539" max="1539" width="2.28515625" style="4" customWidth="1"/>
    <col min="1540" max="1541" width="3.7109375" style="4" customWidth="1"/>
    <col min="1542" max="1542" width="2.28515625" style="4" customWidth="1"/>
    <col min="1543" max="1544" width="3.7109375" style="4" customWidth="1"/>
    <col min="1545" max="1545" width="2.28515625" style="4" customWidth="1"/>
    <col min="1546" max="1547" width="3.7109375" style="4" customWidth="1"/>
    <col min="1548" max="1548" width="2.28515625" style="4" customWidth="1"/>
    <col min="1549" max="1550" width="3.7109375" style="4" customWidth="1"/>
    <col min="1551" max="1551" width="2.28515625" style="4" customWidth="1"/>
    <col min="1552" max="1553" width="3.7109375" style="4" customWidth="1"/>
    <col min="1554" max="1554" width="2.28515625" style="4" customWidth="1"/>
    <col min="1555" max="1556" width="3.7109375" style="4" customWidth="1"/>
    <col min="1557" max="1557" width="2.28515625" style="4" customWidth="1"/>
    <col min="1558" max="1559" width="3.7109375" style="4" customWidth="1"/>
    <col min="1560" max="1560" width="2.28515625" style="4" customWidth="1"/>
    <col min="1561" max="1562" width="3.7109375" style="4" customWidth="1"/>
    <col min="1563" max="1563" width="2.28515625" style="4" customWidth="1"/>
    <col min="1564" max="1565" width="3.7109375" style="4" customWidth="1"/>
    <col min="1566" max="1566" width="2.28515625" style="4" customWidth="1"/>
    <col min="1567" max="1567" width="3.7109375" style="4" customWidth="1"/>
    <col min="1568" max="1568" width="9.7109375" style="4" customWidth="1"/>
    <col min="1569" max="1578" width="3.7109375" style="4" customWidth="1"/>
    <col min="1579" max="1579" width="11" style="4" customWidth="1"/>
    <col min="1580" max="1582" width="8.85546875" style="4"/>
    <col min="1583" max="1583" width="21" style="4" customWidth="1"/>
    <col min="1584" max="1584" width="24.42578125" style="4" customWidth="1"/>
    <col min="1585" max="1585" width="15.28515625" style="4" customWidth="1"/>
    <col min="1586" max="1586" width="10.5703125" style="4" customWidth="1"/>
    <col min="1587" max="1587" width="11.28515625" style="4" customWidth="1"/>
    <col min="1588" max="1588" width="25" style="4" customWidth="1"/>
    <col min="1589" max="1589" width="6" style="4" customWidth="1"/>
    <col min="1590" max="1793" width="8.85546875" style="4"/>
    <col min="1794" max="1794" width="3.7109375" style="4" customWidth="1"/>
    <col min="1795" max="1795" width="2.28515625" style="4" customWidth="1"/>
    <col min="1796" max="1797" width="3.7109375" style="4" customWidth="1"/>
    <col min="1798" max="1798" width="2.28515625" style="4" customWidth="1"/>
    <col min="1799" max="1800" width="3.7109375" style="4" customWidth="1"/>
    <col min="1801" max="1801" width="2.28515625" style="4" customWidth="1"/>
    <col min="1802" max="1803" width="3.7109375" style="4" customWidth="1"/>
    <col min="1804" max="1804" width="2.28515625" style="4" customWidth="1"/>
    <col min="1805" max="1806" width="3.7109375" style="4" customWidth="1"/>
    <col min="1807" max="1807" width="2.28515625" style="4" customWidth="1"/>
    <col min="1808" max="1809" width="3.7109375" style="4" customWidth="1"/>
    <col min="1810" max="1810" width="2.28515625" style="4" customWidth="1"/>
    <col min="1811" max="1812" width="3.7109375" style="4" customWidth="1"/>
    <col min="1813" max="1813" width="2.28515625" style="4" customWidth="1"/>
    <col min="1814" max="1815" width="3.7109375" style="4" customWidth="1"/>
    <col min="1816" max="1816" width="2.28515625" style="4" customWidth="1"/>
    <col min="1817" max="1818" width="3.7109375" style="4" customWidth="1"/>
    <col min="1819" max="1819" width="2.28515625" style="4" customWidth="1"/>
    <col min="1820" max="1821" width="3.7109375" style="4" customWidth="1"/>
    <col min="1822" max="1822" width="2.28515625" style="4" customWidth="1"/>
    <col min="1823" max="1823" width="3.7109375" style="4" customWidth="1"/>
    <col min="1824" max="1824" width="9.7109375" style="4" customWidth="1"/>
    <col min="1825" max="1834" width="3.7109375" style="4" customWidth="1"/>
    <col min="1835" max="1835" width="11" style="4" customWidth="1"/>
    <col min="1836" max="1838" width="8.85546875" style="4"/>
    <col min="1839" max="1839" width="21" style="4" customWidth="1"/>
    <col min="1840" max="1840" width="24.42578125" style="4" customWidth="1"/>
    <col min="1841" max="1841" width="15.28515625" style="4" customWidth="1"/>
    <col min="1842" max="1842" width="10.5703125" style="4" customWidth="1"/>
    <col min="1843" max="1843" width="11.28515625" style="4" customWidth="1"/>
    <col min="1844" max="1844" width="25" style="4" customWidth="1"/>
    <col min="1845" max="1845" width="6" style="4" customWidth="1"/>
    <col min="1846" max="2049" width="8.85546875" style="4"/>
    <col min="2050" max="2050" width="3.7109375" style="4" customWidth="1"/>
    <col min="2051" max="2051" width="2.28515625" style="4" customWidth="1"/>
    <col min="2052" max="2053" width="3.7109375" style="4" customWidth="1"/>
    <col min="2054" max="2054" width="2.28515625" style="4" customWidth="1"/>
    <col min="2055" max="2056" width="3.7109375" style="4" customWidth="1"/>
    <col min="2057" max="2057" width="2.28515625" style="4" customWidth="1"/>
    <col min="2058" max="2059" width="3.7109375" style="4" customWidth="1"/>
    <col min="2060" max="2060" width="2.28515625" style="4" customWidth="1"/>
    <col min="2061" max="2062" width="3.7109375" style="4" customWidth="1"/>
    <col min="2063" max="2063" width="2.28515625" style="4" customWidth="1"/>
    <col min="2064" max="2065" width="3.7109375" style="4" customWidth="1"/>
    <col min="2066" max="2066" width="2.28515625" style="4" customWidth="1"/>
    <col min="2067" max="2068" width="3.7109375" style="4" customWidth="1"/>
    <col min="2069" max="2069" width="2.28515625" style="4" customWidth="1"/>
    <col min="2070" max="2071" width="3.7109375" style="4" customWidth="1"/>
    <col min="2072" max="2072" width="2.28515625" style="4" customWidth="1"/>
    <col min="2073" max="2074" width="3.7109375" style="4" customWidth="1"/>
    <col min="2075" max="2075" width="2.28515625" style="4" customWidth="1"/>
    <col min="2076" max="2077" width="3.7109375" style="4" customWidth="1"/>
    <col min="2078" max="2078" width="2.28515625" style="4" customWidth="1"/>
    <col min="2079" max="2079" width="3.7109375" style="4" customWidth="1"/>
    <col min="2080" max="2080" width="9.7109375" style="4" customWidth="1"/>
    <col min="2081" max="2090" width="3.7109375" style="4" customWidth="1"/>
    <col min="2091" max="2091" width="11" style="4" customWidth="1"/>
    <col min="2092" max="2094" width="8.85546875" style="4"/>
    <col min="2095" max="2095" width="21" style="4" customWidth="1"/>
    <col min="2096" max="2096" width="24.42578125" style="4" customWidth="1"/>
    <col min="2097" max="2097" width="15.28515625" style="4" customWidth="1"/>
    <col min="2098" max="2098" width="10.5703125" style="4" customWidth="1"/>
    <col min="2099" max="2099" width="11.28515625" style="4" customWidth="1"/>
    <col min="2100" max="2100" width="25" style="4" customWidth="1"/>
    <col min="2101" max="2101" width="6" style="4" customWidth="1"/>
    <col min="2102" max="2305" width="8.85546875" style="4"/>
    <col min="2306" max="2306" width="3.7109375" style="4" customWidth="1"/>
    <col min="2307" max="2307" width="2.28515625" style="4" customWidth="1"/>
    <col min="2308" max="2309" width="3.7109375" style="4" customWidth="1"/>
    <col min="2310" max="2310" width="2.28515625" style="4" customWidth="1"/>
    <col min="2311" max="2312" width="3.7109375" style="4" customWidth="1"/>
    <col min="2313" max="2313" width="2.28515625" style="4" customWidth="1"/>
    <col min="2314" max="2315" width="3.7109375" style="4" customWidth="1"/>
    <col min="2316" max="2316" width="2.28515625" style="4" customWidth="1"/>
    <col min="2317" max="2318" width="3.7109375" style="4" customWidth="1"/>
    <col min="2319" max="2319" width="2.28515625" style="4" customWidth="1"/>
    <col min="2320" max="2321" width="3.7109375" style="4" customWidth="1"/>
    <col min="2322" max="2322" width="2.28515625" style="4" customWidth="1"/>
    <col min="2323" max="2324" width="3.7109375" style="4" customWidth="1"/>
    <col min="2325" max="2325" width="2.28515625" style="4" customWidth="1"/>
    <col min="2326" max="2327" width="3.7109375" style="4" customWidth="1"/>
    <col min="2328" max="2328" width="2.28515625" style="4" customWidth="1"/>
    <col min="2329" max="2330" width="3.7109375" style="4" customWidth="1"/>
    <col min="2331" max="2331" width="2.28515625" style="4" customWidth="1"/>
    <col min="2332" max="2333" width="3.7109375" style="4" customWidth="1"/>
    <col min="2334" max="2334" width="2.28515625" style="4" customWidth="1"/>
    <col min="2335" max="2335" width="3.7109375" style="4" customWidth="1"/>
    <col min="2336" max="2336" width="9.7109375" style="4" customWidth="1"/>
    <col min="2337" max="2346" width="3.7109375" style="4" customWidth="1"/>
    <col min="2347" max="2347" width="11" style="4" customWidth="1"/>
    <col min="2348" max="2350" width="8.85546875" style="4"/>
    <col min="2351" max="2351" width="21" style="4" customWidth="1"/>
    <col min="2352" max="2352" width="24.42578125" style="4" customWidth="1"/>
    <col min="2353" max="2353" width="15.28515625" style="4" customWidth="1"/>
    <col min="2354" max="2354" width="10.5703125" style="4" customWidth="1"/>
    <col min="2355" max="2355" width="11.28515625" style="4" customWidth="1"/>
    <col min="2356" max="2356" width="25" style="4" customWidth="1"/>
    <col min="2357" max="2357" width="6" style="4" customWidth="1"/>
    <col min="2358" max="2561" width="8.85546875" style="4"/>
    <col min="2562" max="2562" width="3.7109375" style="4" customWidth="1"/>
    <col min="2563" max="2563" width="2.28515625" style="4" customWidth="1"/>
    <col min="2564" max="2565" width="3.7109375" style="4" customWidth="1"/>
    <col min="2566" max="2566" width="2.28515625" style="4" customWidth="1"/>
    <col min="2567" max="2568" width="3.7109375" style="4" customWidth="1"/>
    <col min="2569" max="2569" width="2.28515625" style="4" customWidth="1"/>
    <col min="2570" max="2571" width="3.7109375" style="4" customWidth="1"/>
    <col min="2572" max="2572" width="2.28515625" style="4" customWidth="1"/>
    <col min="2573" max="2574" width="3.7109375" style="4" customWidth="1"/>
    <col min="2575" max="2575" width="2.28515625" style="4" customWidth="1"/>
    <col min="2576" max="2577" width="3.7109375" style="4" customWidth="1"/>
    <col min="2578" max="2578" width="2.28515625" style="4" customWidth="1"/>
    <col min="2579" max="2580" width="3.7109375" style="4" customWidth="1"/>
    <col min="2581" max="2581" width="2.28515625" style="4" customWidth="1"/>
    <col min="2582" max="2583" width="3.7109375" style="4" customWidth="1"/>
    <col min="2584" max="2584" width="2.28515625" style="4" customWidth="1"/>
    <col min="2585" max="2586" width="3.7109375" style="4" customWidth="1"/>
    <col min="2587" max="2587" width="2.28515625" style="4" customWidth="1"/>
    <col min="2588" max="2589" width="3.7109375" style="4" customWidth="1"/>
    <col min="2590" max="2590" width="2.28515625" style="4" customWidth="1"/>
    <col min="2591" max="2591" width="3.7109375" style="4" customWidth="1"/>
    <col min="2592" max="2592" width="9.7109375" style="4" customWidth="1"/>
    <col min="2593" max="2602" width="3.7109375" style="4" customWidth="1"/>
    <col min="2603" max="2603" width="11" style="4" customWidth="1"/>
    <col min="2604" max="2606" width="8.85546875" style="4"/>
    <col min="2607" max="2607" width="21" style="4" customWidth="1"/>
    <col min="2608" max="2608" width="24.42578125" style="4" customWidth="1"/>
    <col min="2609" max="2609" width="15.28515625" style="4" customWidth="1"/>
    <col min="2610" max="2610" width="10.5703125" style="4" customWidth="1"/>
    <col min="2611" max="2611" width="11.28515625" style="4" customWidth="1"/>
    <col min="2612" max="2612" width="25" style="4" customWidth="1"/>
    <col min="2613" max="2613" width="6" style="4" customWidth="1"/>
    <col min="2614" max="2817" width="8.85546875" style="4"/>
    <col min="2818" max="2818" width="3.7109375" style="4" customWidth="1"/>
    <col min="2819" max="2819" width="2.28515625" style="4" customWidth="1"/>
    <col min="2820" max="2821" width="3.7109375" style="4" customWidth="1"/>
    <col min="2822" max="2822" width="2.28515625" style="4" customWidth="1"/>
    <col min="2823" max="2824" width="3.7109375" style="4" customWidth="1"/>
    <col min="2825" max="2825" width="2.28515625" style="4" customWidth="1"/>
    <col min="2826" max="2827" width="3.7109375" style="4" customWidth="1"/>
    <col min="2828" max="2828" width="2.28515625" style="4" customWidth="1"/>
    <col min="2829" max="2830" width="3.7109375" style="4" customWidth="1"/>
    <col min="2831" max="2831" width="2.28515625" style="4" customWidth="1"/>
    <col min="2832" max="2833" width="3.7109375" style="4" customWidth="1"/>
    <col min="2834" max="2834" width="2.28515625" style="4" customWidth="1"/>
    <col min="2835" max="2836" width="3.7109375" style="4" customWidth="1"/>
    <col min="2837" max="2837" width="2.28515625" style="4" customWidth="1"/>
    <col min="2838" max="2839" width="3.7109375" style="4" customWidth="1"/>
    <col min="2840" max="2840" width="2.28515625" style="4" customWidth="1"/>
    <col min="2841" max="2842" width="3.7109375" style="4" customWidth="1"/>
    <col min="2843" max="2843" width="2.28515625" style="4" customWidth="1"/>
    <col min="2844" max="2845" width="3.7109375" style="4" customWidth="1"/>
    <col min="2846" max="2846" width="2.28515625" style="4" customWidth="1"/>
    <col min="2847" max="2847" width="3.7109375" style="4" customWidth="1"/>
    <col min="2848" max="2848" width="9.7109375" style="4" customWidth="1"/>
    <col min="2849" max="2858" width="3.7109375" style="4" customWidth="1"/>
    <col min="2859" max="2859" width="11" style="4" customWidth="1"/>
    <col min="2860" max="2862" width="8.85546875" style="4"/>
    <col min="2863" max="2863" width="21" style="4" customWidth="1"/>
    <col min="2864" max="2864" width="24.42578125" style="4" customWidth="1"/>
    <col min="2865" max="2865" width="15.28515625" style="4" customWidth="1"/>
    <col min="2866" max="2866" width="10.5703125" style="4" customWidth="1"/>
    <col min="2867" max="2867" width="11.28515625" style="4" customWidth="1"/>
    <col min="2868" max="2868" width="25" style="4" customWidth="1"/>
    <col min="2869" max="2869" width="6" style="4" customWidth="1"/>
    <col min="2870" max="3073" width="8.85546875" style="4"/>
    <col min="3074" max="3074" width="3.7109375" style="4" customWidth="1"/>
    <col min="3075" max="3075" width="2.28515625" style="4" customWidth="1"/>
    <col min="3076" max="3077" width="3.7109375" style="4" customWidth="1"/>
    <col min="3078" max="3078" width="2.28515625" style="4" customWidth="1"/>
    <col min="3079" max="3080" width="3.7109375" style="4" customWidth="1"/>
    <col min="3081" max="3081" width="2.28515625" style="4" customWidth="1"/>
    <col min="3082" max="3083" width="3.7109375" style="4" customWidth="1"/>
    <col min="3084" max="3084" width="2.28515625" style="4" customWidth="1"/>
    <col min="3085" max="3086" width="3.7109375" style="4" customWidth="1"/>
    <col min="3087" max="3087" width="2.28515625" style="4" customWidth="1"/>
    <col min="3088" max="3089" width="3.7109375" style="4" customWidth="1"/>
    <col min="3090" max="3090" width="2.28515625" style="4" customWidth="1"/>
    <col min="3091" max="3092" width="3.7109375" style="4" customWidth="1"/>
    <col min="3093" max="3093" width="2.28515625" style="4" customWidth="1"/>
    <col min="3094" max="3095" width="3.7109375" style="4" customWidth="1"/>
    <col min="3096" max="3096" width="2.28515625" style="4" customWidth="1"/>
    <col min="3097" max="3098" width="3.7109375" style="4" customWidth="1"/>
    <col min="3099" max="3099" width="2.28515625" style="4" customWidth="1"/>
    <col min="3100" max="3101" width="3.7109375" style="4" customWidth="1"/>
    <col min="3102" max="3102" width="2.28515625" style="4" customWidth="1"/>
    <col min="3103" max="3103" width="3.7109375" style="4" customWidth="1"/>
    <col min="3104" max="3104" width="9.7109375" style="4" customWidth="1"/>
    <col min="3105" max="3114" width="3.7109375" style="4" customWidth="1"/>
    <col min="3115" max="3115" width="11" style="4" customWidth="1"/>
    <col min="3116" max="3118" width="8.85546875" style="4"/>
    <col min="3119" max="3119" width="21" style="4" customWidth="1"/>
    <col min="3120" max="3120" width="24.42578125" style="4" customWidth="1"/>
    <col min="3121" max="3121" width="15.28515625" style="4" customWidth="1"/>
    <col min="3122" max="3122" width="10.5703125" style="4" customWidth="1"/>
    <col min="3123" max="3123" width="11.28515625" style="4" customWidth="1"/>
    <col min="3124" max="3124" width="25" style="4" customWidth="1"/>
    <col min="3125" max="3125" width="6" style="4" customWidth="1"/>
    <col min="3126" max="3329" width="8.85546875" style="4"/>
    <col min="3330" max="3330" width="3.7109375" style="4" customWidth="1"/>
    <col min="3331" max="3331" width="2.28515625" style="4" customWidth="1"/>
    <col min="3332" max="3333" width="3.7109375" style="4" customWidth="1"/>
    <col min="3334" max="3334" width="2.28515625" style="4" customWidth="1"/>
    <col min="3335" max="3336" width="3.7109375" style="4" customWidth="1"/>
    <col min="3337" max="3337" width="2.28515625" style="4" customWidth="1"/>
    <col min="3338" max="3339" width="3.7109375" style="4" customWidth="1"/>
    <col min="3340" max="3340" width="2.28515625" style="4" customWidth="1"/>
    <col min="3341" max="3342" width="3.7109375" style="4" customWidth="1"/>
    <col min="3343" max="3343" width="2.28515625" style="4" customWidth="1"/>
    <col min="3344" max="3345" width="3.7109375" style="4" customWidth="1"/>
    <col min="3346" max="3346" width="2.28515625" style="4" customWidth="1"/>
    <col min="3347" max="3348" width="3.7109375" style="4" customWidth="1"/>
    <col min="3349" max="3349" width="2.28515625" style="4" customWidth="1"/>
    <col min="3350" max="3351" width="3.7109375" style="4" customWidth="1"/>
    <col min="3352" max="3352" width="2.28515625" style="4" customWidth="1"/>
    <col min="3353" max="3354" width="3.7109375" style="4" customWidth="1"/>
    <col min="3355" max="3355" width="2.28515625" style="4" customWidth="1"/>
    <col min="3356" max="3357" width="3.7109375" style="4" customWidth="1"/>
    <col min="3358" max="3358" width="2.28515625" style="4" customWidth="1"/>
    <col min="3359" max="3359" width="3.7109375" style="4" customWidth="1"/>
    <col min="3360" max="3360" width="9.7109375" style="4" customWidth="1"/>
    <col min="3361" max="3370" width="3.7109375" style="4" customWidth="1"/>
    <col min="3371" max="3371" width="11" style="4" customWidth="1"/>
    <col min="3372" max="3374" width="8.85546875" style="4"/>
    <col min="3375" max="3375" width="21" style="4" customWidth="1"/>
    <col min="3376" max="3376" width="24.42578125" style="4" customWidth="1"/>
    <col min="3377" max="3377" width="15.28515625" style="4" customWidth="1"/>
    <col min="3378" max="3378" width="10.5703125" style="4" customWidth="1"/>
    <col min="3379" max="3379" width="11.28515625" style="4" customWidth="1"/>
    <col min="3380" max="3380" width="25" style="4" customWidth="1"/>
    <col min="3381" max="3381" width="6" style="4" customWidth="1"/>
    <col min="3382" max="3585" width="8.85546875" style="4"/>
    <col min="3586" max="3586" width="3.7109375" style="4" customWidth="1"/>
    <col min="3587" max="3587" width="2.28515625" style="4" customWidth="1"/>
    <col min="3588" max="3589" width="3.7109375" style="4" customWidth="1"/>
    <col min="3590" max="3590" width="2.28515625" style="4" customWidth="1"/>
    <col min="3591" max="3592" width="3.7109375" style="4" customWidth="1"/>
    <col min="3593" max="3593" width="2.28515625" style="4" customWidth="1"/>
    <col min="3594" max="3595" width="3.7109375" style="4" customWidth="1"/>
    <col min="3596" max="3596" width="2.28515625" style="4" customWidth="1"/>
    <col min="3597" max="3598" width="3.7109375" style="4" customWidth="1"/>
    <col min="3599" max="3599" width="2.28515625" style="4" customWidth="1"/>
    <col min="3600" max="3601" width="3.7109375" style="4" customWidth="1"/>
    <col min="3602" max="3602" width="2.28515625" style="4" customWidth="1"/>
    <col min="3603" max="3604" width="3.7109375" style="4" customWidth="1"/>
    <col min="3605" max="3605" width="2.28515625" style="4" customWidth="1"/>
    <col min="3606" max="3607" width="3.7109375" style="4" customWidth="1"/>
    <col min="3608" max="3608" width="2.28515625" style="4" customWidth="1"/>
    <col min="3609" max="3610" width="3.7109375" style="4" customWidth="1"/>
    <col min="3611" max="3611" width="2.28515625" style="4" customWidth="1"/>
    <col min="3612" max="3613" width="3.7109375" style="4" customWidth="1"/>
    <col min="3614" max="3614" width="2.28515625" style="4" customWidth="1"/>
    <col min="3615" max="3615" width="3.7109375" style="4" customWidth="1"/>
    <col min="3616" max="3616" width="9.7109375" style="4" customWidth="1"/>
    <col min="3617" max="3626" width="3.7109375" style="4" customWidth="1"/>
    <col min="3627" max="3627" width="11" style="4" customWidth="1"/>
    <col min="3628" max="3630" width="8.85546875" style="4"/>
    <col min="3631" max="3631" width="21" style="4" customWidth="1"/>
    <col min="3632" max="3632" width="24.42578125" style="4" customWidth="1"/>
    <col min="3633" max="3633" width="15.28515625" style="4" customWidth="1"/>
    <col min="3634" max="3634" width="10.5703125" style="4" customWidth="1"/>
    <col min="3635" max="3635" width="11.28515625" style="4" customWidth="1"/>
    <col min="3636" max="3636" width="25" style="4" customWidth="1"/>
    <col min="3637" max="3637" width="6" style="4" customWidth="1"/>
    <col min="3638" max="3841" width="8.85546875" style="4"/>
    <col min="3842" max="3842" width="3.7109375" style="4" customWidth="1"/>
    <col min="3843" max="3843" width="2.28515625" style="4" customWidth="1"/>
    <col min="3844" max="3845" width="3.7109375" style="4" customWidth="1"/>
    <col min="3846" max="3846" width="2.28515625" style="4" customWidth="1"/>
    <col min="3847" max="3848" width="3.7109375" style="4" customWidth="1"/>
    <col min="3849" max="3849" width="2.28515625" style="4" customWidth="1"/>
    <col min="3850" max="3851" width="3.7109375" style="4" customWidth="1"/>
    <col min="3852" max="3852" width="2.28515625" style="4" customWidth="1"/>
    <col min="3853" max="3854" width="3.7109375" style="4" customWidth="1"/>
    <col min="3855" max="3855" width="2.28515625" style="4" customWidth="1"/>
    <col min="3856" max="3857" width="3.7109375" style="4" customWidth="1"/>
    <col min="3858" max="3858" width="2.28515625" style="4" customWidth="1"/>
    <col min="3859" max="3860" width="3.7109375" style="4" customWidth="1"/>
    <col min="3861" max="3861" width="2.28515625" style="4" customWidth="1"/>
    <col min="3862" max="3863" width="3.7109375" style="4" customWidth="1"/>
    <col min="3864" max="3864" width="2.28515625" style="4" customWidth="1"/>
    <col min="3865" max="3866" width="3.7109375" style="4" customWidth="1"/>
    <col min="3867" max="3867" width="2.28515625" style="4" customWidth="1"/>
    <col min="3868" max="3869" width="3.7109375" style="4" customWidth="1"/>
    <col min="3870" max="3870" width="2.28515625" style="4" customWidth="1"/>
    <col min="3871" max="3871" width="3.7109375" style="4" customWidth="1"/>
    <col min="3872" max="3872" width="9.7109375" style="4" customWidth="1"/>
    <col min="3873" max="3882" width="3.7109375" style="4" customWidth="1"/>
    <col min="3883" max="3883" width="11" style="4" customWidth="1"/>
    <col min="3884" max="3886" width="8.85546875" style="4"/>
    <col min="3887" max="3887" width="21" style="4" customWidth="1"/>
    <col min="3888" max="3888" width="24.42578125" style="4" customWidth="1"/>
    <col min="3889" max="3889" width="15.28515625" style="4" customWidth="1"/>
    <col min="3890" max="3890" width="10.5703125" style="4" customWidth="1"/>
    <col min="3891" max="3891" width="11.28515625" style="4" customWidth="1"/>
    <col min="3892" max="3892" width="25" style="4" customWidth="1"/>
    <col min="3893" max="3893" width="6" style="4" customWidth="1"/>
    <col min="3894" max="4097" width="8.85546875" style="4"/>
    <col min="4098" max="4098" width="3.7109375" style="4" customWidth="1"/>
    <col min="4099" max="4099" width="2.28515625" style="4" customWidth="1"/>
    <col min="4100" max="4101" width="3.7109375" style="4" customWidth="1"/>
    <col min="4102" max="4102" width="2.28515625" style="4" customWidth="1"/>
    <col min="4103" max="4104" width="3.7109375" style="4" customWidth="1"/>
    <col min="4105" max="4105" width="2.28515625" style="4" customWidth="1"/>
    <col min="4106" max="4107" width="3.7109375" style="4" customWidth="1"/>
    <col min="4108" max="4108" width="2.28515625" style="4" customWidth="1"/>
    <col min="4109" max="4110" width="3.7109375" style="4" customWidth="1"/>
    <col min="4111" max="4111" width="2.28515625" style="4" customWidth="1"/>
    <col min="4112" max="4113" width="3.7109375" style="4" customWidth="1"/>
    <col min="4114" max="4114" width="2.28515625" style="4" customWidth="1"/>
    <col min="4115" max="4116" width="3.7109375" style="4" customWidth="1"/>
    <col min="4117" max="4117" width="2.28515625" style="4" customWidth="1"/>
    <col min="4118" max="4119" width="3.7109375" style="4" customWidth="1"/>
    <col min="4120" max="4120" width="2.28515625" style="4" customWidth="1"/>
    <col min="4121" max="4122" width="3.7109375" style="4" customWidth="1"/>
    <col min="4123" max="4123" width="2.28515625" style="4" customWidth="1"/>
    <col min="4124" max="4125" width="3.7109375" style="4" customWidth="1"/>
    <col min="4126" max="4126" width="2.28515625" style="4" customWidth="1"/>
    <col min="4127" max="4127" width="3.7109375" style="4" customWidth="1"/>
    <col min="4128" max="4128" width="9.7109375" style="4" customWidth="1"/>
    <col min="4129" max="4138" width="3.7109375" style="4" customWidth="1"/>
    <col min="4139" max="4139" width="11" style="4" customWidth="1"/>
    <col min="4140" max="4142" width="8.85546875" style="4"/>
    <col min="4143" max="4143" width="21" style="4" customWidth="1"/>
    <col min="4144" max="4144" width="24.42578125" style="4" customWidth="1"/>
    <col min="4145" max="4145" width="15.28515625" style="4" customWidth="1"/>
    <col min="4146" max="4146" width="10.5703125" style="4" customWidth="1"/>
    <col min="4147" max="4147" width="11.28515625" style="4" customWidth="1"/>
    <col min="4148" max="4148" width="25" style="4" customWidth="1"/>
    <col min="4149" max="4149" width="6" style="4" customWidth="1"/>
    <col min="4150" max="4353" width="8.85546875" style="4"/>
    <col min="4354" max="4354" width="3.7109375" style="4" customWidth="1"/>
    <col min="4355" max="4355" width="2.28515625" style="4" customWidth="1"/>
    <col min="4356" max="4357" width="3.7109375" style="4" customWidth="1"/>
    <col min="4358" max="4358" width="2.28515625" style="4" customWidth="1"/>
    <col min="4359" max="4360" width="3.7109375" style="4" customWidth="1"/>
    <col min="4361" max="4361" width="2.28515625" style="4" customWidth="1"/>
    <col min="4362" max="4363" width="3.7109375" style="4" customWidth="1"/>
    <col min="4364" max="4364" width="2.28515625" style="4" customWidth="1"/>
    <col min="4365" max="4366" width="3.7109375" style="4" customWidth="1"/>
    <col min="4367" max="4367" width="2.28515625" style="4" customWidth="1"/>
    <col min="4368" max="4369" width="3.7109375" style="4" customWidth="1"/>
    <col min="4370" max="4370" width="2.28515625" style="4" customWidth="1"/>
    <col min="4371" max="4372" width="3.7109375" style="4" customWidth="1"/>
    <col min="4373" max="4373" width="2.28515625" style="4" customWidth="1"/>
    <col min="4374" max="4375" width="3.7109375" style="4" customWidth="1"/>
    <col min="4376" max="4376" width="2.28515625" style="4" customWidth="1"/>
    <col min="4377" max="4378" width="3.7109375" style="4" customWidth="1"/>
    <col min="4379" max="4379" width="2.28515625" style="4" customWidth="1"/>
    <col min="4380" max="4381" width="3.7109375" style="4" customWidth="1"/>
    <col min="4382" max="4382" width="2.28515625" style="4" customWidth="1"/>
    <col min="4383" max="4383" width="3.7109375" style="4" customWidth="1"/>
    <col min="4384" max="4384" width="9.7109375" style="4" customWidth="1"/>
    <col min="4385" max="4394" width="3.7109375" style="4" customWidth="1"/>
    <col min="4395" max="4395" width="11" style="4" customWidth="1"/>
    <col min="4396" max="4398" width="8.85546875" style="4"/>
    <col min="4399" max="4399" width="21" style="4" customWidth="1"/>
    <col min="4400" max="4400" width="24.42578125" style="4" customWidth="1"/>
    <col min="4401" max="4401" width="15.28515625" style="4" customWidth="1"/>
    <col min="4402" max="4402" width="10.5703125" style="4" customWidth="1"/>
    <col min="4403" max="4403" width="11.28515625" style="4" customWidth="1"/>
    <col min="4404" max="4404" width="25" style="4" customWidth="1"/>
    <col min="4405" max="4405" width="6" style="4" customWidth="1"/>
    <col min="4406" max="4609" width="8.85546875" style="4"/>
    <col min="4610" max="4610" width="3.7109375" style="4" customWidth="1"/>
    <col min="4611" max="4611" width="2.28515625" style="4" customWidth="1"/>
    <col min="4612" max="4613" width="3.7109375" style="4" customWidth="1"/>
    <col min="4614" max="4614" width="2.28515625" style="4" customWidth="1"/>
    <col min="4615" max="4616" width="3.7109375" style="4" customWidth="1"/>
    <col min="4617" max="4617" width="2.28515625" style="4" customWidth="1"/>
    <col min="4618" max="4619" width="3.7109375" style="4" customWidth="1"/>
    <col min="4620" max="4620" width="2.28515625" style="4" customWidth="1"/>
    <col min="4621" max="4622" width="3.7109375" style="4" customWidth="1"/>
    <col min="4623" max="4623" width="2.28515625" style="4" customWidth="1"/>
    <col min="4624" max="4625" width="3.7109375" style="4" customWidth="1"/>
    <col min="4626" max="4626" width="2.28515625" style="4" customWidth="1"/>
    <col min="4627" max="4628" width="3.7109375" style="4" customWidth="1"/>
    <col min="4629" max="4629" width="2.28515625" style="4" customWidth="1"/>
    <col min="4630" max="4631" width="3.7109375" style="4" customWidth="1"/>
    <col min="4632" max="4632" width="2.28515625" style="4" customWidth="1"/>
    <col min="4633" max="4634" width="3.7109375" style="4" customWidth="1"/>
    <col min="4635" max="4635" width="2.28515625" style="4" customWidth="1"/>
    <col min="4636" max="4637" width="3.7109375" style="4" customWidth="1"/>
    <col min="4638" max="4638" width="2.28515625" style="4" customWidth="1"/>
    <col min="4639" max="4639" width="3.7109375" style="4" customWidth="1"/>
    <col min="4640" max="4640" width="9.7109375" style="4" customWidth="1"/>
    <col min="4641" max="4650" width="3.7109375" style="4" customWidth="1"/>
    <col min="4651" max="4651" width="11" style="4" customWidth="1"/>
    <col min="4652" max="4654" width="8.85546875" style="4"/>
    <col min="4655" max="4655" width="21" style="4" customWidth="1"/>
    <col min="4656" max="4656" width="24.42578125" style="4" customWidth="1"/>
    <col min="4657" max="4657" width="15.28515625" style="4" customWidth="1"/>
    <col min="4658" max="4658" width="10.5703125" style="4" customWidth="1"/>
    <col min="4659" max="4659" width="11.28515625" style="4" customWidth="1"/>
    <col min="4660" max="4660" width="25" style="4" customWidth="1"/>
    <col min="4661" max="4661" width="6" style="4" customWidth="1"/>
    <col min="4662" max="4865" width="8.85546875" style="4"/>
    <col min="4866" max="4866" width="3.7109375" style="4" customWidth="1"/>
    <col min="4867" max="4867" width="2.28515625" style="4" customWidth="1"/>
    <col min="4868" max="4869" width="3.7109375" style="4" customWidth="1"/>
    <col min="4870" max="4870" width="2.28515625" style="4" customWidth="1"/>
    <col min="4871" max="4872" width="3.7109375" style="4" customWidth="1"/>
    <col min="4873" max="4873" width="2.28515625" style="4" customWidth="1"/>
    <col min="4874" max="4875" width="3.7109375" style="4" customWidth="1"/>
    <col min="4876" max="4876" width="2.28515625" style="4" customWidth="1"/>
    <col min="4877" max="4878" width="3.7109375" style="4" customWidth="1"/>
    <col min="4879" max="4879" width="2.28515625" style="4" customWidth="1"/>
    <col min="4880" max="4881" width="3.7109375" style="4" customWidth="1"/>
    <col min="4882" max="4882" width="2.28515625" style="4" customWidth="1"/>
    <col min="4883" max="4884" width="3.7109375" style="4" customWidth="1"/>
    <col min="4885" max="4885" width="2.28515625" style="4" customWidth="1"/>
    <col min="4886" max="4887" width="3.7109375" style="4" customWidth="1"/>
    <col min="4888" max="4888" width="2.28515625" style="4" customWidth="1"/>
    <col min="4889" max="4890" width="3.7109375" style="4" customWidth="1"/>
    <col min="4891" max="4891" width="2.28515625" style="4" customWidth="1"/>
    <col min="4892" max="4893" width="3.7109375" style="4" customWidth="1"/>
    <col min="4894" max="4894" width="2.28515625" style="4" customWidth="1"/>
    <col min="4895" max="4895" width="3.7109375" style="4" customWidth="1"/>
    <col min="4896" max="4896" width="9.7109375" style="4" customWidth="1"/>
    <col min="4897" max="4906" width="3.7109375" style="4" customWidth="1"/>
    <col min="4907" max="4907" width="11" style="4" customWidth="1"/>
    <col min="4908" max="4910" width="8.85546875" style="4"/>
    <col min="4911" max="4911" width="21" style="4" customWidth="1"/>
    <col min="4912" max="4912" width="24.42578125" style="4" customWidth="1"/>
    <col min="4913" max="4913" width="15.28515625" style="4" customWidth="1"/>
    <col min="4914" max="4914" width="10.5703125" style="4" customWidth="1"/>
    <col min="4915" max="4915" width="11.28515625" style="4" customWidth="1"/>
    <col min="4916" max="4916" width="25" style="4" customWidth="1"/>
    <col min="4917" max="4917" width="6" style="4" customWidth="1"/>
    <col min="4918" max="5121" width="8.85546875" style="4"/>
    <col min="5122" max="5122" width="3.7109375" style="4" customWidth="1"/>
    <col min="5123" max="5123" width="2.28515625" style="4" customWidth="1"/>
    <col min="5124" max="5125" width="3.7109375" style="4" customWidth="1"/>
    <col min="5126" max="5126" width="2.28515625" style="4" customWidth="1"/>
    <col min="5127" max="5128" width="3.7109375" style="4" customWidth="1"/>
    <col min="5129" max="5129" width="2.28515625" style="4" customWidth="1"/>
    <col min="5130" max="5131" width="3.7109375" style="4" customWidth="1"/>
    <col min="5132" max="5132" width="2.28515625" style="4" customWidth="1"/>
    <col min="5133" max="5134" width="3.7109375" style="4" customWidth="1"/>
    <col min="5135" max="5135" width="2.28515625" style="4" customWidth="1"/>
    <col min="5136" max="5137" width="3.7109375" style="4" customWidth="1"/>
    <col min="5138" max="5138" width="2.28515625" style="4" customWidth="1"/>
    <col min="5139" max="5140" width="3.7109375" style="4" customWidth="1"/>
    <col min="5141" max="5141" width="2.28515625" style="4" customWidth="1"/>
    <col min="5142" max="5143" width="3.7109375" style="4" customWidth="1"/>
    <col min="5144" max="5144" width="2.28515625" style="4" customWidth="1"/>
    <col min="5145" max="5146" width="3.7109375" style="4" customWidth="1"/>
    <col min="5147" max="5147" width="2.28515625" style="4" customWidth="1"/>
    <col min="5148" max="5149" width="3.7109375" style="4" customWidth="1"/>
    <col min="5150" max="5150" width="2.28515625" style="4" customWidth="1"/>
    <col min="5151" max="5151" width="3.7109375" style="4" customWidth="1"/>
    <col min="5152" max="5152" width="9.7109375" style="4" customWidth="1"/>
    <col min="5153" max="5162" width="3.7109375" style="4" customWidth="1"/>
    <col min="5163" max="5163" width="11" style="4" customWidth="1"/>
    <col min="5164" max="5166" width="8.85546875" style="4"/>
    <col min="5167" max="5167" width="21" style="4" customWidth="1"/>
    <col min="5168" max="5168" width="24.42578125" style="4" customWidth="1"/>
    <col min="5169" max="5169" width="15.28515625" style="4" customWidth="1"/>
    <col min="5170" max="5170" width="10.5703125" style="4" customWidth="1"/>
    <col min="5171" max="5171" width="11.28515625" style="4" customWidth="1"/>
    <col min="5172" max="5172" width="25" style="4" customWidth="1"/>
    <col min="5173" max="5173" width="6" style="4" customWidth="1"/>
    <col min="5174" max="5377" width="8.85546875" style="4"/>
    <col min="5378" max="5378" width="3.7109375" style="4" customWidth="1"/>
    <col min="5379" max="5379" width="2.28515625" style="4" customWidth="1"/>
    <col min="5380" max="5381" width="3.7109375" style="4" customWidth="1"/>
    <col min="5382" max="5382" width="2.28515625" style="4" customWidth="1"/>
    <col min="5383" max="5384" width="3.7109375" style="4" customWidth="1"/>
    <col min="5385" max="5385" width="2.28515625" style="4" customWidth="1"/>
    <col min="5386" max="5387" width="3.7109375" style="4" customWidth="1"/>
    <col min="5388" max="5388" width="2.28515625" style="4" customWidth="1"/>
    <col min="5389" max="5390" width="3.7109375" style="4" customWidth="1"/>
    <col min="5391" max="5391" width="2.28515625" style="4" customWidth="1"/>
    <col min="5392" max="5393" width="3.7109375" style="4" customWidth="1"/>
    <col min="5394" max="5394" width="2.28515625" style="4" customWidth="1"/>
    <col min="5395" max="5396" width="3.7109375" style="4" customWidth="1"/>
    <col min="5397" max="5397" width="2.28515625" style="4" customWidth="1"/>
    <col min="5398" max="5399" width="3.7109375" style="4" customWidth="1"/>
    <col min="5400" max="5400" width="2.28515625" style="4" customWidth="1"/>
    <col min="5401" max="5402" width="3.7109375" style="4" customWidth="1"/>
    <col min="5403" max="5403" width="2.28515625" style="4" customWidth="1"/>
    <col min="5404" max="5405" width="3.7109375" style="4" customWidth="1"/>
    <col min="5406" max="5406" width="2.28515625" style="4" customWidth="1"/>
    <col min="5407" max="5407" width="3.7109375" style="4" customWidth="1"/>
    <col min="5408" max="5408" width="9.7109375" style="4" customWidth="1"/>
    <col min="5409" max="5418" width="3.7109375" style="4" customWidth="1"/>
    <col min="5419" max="5419" width="11" style="4" customWidth="1"/>
    <col min="5420" max="5422" width="8.85546875" style="4"/>
    <col min="5423" max="5423" width="21" style="4" customWidth="1"/>
    <col min="5424" max="5424" width="24.42578125" style="4" customWidth="1"/>
    <col min="5425" max="5425" width="15.28515625" style="4" customWidth="1"/>
    <col min="5426" max="5426" width="10.5703125" style="4" customWidth="1"/>
    <col min="5427" max="5427" width="11.28515625" style="4" customWidth="1"/>
    <col min="5428" max="5428" width="25" style="4" customWidth="1"/>
    <col min="5429" max="5429" width="6" style="4" customWidth="1"/>
    <col min="5430" max="5633" width="8.85546875" style="4"/>
    <col min="5634" max="5634" width="3.7109375" style="4" customWidth="1"/>
    <col min="5635" max="5635" width="2.28515625" style="4" customWidth="1"/>
    <col min="5636" max="5637" width="3.7109375" style="4" customWidth="1"/>
    <col min="5638" max="5638" width="2.28515625" style="4" customWidth="1"/>
    <col min="5639" max="5640" width="3.7109375" style="4" customWidth="1"/>
    <col min="5641" max="5641" width="2.28515625" style="4" customWidth="1"/>
    <col min="5642" max="5643" width="3.7109375" style="4" customWidth="1"/>
    <col min="5644" max="5644" width="2.28515625" style="4" customWidth="1"/>
    <col min="5645" max="5646" width="3.7109375" style="4" customWidth="1"/>
    <col min="5647" max="5647" width="2.28515625" style="4" customWidth="1"/>
    <col min="5648" max="5649" width="3.7109375" style="4" customWidth="1"/>
    <col min="5650" max="5650" width="2.28515625" style="4" customWidth="1"/>
    <col min="5651" max="5652" width="3.7109375" style="4" customWidth="1"/>
    <col min="5653" max="5653" width="2.28515625" style="4" customWidth="1"/>
    <col min="5654" max="5655" width="3.7109375" style="4" customWidth="1"/>
    <col min="5656" max="5656" width="2.28515625" style="4" customWidth="1"/>
    <col min="5657" max="5658" width="3.7109375" style="4" customWidth="1"/>
    <col min="5659" max="5659" width="2.28515625" style="4" customWidth="1"/>
    <col min="5660" max="5661" width="3.7109375" style="4" customWidth="1"/>
    <col min="5662" max="5662" width="2.28515625" style="4" customWidth="1"/>
    <col min="5663" max="5663" width="3.7109375" style="4" customWidth="1"/>
    <col min="5664" max="5664" width="9.7109375" style="4" customWidth="1"/>
    <col min="5665" max="5674" width="3.7109375" style="4" customWidth="1"/>
    <col min="5675" max="5675" width="11" style="4" customWidth="1"/>
    <col min="5676" max="5678" width="8.85546875" style="4"/>
    <col min="5679" max="5679" width="21" style="4" customWidth="1"/>
    <col min="5680" max="5680" width="24.42578125" style="4" customWidth="1"/>
    <col min="5681" max="5681" width="15.28515625" style="4" customWidth="1"/>
    <col min="5682" max="5682" width="10.5703125" style="4" customWidth="1"/>
    <col min="5683" max="5683" width="11.28515625" style="4" customWidth="1"/>
    <col min="5684" max="5684" width="25" style="4" customWidth="1"/>
    <col min="5685" max="5685" width="6" style="4" customWidth="1"/>
    <col min="5686" max="5889" width="8.85546875" style="4"/>
    <col min="5890" max="5890" width="3.7109375" style="4" customWidth="1"/>
    <col min="5891" max="5891" width="2.28515625" style="4" customWidth="1"/>
    <col min="5892" max="5893" width="3.7109375" style="4" customWidth="1"/>
    <col min="5894" max="5894" width="2.28515625" style="4" customWidth="1"/>
    <col min="5895" max="5896" width="3.7109375" style="4" customWidth="1"/>
    <col min="5897" max="5897" width="2.28515625" style="4" customWidth="1"/>
    <col min="5898" max="5899" width="3.7109375" style="4" customWidth="1"/>
    <col min="5900" max="5900" width="2.28515625" style="4" customWidth="1"/>
    <col min="5901" max="5902" width="3.7109375" style="4" customWidth="1"/>
    <col min="5903" max="5903" width="2.28515625" style="4" customWidth="1"/>
    <col min="5904" max="5905" width="3.7109375" style="4" customWidth="1"/>
    <col min="5906" max="5906" width="2.28515625" style="4" customWidth="1"/>
    <col min="5907" max="5908" width="3.7109375" style="4" customWidth="1"/>
    <col min="5909" max="5909" width="2.28515625" style="4" customWidth="1"/>
    <col min="5910" max="5911" width="3.7109375" style="4" customWidth="1"/>
    <col min="5912" max="5912" width="2.28515625" style="4" customWidth="1"/>
    <col min="5913" max="5914" width="3.7109375" style="4" customWidth="1"/>
    <col min="5915" max="5915" width="2.28515625" style="4" customWidth="1"/>
    <col min="5916" max="5917" width="3.7109375" style="4" customWidth="1"/>
    <col min="5918" max="5918" width="2.28515625" style="4" customWidth="1"/>
    <col min="5919" max="5919" width="3.7109375" style="4" customWidth="1"/>
    <col min="5920" max="5920" width="9.7109375" style="4" customWidth="1"/>
    <col min="5921" max="5930" width="3.7109375" style="4" customWidth="1"/>
    <col min="5931" max="5931" width="11" style="4" customWidth="1"/>
    <col min="5932" max="5934" width="8.85546875" style="4"/>
    <col min="5935" max="5935" width="21" style="4" customWidth="1"/>
    <col min="5936" max="5936" width="24.42578125" style="4" customWidth="1"/>
    <col min="5937" max="5937" width="15.28515625" style="4" customWidth="1"/>
    <col min="5938" max="5938" width="10.5703125" style="4" customWidth="1"/>
    <col min="5939" max="5939" width="11.28515625" style="4" customWidth="1"/>
    <col min="5940" max="5940" width="25" style="4" customWidth="1"/>
    <col min="5941" max="5941" width="6" style="4" customWidth="1"/>
    <col min="5942" max="6145" width="8.85546875" style="4"/>
    <col min="6146" max="6146" width="3.7109375" style="4" customWidth="1"/>
    <col min="6147" max="6147" width="2.28515625" style="4" customWidth="1"/>
    <col min="6148" max="6149" width="3.7109375" style="4" customWidth="1"/>
    <col min="6150" max="6150" width="2.28515625" style="4" customWidth="1"/>
    <col min="6151" max="6152" width="3.7109375" style="4" customWidth="1"/>
    <col min="6153" max="6153" width="2.28515625" style="4" customWidth="1"/>
    <col min="6154" max="6155" width="3.7109375" style="4" customWidth="1"/>
    <col min="6156" max="6156" width="2.28515625" style="4" customWidth="1"/>
    <col min="6157" max="6158" width="3.7109375" style="4" customWidth="1"/>
    <col min="6159" max="6159" width="2.28515625" style="4" customWidth="1"/>
    <col min="6160" max="6161" width="3.7109375" style="4" customWidth="1"/>
    <col min="6162" max="6162" width="2.28515625" style="4" customWidth="1"/>
    <col min="6163" max="6164" width="3.7109375" style="4" customWidth="1"/>
    <col min="6165" max="6165" width="2.28515625" style="4" customWidth="1"/>
    <col min="6166" max="6167" width="3.7109375" style="4" customWidth="1"/>
    <col min="6168" max="6168" width="2.28515625" style="4" customWidth="1"/>
    <col min="6169" max="6170" width="3.7109375" style="4" customWidth="1"/>
    <col min="6171" max="6171" width="2.28515625" style="4" customWidth="1"/>
    <col min="6172" max="6173" width="3.7109375" style="4" customWidth="1"/>
    <col min="6174" max="6174" width="2.28515625" style="4" customWidth="1"/>
    <col min="6175" max="6175" width="3.7109375" style="4" customWidth="1"/>
    <col min="6176" max="6176" width="9.7109375" style="4" customWidth="1"/>
    <col min="6177" max="6186" width="3.7109375" style="4" customWidth="1"/>
    <col min="6187" max="6187" width="11" style="4" customWidth="1"/>
    <col min="6188" max="6190" width="8.85546875" style="4"/>
    <col min="6191" max="6191" width="21" style="4" customWidth="1"/>
    <col min="6192" max="6192" width="24.42578125" style="4" customWidth="1"/>
    <col min="6193" max="6193" width="15.28515625" style="4" customWidth="1"/>
    <col min="6194" max="6194" width="10.5703125" style="4" customWidth="1"/>
    <col min="6195" max="6195" width="11.28515625" style="4" customWidth="1"/>
    <col min="6196" max="6196" width="25" style="4" customWidth="1"/>
    <col min="6197" max="6197" width="6" style="4" customWidth="1"/>
    <col min="6198" max="6401" width="8.85546875" style="4"/>
    <col min="6402" max="6402" width="3.7109375" style="4" customWidth="1"/>
    <col min="6403" max="6403" width="2.28515625" style="4" customWidth="1"/>
    <col min="6404" max="6405" width="3.7109375" style="4" customWidth="1"/>
    <col min="6406" max="6406" width="2.28515625" style="4" customWidth="1"/>
    <col min="6407" max="6408" width="3.7109375" style="4" customWidth="1"/>
    <col min="6409" max="6409" width="2.28515625" style="4" customWidth="1"/>
    <col min="6410" max="6411" width="3.7109375" style="4" customWidth="1"/>
    <col min="6412" max="6412" width="2.28515625" style="4" customWidth="1"/>
    <col min="6413" max="6414" width="3.7109375" style="4" customWidth="1"/>
    <col min="6415" max="6415" width="2.28515625" style="4" customWidth="1"/>
    <col min="6416" max="6417" width="3.7109375" style="4" customWidth="1"/>
    <col min="6418" max="6418" width="2.28515625" style="4" customWidth="1"/>
    <col min="6419" max="6420" width="3.7109375" style="4" customWidth="1"/>
    <col min="6421" max="6421" width="2.28515625" style="4" customWidth="1"/>
    <col min="6422" max="6423" width="3.7109375" style="4" customWidth="1"/>
    <col min="6424" max="6424" width="2.28515625" style="4" customWidth="1"/>
    <col min="6425" max="6426" width="3.7109375" style="4" customWidth="1"/>
    <col min="6427" max="6427" width="2.28515625" style="4" customWidth="1"/>
    <col min="6428" max="6429" width="3.7109375" style="4" customWidth="1"/>
    <col min="6430" max="6430" width="2.28515625" style="4" customWidth="1"/>
    <col min="6431" max="6431" width="3.7109375" style="4" customWidth="1"/>
    <col min="6432" max="6432" width="9.7109375" style="4" customWidth="1"/>
    <col min="6433" max="6442" width="3.7109375" style="4" customWidth="1"/>
    <col min="6443" max="6443" width="11" style="4" customWidth="1"/>
    <col min="6444" max="6446" width="8.85546875" style="4"/>
    <col min="6447" max="6447" width="21" style="4" customWidth="1"/>
    <col min="6448" max="6448" width="24.42578125" style="4" customWidth="1"/>
    <col min="6449" max="6449" width="15.28515625" style="4" customWidth="1"/>
    <col min="6450" max="6450" width="10.5703125" style="4" customWidth="1"/>
    <col min="6451" max="6451" width="11.28515625" style="4" customWidth="1"/>
    <col min="6452" max="6452" width="25" style="4" customWidth="1"/>
    <col min="6453" max="6453" width="6" style="4" customWidth="1"/>
    <col min="6454" max="6657" width="8.85546875" style="4"/>
    <col min="6658" max="6658" width="3.7109375" style="4" customWidth="1"/>
    <col min="6659" max="6659" width="2.28515625" style="4" customWidth="1"/>
    <col min="6660" max="6661" width="3.7109375" style="4" customWidth="1"/>
    <col min="6662" max="6662" width="2.28515625" style="4" customWidth="1"/>
    <col min="6663" max="6664" width="3.7109375" style="4" customWidth="1"/>
    <col min="6665" max="6665" width="2.28515625" style="4" customWidth="1"/>
    <col min="6666" max="6667" width="3.7109375" style="4" customWidth="1"/>
    <col min="6668" max="6668" width="2.28515625" style="4" customWidth="1"/>
    <col min="6669" max="6670" width="3.7109375" style="4" customWidth="1"/>
    <col min="6671" max="6671" width="2.28515625" style="4" customWidth="1"/>
    <col min="6672" max="6673" width="3.7109375" style="4" customWidth="1"/>
    <col min="6674" max="6674" width="2.28515625" style="4" customWidth="1"/>
    <col min="6675" max="6676" width="3.7109375" style="4" customWidth="1"/>
    <col min="6677" max="6677" width="2.28515625" style="4" customWidth="1"/>
    <col min="6678" max="6679" width="3.7109375" style="4" customWidth="1"/>
    <col min="6680" max="6680" width="2.28515625" style="4" customWidth="1"/>
    <col min="6681" max="6682" width="3.7109375" style="4" customWidth="1"/>
    <col min="6683" max="6683" width="2.28515625" style="4" customWidth="1"/>
    <col min="6684" max="6685" width="3.7109375" style="4" customWidth="1"/>
    <col min="6686" max="6686" width="2.28515625" style="4" customWidth="1"/>
    <col min="6687" max="6687" width="3.7109375" style="4" customWidth="1"/>
    <col min="6688" max="6688" width="9.7109375" style="4" customWidth="1"/>
    <col min="6689" max="6698" width="3.7109375" style="4" customWidth="1"/>
    <col min="6699" max="6699" width="11" style="4" customWidth="1"/>
    <col min="6700" max="6702" width="8.85546875" style="4"/>
    <col min="6703" max="6703" width="21" style="4" customWidth="1"/>
    <col min="6704" max="6704" width="24.42578125" style="4" customWidth="1"/>
    <col min="6705" max="6705" width="15.28515625" style="4" customWidth="1"/>
    <col min="6706" max="6706" width="10.5703125" style="4" customWidth="1"/>
    <col min="6707" max="6707" width="11.28515625" style="4" customWidth="1"/>
    <col min="6708" max="6708" width="25" style="4" customWidth="1"/>
    <col min="6709" max="6709" width="6" style="4" customWidth="1"/>
    <col min="6710" max="6913" width="8.85546875" style="4"/>
    <col min="6914" max="6914" width="3.7109375" style="4" customWidth="1"/>
    <col min="6915" max="6915" width="2.28515625" style="4" customWidth="1"/>
    <col min="6916" max="6917" width="3.7109375" style="4" customWidth="1"/>
    <col min="6918" max="6918" width="2.28515625" style="4" customWidth="1"/>
    <col min="6919" max="6920" width="3.7109375" style="4" customWidth="1"/>
    <col min="6921" max="6921" width="2.28515625" style="4" customWidth="1"/>
    <col min="6922" max="6923" width="3.7109375" style="4" customWidth="1"/>
    <col min="6924" max="6924" width="2.28515625" style="4" customWidth="1"/>
    <col min="6925" max="6926" width="3.7109375" style="4" customWidth="1"/>
    <col min="6927" max="6927" width="2.28515625" style="4" customWidth="1"/>
    <col min="6928" max="6929" width="3.7109375" style="4" customWidth="1"/>
    <col min="6930" max="6930" width="2.28515625" style="4" customWidth="1"/>
    <col min="6931" max="6932" width="3.7109375" style="4" customWidth="1"/>
    <col min="6933" max="6933" width="2.28515625" style="4" customWidth="1"/>
    <col min="6934" max="6935" width="3.7109375" style="4" customWidth="1"/>
    <col min="6936" max="6936" width="2.28515625" style="4" customWidth="1"/>
    <col min="6937" max="6938" width="3.7109375" style="4" customWidth="1"/>
    <col min="6939" max="6939" width="2.28515625" style="4" customWidth="1"/>
    <col min="6940" max="6941" width="3.7109375" style="4" customWidth="1"/>
    <col min="6942" max="6942" width="2.28515625" style="4" customWidth="1"/>
    <col min="6943" max="6943" width="3.7109375" style="4" customWidth="1"/>
    <col min="6944" max="6944" width="9.7109375" style="4" customWidth="1"/>
    <col min="6945" max="6954" width="3.7109375" style="4" customWidth="1"/>
    <col min="6955" max="6955" width="11" style="4" customWidth="1"/>
    <col min="6956" max="6958" width="8.85546875" style="4"/>
    <col min="6959" max="6959" width="21" style="4" customWidth="1"/>
    <col min="6960" max="6960" width="24.42578125" style="4" customWidth="1"/>
    <col min="6961" max="6961" width="15.28515625" style="4" customWidth="1"/>
    <col min="6962" max="6962" width="10.5703125" style="4" customWidth="1"/>
    <col min="6963" max="6963" width="11.28515625" style="4" customWidth="1"/>
    <col min="6964" max="6964" width="25" style="4" customWidth="1"/>
    <col min="6965" max="6965" width="6" style="4" customWidth="1"/>
    <col min="6966" max="7169" width="8.85546875" style="4"/>
    <col min="7170" max="7170" width="3.7109375" style="4" customWidth="1"/>
    <col min="7171" max="7171" width="2.28515625" style="4" customWidth="1"/>
    <col min="7172" max="7173" width="3.7109375" style="4" customWidth="1"/>
    <col min="7174" max="7174" width="2.28515625" style="4" customWidth="1"/>
    <col min="7175" max="7176" width="3.7109375" style="4" customWidth="1"/>
    <col min="7177" max="7177" width="2.28515625" style="4" customWidth="1"/>
    <col min="7178" max="7179" width="3.7109375" style="4" customWidth="1"/>
    <col min="7180" max="7180" width="2.28515625" style="4" customWidth="1"/>
    <col min="7181" max="7182" width="3.7109375" style="4" customWidth="1"/>
    <col min="7183" max="7183" width="2.28515625" style="4" customWidth="1"/>
    <col min="7184" max="7185" width="3.7109375" style="4" customWidth="1"/>
    <col min="7186" max="7186" width="2.28515625" style="4" customWidth="1"/>
    <col min="7187" max="7188" width="3.7109375" style="4" customWidth="1"/>
    <col min="7189" max="7189" width="2.28515625" style="4" customWidth="1"/>
    <col min="7190" max="7191" width="3.7109375" style="4" customWidth="1"/>
    <col min="7192" max="7192" width="2.28515625" style="4" customWidth="1"/>
    <col min="7193" max="7194" width="3.7109375" style="4" customWidth="1"/>
    <col min="7195" max="7195" width="2.28515625" style="4" customWidth="1"/>
    <col min="7196" max="7197" width="3.7109375" style="4" customWidth="1"/>
    <col min="7198" max="7198" width="2.28515625" style="4" customWidth="1"/>
    <col min="7199" max="7199" width="3.7109375" style="4" customWidth="1"/>
    <col min="7200" max="7200" width="9.7109375" style="4" customWidth="1"/>
    <col min="7201" max="7210" width="3.7109375" style="4" customWidth="1"/>
    <col min="7211" max="7211" width="11" style="4" customWidth="1"/>
    <col min="7212" max="7214" width="8.85546875" style="4"/>
    <col min="7215" max="7215" width="21" style="4" customWidth="1"/>
    <col min="7216" max="7216" width="24.42578125" style="4" customWidth="1"/>
    <col min="7217" max="7217" width="15.28515625" style="4" customWidth="1"/>
    <col min="7218" max="7218" width="10.5703125" style="4" customWidth="1"/>
    <col min="7219" max="7219" width="11.28515625" style="4" customWidth="1"/>
    <col min="7220" max="7220" width="25" style="4" customWidth="1"/>
    <col min="7221" max="7221" width="6" style="4" customWidth="1"/>
    <col min="7222" max="7425" width="8.85546875" style="4"/>
    <col min="7426" max="7426" width="3.7109375" style="4" customWidth="1"/>
    <col min="7427" max="7427" width="2.28515625" style="4" customWidth="1"/>
    <col min="7428" max="7429" width="3.7109375" style="4" customWidth="1"/>
    <col min="7430" max="7430" width="2.28515625" style="4" customWidth="1"/>
    <col min="7431" max="7432" width="3.7109375" style="4" customWidth="1"/>
    <col min="7433" max="7433" width="2.28515625" style="4" customWidth="1"/>
    <col min="7434" max="7435" width="3.7109375" style="4" customWidth="1"/>
    <col min="7436" max="7436" width="2.28515625" style="4" customWidth="1"/>
    <col min="7437" max="7438" width="3.7109375" style="4" customWidth="1"/>
    <col min="7439" max="7439" width="2.28515625" style="4" customWidth="1"/>
    <col min="7440" max="7441" width="3.7109375" style="4" customWidth="1"/>
    <col min="7442" max="7442" width="2.28515625" style="4" customWidth="1"/>
    <col min="7443" max="7444" width="3.7109375" style="4" customWidth="1"/>
    <col min="7445" max="7445" width="2.28515625" style="4" customWidth="1"/>
    <col min="7446" max="7447" width="3.7109375" style="4" customWidth="1"/>
    <col min="7448" max="7448" width="2.28515625" style="4" customWidth="1"/>
    <col min="7449" max="7450" width="3.7109375" style="4" customWidth="1"/>
    <col min="7451" max="7451" width="2.28515625" style="4" customWidth="1"/>
    <col min="7452" max="7453" width="3.7109375" style="4" customWidth="1"/>
    <col min="7454" max="7454" width="2.28515625" style="4" customWidth="1"/>
    <col min="7455" max="7455" width="3.7109375" style="4" customWidth="1"/>
    <col min="7456" max="7456" width="9.7109375" style="4" customWidth="1"/>
    <col min="7457" max="7466" width="3.7109375" style="4" customWidth="1"/>
    <col min="7467" max="7467" width="11" style="4" customWidth="1"/>
    <col min="7468" max="7470" width="8.85546875" style="4"/>
    <col min="7471" max="7471" width="21" style="4" customWidth="1"/>
    <col min="7472" max="7472" width="24.42578125" style="4" customWidth="1"/>
    <col min="7473" max="7473" width="15.28515625" style="4" customWidth="1"/>
    <col min="7474" max="7474" width="10.5703125" style="4" customWidth="1"/>
    <col min="7475" max="7475" width="11.28515625" style="4" customWidth="1"/>
    <col min="7476" max="7476" width="25" style="4" customWidth="1"/>
    <col min="7477" max="7477" width="6" style="4" customWidth="1"/>
    <col min="7478" max="7681" width="8.85546875" style="4"/>
    <col min="7682" max="7682" width="3.7109375" style="4" customWidth="1"/>
    <col min="7683" max="7683" width="2.28515625" style="4" customWidth="1"/>
    <col min="7684" max="7685" width="3.7109375" style="4" customWidth="1"/>
    <col min="7686" max="7686" width="2.28515625" style="4" customWidth="1"/>
    <col min="7687" max="7688" width="3.7109375" style="4" customWidth="1"/>
    <col min="7689" max="7689" width="2.28515625" style="4" customWidth="1"/>
    <col min="7690" max="7691" width="3.7109375" style="4" customWidth="1"/>
    <col min="7692" max="7692" width="2.28515625" style="4" customWidth="1"/>
    <col min="7693" max="7694" width="3.7109375" style="4" customWidth="1"/>
    <col min="7695" max="7695" width="2.28515625" style="4" customWidth="1"/>
    <col min="7696" max="7697" width="3.7109375" style="4" customWidth="1"/>
    <col min="7698" max="7698" width="2.28515625" style="4" customWidth="1"/>
    <col min="7699" max="7700" width="3.7109375" style="4" customWidth="1"/>
    <col min="7701" max="7701" width="2.28515625" style="4" customWidth="1"/>
    <col min="7702" max="7703" width="3.7109375" style="4" customWidth="1"/>
    <col min="7704" max="7704" width="2.28515625" style="4" customWidth="1"/>
    <col min="7705" max="7706" width="3.7109375" style="4" customWidth="1"/>
    <col min="7707" max="7707" width="2.28515625" style="4" customWidth="1"/>
    <col min="7708" max="7709" width="3.7109375" style="4" customWidth="1"/>
    <col min="7710" max="7710" width="2.28515625" style="4" customWidth="1"/>
    <col min="7711" max="7711" width="3.7109375" style="4" customWidth="1"/>
    <col min="7712" max="7712" width="9.7109375" style="4" customWidth="1"/>
    <col min="7713" max="7722" width="3.7109375" style="4" customWidth="1"/>
    <col min="7723" max="7723" width="11" style="4" customWidth="1"/>
    <col min="7724" max="7726" width="8.85546875" style="4"/>
    <col min="7727" max="7727" width="21" style="4" customWidth="1"/>
    <col min="7728" max="7728" width="24.42578125" style="4" customWidth="1"/>
    <col min="7729" max="7729" width="15.28515625" style="4" customWidth="1"/>
    <col min="7730" max="7730" width="10.5703125" style="4" customWidth="1"/>
    <col min="7731" max="7731" width="11.28515625" style="4" customWidth="1"/>
    <col min="7732" max="7732" width="25" style="4" customWidth="1"/>
    <col min="7733" max="7733" width="6" style="4" customWidth="1"/>
    <col min="7734" max="7937" width="8.85546875" style="4"/>
    <col min="7938" max="7938" width="3.7109375" style="4" customWidth="1"/>
    <col min="7939" max="7939" width="2.28515625" style="4" customWidth="1"/>
    <col min="7940" max="7941" width="3.7109375" style="4" customWidth="1"/>
    <col min="7942" max="7942" width="2.28515625" style="4" customWidth="1"/>
    <col min="7943" max="7944" width="3.7109375" style="4" customWidth="1"/>
    <col min="7945" max="7945" width="2.28515625" style="4" customWidth="1"/>
    <col min="7946" max="7947" width="3.7109375" style="4" customWidth="1"/>
    <col min="7948" max="7948" width="2.28515625" style="4" customWidth="1"/>
    <col min="7949" max="7950" width="3.7109375" style="4" customWidth="1"/>
    <col min="7951" max="7951" width="2.28515625" style="4" customWidth="1"/>
    <col min="7952" max="7953" width="3.7109375" style="4" customWidth="1"/>
    <col min="7954" max="7954" width="2.28515625" style="4" customWidth="1"/>
    <col min="7955" max="7956" width="3.7109375" style="4" customWidth="1"/>
    <col min="7957" max="7957" width="2.28515625" style="4" customWidth="1"/>
    <col min="7958" max="7959" width="3.7109375" style="4" customWidth="1"/>
    <col min="7960" max="7960" width="2.28515625" style="4" customWidth="1"/>
    <col min="7961" max="7962" width="3.7109375" style="4" customWidth="1"/>
    <col min="7963" max="7963" width="2.28515625" style="4" customWidth="1"/>
    <col min="7964" max="7965" width="3.7109375" style="4" customWidth="1"/>
    <col min="7966" max="7966" width="2.28515625" style="4" customWidth="1"/>
    <col min="7967" max="7967" width="3.7109375" style="4" customWidth="1"/>
    <col min="7968" max="7968" width="9.7109375" style="4" customWidth="1"/>
    <col min="7969" max="7978" width="3.7109375" style="4" customWidth="1"/>
    <col min="7979" max="7979" width="11" style="4" customWidth="1"/>
    <col min="7980" max="7982" width="8.85546875" style="4"/>
    <col min="7983" max="7983" width="21" style="4" customWidth="1"/>
    <col min="7984" max="7984" width="24.42578125" style="4" customWidth="1"/>
    <col min="7985" max="7985" width="15.28515625" style="4" customWidth="1"/>
    <col min="7986" max="7986" width="10.5703125" style="4" customWidth="1"/>
    <col min="7987" max="7987" width="11.28515625" style="4" customWidth="1"/>
    <col min="7988" max="7988" width="25" style="4" customWidth="1"/>
    <col min="7989" max="7989" width="6" style="4" customWidth="1"/>
    <col min="7990" max="8193" width="8.85546875" style="4"/>
    <col min="8194" max="8194" width="3.7109375" style="4" customWidth="1"/>
    <col min="8195" max="8195" width="2.28515625" style="4" customWidth="1"/>
    <col min="8196" max="8197" width="3.7109375" style="4" customWidth="1"/>
    <col min="8198" max="8198" width="2.28515625" style="4" customWidth="1"/>
    <col min="8199" max="8200" width="3.7109375" style="4" customWidth="1"/>
    <col min="8201" max="8201" width="2.28515625" style="4" customWidth="1"/>
    <col min="8202" max="8203" width="3.7109375" style="4" customWidth="1"/>
    <col min="8204" max="8204" width="2.28515625" style="4" customWidth="1"/>
    <col min="8205" max="8206" width="3.7109375" style="4" customWidth="1"/>
    <col min="8207" max="8207" width="2.28515625" style="4" customWidth="1"/>
    <col min="8208" max="8209" width="3.7109375" style="4" customWidth="1"/>
    <col min="8210" max="8210" width="2.28515625" style="4" customWidth="1"/>
    <col min="8211" max="8212" width="3.7109375" style="4" customWidth="1"/>
    <col min="8213" max="8213" width="2.28515625" style="4" customWidth="1"/>
    <col min="8214" max="8215" width="3.7109375" style="4" customWidth="1"/>
    <col min="8216" max="8216" width="2.28515625" style="4" customWidth="1"/>
    <col min="8217" max="8218" width="3.7109375" style="4" customWidth="1"/>
    <col min="8219" max="8219" width="2.28515625" style="4" customWidth="1"/>
    <col min="8220" max="8221" width="3.7109375" style="4" customWidth="1"/>
    <col min="8222" max="8222" width="2.28515625" style="4" customWidth="1"/>
    <col min="8223" max="8223" width="3.7109375" style="4" customWidth="1"/>
    <col min="8224" max="8224" width="9.7109375" style="4" customWidth="1"/>
    <col min="8225" max="8234" width="3.7109375" style="4" customWidth="1"/>
    <col min="8235" max="8235" width="11" style="4" customWidth="1"/>
    <col min="8236" max="8238" width="8.85546875" style="4"/>
    <col min="8239" max="8239" width="21" style="4" customWidth="1"/>
    <col min="8240" max="8240" width="24.42578125" style="4" customWidth="1"/>
    <col min="8241" max="8241" width="15.28515625" style="4" customWidth="1"/>
    <col min="8242" max="8242" width="10.5703125" style="4" customWidth="1"/>
    <col min="8243" max="8243" width="11.28515625" style="4" customWidth="1"/>
    <col min="8244" max="8244" width="25" style="4" customWidth="1"/>
    <col min="8245" max="8245" width="6" style="4" customWidth="1"/>
    <col min="8246" max="8449" width="8.85546875" style="4"/>
    <col min="8450" max="8450" width="3.7109375" style="4" customWidth="1"/>
    <col min="8451" max="8451" width="2.28515625" style="4" customWidth="1"/>
    <col min="8452" max="8453" width="3.7109375" style="4" customWidth="1"/>
    <col min="8454" max="8454" width="2.28515625" style="4" customWidth="1"/>
    <col min="8455" max="8456" width="3.7109375" style="4" customWidth="1"/>
    <col min="8457" max="8457" width="2.28515625" style="4" customWidth="1"/>
    <col min="8458" max="8459" width="3.7109375" style="4" customWidth="1"/>
    <col min="8460" max="8460" width="2.28515625" style="4" customWidth="1"/>
    <col min="8461" max="8462" width="3.7109375" style="4" customWidth="1"/>
    <col min="8463" max="8463" width="2.28515625" style="4" customWidth="1"/>
    <col min="8464" max="8465" width="3.7109375" style="4" customWidth="1"/>
    <col min="8466" max="8466" width="2.28515625" style="4" customWidth="1"/>
    <col min="8467" max="8468" width="3.7109375" style="4" customWidth="1"/>
    <col min="8469" max="8469" width="2.28515625" style="4" customWidth="1"/>
    <col min="8470" max="8471" width="3.7109375" style="4" customWidth="1"/>
    <col min="8472" max="8472" width="2.28515625" style="4" customWidth="1"/>
    <col min="8473" max="8474" width="3.7109375" style="4" customWidth="1"/>
    <col min="8475" max="8475" width="2.28515625" style="4" customWidth="1"/>
    <col min="8476" max="8477" width="3.7109375" style="4" customWidth="1"/>
    <col min="8478" max="8478" width="2.28515625" style="4" customWidth="1"/>
    <col min="8479" max="8479" width="3.7109375" style="4" customWidth="1"/>
    <col min="8480" max="8480" width="9.7109375" style="4" customWidth="1"/>
    <col min="8481" max="8490" width="3.7109375" style="4" customWidth="1"/>
    <col min="8491" max="8491" width="11" style="4" customWidth="1"/>
    <col min="8492" max="8494" width="8.85546875" style="4"/>
    <col min="8495" max="8495" width="21" style="4" customWidth="1"/>
    <col min="8496" max="8496" width="24.42578125" style="4" customWidth="1"/>
    <col min="8497" max="8497" width="15.28515625" style="4" customWidth="1"/>
    <col min="8498" max="8498" width="10.5703125" style="4" customWidth="1"/>
    <col min="8499" max="8499" width="11.28515625" style="4" customWidth="1"/>
    <col min="8500" max="8500" width="25" style="4" customWidth="1"/>
    <col min="8501" max="8501" width="6" style="4" customWidth="1"/>
    <col min="8502" max="8705" width="8.85546875" style="4"/>
    <col min="8706" max="8706" width="3.7109375" style="4" customWidth="1"/>
    <col min="8707" max="8707" width="2.28515625" style="4" customWidth="1"/>
    <col min="8708" max="8709" width="3.7109375" style="4" customWidth="1"/>
    <col min="8710" max="8710" width="2.28515625" style="4" customWidth="1"/>
    <col min="8711" max="8712" width="3.7109375" style="4" customWidth="1"/>
    <col min="8713" max="8713" width="2.28515625" style="4" customWidth="1"/>
    <col min="8714" max="8715" width="3.7109375" style="4" customWidth="1"/>
    <col min="8716" max="8716" width="2.28515625" style="4" customWidth="1"/>
    <col min="8717" max="8718" width="3.7109375" style="4" customWidth="1"/>
    <col min="8719" max="8719" width="2.28515625" style="4" customWidth="1"/>
    <col min="8720" max="8721" width="3.7109375" style="4" customWidth="1"/>
    <col min="8722" max="8722" width="2.28515625" style="4" customWidth="1"/>
    <col min="8723" max="8724" width="3.7109375" style="4" customWidth="1"/>
    <col min="8725" max="8725" width="2.28515625" style="4" customWidth="1"/>
    <col min="8726" max="8727" width="3.7109375" style="4" customWidth="1"/>
    <col min="8728" max="8728" width="2.28515625" style="4" customWidth="1"/>
    <col min="8729" max="8730" width="3.7109375" style="4" customWidth="1"/>
    <col min="8731" max="8731" width="2.28515625" style="4" customWidth="1"/>
    <col min="8732" max="8733" width="3.7109375" style="4" customWidth="1"/>
    <col min="8734" max="8734" width="2.28515625" style="4" customWidth="1"/>
    <col min="8735" max="8735" width="3.7109375" style="4" customWidth="1"/>
    <col min="8736" max="8736" width="9.7109375" style="4" customWidth="1"/>
    <col min="8737" max="8746" width="3.7109375" style="4" customWidth="1"/>
    <col min="8747" max="8747" width="11" style="4" customWidth="1"/>
    <col min="8748" max="8750" width="8.85546875" style="4"/>
    <col min="8751" max="8751" width="21" style="4" customWidth="1"/>
    <col min="8752" max="8752" width="24.42578125" style="4" customWidth="1"/>
    <col min="8753" max="8753" width="15.28515625" style="4" customWidth="1"/>
    <col min="8754" max="8754" width="10.5703125" style="4" customWidth="1"/>
    <col min="8755" max="8755" width="11.28515625" style="4" customWidth="1"/>
    <col min="8756" max="8756" width="25" style="4" customWidth="1"/>
    <col min="8757" max="8757" width="6" style="4" customWidth="1"/>
    <col min="8758" max="8961" width="8.85546875" style="4"/>
    <col min="8962" max="8962" width="3.7109375" style="4" customWidth="1"/>
    <col min="8963" max="8963" width="2.28515625" style="4" customWidth="1"/>
    <col min="8964" max="8965" width="3.7109375" style="4" customWidth="1"/>
    <col min="8966" max="8966" width="2.28515625" style="4" customWidth="1"/>
    <col min="8967" max="8968" width="3.7109375" style="4" customWidth="1"/>
    <col min="8969" max="8969" width="2.28515625" style="4" customWidth="1"/>
    <col min="8970" max="8971" width="3.7109375" style="4" customWidth="1"/>
    <col min="8972" max="8972" width="2.28515625" style="4" customWidth="1"/>
    <col min="8973" max="8974" width="3.7109375" style="4" customWidth="1"/>
    <col min="8975" max="8975" width="2.28515625" style="4" customWidth="1"/>
    <col min="8976" max="8977" width="3.7109375" style="4" customWidth="1"/>
    <col min="8978" max="8978" width="2.28515625" style="4" customWidth="1"/>
    <col min="8979" max="8980" width="3.7109375" style="4" customWidth="1"/>
    <col min="8981" max="8981" width="2.28515625" style="4" customWidth="1"/>
    <col min="8982" max="8983" width="3.7109375" style="4" customWidth="1"/>
    <col min="8984" max="8984" width="2.28515625" style="4" customWidth="1"/>
    <col min="8985" max="8986" width="3.7109375" style="4" customWidth="1"/>
    <col min="8987" max="8987" width="2.28515625" style="4" customWidth="1"/>
    <col min="8988" max="8989" width="3.7109375" style="4" customWidth="1"/>
    <col min="8990" max="8990" width="2.28515625" style="4" customWidth="1"/>
    <col min="8991" max="8991" width="3.7109375" style="4" customWidth="1"/>
    <col min="8992" max="8992" width="9.7109375" style="4" customWidth="1"/>
    <col min="8993" max="9002" width="3.7109375" style="4" customWidth="1"/>
    <col min="9003" max="9003" width="11" style="4" customWidth="1"/>
    <col min="9004" max="9006" width="8.85546875" style="4"/>
    <col min="9007" max="9007" width="21" style="4" customWidth="1"/>
    <col min="9008" max="9008" width="24.42578125" style="4" customWidth="1"/>
    <col min="9009" max="9009" width="15.28515625" style="4" customWidth="1"/>
    <col min="9010" max="9010" width="10.5703125" style="4" customWidth="1"/>
    <col min="9011" max="9011" width="11.28515625" style="4" customWidth="1"/>
    <col min="9012" max="9012" width="25" style="4" customWidth="1"/>
    <col min="9013" max="9013" width="6" style="4" customWidth="1"/>
    <col min="9014" max="9217" width="8.85546875" style="4"/>
    <col min="9218" max="9218" width="3.7109375" style="4" customWidth="1"/>
    <col min="9219" max="9219" width="2.28515625" style="4" customWidth="1"/>
    <col min="9220" max="9221" width="3.7109375" style="4" customWidth="1"/>
    <col min="9222" max="9222" width="2.28515625" style="4" customWidth="1"/>
    <col min="9223" max="9224" width="3.7109375" style="4" customWidth="1"/>
    <col min="9225" max="9225" width="2.28515625" style="4" customWidth="1"/>
    <col min="9226" max="9227" width="3.7109375" style="4" customWidth="1"/>
    <col min="9228" max="9228" width="2.28515625" style="4" customWidth="1"/>
    <col min="9229" max="9230" width="3.7109375" style="4" customWidth="1"/>
    <col min="9231" max="9231" width="2.28515625" style="4" customWidth="1"/>
    <col min="9232" max="9233" width="3.7109375" style="4" customWidth="1"/>
    <col min="9234" max="9234" width="2.28515625" style="4" customWidth="1"/>
    <col min="9235" max="9236" width="3.7109375" style="4" customWidth="1"/>
    <col min="9237" max="9237" width="2.28515625" style="4" customWidth="1"/>
    <col min="9238" max="9239" width="3.7109375" style="4" customWidth="1"/>
    <col min="9240" max="9240" width="2.28515625" style="4" customWidth="1"/>
    <col min="9241" max="9242" width="3.7109375" style="4" customWidth="1"/>
    <col min="9243" max="9243" width="2.28515625" style="4" customWidth="1"/>
    <col min="9244" max="9245" width="3.7109375" style="4" customWidth="1"/>
    <col min="9246" max="9246" width="2.28515625" style="4" customWidth="1"/>
    <col min="9247" max="9247" width="3.7109375" style="4" customWidth="1"/>
    <col min="9248" max="9248" width="9.7109375" style="4" customWidth="1"/>
    <col min="9249" max="9258" width="3.7109375" style="4" customWidth="1"/>
    <col min="9259" max="9259" width="11" style="4" customWidth="1"/>
    <col min="9260" max="9262" width="8.85546875" style="4"/>
    <col min="9263" max="9263" width="21" style="4" customWidth="1"/>
    <col min="9264" max="9264" width="24.42578125" style="4" customWidth="1"/>
    <col min="9265" max="9265" width="15.28515625" style="4" customWidth="1"/>
    <col min="9266" max="9266" width="10.5703125" style="4" customWidth="1"/>
    <col min="9267" max="9267" width="11.28515625" style="4" customWidth="1"/>
    <col min="9268" max="9268" width="25" style="4" customWidth="1"/>
    <col min="9269" max="9269" width="6" style="4" customWidth="1"/>
    <col min="9270" max="9473" width="8.85546875" style="4"/>
    <col min="9474" max="9474" width="3.7109375" style="4" customWidth="1"/>
    <col min="9475" max="9475" width="2.28515625" style="4" customWidth="1"/>
    <col min="9476" max="9477" width="3.7109375" style="4" customWidth="1"/>
    <col min="9478" max="9478" width="2.28515625" style="4" customWidth="1"/>
    <col min="9479" max="9480" width="3.7109375" style="4" customWidth="1"/>
    <col min="9481" max="9481" width="2.28515625" style="4" customWidth="1"/>
    <col min="9482" max="9483" width="3.7109375" style="4" customWidth="1"/>
    <col min="9484" max="9484" width="2.28515625" style="4" customWidth="1"/>
    <col min="9485" max="9486" width="3.7109375" style="4" customWidth="1"/>
    <col min="9487" max="9487" width="2.28515625" style="4" customWidth="1"/>
    <col min="9488" max="9489" width="3.7109375" style="4" customWidth="1"/>
    <col min="9490" max="9490" width="2.28515625" style="4" customWidth="1"/>
    <col min="9491" max="9492" width="3.7109375" style="4" customWidth="1"/>
    <col min="9493" max="9493" width="2.28515625" style="4" customWidth="1"/>
    <col min="9494" max="9495" width="3.7109375" style="4" customWidth="1"/>
    <col min="9496" max="9496" width="2.28515625" style="4" customWidth="1"/>
    <col min="9497" max="9498" width="3.7109375" style="4" customWidth="1"/>
    <col min="9499" max="9499" width="2.28515625" style="4" customWidth="1"/>
    <col min="9500" max="9501" width="3.7109375" style="4" customWidth="1"/>
    <col min="9502" max="9502" width="2.28515625" style="4" customWidth="1"/>
    <col min="9503" max="9503" width="3.7109375" style="4" customWidth="1"/>
    <col min="9504" max="9504" width="9.7109375" style="4" customWidth="1"/>
    <col min="9505" max="9514" width="3.7109375" style="4" customWidth="1"/>
    <col min="9515" max="9515" width="11" style="4" customWidth="1"/>
    <col min="9516" max="9518" width="8.85546875" style="4"/>
    <col min="9519" max="9519" width="21" style="4" customWidth="1"/>
    <col min="9520" max="9520" width="24.42578125" style="4" customWidth="1"/>
    <col min="9521" max="9521" width="15.28515625" style="4" customWidth="1"/>
    <col min="9522" max="9522" width="10.5703125" style="4" customWidth="1"/>
    <col min="9523" max="9523" width="11.28515625" style="4" customWidth="1"/>
    <col min="9524" max="9524" width="25" style="4" customWidth="1"/>
    <col min="9525" max="9525" width="6" style="4" customWidth="1"/>
    <col min="9526" max="9729" width="8.85546875" style="4"/>
    <col min="9730" max="9730" width="3.7109375" style="4" customWidth="1"/>
    <col min="9731" max="9731" width="2.28515625" style="4" customWidth="1"/>
    <col min="9732" max="9733" width="3.7109375" style="4" customWidth="1"/>
    <col min="9734" max="9734" width="2.28515625" style="4" customWidth="1"/>
    <col min="9735" max="9736" width="3.7109375" style="4" customWidth="1"/>
    <col min="9737" max="9737" width="2.28515625" style="4" customWidth="1"/>
    <col min="9738" max="9739" width="3.7109375" style="4" customWidth="1"/>
    <col min="9740" max="9740" width="2.28515625" style="4" customWidth="1"/>
    <col min="9741" max="9742" width="3.7109375" style="4" customWidth="1"/>
    <col min="9743" max="9743" width="2.28515625" style="4" customWidth="1"/>
    <col min="9744" max="9745" width="3.7109375" style="4" customWidth="1"/>
    <col min="9746" max="9746" width="2.28515625" style="4" customWidth="1"/>
    <col min="9747" max="9748" width="3.7109375" style="4" customWidth="1"/>
    <col min="9749" max="9749" width="2.28515625" style="4" customWidth="1"/>
    <col min="9750" max="9751" width="3.7109375" style="4" customWidth="1"/>
    <col min="9752" max="9752" width="2.28515625" style="4" customWidth="1"/>
    <col min="9753" max="9754" width="3.7109375" style="4" customWidth="1"/>
    <col min="9755" max="9755" width="2.28515625" style="4" customWidth="1"/>
    <col min="9756" max="9757" width="3.7109375" style="4" customWidth="1"/>
    <col min="9758" max="9758" width="2.28515625" style="4" customWidth="1"/>
    <col min="9759" max="9759" width="3.7109375" style="4" customWidth="1"/>
    <col min="9760" max="9760" width="9.7109375" style="4" customWidth="1"/>
    <col min="9761" max="9770" width="3.7109375" style="4" customWidth="1"/>
    <col min="9771" max="9771" width="11" style="4" customWidth="1"/>
    <col min="9772" max="9774" width="8.85546875" style="4"/>
    <col min="9775" max="9775" width="21" style="4" customWidth="1"/>
    <col min="9776" max="9776" width="24.42578125" style="4" customWidth="1"/>
    <col min="9777" max="9777" width="15.28515625" style="4" customWidth="1"/>
    <col min="9778" max="9778" width="10.5703125" style="4" customWidth="1"/>
    <col min="9779" max="9779" width="11.28515625" style="4" customWidth="1"/>
    <col min="9780" max="9780" width="25" style="4" customWidth="1"/>
    <col min="9781" max="9781" width="6" style="4" customWidth="1"/>
    <col min="9782" max="9985" width="8.85546875" style="4"/>
    <col min="9986" max="9986" width="3.7109375" style="4" customWidth="1"/>
    <col min="9987" max="9987" width="2.28515625" style="4" customWidth="1"/>
    <col min="9988" max="9989" width="3.7109375" style="4" customWidth="1"/>
    <col min="9990" max="9990" width="2.28515625" style="4" customWidth="1"/>
    <col min="9991" max="9992" width="3.7109375" style="4" customWidth="1"/>
    <col min="9993" max="9993" width="2.28515625" style="4" customWidth="1"/>
    <col min="9994" max="9995" width="3.7109375" style="4" customWidth="1"/>
    <col min="9996" max="9996" width="2.28515625" style="4" customWidth="1"/>
    <col min="9997" max="9998" width="3.7109375" style="4" customWidth="1"/>
    <col min="9999" max="9999" width="2.28515625" style="4" customWidth="1"/>
    <col min="10000" max="10001" width="3.7109375" style="4" customWidth="1"/>
    <col min="10002" max="10002" width="2.28515625" style="4" customWidth="1"/>
    <col min="10003" max="10004" width="3.7109375" style="4" customWidth="1"/>
    <col min="10005" max="10005" width="2.28515625" style="4" customWidth="1"/>
    <col min="10006" max="10007" width="3.7109375" style="4" customWidth="1"/>
    <col min="10008" max="10008" width="2.28515625" style="4" customWidth="1"/>
    <col min="10009" max="10010" width="3.7109375" style="4" customWidth="1"/>
    <col min="10011" max="10011" width="2.28515625" style="4" customWidth="1"/>
    <col min="10012" max="10013" width="3.7109375" style="4" customWidth="1"/>
    <col min="10014" max="10014" width="2.28515625" style="4" customWidth="1"/>
    <col min="10015" max="10015" width="3.7109375" style="4" customWidth="1"/>
    <col min="10016" max="10016" width="9.7109375" style="4" customWidth="1"/>
    <col min="10017" max="10026" width="3.7109375" style="4" customWidth="1"/>
    <col min="10027" max="10027" width="11" style="4" customWidth="1"/>
    <col min="10028" max="10030" width="8.85546875" style="4"/>
    <col min="10031" max="10031" width="21" style="4" customWidth="1"/>
    <col min="10032" max="10032" width="24.42578125" style="4" customWidth="1"/>
    <col min="10033" max="10033" width="15.28515625" style="4" customWidth="1"/>
    <col min="10034" max="10034" width="10.5703125" style="4" customWidth="1"/>
    <col min="10035" max="10035" width="11.28515625" style="4" customWidth="1"/>
    <col min="10036" max="10036" width="25" style="4" customWidth="1"/>
    <col min="10037" max="10037" width="6" style="4" customWidth="1"/>
    <col min="10038" max="10241" width="8.85546875" style="4"/>
    <col min="10242" max="10242" width="3.7109375" style="4" customWidth="1"/>
    <col min="10243" max="10243" width="2.28515625" style="4" customWidth="1"/>
    <col min="10244" max="10245" width="3.7109375" style="4" customWidth="1"/>
    <col min="10246" max="10246" width="2.28515625" style="4" customWidth="1"/>
    <col min="10247" max="10248" width="3.7109375" style="4" customWidth="1"/>
    <col min="10249" max="10249" width="2.28515625" style="4" customWidth="1"/>
    <col min="10250" max="10251" width="3.7109375" style="4" customWidth="1"/>
    <col min="10252" max="10252" width="2.28515625" style="4" customWidth="1"/>
    <col min="10253" max="10254" width="3.7109375" style="4" customWidth="1"/>
    <col min="10255" max="10255" width="2.28515625" style="4" customWidth="1"/>
    <col min="10256" max="10257" width="3.7109375" style="4" customWidth="1"/>
    <col min="10258" max="10258" width="2.28515625" style="4" customWidth="1"/>
    <col min="10259" max="10260" width="3.7109375" style="4" customWidth="1"/>
    <col min="10261" max="10261" width="2.28515625" style="4" customWidth="1"/>
    <col min="10262" max="10263" width="3.7109375" style="4" customWidth="1"/>
    <col min="10264" max="10264" width="2.28515625" style="4" customWidth="1"/>
    <col min="10265" max="10266" width="3.7109375" style="4" customWidth="1"/>
    <col min="10267" max="10267" width="2.28515625" style="4" customWidth="1"/>
    <col min="10268" max="10269" width="3.7109375" style="4" customWidth="1"/>
    <col min="10270" max="10270" width="2.28515625" style="4" customWidth="1"/>
    <col min="10271" max="10271" width="3.7109375" style="4" customWidth="1"/>
    <col min="10272" max="10272" width="9.7109375" style="4" customWidth="1"/>
    <col min="10273" max="10282" width="3.7109375" style="4" customWidth="1"/>
    <col min="10283" max="10283" width="11" style="4" customWidth="1"/>
    <col min="10284" max="10286" width="8.85546875" style="4"/>
    <col min="10287" max="10287" width="21" style="4" customWidth="1"/>
    <col min="10288" max="10288" width="24.42578125" style="4" customWidth="1"/>
    <col min="10289" max="10289" width="15.28515625" style="4" customWidth="1"/>
    <col min="10290" max="10290" width="10.5703125" style="4" customWidth="1"/>
    <col min="10291" max="10291" width="11.28515625" style="4" customWidth="1"/>
    <col min="10292" max="10292" width="25" style="4" customWidth="1"/>
    <col min="10293" max="10293" width="6" style="4" customWidth="1"/>
    <col min="10294" max="10497" width="8.85546875" style="4"/>
    <col min="10498" max="10498" width="3.7109375" style="4" customWidth="1"/>
    <col min="10499" max="10499" width="2.28515625" style="4" customWidth="1"/>
    <col min="10500" max="10501" width="3.7109375" style="4" customWidth="1"/>
    <col min="10502" max="10502" width="2.28515625" style="4" customWidth="1"/>
    <col min="10503" max="10504" width="3.7109375" style="4" customWidth="1"/>
    <col min="10505" max="10505" width="2.28515625" style="4" customWidth="1"/>
    <col min="10506" max="10507" width="3.7109375" style="4" customWidth="1"/>
    <col min="10508" max="10508" width="2.28515625" style="4" customWidth="1"/>
    <col min="10509" max="10510" width="3.7109375" style="4" customWidth="1"/>
    <col min="10511" max="10511" width="2.28515625" style="4" customWidth="1"/>
    <col min="10512" max="10513" width="3.7109375" style="4" customWidth="1"/>
    <col min="10514" max="10514" width="2.28515625" style="4" customWidth="1"/>
    <col min="10515" max="10516" width="3.7109375" style="4" customWidth="1"/>
    <col min="10517" max="10517" width="2.28515625" style="4" customWidth="1"/>
    <col min="10518" max="10519" width="3.7109375" style="4" customWidth="1"/>
    <col min="10520" max="10520" width="2.28515625" style="4" customWidth="1"/>
    <col min="10521" max="10522" width="3.7109375" style="4" customWidth="1"/>
    <col min="10523" max="10523" width="2.28515625" style="4" customWidth="1"/>
    <col min="10524" max="10525" width="3.7109375" style="4" customWidth="1"/>
    <col min="10526" max="10526" width="2.28515625" style="4" customWidth="1"/>
    <col min="10527" max="10527" width="3.7109375" style="4" customWidth="1"/>
    <col min="10528" max="10528" width="9.7109375" style="4" customWidth="1"/>
    <col min="10529" max="10538" width="3.7109375" style="4" customWidth="1"/>
    <col min="10539" max="10539" width="11" style="4" customWidth="1"/>
    <col min="10540" max="10542" width="8.85546875" style="4"/>
    <col min="10543" max="10543" width="21" style="4" customWidth="1"/>
    <col min="10544" max="10544" width="24.42578125" style="4" customWidth="1"/>
    <col min="10545" max="10545" width="15.28515625" style="4" customWidth="1"/>
    <col min="10546" max="10546" width="10.5703125" style="4" customWidth="1"/>
    <col min="10547" max="10547" width="11.28515625" style="4" customWidth="1"/>
    <col min="10548" max="10548" width="25" style="4" customWidth="1"/>
    <col min="10549" max="10549" width="6" style="4" customWidth="1"/>
    <col min="10550" max="10753" width="8.85546875" style="4"/>
    <col min="10754" max="10754" width="3.7109375" style="4" customWidth="1"/>
    <col min="10755" max="10755" width="2.28515625" style="4" customWidth="1"/>
    <col min="10756" max="10757" width="3.7109375" style="4" customWidth="1"/>
    <col min="10758" max="10758" width="2.28515625" style="4" customWidth="1"/>
    <col min="10759" max="10760" width="3.7109375" style="4" customWidth="1"/>
    <col min="10761" max="10761" width="2.28515625" style="4" customWidth="1"/>
    <col min="10762" max="10763" width="3.7109375" style="4" customWidth="1"/>
    <col min="10764" max="10764" width="2.28515625" style="4" customWidth="1"/>
    <col min="10765" max="10766" width="3.7109375" style="4" customWidth="1"/>
    <col min="10767" max="10767" width="2.28515625" style="4" customWidth="1"/>
    <col min="10768" max="10769" width="3.7109375" style="4" customWidth="1"/>
    <col min="10770" max="10770" width="2.28515625" style="4" customWidth="1"/>
    <col min="10771" max="10772" width="3.7109375" style="4" customWidth="1"/>
    <col min="10773" max="10773" width="2.28515625" style="4" customWidth="1"/>
    <col min="10774" max="10775" width="3.7109375" style="4" customWidth="1"/>
    <col min="10776" max="10776" width="2.28515625" style="4" customWidth="1"/>
    <col min="10777" max="10778" width="3.7109375" style="4" customWidth="1"/>
    <col min="10779" max="10779" width="2.28515625" style="4" customWidth="1"/>
    <col min="10780" max="10781" width="3.7109375" style="4" customWidth="1"/>
    <col min="10782" max="10782" width="2.28515625" style="4" customWidth="1"/>
    <col min="10783" max="10783" width="3.7109375" style="4" customWidth="1"/>
    <col min="10784" max="10784" width="9.7109375" style="4" customWidth="1"/>
    <col min="10785" max="10794" width="3.7109375" style="4" customWidth="1"/>
    <col min="10795" max="10795" width="11" style="4" customWidth="1"/>
    <col min="10796" max="10798" width="8.85546875" style="4"/>
    <col min="10799" max="10799" width="21" style="4" customWidth="1"/>
    <col min="10800" max="10800" width="24.42578125" style="4" customWidth="1"/>
    <col min="10801" max="10801" width="15.28515625" style="4" customWidth="1"/>
    <col min="10802" max="10802" width="10.5703125" style="4" customWidth="1"/>
    <col min="10803" max="10803" width="11.28515625" style="4" customWidth="1"/>
    <col min="10804" max="10804" width="25" style="4" customWidth="1"/>
    <col min="10805" max="10805" width="6" style="4" customWidth="1"/>
    <col min="10806" max="11009" width="8.85546875" style="4"/>
    <col min="11010" max="11010" width="3.7109375" style="4" customWidth="1"/>
    <col min="11011" max="11011" width="2.28515625" style="4" customWidth="1"/>
    <col min="11012" max="11013" width="3.7109375" style="4" customWidth="1"/>
    <col min="11014" max="11014" width="2.28515625" style="4" customWidth="1"/>
    <col min="11015" max="11016" width="3.7109375" style="4" customWidth="1"/>
    <col min="11017" max="11017" width="2.28515625" style="4" customWidth="1"/>
    <col min="11018" max="11019" width="3.7109375" style="4" customWidth="1"/>
    <col min="11020" max="11020" width="2.28515625" style="4" customWidth="1"/>
    <col min="11021" max="11022" width="3.7109375" style="4" customWidth="1"/>
    <col min="11023" max="11023" width="2.28515625" style="4" customWidth="1"/>
    <col min="11024" max="11025" width="3.7109375" style="4" customWidth="1"/>
    <col min="11026" max="11026" width="2.28515625" style="4" customWidth="1"/>
    <col min="11027" max="11028" width="3.7109375" style="4" customWidth="1"/>
    <col min="11029" max="11029" width="2.28515625" style="4" customWidth="1"/>
    <col min="11030" max="11031" width="3.7109375" style="4" customWidth="1"/>
    <col min="11032" max="11032" width="2.28515625" style="4" customWidth="1"/>
    <col min="11033" max="11034" width="3.7109375" style="4" customWidth="1"/>
    <col min="11035" max="11035" width="2.28515625" style="4" customWidth="1"/>
    <col min="11036" max="11037" width="3.7109375" style="4" customWidth="1"/>
    <col min="11038" max="11038" width="2.28515625" style="4" customWidth="1"/>
    <col min="11039" max="11039" width="3.7109375" style="4" customWidth="1"/>
    <col min="11040" max="11040" width="9.7109375" style="4" customWidth="1"/>
    <col min="11041" max="11050" width="3.7109375" style="4" customWidth="1"/>
    <col min="11051" max="11051" width="11" style="4" customWidth="1"/>
    <col min="11052" max="11054" width="8.85546875" style="4"/>
    <col min="11055" max="11055" width="21" style="4" customWidth="1"/>
    <col min="11056" max="11056" width="24.42578125" style="4" customWidth="1"/>
    <col min="11057" max="11057" width="15.28515625" style="4" customWidth="1"/>
    <col min="11058" max="11058" width="10.5703125" style="4" customWidth="1"/>
    <col min="11059" max="11059" width="11.28515625" style="4" customWidth="1"/>
    <col min="11060" max="11060" width="25" style="4" customWidth="1"/>
    <col min="11061" max="11061" width="6" style="4" customWidth="1"/>
    <col min="11062" max="11265" width="8.85546875" style="4"/>
    <col min="11266" max="11266" width="3.7109375" style="4" customWidth="1"/>
    <col min="11267" max="11267" width="2.28515625" style="4" customWidth="1"/>
    <col min="11268" max="11269" width="3.7109375" style="4" customWidth="1"/>
    <col min="11270" max="11270" width="2.28515625" style="4" customWidth="1"/>
    <col min="11271" max="11272" width="3.7109375" style="4" customWidth="1"/>
    <col min="11273" max="11273" width="2.28515625" style="4" customWidth="1"/>
    <col min="11274" max="11275" width="3.7109375" style="4" customWidth="1"/>
    <col min="11276" max="11276" width="2.28515625" style="4" customWidth="1"/>
    <col min="11277" max="11278" width="3.7109375" style="4" customWidth="1"/>
    <col min="11279" max="11279" width="2.28515625" style="4" customWidth="1"/>
    <col min="11280" max="11281" width="3.7109375" style="4" customWidth="1"/>
    <col min="11282" max="11282" width="2.28515625" style="4" customWidth="1"/>
    <col min="11283" max="11284" width="3.7109375" style="4" customWidth="1"/>
    <col min="11285" max="11285" width="2.28515625" style="4" customWidth="1"/>
    <col min="11286" max="11287" width="3.7109375" style="4" customWidth="1"/>
    <col min="11288" max="11288" width="2.28515625" style="4" customWidth="1"/>
    <col min="11289" max="11290" width="3.7109375" style="4" customWidth="1"/>
    <col min="11291" max="11291" width="2.28515625" style="4" customWidth="1"/>
    <col min="11292" max="11293" width="3.7109375" style="4" customWidth="1"/>
    <col min="11294" max="11294" width="2.28515625" style="4" customWidth="1"/>
    <col min="11295" max="11295" width="3.7109375" style="4" customWidth="1"/>
    <col min="11296" max="11296" width="9.7109375" style="4" customWidth="1"/>
    <col min="11297" max="11306" width="3.7109375" style="4" customWidth="1"/>
    <col min="11307" max="11307" width="11" style="4" customWidth="1"/>
    <col min="11308" max="11310" width="8.85546875" style="4"/>
    <col min="11311" max="11311" width="21" style="4" customWidth="1"/>
    <col min="11312" max="11312" width="24.42578125" style="4" customWidth="1"/>
    <col min="11313" max="11313" width="15.28515625" style="4" customWidth="1"/>
    <col min="11314" max="11314" width="10.5703125" style="4" customWidth="1"/>
    <col min="11315" max="11315" width="11.28515625" style="4" customWidth="1"/>
    <col min="11316" max="11316" width="25" style="4" customWidth="1"/>
    <col min="11317" max="11317" width="6" style="4" customWidth="1"/>
    <col min="11318" max="11521" width="8.85546875" style="4"/>
    <col min="11522" max="11522" width="3.7109375" style="4" customWidth="1"/>
    <col min="11523" max="11523" width="2.28515625" style="4" customWidth="1"/>
    <col min="11524" max="11525" width="3.7109375" style="4" customWidth="1"/>
    <col min="11526" max="11526" width="2.28515625" style="4" customWidth="1"/>
    <col min="11527" max="11528" width="3.7109375" style="4" customWidth="1"/>
    <col min="11529" max="11529" width="2.28515625" style="4" customWidth="1"/>
    <col min="11530" max="11531" width="3.7109375" style="4" customWidth="1"/>
    <col min="11532" max="11532" width="2.28515625" style="4" customWidth="1"/>
    <col min="11533" max="11534" width="3.7109375" style="4" customWidth="1"/>
    <col min="11535" max="11535" width="2.28515625" style="4" customWidth="1"/>
    <col min="11536" max="11537" width="3.7109375" style="4" customWidth="1"/>
    <col min="11538" max="11538" width="2.28515625" style="4" customWidth="1"/>
    <col min="11539" max="11540" width="3.7109375" style="4" customWidth="1"/>
    <col min="11541" max="11541" width="2.28515625" style="4" customWidth="1"/>
    <col min="11542" max="11543" width="3.7109375" style="4" customWidth="1"/>
    <col min="11544" max="11544" width="2.28515625" style="4" customWidth="1"/>
    <col min="11545" max="11546" width="3.7109375" style="4" customWidth="1"/>
    <col min="11547" max="11547" width="2.28515625" style="4" customWidth="1"/>
    <col min="11548" max="11549" width="3.7109375" style="4" customWidth="1"/>
    <col min="11550" max="11550" width="2.28515625" style="4" customWidth="1"/>
    <col min="11551" max="11551" width="3.7109375" style="4" customWidth="1"/>
    <col min="11552" max="11552" width="9.7109375" style="4" customWidth="1"/>
    <col min="11553" max="11562" width="3.7109375" style="4" customWidth="1"/>
    <col min="11563" max="11563" width="11" style="4" customWidth="1"/>
    <col min="11564" max="11566" width="8.85546875" style="4"/>
    <col min="11567" max="11567" width="21" style="4" customWidth="1"/>
    <col min="11568" max="11568" width="24.42578125" style="4" customWidth="1"/>
    <col min="11569" max="11569" width="15.28515625" style="4" customWidth="1"/>
    <col min="11570" max="11570" width="10.5703125" style="4" customWidth="1"/>
    <col min="11571" max="11571" width="11.28515625" style="4" customWidth="1"/>
    <col min="11572" max="11572" width="25" style="4" customWidth="1"/>
    <col min="11573" max="11573" width="6" style="4" customWidth="1"/>
    <col min="11574" max="11777" width="8.85546875" style="4"/>
    <col min="11778" max="11778" width="3.7109375" style="4" customWidth="1"/>
    <col min="11779" max="11779" width="2.28515625" style="4" customWidth="1"/>
    <col min="11780" max="11781" width="3.7109375" style="4" customWidth="1"/>
    <col min="11782" max="11782" width="2.28515625" style="4" customWidth="1"/>
    <col min="11783" max="11784" width="3.7109375" style="4" customWidth="1"/>
    <col min="11785" max="11785" width="2.28515625" style="4" customWidth="1"/>
    <col min="11786" max="11787" width="3.7109375" style="4" customWidth="1"/>
    <col min="11788" max="11788" width="2.28515625" style="4" customWidth="1"/>
    <col min="11789" max="11790" width="3.7109375" style="4" customWidth="1"/>
    <col min="11791" max="11791" width="2.28515625" style="4" customWidth="1"/>
    <col min="11792" max="11793" width="3.7109375" style="4" customWidth="1"/>
    <col min="11794" max="11794" width="2.28515625" style="4" customWidth="1"/>
    <col min="11795" max="11796" width="3.7109375" style="4" customWidth="1"/>
    <col min="11797" max="11797" width="2.28515625" style="4" customWidth="1"/>
    <col min="11798" max="11799" width="3.7109375" style="4" customWidth="1"/>
    <col min="11800" max="11800" width="2.28515625" style="4" customWidth="1"/>
    <col min="11801" max="11802" width="3.7109375" style="4" customWidth="1"/>
    <col min="11803" max="11803" width="2.28515625" style="4" customWidth="1"/>
    <col min="11804" max="11805" width="3.7109375" style="4" customWidth="1"/>
    <col min="11806" max="11806" width="2.28515625" style="4" customWidth="1"/>
    <col min="11807" max="11807" width="3.7109375" style="4" customWidth="1"/>
    <col min="11808" max="11808" width="9.7109375" style="4" customWidth="1"/>
    <col min="11809" max="11818" width="3.7109375" style="4" customWidth="1"/>
    <col min="11819" max="11819" width="11" style="4" customWidth="1"/>
    <col min="11820" max="11822" width="8.85546875" style="4"/>
    <col min="11823" max="11823" width="21" style="4" customWidth="1"/>
    <col min="11824" max="11824" width="24.42578125" style="4" customWidth="1"/>
    <col min="11825" max="11825" width="15.28515625" style="4" customWidth="1"/>
    <col min="11826" max="11826" width="10.5703125" style="4" customWidth="1"/>
    <col min="11827" max="11827" width="11.28515625" style="4" customWidth="1"/>
    <col min="11828" max="11828" width="25" style="4" customWidth="1"/>
    <col min="11829" max="11829" width="6" style="4" customWidth="1"/>
    <col min="11830" max="12033" width="8.85546875" style="4"/>
    <col min="12034" max="12034" width="3.7109375" style="4" customWidth="1"/>
    <col min="12035" max="12035" width="2.28515625" style="4" customWidth="1"/>
    <col min="12036" max="12037" width="3.7109375" style="4" customWidth="1"/>
    <col min="12038" max="12038" width="2.28515625" style="4" customWidth="1"/>
    <col min="12039" max="12040" width="3.7109375" style="4" customWidth="1"/>
    <col min="12041" max="12041" width="2.28515625" style="4" customWidth="1"/>
    <col min="12042" max="12043" width="3.7109375" style="4" customWidth="1"/>
    <col min="12044" max="12044" width="2.28515625" style="4" customWidth="1"/>
    <col min="12045" max="12046" width="3.7109375" style="4" customWidth="1"/>
    <col min="12047" max="12047" width="2.28515625" style="4" customWidth="1"/>
    <col min="12048" max="12049" width="3.7109375" style="4" customWidth="1"/>
    <col min="12050" max="12050" width="2.28515625" style="4" customWidth="1"/>
    <col min="12051" max="12052" width="3.7109375" style="4" customWidth="1"/>
    <col min="12053" max="12053" width="2.28515625" style="4" customWidth="1"/>
    <col min="12054" max="12055" width="3.7109375" style="4" customWidth="1"/>
    <col min="12056" max="12056" width="2.28515625" style="4" customWidth="1"/>
    <col min="12057" max="12058" width="3.7109375" style="4" customWidth="1"/>
    <col min="12059" max="12059" width="2.28515625" style="4" customWidth="1"/>
    <col min="12060" max="12061" width="3.7109375" style="4" customWidth="1"/>
    <col min="12062" max="12062" width="2.28515625" style="4" customWidth="1"/>
    <col min="12063" max="12063" width="3.7109375" style="4" customWidth="1"/>
    <col min="12064" max="12064" width="9.7109375" style="4" customWidth="1"/>
    <col min="12065" max="12074" width="3.7109375" style="4" customWidth="1"/>
    <col min="12075" max="12075" width="11" style="4" customWidth="1"/>
    <col min="12076" max="12078" width="8.85546875" style="4"/>
    <col min="12079" max="12079" width="21" style="4" customWidth="1"/>
    <col min="12080" max="12080" width="24.42578125" style="4" customWidth="1"/>
    <col min="12081" max="12081" width="15.28515625" style="4" customWidth="1"/>
    <col min="12082" max="12082" width="10.5703125" style="4" customWidth="1"/>
    <col min="12083" max="12083" width="11.28515625" style="4" customWidth="1"/>
    <col min="12084" max="12084" width="25" style="4" customWidth="1"/>
    <col min="12085" max="12085" width="6" style="4" customWidth="1"/>
    <col min="12086" max="12289" width="8.85546875" style="4"/>
    <col min="12290" max="12290" width="3.7109375" style="4" customWidth="1"/>
    <col min="12291" max="12291" width="2.28515625" style="4" customWidth="1"/>
    <col min="12292" max="12293" width="3.7109375" style="4" customWidth="1"/>
    <col min="12294" max="12294" width="2.28515625" style="4" customWidth="1"/>
    <col min="12295" max="12296" width="3.7109375" style="4" customWidth="1"/>
    <col min="12297" max="12297" width="2.28515625" style="4" customWidth="1"/>
    <col min="12298" max="12299" width="3.7109375" style="4" customWidth="1"/>
    <col min="12300" max="12300" width="2.28515625" style="4" customWidth="1"/>
    <col min="12301" max="12302" width="3.7109375" style="4" customWidth="1"/>
    <col min="12303" max="12303" width="2.28515625" style="4" customWidth="1"/>
    <col min="12304" max="12305" width="3.7109375" style="4" customWidth="1"/>
    <col min="12306" max="12306" width="2.28515625" style="4" customWidth="1"/>
    <col min="12307" max="12308" width="3.7109375" style="4" customWidth="1"/>
    <col min="12309" max="12309" width="2.28515625" style="4" customWidth="1"/>
    <col min="12310" max="12311" width="3.7109375" style="4" customWidth="1"/>
    <col min="12312" max="12312" width="2.28515625" style="4" customWidth="1"/>
    <col min="12313" max="12314" width="3.7109375" style="4" customWidth="1"/>
    <col min="12315" max="12315" width="2.28515625" style="4" customWidth="1"/>
    <col min="12316" max="12317" width="3.7109375" style="4" customWidth="1"/>
    <col min="12318" max="12318" width="2.28515625" style="4" customWidth="1"/>
    <col min="12319" max="12319" width="3.7109375" style="4" customWidth="1"/>
    <col min="12320" max="12320" width="9.7109375" style="4" customWidth="1"/>
    <col min="12321" max="12330" width="3.7109375" style="4" customWidth="1"/>
    <col min="12331" max="12331" width="11" style="4" customWidth="1"/>
    <col min="12332" max="12334" width="8.85546875" style="4"/>
    <col min="12335" max="12335" width="21" style="4" customWidth="1"/>
    <col min="12336" max="12336" width="24.42578125" style="4" customWidth="1"/>
    <col min="12337" max="12337" width="15.28515625" style="4" customWidth="1"/>
    <col min="12338" max="12338" width="10.5703125" style="4" customWidth="1"/>
    <col min="12339" max="12339" width="11.28515625" style="4" customWidth="1"/>
    <col min="12340" max="12340" width="25" style="4" customWidth="1"/>
    <col min="12341" max="12341" width="6" style="4" customWidth="1"/>
    <col min="12342" max="12545" width="8.85546875" style="4"/>
    <col min="12546" max="12546" width="3.7109375" style="4" customWidth="1"/>
    <col min="12547" max="12547" width="2.28515625" style="4" customWidth="1"/>
    <col min="12548" max="12549" width="3.7109375" style="4" customWidth="1"/>
    <col min="12550" max="12550" width="2.28515625" style="4" customWidth="1"/>
    <col min="12551" max="12552" width="3.7109375" style="4" customWidth="1"/>
    <col min="12553" max="12553" width="2.28515625" style="4" customWidth="1"/>
    <col min="12554" max="12555" width="3.7109375" style="4" customWidth="1"/>
    <col min="12556" max="12556" width="2.28515625" style="4" customWidth="1"/>
    <col min="12557" max="12558" width="3.7109375" style="4" customWidth="1"/>
    <col min="12559" max="12559" width="2.28515625" style="4" customWidth="1"/>
    <col min="12560" max="12561" width="3.7109375" style="4" customWidth="1"/>
    <col min="12562" max="12562" width="2.28515625" style="4" customWidth="1"/>
    <col min="12563" max="12564" width="3.7109375" style="4" customWidth="1"/>
    <col min="12565" max="12565" width="2.28515625" style="4" customWidth="1"/>
    <col min="12566" max="12567" width="3.7109375" style="4" customWidth="1"/>
    <col min="12568" max="12568" width="2.28515625" style="4" customWidth="1"/>
    <col min="12569" max="12570" width="3.7109375" style="4" customWidth="1"/>
    <col min="12571" max="12571" width="2.28515625" style="4" customWidth="1"/>
    <col min="12572" max="12573" width="3.7109375" style="4" customWidth="1"/>
    <col min="12574" max="12574" width="2.28515625" style="4" customWidth="1"/>
    <col min="12575" max="12575" width="3.7109375" style="4" customWidth="1"/>
    <col min="12576" max="12576" width="9.7109375" style="4" customWidth="1"/>
    <col min="12577" max="12586" width="3.7109375" style="4" customWidth="1"/>
    <col min="12587" max="12587" width="11" style="4" customWidth="1"/>
    <col min="12588" max="12590" width="8.85546875" style="4"/>
    <col min="12591" max="12591" width="21" style="4" customWidth="1"/>
    <col min="12592" max="12592" width="24.42578125" style="4" customWidth="1"/>
    <col min="12593" max="12593" width="15.28515625" style="4" customWidth="1"/>
    <col min="12594" max="12594" width="10.5703125" style="4" customWidth="1"/>
    <col min="12595" max="12595" width="11.28515625" style="4" customWidth="1"/>
    <col min="12596" max="12596" width="25" style="4" customWidth="1"/>
    <col min="12597" max="12597" width="6" style="4" customWidth="1"/>
    <col min="12598" max="12801" width="8.85546875" style="4"/>
    <col min="12802" max="12802" width="3.7109375" style="4" customWidth="1"/>
    <col min="12803" max="12803" width="2.28515625" style="4" customWidth="1"/>
    <col min="12804" max="12805" width="3.7109375" style="4" customWidth="1"/>
    <col min="12806" max="12806" width="2.28515625" style="4" customWidth="1"/>
    <col min="12807" max="12808" width="3.7109375" style="4" customWidth="1"/>
    <col min="12809" max="12809" width="2.28515625" style="4" customWidth="1"/>
    <col min="12810" max="12811" width="3.7109375" style="4" customWidth="1"/>
    <col min="12812" max="12812" width="2.28515625" style="4" customWidth="1"/>
    <col min="12813" max="12814" width="3.7109375" style="4" customWidth="1"/>
    <col min="12815" max="12815" width="2.28515625" style="4" customWidth="1"/>
    <col min="12816" max="12817" width="3.7109375" style="4" customWidth="1"/>
    <col min="12818" max="12818" width="2.28515625" style="4" customWidth="1"/>
    <col min="12819" max="12820" width="3.7109375" style="4" customWidth="1"/>
    <col min="12821" max="12821" width="2.28515625" style="4" customWidth="1"/>
    <col min="12822" max="12823" width="3.7109375" style="4" customWidth="1"/>
    <col min="12824" max="12824" width="2.28515625" style="4" customWidth="1"/>
    <col min="12825" max="12826" width="3.7109375" style="4" customWidth="1"/>
    <col min="12827" max="12827" width="2.28515625" style="4" customWidth="1"/>
    <col min="12828" max="12829" width="3.7109375" style="4" customWidth="1"/>
    <col min="12830" max="12830" width="2.28515625" style="4" customWidth="1"/>
    <col min="12831" max="12831" width="3.7109375" style="4" customWidth="1"/>
    <col min="12832" max="12832" width="9.7109375" style="4" customWidth="1"/>
    <col min="12833" max="12842" width="3.7109375" style="4" customWidth="1"/>
    <col min="12843" max="12843" width="11" style="4" customWidth="1"/>
    <col min="12844" max="12846" width="8.85546875" style="4"/>
    <col min="12847" max="12847" width="21" style="4" customWidth="1"/>
    <col min="12848" max="12848" width="24.42578125" style="4" customWidth="1"/>
    <col min="12849" max="12849" width="15.28515625" style="4" customWidth="1"/>
    <col min="12850" max="12850" width="10.5703125" style="4" customWidth="1"/>
    <col min="12851" max="12851" width="11.28515625" style="4" customWidth="1"/>
    <col min="12852" max="12852" width="25" style="4" customWidth="1"/>
    <col min="12853" max="12853" width="6" style="4" customWidth="1"/>
    <col min="12854" max="13057" width="8.85546875" style="4"/>
    <col min="13058" max="13058" width="3.7109375" style="4" customWidth="1"/>
    <col min="13059" max="13059" width="2.28515625" style="4" customWidth="1"/>
    <col min="13060" max="13061" width="3.7109375" style="4" customWidth="1"/>
    <col min="13062" max="13062" width="2.28515625" style="4" customWidth="1"/>
    <col min="13063" max="13064" width="3.7109375" style="4" customWidth="1"/>
    <col min="13065" max="13065" width="2.28515625" style="4" customWidth="1"/>
    <col min="13066" max="13067" width="3.7109375" style="4" customWidth="1"/>
    <col min="13068" max="13068" width="2.28515625" style="4" customWidth="1"/>
    <col min="13069" max="13070" width="3.7109375" style="4" customWidth="1"/>
    <col min="13071" max="13071" width="2.28515625" style="4" customWidth="1"/>
    <col min="13072" max="13073" width="3.7109375" style="4" customWidth="1"/>
    <col min="13074" max="13074" width="2.28515625" style="4" customWidth="1"/>
    <col min="13075" max="13076" width="3.7109375" style="4" customWidth="1"/>
    <col min="13077" max="13077" width="2.28515625" style="4" customWidth="1"/>
    <col min="13078" max="13079" width="3.7109375" style="4" customWidth="1"/>
    <col min="13080" max="13080" width="2.28515625" style="4" customWidth="1"/>
    <col min="13081" max="13082" width="3.7109375" style="4" customWidth="1"/>
    <col min="13083" max="13083" width="2.28515625" style="4" customWidth="1"/>
    <col min="13084" max="13085" width="3.7109375" style="4" customWidth="1"/>
    <col min="13086" max="13086" width="2.28515625" style="4" customWidth="1"/>
    <col min="13087" max="13087" width="3.7109375" style="4" customWidth="1"/>
    <col min="13088" max="13088" width="9.7109375" style="4" customWidth="1"/>
    <col min="13089" max="13098" width="3.7109375" style="4" customWidth="1"/>
    <col min="13099" max="13099" width="11" style="4" customWidth="1"/>
    <col min="13100" max="13102" width="8.85546875" style="4"/>
    <col min="13103" max="13103" width="21" style="4" customWidth="1"/>
    <col min="13104" max="13104" width="24.42578125" style="4" customWidth="1"/>
    <col min="13105" max="13105" width="15.28515625" style="4" customWidth="1"/>
    <col min="13106" max="13106" width="10.5703125" style="4" customWidth="1"/>
    <col min="13107" max="13107" width="11.28515625" style="4" customWidth="1"/>
    <col min="13108" max="13108" width="25" style="4" customWidth="1"/>
    <col min="13109" max="13109" width="6" style="4" customWidth="1"/>
    <col min="13110" max="13313" width="8.85546875" style="4"/>
    <col min="13314" max="13314" width="3.7109375" style="4" customWidth="1"/>
    <col min="13315" max="13315" width="2.28515625" style="4" customWidth="1"/>
    <col min="13316" max="13317" width="3.7109375" style="4" customWidth="1"/>
    <col min="13318" max="13318" width="2.28515625" style="4" customWidth="1"/>
    <col min="13319" max="13320" width="3.7109375" style="4" customWidth="1"/>
    <col min="13321" max="13321" width="2.28515625" style="4" customWidth="1"/>
    <col min="13322" max="13323" width="3.7109375" style="4" customWidth="1"/>
    <col min="13324" max="13324" width="2.28515625" style="4" customWidth="1"/>
    <col min="13325" max="13326" width="3.7109375" style="4" customWidth="1"/>
    <col min="13327" max="13327" width="2.28515625" style="4" customWidth="1"/>
    <col min="13328" max="13329" width="3.7109375" style="4" customWidth="1"/>
    <col min="13330" max="13330" width="2.28515625" style="4" customWidth="1"/>
    <col min="13331" max="13332" width="3.7109375" style="4" customWidth="1"/>
    <col min="13333" max="13333" width="2.28515625" style="4" customWidth="1"/>
    <col min="13334" max="13335" width="3.7109375" style="4" customWidth="1"/>
    <col min="13336" max="13336" width="2.28515625" style="4" customWidth="1"/>
    <col min="13337" max="13338" width="3.7109375" style="4" customWidth="1"/>
    <col min="13339" max="13339" width="2.28515625" style="4" customWidth="1"/>
    <col min="13340" max="13341" width="3.7109375" style="4" customWidth="1"/>
    <col min="13342" max="13342" width="2.28515625" style="4" customWidth="1"/>
    <col min="13343" max="13343" width="3.7109375" style="4" customWidth="1"/>
    <col min="13344" max="13344" width="9.7109375" style="4" customWidth="1"/>
    <col min="13345" max="13354" width="3.7109375" style="4" customWidth="1"/>
    <col min="13355" max="13355" width="11" style="4" customWidth="1"/>
    <col min="13356" max="13358" width="8.85546875" style="4"/>
    <col min="13359" max="13359" width="21" style="4" customWidth="1"/>
    <col min="13360" max="13360" width="24.42578125" style="4" customWidth="1"/>
    <col min="13361" max="13361" width="15.28515625" style="4" customWidth="1"/>
    <col min="13362" max="13362" width="10.5703125" style="4" customWidth="1"/>
    <col min="13363" max="13363" width="11.28515625" style="4" customWidth="1"/>
    <col min="13364" max="13364" width="25" style="4" customWidth="1"/>
    <col min="13365" max="13365" width="6" style="4" customWidth="1"/>
    <col min="13366" max="13569" width="8.85546875" style="4"/>
    <col min="13570" max="13570" width="3.7109375" style="4" customWidth="1"/>
    <col min="13571" max="13571" width="2.28515625" style="4" customWidth="1"/>
    <col min="13572" max="13573" width="3.7109375" style="4" customWidth="1"/>
    <col min="13574" max="13574" width="2.28515625" style="4" customWidth="1"/>
    <col min="13575" max="13576" width="3.7109375" style="4" customWidth="1"/>
    <col min="13577" max="13577" width="2.28515625" style="4" customWidth="1"/>
    <col min="13578" max="13579" width="3.7109375" style="4" customWidth="1"/>
    <col min="13580" max="13580" width="2.28515625" style="4" customWidth="1"/>
    <col min="13581" max="13582" width="3.7109375" style="4" customWidth="1"/>
    <col min="13583" max="13583" width="2.28515625" style="4" customWidth="1"/>
    <col min="13584" max="13585" width="3.7109375" style="4" customWidth="1"/>
    <col min="13586" max="13586" width="2.28515625" style="4" customWidth="1"/>
    <col min="13587" max="13588" width="3.7109375" style="4" customWidth="1"/>
    <col min="13589" max="13589" width="2.28515625" style="4" customWidth="1"/>
    <col min="13590" max="13591" width="3.7109375" style="4" customWidth="1"/>
    <col min="13592" max="13592" width="2.28515625" style="4" customWidth="1"/>
    <col min="13593" max="13594" width="3.7109375" style="4" customWidth="1"/>
    <col min="13595" max="13595" width="2.28515625" style="4" customWidth="1"/>
    <col min="13596" max="13597" width="3.7109375" style="4" customWidth="1"/>
    <col min="13598" max="13598" width="2.28515625" style="4" customWidth="1"/>
    <col min="13599" max="13599" width="3.7109375" style="4" customWidth="1"/>
    <col min="13600" max="13600" width="9.7109375" style="4" customWidth="1"/>
    <col min="13601" max="13610" width="3.7109375" style="4" customWidth="1"/>
    <col min="13611" max="13611" width="11" style="4" customWidth="1"/>
    <col min="13612" max="13614" width="8.85546875" style="4"/>
    <col min="13615" max="13615" width="21" style="4" customWidth="1"/>
    <col min="13616" max="13616" width="24.42578125" style="4" customWidth="1"/>
    <col min="13617" max="13617" width="15.28515625" style="4" customWidth="1"/>
    <col min="13618" max="13618" width="10.5703125" style="4" customWidth="1"/>
    <col min="13619" max="13619" width="11.28515625" style="4" customWidth="1"/>
    <col min="13620" max="13620" width="25" style="4" customWidth="1"/>
    <col min="13621" max="13621" width="6" style="4" customWidth="1"/>
    <col min="13622" max="13825" width="8.85546875" style="4"/>
    <col min="13826" max="13826" width="3.7109375" style="4" customWidth="1"/>
    <col min="13827" max="13827" width="2.28515625" style="4" customWidth="1"/>
    <col min="13828" max="13829" width="3.7109375" style="4" customWidth="1"/>
    <col min="13830" max="13830" width="2.28515625" style="4" customWidth="1"/>
    <col min="13831" max="13832" width="3.7109375" style="4" customWidth="1"/>
    <col min="13833" max="13833" width="2.28515625" style="4" customWidth="1"/>
    <col min="13834" max="13835" width="3.7109375" style="4" customWidth="1"/>
    <col min="13836" max="13836" width="2.28515625" style="4" customWidth="1"/>
    <col min="13837" max="13838" width="3.7109375" style="4" customWidth="1"/>
    <col min="13839" max="13839" width="2.28515625" style="4" customWidth="1"/>
    <col min="13840" max="13841" width="3.7109375" style="4" customWidth="1"/>
    <col min="13842" max="13842" width="2.28515625" style="4" customWidth="1"/>
    <col min="13843" max="13844" width="3.7109375" style="4" customWidth="1"/>
    <col min="13845" max="13845" width="2.28515625" style="4" customWidth="1"/>
    <col min="13846" max="13847" width="3.7109375" style="4" customWidth="1"/>
    <col min="13848" max="13848" width="2.28515625" style="4" customWidth="1"/>
    <col min="13849" max="13850" width="3.7109375" style="4" customWidth="1"/>
    <col min="13851" max="13851" width="2.28515625" style="4" customWidth="1"/>
    <col min="13852" max="13853" width="3.7109375" style="4" customWidth="1"/>
    <col min="13854" max="13854" width="2.28515625" style="4" customWidth="1"/>
    <col min="13855" max="13855" width="3.7109375" style="4" customWidth="1"/>
    <col min="13856" max="13856" width="9.7109375" style="4" customWidth="1"/>
    <col min="13857" max="13866" width="3.7109375" style="4" customWidth="1"/>
    <col min="13867" max="13867" width="11" style="4" customWidth="1"/>
    <col min="13868" max="13870" width="8.85546875" style="4"/>
    <col min="13871" max="13871" width="21" style="4" customWidth="1"/>
    <col min="13872" max="13872" width="24.42578125" style="4" customWidth="1"/>
    <col min="13873" max="13873" width="15.28515625" style="4" customWidth="1"/>
    <col min="13874" max="13874" width="10.5703125" style="4" customWidth="1"/>
    <col min="13875" max="13875" width="11.28515625" style="4" customWidth="1"/>
    <col min="13876" max="13876" width="25" style="4" customWidth="1"/>
    <col min="13877" max="13877" width="6" style="4" customWidth="1"/>
    <col min="13878" max="14081" width="8.85546875" style="4"/>
    <col min="14082" max="14082" width="3.7109375" style="4" customWidth="1"/>
    <col min="14083" max="14083" width="2.28515625" style="4" customWidth="1"/>
    <col min="14084" max="14085" width="3.7109375" style="4" customWidth="1"/>
    <col min="14086" max="14086" width="2.28515625" style="4" customWidth="1"/>
    <col min="14087" max="14088" width="3.7109375" style="4" customWidth="1"/>
    <col min="14089" max="14089" width="2.28515625" style="4" customWidth="1"/>
    <col min="14090" max="14091" width="3.7109375" style="4" customWidth="1"/>
    <col min="14092" max="14092" width="2.28515625" style="4" customWidth="1"/>
    <col min="14093" max="14094" width="3.7109375" style="4" customWidth="1"/>
    <col min="14095" max="14095" width="2.28515625" style="4" customWidth="1"/>
    <col min="14096" max="14097" width="3.7109375" style="4" customWidth="1"/>
    <col min="14098" max="14098" width="2.28515625" style="4" customWidth="1"/>
    <col min="14099" max="14100" width="3.7109375" style="4" customWidth="1"/>
    <col min="14101" max="14101" width="2.28515625" style="4" customWidth="1"/>
    <col min="14102" max="14103" width="3.7109375" style="4" customWidth="1"/>
    <col min="14104" max="14104" width="2.28515625" style="4" customWidth="1"/>
    <col min="14105" max="14106" width="3.7109375" style="4" customWidth="1"/>
    <col min="14107" max="14107" width="2.28515625" style="4" customWidth="1"/>
    <col min="14108" max="14109" width="3.7109375" style="4" customWidth="1"/>
    <col min="14110" max="14110" width="2.28515625" style="4" customWidth="1"/>
    <col min="14111" max="14111" width="3.7109375" style="4" customWidth="1"/>
    <col min="14112" max="14112" width="9.7109375" style="4" customWidth="1"/>
    <col min="14113" max="14122" width="3.7109375" style="4" customWidth="1"/>
    <col min="14123" max="14123" width="11" style="4" customWidth="1"/>
    <col min="14124" max="14126" width="8.85546875" style="4"/>
    <col min="14127" max="14127" width="21" style="4" customWidth="1"/>
    <col min="14128" max="14128" width="24.42578125" style="4" customWidth="1"/>
    <col min="14129" max="14129" width="15.28515625" style="4" customWidth="1"/>
    <col min="14130" max="14130" width="10.5703125" style="4" customWidth="1"/>
    <col min="14131" max="14131" width="11.28515625" style="4" customWidth="1"/>
    <col min="14132" max="14132" width="25" style="4" customWidth="1"/>
    <col min="14133" max="14133" width="6" style="4" customWidth="1"/>
    <col min="14134" max="14337" width="8.85546875" style="4"/>
    <col min="14338" max="14338" width="3.7109375" style="4" customWidth="1"/>
    <col min="14339" max="14339" width="2.28515625" style="4" customWidth="1"/>
    <col min="14340" max="14341" width="3.7109375" style="4" customWidth="1"/>
    <col min="14342" max="14342" width="2.28515625" style="4" customWidth="1"/>
    <col min="14343" max="14344" width="3.7109375" style="4" customWidth="1"/>
    <col min="14345" max="14345" width="2.28515625" style="4" customWidth="1"/>
    <col min="14346" max="14347" width="3.7109375" style="4" customWidth="1"/>
    <col min="14348" max="14348" width="2.28515625" style="4" customWidth="1"/>
    <col min="14349" max="14350" width="3.7109375" style="4" customWidth="1"/>
    <col min="14351" max="14351" width="2.28515625" style="4" customWidth="1"/>
    <col min="14352" max="14353" width="3.7109375" style="4" customWidth="1"/>
    <col min="14354" max="14354" width="2.28515625" style="4" customWidth="1"/>
    <col min="14355" max="14356" width="3.7109375" style="4" customWidth="1"/>
    <col min="14357" max="14357" width="2.28515625" style="4" customWidth="1"/>
    <col min="14358" max="14359" width="3.7109375" style="4" customWidth="1"/>
    <col min="14360" max="14360" width="2.28515625" style="4" customWidth="1"/>
    <col min="14361" max="14362" width="3.7109375" style="4" customWidth="1"/>
    <col min="14363" max="14363" width="2.28515625" style="4" customWidth="1"/>
    <col min="14364" max="14365" width="3.7109375" style="4" customWidth="1"/>
    <col min="14366" max="14366" width="2.28515625" style="4" customWidth="1"/>
    <col min="14367" max="14367" width="3.7109375" style="4" customWidth="1"/>
    <col min="14368" max="14368" width="9.7109375" style="4" customWidth="1"/>
    <col min="14369" max="14378" width="3.7109375" style="4" customWidth="1"/>
    <col min="14379" max="14379" width="11" style="4" customWidth="1"/>
    <col min="14380" max="14382" width="8.85546875" style="4"/>
    <col min="14383" max="14383" width="21" style="4" customWidth="1"/>
    <col min="14384" max="14384" width="24.42578125" style="4" customWidth="1"/>
    <col min="14385" max="14385" width="15.28515625" style="4" customWidth="1"/>
    <col min="14386" max="14386" width="10.5703125" style="4" customWidth="1"/>
    <col min="14387" max="14387" width="11.28515625" style="4" customWidth="1"/>
    <col min="14388" max="14388" width="25" style="4" customWidth="1"/>
    <col min="14389" max="14389" width="6" style="4" customWidth="1"/>
    <col min="14390" max="14593" width="8.85546875" style="4"/>
    <col min="14594" max="14594" width="3.7109375" style="4" customWidth="1"/>
    <col min="14595" max="14595" width="2.28515625" style="4" customWidth="1"/>
    <col min="14596" max="14597" width="3.7109375" style="4" customWidth="1"/>
    <col min="14598" max="14598" width="2.28515625" style="4" customWidth="1"/>
    <col min="14599" max="14600" width="3.7109375" style="4" customWidth="1"/>
    <col min="14601" max="14601" width="2.28515625" style="4" customWidth="1"/>
    <col min="14602" max="14603" width="3.7109375" style="4" customWidth="1"/>
    <col min="14604" max="14604" width="2.28515625" style="4" customWidth="1"/>
    <col min="14605" max="14606" width="3.7109375" style="4" customWidth="1"/>
    <col min="14607" max="14607" width="2.28515625" style="4" customWidth="1"/>
    <col min="14608" max="14609" width="3.7109375" style="4" customWidth="1"/>
    <col min="14610" max="14610" width="2.28515625" style="4" customWidth="1"/>
    <col min="14611" max="14612" width="3.7109375" style="4" customWidth="1"/>
    <col min="14613" max="14613" width="2.28515625" style="4" customWidth="1"/>
    <col min="14614" max="14615" width="3.7109375" style="4" customWidth="1"/>
    <col min="14616" max="14616" width="2.28515625" style="4" customWidth="1"/>
    <col min="14617" max="14618" width="3.7109375" style="4" customWidth="1"/>
    <col min="14619" max="14619" width="2.28515625" style="4" customWidth="1"/>
    <col min="14620" max="14621" width="3.7109375" style="4" customWidth="1"/>
    <col min="14622" max="14622" width="2.28515625" style="4" customWidth="1"/>
    <col min="14623" max="14623" width="3.7109375" style="4" customWidth="1"/>
    <col min="14624" max="14624" width="9.7109375" style="4" customWidth="1"/>
    <col min="14625" max="14634" width="3.7109375" style="4" customWidth="1"/>
    <col min="14635" max="14635" width="11" style="4" customWidth="1"/>
    <col min="14636" max="14638" width="8.85546875" style="4"/>
    <col min="14639" max="14639" width="21" style="4" customWidth="1"/>
    <col min="14640" max="14640" width="24.42578125" style="4" customWidth="1"/>
    <col min="14641" max="14641" width="15.28515625" style="4" customWidth="1"/>
    <col min="14642" max="14642" width="10.5703125" style="4" customWidth="1"/>
    <col min="14643" max="14643" width="11.28515625" style="4" customWidth="1"/>
    <col min="14644" max="14644" width="25" style="4" customWidth="1"/>
    <col min="14645" max="14645" width="6" style="4" customWidth="1"/>
    <col min="14646" max="14849" width="8.85546875" style="4"/>
    <col min="14850" max="14850" width="3.7109375" style="4" customWidth="1"/>
    <col min="14851" max="14851" width="2.28515625" style="4" customWidth="1"/>
    <col min="14852" max="14853" width="3.7109375" style="4" customWidth="1"/>
    <col min="14854" max="14854" width="2.28515625" style="4" customWidth="1"/>
    <col min="14855" max="14856" width="3.7109375" style="4" customWidth="1"/>
    <col min="14857" max="14857" width="2.28515625" style="4" customWidth="1"/>
    <col min="14858" max="14859" width="3.7109375" style="4" customWidth="1"/>
    <col min="14860" max="14860" width="2.28515625" style="4" customWidth="1"/>
    <col min="14861" max="14862" width="3.7109375" style="4" customWidth="1"/>
    <col min="14863" max="14863" width="2.28515625" style="4" customWidth="1"/>
    <col min="14864" max="14865" width="3.7109375" style="4" customWidth="1"/>
    <col min="14866" max="14866" width="2.28515625" style="4" customWidth="1"/>
    <col min="14867" max="14868" width="3.7109375" style="4" customWidth="1"/>
    <col min="14869" max="14869" width="2.28515625" style="4" customWidth="1"/>
    <col min="14870" max="14871" width="3.7109375" style="4" customWidth="1"/>
    <col min="14872" max="14872" width="2.28515625" style="4" customWidth="1"/>
    <col min="14873" max="14874" width="3.7109375" style="4" customWidth="1"/>
    <col min="14875" max="14875" width="2.28515625" style="4" customWidth="1"/>
    <col min="14876" max="14877" width="3.7109375" style="4" customWidth="1"/>
    <col min="14878" max="14878" width="2.28515625" style="4" customWidth="1"/>
    <col min="14879" max="14879" width="3.7109375" style="4" customWidth="1"/>
    <col min="14880" max="14880" width="9.7109375" style="4" customWidth="1"/>
    <col min="14881" max="14890" width="3.7109375" style="4" customWidth="1"/>
    <col min="14891" max="14891" width="11" style="4" customWidth="1"/>
    <col min="14892" max="14894" width="8.85546875" style="4"/>
    <col min="14895" max="14895" width="21" style="4" customWidth="1"/>
    <col min="14896" max="14896" width="24.42578125" style="4" customWidth="1"/>
    <col min="14897" max="14897" width="15.28515625" style="4" customWidth="1"/>
    <col min="14898" max="14898" width="10.5703125" style="4" customWidth="1"/>
    <col min="14899" max="14899" width="11.28515625" style="4" customWidth="1"/>
    <col min="14900" max="14900" width="25" style="4" customWidth="1"/>
    <col min="14901" max="14901" width="6" style="4" customWidth="1"/>
    <col min="14902" max="15105" width="8.85546875" style="4"/>
    <col min="15106" max="15106" width="3.7109375" style="4" customWidth="1"/>
    <col min="15107" max="15107" width="2.28515625" style="4" customWidth="1"/>
    <col min="15108" max="15109" width="3.7109375" style="4" customWidth="1"/>
    <col min="15110" max="15110" width="2.28515625" style="4" customWidth="1"/>
    <col min="15111" max="15112" width="3.7109375" style="4" customWidth="1"/>
    <col min="15113" max="15113" width="2.28515625" style="4" customWidth="1"/>
    <col min="15114" max="15115" width="3.7109375" style="4" customWidth="1"/>
    <col min="15116" max="15116" width="2.28515625" style="4" customWidth="1"/>
    <col min="15117" max="15118" width="3.7109375" style="4" customWidth="1"/>
    <col min="15119" max="15119" width="2.28515625" style="4" customWidth="1"/>
    <col min="15120" max="15121" width="3.7109375" style="4" customWidth="1"/>
    <col min="15122" max="15122" width="2.28515625" style="4" customWidth="1"/>
    <col min="15123" max="15124" width="3.7109375" style="4" customWidth="1"/>
    <col min="15125" max="15125" width="2.28515625" style="4" customWidth="1"/>
    <col min="15126" max="15127" width="3.7109375" style="4" customWidth="1"/>
    <col min="15128" max="15128" width="2.28515625" style="4" customWidth="1"/>
    <col min="15129" max="15130" width="3.7109375" style="4" customWidth="1"/>
    <col min="15131" max="15131" width="2.28515625" style="4" customWidth="1"/>
    <col min="15132" max="15133" width="3.7109375" style="4" customWidth="1"/>
    <col min="15134" max="15134" width="2.28515625" style="4" customWidth="1"/>
    <col min="15135" max="15135" width="3.7109375" style="4" customWidth="1"/>
    <col min="15136" max="15136" width="9.7109375" style="4" customWidth="1"/>
    <col min="15137" max="15146" width="3.7109375" style="4" customWidth="1"/>
    <col min="15147" max="15147" width="11" style="4" customWidth="1"/>
    <col min="15148" max="15150" width="8.85546875" style="4"/>
    <col min="15151" max="15151" width="21" style="4" customWidth="1"/>
    <col min="15152" max="15152" width="24.42578125" style="4" customWidth="1"/>
    <col min="15153" max="15153" width="15.28515625" style="4" customWidth="1"/>
    <col min="15154" max="15154" width="10.5703125" style="4" customWidth="1"/>
    <col min="15155" max="15155" width="11.28515625" style="4" customWidth="1"/>
    <col min="15156" max="15156" width="25" style="4" customWidth="1"/>
    <col min="15157" max="15157" width="6" style="4" customWidth="1"/>
    <col min="15158" max="15361" width="8.85546875" style="4"/>
    <col min="15362" max="15362" width="3.7109375" style="4" customWidth="1"/>
    <col min="15363" max="15363" width="2.28515625" style="4" customWidth="1"/>
    <col min="15364" max="15365" width="3.7109375" style="4" customWidth="1"/>
    <col min="15366" max="15366" width="2.28515625" style="4" customWidth="1"/>
    <col min="15367" max="15368" width="3.7109375" style="4" customWidth="1"/>
    <col min="15369" max="15369" width="2.28515625" style="4" customWidth="1"/>
    <col min="15370" max="15371" width="3.7109375" style="4" customWidth="1"/>
    <col min="15372" max="15372" width="2.28515625" style="4" customWidth="1"/>
    <col min="15373" max="15374" width="3.7109375" style="4" customWidth="1"/>
    <col min="15375" max="15375" width="2.28515625" style="4" customWidth="1"/>
    <col min="15376" max="15377" width="3.7109375" style="4" customWidth="1"/>
    <col min="15378" max="15378" width="2.28515625" style="4" customWidth="1"/>
    <col min="15379" max="15380" width="3.7109375" style="4" customWidth="1"/>
    <col min="15381" max="15381" width="2.28515625" style="4" customWidth="1"/>
    <col min="15382" max="15383" width="3.7109375" style="4" customWidth="1"/>
    <col min="15384" max="15384" width="2.28515625" style="4" customWidth="1"/>
    <col min="15385" max="15386" width="3.7109375" style="4" customWidth="1"/>
    <col min="15387" max="15387" width="2.28515625" style="4" customWidth="1"/>
    <col min="15388" max="15389" width="3.7109375" style="4" customWidth="1"/>
    <col min="15390" max="15390" width="2.28515625" style="4" customWidth="1"/>
    <col min="15391" max="15391" width="3.7109375" style="4" customWidth="1"/>
    <col min="15392" max="15392" width="9.7109375" style="4" customWidth="1"/>
    <col min="15393" max="15402" width="3.7109375" style="4" customWidth="1"/>
    <col min="15403" max="15403" width="11" style="4" customWidth="1"/>
    <col min="15404" max="15406" width="8.85546875" style="4"/>
    <col min="15407" max="15407" width="21" style="4" customWidth="1"/>
    <col min="15408" max="15408" width="24.42578125" style="4" customWidth="1"/>
    <col min="15409" max="15409" width="15.28515625" style="4" customWidth="1"/>
    <col min="15410" max="15410" width="10.5703125" style="4" customWidth="1"/>
    <col min="15411" max="15411" width="11.28515625" style="4" customWidth="1"/>
    <col min="15412" max="15412" width="25" style="4" customWidth="1"/>
    <col min="15413" max="15413" width="6" style="4" customWidth="1"/>
    <col min="15414" max="15617" width="8.85546875" style="4"/>
    <col min="15618" max="15618" width="3.7109375" style="4" customWidth="1"/>
    <col min="15619" max="15619" width="2.28515625" style="4" customWidth="1"/>
    <col min="15620" max="15621" width="3.7109375" style="4" customWidth="1"/>
    <col min="15622" max="15622" width="2.28515625" style="4" customWidth="1"/>
    <col min="15623" max="15624" width="3.7109375" style="4" customWidth="1"/>
    <col min="15625" max="15625" width="2.28515625" style="4" customWidth="1"/>
    <col min="15626" max="15627" width="3.7109375" style="4" customWidth="1"/>
    <col min="15628" max="15628" width="2.28515625" style="4" customWidth="1"/>
    <col min="15629" max="15630" width="3.7109375" style="4" customWidth="1"/>
    <col min="15631" max="15631" width="2.28515625" style="4" customWidth="1"/>
    <col min="15632" max="15633" width="3.7109375" style="4" customWidth="1"/>
    <col min="15634" max="15634" width="2.28515625" style="4" customWidth="1"/>
    <col min="15635" max="15636" width="3.7109375" style="4" customWidth="1"/>
    <col min="15637" max="15637" width="2.28515625" style="4" customWidth="1"/>
    <col min="15638" max="15639" width="3.7109375" style="4" customWidth="1"/>
    <col min="15640" max="15640" width="2.28515625" style="4" customWidth="1"/>
    <col min="15641" max="15642" width="3.7109375" style="4" customWidth="1"/>
    <col min="15643" max="15643" width="2.28515625" style="4" customWidth="1"/>
    <col min="15644" max="15645" width="3.7109375" style="4" customWidth="1"/>
    <col min="15646" max="15646" width="2.28515625" style="4" customWidth="1"/>
    <col min="15647" max="15647" width="3.7109375" style="4" customWidth="1"/>
    <col min="15648" max="15648" width="9.7109375" style="4" customWidth="1"/>
    <col min="15649" max="15658" width="3.7109375" style="4" customWidth="1"/>
    <col min="15659" max="15659" width="11" style="4" customWidth="1"/>
    <col min="15660" max="15662" width="8.85546875" style="4"/>
    <col min="15663" max="15663" width="21" style="4" customWidth="1"/>
    <col min="15664" max="15664" width="24.42578125" style="4" customWidth="1"/>
    <col min="15665" max="15665" width="15.28515625" style="4" customWidth="1"/>
    <col min="15666" max="15666" width="10.5703125" style="4" customWidth="1"/>
    <col min="15667" max="15667" width="11.28515625" style="4" customWidth="1"/>
    <col min="15668" max="15668" width="25" style="4" customWidth="1"/>
    <col min="15669" max="15669" width="6" style="4" customWidth="1"/>
    <col min="15670" max="15873" width="8.85546875" style="4"/>
    <col min="15874" max="15874" width="3.7109375" style="4" customWidth="1"/>
    <col min="15875" max="15875" width="2.28515625" style="4" customWidth="1"/>
    <col min="15876" max="15877" width="3.7109375" style="4" customWidth="1"/>
    <col min="15878" max="15878" width="2.28515625" style="4" customWidth="1"/>
    <col min="15879" max="15880" width="3.7109375" style="4" customWidth="1"/>
    <col min="15881" max="15881" width="2.28515625" style="4" customWidth="1"/>
    <col min="15882" max="15883" width="3.7109375" style="4" customWidth="1"/>
    <col min="15884" max="15884" width="2.28515625" style="4" customWidth="1"/>
    <col min="15885" max="15886" width="3.7109375" style="4" customWidth="1"/>
    <col min="15887" max="15887" width="2.28515625" style="4" customWidth="1"/>
    <col min="15888" max="15889" width="3.7109375" style="4" customWidth="1"/>
    <col min="15890" max="15890" width="2.28515625" style="4" customWidth="1"/>
    <col min="15891" max="15892" width="3.7109375" style="4" customWidth="1"/>
    <col min="15893" max="15893" width="2.28515625" style="4" customWidth="1"/>
    <col min="15894" max="15895" width="3.7109375" style="4" customWidth="1"/>
    <col min="15896" max="15896" width="2.28515625" style="4" customWidth="1"/>
    <col min="15897" max="15898" width="3.7109375" style="4" customWidth="1"/>
    <col min="15899" max="15899" width="2.28515625" style="4" customWidth="1"/>
    <col min="15900" max="15901" width="3.7109375" style="4" customWidth="1"/>
    <col min="15902" max="15902" width="2.28515625" style="4" customWidth="1"/>
    <col min="15903" max="15903" width="3.7109375" style="4" customWidth="1"/>
    <col min="15904" max="15904" width="9.7109375" style="4" customWidth="1"/>
    <col min="15905" max="15914" width="3.7109375" style="4" customWidth="1"/>
    <col min="15915" max="15915" width="11" style="4" customWidth="1"/>
    <col min="15916" max="15918" width="8.85546875" style="4"/>
    <col min="15919" max="15919" width="21" style="4" customWidth="1"/>
    <col min="15920" max="15920" width="24.42578125" style="4" customWidth="1"/>
    <col min="15921" max="15921" width="15.28515625" style="4" customWidth="1"/>
    <col min="15922" max="15922" width="10.5703125" style="4" customWidth="1"/>
    <col min="15923" max="15923" width="11.28515625" style="4" customWidth="1"/>
    <col min="15924" max="15924" width="25" style="4" customWidth="1"/>
    <col min="15925" max="15925" width="6" style="4" customWidth="1"/>
    <col min="15926" max="16129" width="8.85546875" style="4"/>
    <col min="16130" max="16130" width="3.7109375" style="4" customWidth="1"/>
    <col min="16131" max="16131" width="2.28515625" style="4" customWidth="1"/>
    <col min="16132" max="16133" width="3.7109375" style="4" customWidth="1"/>
    <col min="16134" max="16134" width="2.28515625" style="4" customWidth="1"/>
    <col min="16135" max="16136" width="3.7109375" style="4" customWidth="1"/>
    <col min="16137" max="16137" width="2.28515625" style="4" customWidth="1"/>
    <col min="16138" max="16139" width="3.7109375" style="4" customWidth="1"/>
    <col min="16140" max="16140" width="2.28515625" style="4" customWidth="1"/>
    <col min="16141" max="16142" width="3.7109375" style="4" customWidth="1"/>
    <col min="16143" max="16143" width="2.28515625" style="4" customWidth="1"/>
    <col min="16144" max="16145" width="3.7109375" style="4" customWidth="1"/>
    <col min="16146" max="16146" width="2.28515625" style="4" customWidth="1"/>
    <col min="16147" max="16148" width="3.7109375" style="4" customWidth="1"/>
    <col min="16149" max="16149" width="2.28515625" style="4" customWidth="1"/>
    <col min="16150" max="16151" width="3.7109375" style="4" customWidth="1"/>
    <col min="16152" max="16152" width="2.28515625" style="4" customWidth="1"/>
    <col min="16153" max="16154" width="3.7109375" style="4" customWidth="1"/>
    <col min="16155" max="16155" width="2.28515625" style="4" customWidth="1"/>
    <col min="16156" max="16157" width="3.7109375" style="4" customWidth="1"/>
    <col min="16158" max="16158" width="2.28515625" style="4" customWidth="1"/>
    <col min="16159" max="16159" width="3.7109375" style="4" customWidth="1"/>
    <col min="16160" max="16160" width="9.7109375" style="4" customWidth="1"/>
    <col min="16161" max="16170" width="3.7109375" style="4" customWidth="1"/>
    <col min="16171" max="16171" width="11" style="4" customWidth="1"/>
    <col min="16172" max="16174" width="8.85546875" style="4"/>
    <col min="16175" max="16175" width="21" style="4" customWidth="1"/>
    <col min="16176" max="16176" width="24.42578125" style="4" customWidth="1"/>
    <col min="16177" max="16177" width="15.28515625" style="4" customWidth="1"/>
    <col min="16178" max="16178" width="10.5703125" style="4" customWidth="1"/>
    <col min="16179" max="16179" width="11.28515625" style="4" customWidth="1"/>
    <col min="16180" max="16180" width="25" style="4" customWidth="1"/>
    <col min="16181" max="16181" width="6" style="4" customWidth="1"/>
    <col min="16182" max="16384" width="8.85546875" style="4"/>
  </cols>
  <sheetData>
    <row r="1" spans="1:53" ht="13.5" thickBot="1" x14ac:dyDescent="0.25">
      <c r="A1" s="404" t="s">
        <v>0</v>
      </c>
      <c r="B1" s="404"/>
      <c r="C1" s="404"/>
      <c r="D1" s="404"/>
      <c r="E1" s="404"/>
      <c r="F1" s="404"/>
      <c r="G1" s="404"/>
      <c r="H1" s="404"/>
      <c r="I1" s="404"/>
      <c r="J1" s="404"/>
      <c r="K1" s="404"/>
      <c r="L1" s="404"/>
      <c r="M1" s="404"/>
      <c r="N1" s="404"/>
      <c r="O1" s="404"/>
      <c r="P1" s="404"/>
      <c r="Q1" s="404"/>
      <c r="R1" s="404"/>
      <c r="S1" s="404"/>
      <c r="T1" s="404"/>
      <c r="U1" s="404"/>
      <c r="V1" s="404"/>
      <c r="W1" s="404"/>
      <c r="X1" s="404"/>
      <c r="Y1" s="404"/>
      <c r="Z1" s="404"/>
      <c r="AA1" s="404"/>
      <c r="AB1" s="404"/>
      <c r="AC1" s="404"/>
      <c r="AD1" s="404"/>
      <c r="AE1" s="404"/>
      <c r="AF1" s="404"/>
      <c r="AG1" s="404"/>
      <c r="AH1" s="404"/>
      <c r="AI1" s="404"/>
      <c r="AJ1" s="1"/>
      <c r="AK1" s="1"/>
      <c r="AL1" s="1"/>
      <c r="AM1" s="1"/>
      <c r="AN1" s="1"/>
      <c r="AO1" s="1"/>
      <c r="AP1" s="1"/>
      <c r="AQ1" s="2" t="s">
        <v>1</v>
      </c>
      <c r="AR1" s="3"/>
      <c r="AT1" s="405" t="s">
        <v>2</v>
      </c>
      <c r="AU1" s="406"/>
      <c r="AV1" s="406"/>
      <c r="AW1" s="407"/>
      <c r="AX1" s="408" t="s">
        <v>3</v>
      </c>
      <c r="AY1" s="409"/>
      <c r="AZ1" s="6" t="s">
        <v>4</v>
      </c>
      <c r="BA1" s="7">
        <v>32</v>
      </c>
    </row>
    <row r="2" spans="1:53" ht="18.75" customHeight="1" thickBot="1" x14ac:dyDescent="0.3">
      <c r="A2" s="410" t="s">
        <v>5</v>
      </c>
      <c r="B2" s="411"/>
      <c r="C2" s="411"/>
      <c r="D2" s="411"/>
      <c r="E2" s="411"/>
      <c r="F2" s="411"/>
      <c r="G2" s="411"/>
      <c r="H2" s="411"/>
      <c r="I2" s="412"/>
      <c r="J2" s="413" t="s">
        <v>6</v>
      </c>
      <c r="K2" s="414"/>
      <c r="L2" s="414"/>
      <c r="M2" s="414"/>
      <c r="N2" s="414"/>
      <c r="O2" s="414"/>
      <c r="P2" s="414"/>
      <c r="Q2" s="414"/>
      <c r="R2" s="414"/>
      <c r="S2" s="414"/>
      <c r="T2" s="414"/>
      <c r="U2" s="414"/>
      <c r="V2" s="414"/>
      <c r="W2" s="414"/>
      <c r="X2" s="415"/>
      <c r="Y2" s="416" t="s">
        <v>7</v>
      </c>
      <c r="Z2" s="417"/>
      <c r="AA2" s="417"/>
      <c r="AB2" s="417"/>
      <c r="AC2" s="418"/>
      <c r="AD2" s="379" t="s">
        <v>8</v>
      </c>
      <c r="AE2" s="379"/>
      <c r="AF2" s="379"/>
      <c r="AG2" s="379"/>
      <c r="AH2" s="379"/>
      <c r="AI2" s="380"/>
      <c r="AJ2" s="8"/>
      <c r="AK2" s="8"/>
      <c r="AL2" s="8"/>
      <c r="AM2" s="8"/>
      <c r="AN2" s="8"/>
      <c r="AO2" s="8"/>
      <c r="AP2" s="8"/>
      <c r="AQ2" s="8"/>
      <c r="AR2" s="3"/>
      <c r="AT2" s="9" t="s">
        <v>9</v>
      </c>
      <c r="AU2" s="10" t="s">
        <v>10</v>
      </c>
      <c r="AV2" s="11" t="s">
        <v>11</v>
      </c>
      <c r="AW2" s="12" t="s">
        <v>12</v>
      </c>
      <c r="AX2" s="13" t="s">
        <v>13</v>
      </c>
      <c r="AY2" s="12" t="s">
        <v>14</v>
      </c>
      <c r="AZ2" s="6" t="s">
        <v>15</v>
      </c>
      <c r="BA2" s="7">
        <v>16</v>
      </c>
    </row>
    <row r="3" spans="1:53" ht="18.75" customHeight="1" thickBot="1" x14ac:dyDescent="0.3">
      <c r="A3" s="14" t="s">
        <v>16</v>
      </c>
      <c r="B3" s="384" t="s">
        <v>1035</v>
      </c>
      <c r="C3" s="385"/>
      <c r="D3" s="385"/>
      <c r="E3" s="385"/>
      <c r="F3" s="385"/>
      <c r="G3" s="385"/>
      <c r="H3" s="385"/>
      <c r="I3" s="385"/>
      <c r="J3" s="385"/>
      <c r="K3" s="385"/>
      <c r="L3" s="385"/>
      <c r="M3" s="385"/>
      <c r="N3" s="385"/>
      <c r="O3" s="386"/>
      <c r="P3" s="387" t="s">
        <v>18</v>
      </c>
      <c r="Q3" s="388"/>
      <c r="R3" s="388"/>
      <c r="S3" s="389">
        <v>17</v>
      </c>
      <c r="T3" s="390"/>
      <c r="U3" s="390"/>
      <c r="V3" s="390"/>
      <c r="W3" s="390"/>
      <c r="X3" s="391"/>
      <c r="Y3" s="392" t="s">
        <v>19</v>
      </c>
      <c r="Z3" s="393"/>
      <c r="AA3" s="393"/>
      <c r="AB3" s="393"/>
      <c r="AC3" s="393"/>
      <c r="AD3" s="394"/>
      <c r="AE3" s="419" t="s">
        <v>20</v>
      </c>
      <c r="AF3" s="420"/>
      <c r="AG3" s="395" t="s">
        <v>21</v>
      </c>
      <c r="AH3" s="395"/>
      <c r="AI3" s="396"/>
      <c r="AJ3" s="8"/>
      <c r="AK3" s="8"/>
      <c r="AL3" s="8"/>
      <c r="AM3" s="8"/>
      <c r="AN3" s="8"/>
      <c r="AO3" s="8"/>
      <c r="AP3" s="8"/>
      <c r="AQ3" s="8"/>
      <c r="AR3" s="3"/>
      <c r="AT3" s="19">
        <v>1</v>
      </c>
      <c r="AU3" s="494" t="s">
        <v>826</v>
      </c>
      <c r="AV3" s="494" t="s">
        <v>825</v>
      </c>
      <c r="AW3" s="21">
        <f>VLOOKUP(AV3,Initial!G:K,5,FALSE)</f>
        <v>2836.8425057223294</v>
      </c>
      <c r="AX3" s="22">
        <f t="shared" ref="AX3:AX16" si="0">VLOOKUP(AU3,AT$79:AU$259,2,FALSE)</f>
        <v>2854.7054565454782</v>
      </c>
      <c r="AY3" s="23">
        <f t="shared" ref="AY3:AY16" si="1">IF(ISNA(VLOOKUP(AU3,AT$273:AU$373,2,FALSE)),AX3,VLOOKUP(AU3,AT$273:AU$373,2,FALSE))</f>
        <v>2845.3373726293012</v>
      </c>
    </row>
    <row r="4" spans="1:53" ht="24" customHeight="1" thickBot="1" x14ac:dyDescent="0.25">
      <c r="A4" s="397" t="s">
        <v>24</v>
      </c>
      <c r="B4" s="398"/>
      <c r="C4" s="398"/>
      <c r="D4" s="399"/>
      <c r="E4" s="400" t="s">
        <v>25</v>
      </c>
      <c r="F4" s="401"/>
      <c r="G4" s="401"/>
      <c r="H4" s="401"/>
      <c r="I4" s="401"/>
      <c r="J4" s="401"/>
      <c r="K4" s="401"/>
      <c r="L4" s="401"/>
      <c r="M4" s="402"/>
      <c r="N4" s="397" t="s">
        <v>26</v>
      </c>
      <c r="O4" s="398"/>
      <c r="P4" s="398"/>
      <c r="Q4" s="399"/>
      <c r="R4" s="403" t="s">
        <v>27</v>
      </c>
      <c r="S4" s="379"/>
      <c r="T4" s="379"/>
      <c r="U4" s="379"/>
      <c r="V4" s="379"/>
      <c r="W4" s="379"/>
      <c r="X4" s="379"/>
      <c r="Y4" s="379"/>
      <c r="Z4" s="379"/>
      <c r="AA4" s="380"/>
      <c r="AB4" s="397" t="s">
        <v>28</v>
      </c>
      <c r="AC4" s="398"/>
      <c r="AD4" s="398"/>
      <c r="AE4" s="399"/>
      <c r="AF4" s="378">
        <v>42775</v>
      </c>
      <c r="AG4" s="379"/>
      <c r="AH4" s="379"/>
      <c r="AI4" s="380"/>
      <c r="AJ4" s="8"/>
      <c r="AK4" s="8"/>
      <c r="AL4" s="8"/>
      <c r="AM4" s="8"/>
      <c r="AN4" s="8"/>
      <c r="AO4" s="8"/>
      <c r="AP4" s="8"/>
      <c r="AQ4" s="8"/>
      <c r="AR4" s="3"/>
      <c r="AT4" s="24">
        <v>2</v>
      </c>
      <c r="AU4" s="494" t="s">
        <v>852</v>
      </c>
      <c r="AV4" s="494" t="s">
        <v>851</v>
      </c>
      <c r="AW4" s="21">
        <f>VLOOKUP(AV4,Initial!G:K,5,FALSE)</f>
        <v>2816.3858469383913</v>
      </c>
      <c r="AX4" s="25">
        <f t="shared" si="0"/>
        <v>2869.8877237739443</v>
      </c>
      <c r="AY4" s="26">
        <f t="shared" si="1"/>
        <v>2889.3741842165973</v>
      </c>
    </row>
    <row r="5" spans="1:53" ht="15.75" thickBot="1" x14ac:dyDescent="0.25">
      <c r="A5" s="1" t="s">
        <v>31</v>
      </c>
      <c r="B5" s="381" t="s">
        <v>31</v>
      </c>
      <c r="C5" s="382"/>
      <c r="D5" s="382"/>
      <c r="E5" s="382"/>
      <c r="F5" s="382"/>
      <c r="G5" s="382"/>
      <c r="H5" s="382"/>
      <c r="I5" s="382"/>
      <c r="J5" s="382"/>
      <c r="K5" s="383" t="s">
        <v>31</v>
      </c>
      <c r="L5" s="383"/>
      <c r="M5" s="383"/>
      <c r="N5" s="383"/>
      <c r="O5" s="383"/>
      <c r="P5" s="383"/>
      <c r="Q5" s="383"/>
      <c r="R5" s="383"/>
      <c r="S5" s="383"/>
      <c r="T5" s="383"/>
      <c r="U5" s="383"/>
      <c r="V5" s="383"/>
      <c r="W5" s="383"/>
      <c r="X5" s="383"/>
      <c r="Y5" s="383"/>
      <c r="Z5" s="383"/>
      <c r="AA5" s="383"/>
      <c r="AB5" s="383"/>
      <c r="AC5" s="383"/>
      <c r="AD5" s="383"/>
      <c r="AE5" s="383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3"/>
      <c r="AT5" s="24">
        <v>3</v>
      </c>
      <c r="AU5" s="494" t="s">
        <v>816</v>
      </c>
      <c r="AV5" s="494" t="s">
        <v>815</v>
      </c>
      <c r="AW5" s="21">
        <f>VLOOKUP(AV5,Initial!G:K,5,FALSE)</f>
        <v>2802.8310835691345</v>
      </c>
      <c r="AX5" s="25">
        <f t="shared" si="0"/>
        <v>2797.1956520699605</v>
      </c>
      <c r="AY5" s="26">
        <f t="shared" si="1"/>
        <v>2786.3570965560775</v>
      </c>
    </row>
    <row r="6" spans="1:53" ht="24" customHeight="1" thickBot="1" x14ac:dyDescent="0.25">
      <c r="A6" s="27" t="s">
        <v>34</v>
      </c>
      <c r="B6" s="28" t="s">
        <v>35</v>
      </c>
      <c r="C6" s="353" t="s">
        <v>36</v>
      </c>
      <c r="D6" s="354"/>
      <c r="E6" s="354"/>
      <c r="F6" s="354"/>
      <c r="G6" s="354"/>
      <c r="H6" s="355"/>
      <c r="I6" s="356">
        <v>1</v>
      </c>
      <c r="J6" s="357"/>
      <c r="K6" s="358" t="str">
        <f>"Pool "&amp;B6&amp;" - Round 1 - Court "&amp;I6</f>
        <v>Pool A - Round 1 - Court 1</v>
      </c>
      <c r="L6" s="359"/>
      <c r="M6" s="359"/>
      <c r="N6" s="359"/>
      <c r="O6" s="359"/>
      <c r="P6" s="359"/>
      <c r="Q6" s="359"/>
      <c r="R6" s="359"/>
      <c r="S6" s="359"/>
      <c r="T6" s="359"/>
      <c r="U6" s="359"/>
      <c r="V6" s="359"/>
      <c r="W6" s="359"/>
      <c r="X6" s="359"/>
      <c r="Y6" s="359"/>
      <c r="Z6" s="359"/>
      <c r="AA6" s="359"/>
      <c r="AB6" s="359"/>
      <c r="AC6" s="359"/>
      <c r="AD6" s="359"/>
      <c r="AE6" s="359"/>
      <c r="AF6" s="359"/>
      <c r="AG6" s="359"/>
      <c r="AH6" s="359"/>
      <c r="AI6" s="360"/>
      <c r="AJ6" s="8"/>
      <c r="AK6" s="8"/>
      <c r="AL6" s="8"/>
      <c r="AM6" s="8"/>
      <c r="AN6" s="8"/>
      <c r="AO6" s="8"/>
      <c r="AP6" s="8"/>
      <c r="AQ6" s="8"/>
      <c r="AT6" s="24">
        <v>4</v>
      </c>
      <c r="AU6" s="494" t="s">
        <v>1041</v>
      </c>
      <c r="AV6" s="494" t="s">
        <v>1042</v>
      </c>
      <c r="AW6" s="558">
        <v>2819.9863427632545</v>
      </c>
      <c r="AX6" s="25">
        <f t="shared" si="0"/>
        <v>2794.7007565195777</v>
      </c>
      <c r="AY6" s="26">
        <f t="shared" si="1"/>
        <v>2819.9862070432982</v>
      </c>
      <c r="AZ6" s="84">
        <f>AW6-AY6</f>
        <v>1.357199562335154E-4</v>
      </c>
    </row>
    <row r="7" spans="1:53" ht="27" customHeight="1" thickBot="1" x14ac:dyDescent="0.25">
      <c r="A7" s="29" t="s">
        <v>39</v>
      </c>
      <c r="B7" s="361" t="s">
        <v>10</v>
      </c>
      <c r="C7" s="362"/>
      <c r="D7" s="362"/>
      <c r="E7" s="362"/>
      <c r="F7" s="362"/>
      <c r="G7" s="362"/>
      <c r="H7" s="362"/>
      <c r="I7" s="362"/>
      <c r="J7" s="362"/>
      <c r="K7" s="362"/>
      <c r="L7" s="361" t="str">
        <f>IF($AK10=0,"Games Won","Matches Won")</f>
        <v>Games Won</v>
      </c>
      <c r="M7" s="362"/>
      <c r="N7" s="362"/>
      <c r="O7" s="362"/>
      <c r="P7" s="362"/>
      <c r="Q7" s="363"/>
      <c r="R7" s="361" t="str">
        <f>IF($AK10=0,"Games Lost","Matches Lost")</f>
        <v>Games Lost</v>
      </c>
      <c r="S7" s="364"/>
      <c r="T7" s="364"/>
      <c r="U7" s="364"/>
      <c r="V7" s="365"/>
      <c r="W7" s="366" t="s">
        <v>40</v>
      </c>
      <c r="X7" s="367"/>
      <c r="Y7" s="368"/>
      <c r="Z7" s="366" t="s">
        <v>41</v>
      </c>
      <c r="AA7" s="367"/>
      <c r="AB7" s="368"/>
      <c r="AC7" s="369" t="s">
        <v>42</v>
      </c>
      <c r="AD7" s="370"/>
      <c r="AE7" s="371"/>
      <c r="AF7" s="30" t="s">
        <v>43</v>
      </c>
      <c r="AG7" s="31" t="s">
        <v>9</v>
      </c>
      <c r="AH7" s="351" t="s">
        <v>44</v>
      </c>
      <c r="AI7" s="352"/>
      <c r="AJ7" s="32"/>
      <c r="AK7" s="33">
        <v>2</v>
      </c>
      <c r="AL7" s="34" t="s">
        <v>45</v>
      </c>
      <c r="AM7" s="34"/>
      <c r="AN7" s="34"/>
      <c r="AO7" s="34"/>
      <c r="AP7" s="34"/>
      <c r="AQ7" s="34"/>
      <c r="AR7" s="35"/>
      <c r="AT7" s="24">
        <v>5</v>
      </c>
      <c r="AU7" s="494" t="s">
        <v>1043</v>
      </c>
      <c r="AV7" s="494" t="s">
        <v>1044</v>
      </c>
      <c r="AW7" s="558">
        <v>2507.1074796480848</v>
      </c>
      <c r="AX7" s="25">
        <f t="shared" si="0"/>
        <v>2495.5388437810793</v>
      </c>
      <c r="AY7" s="26">
        <f t="shared" si="1"/>
        <v>2495.5388437810793</v>
      </c>
      <c r="AZ7" s="84">
        <f>AW7-AY7</f>
        <v>11.568635867005469</v>
      </c>
    </row>
    <row r="8" spans="1:53" ht="18.75" customHeight="1" thickBot="1" x14ac:dyDescent="0.25">
      <c r="A8" s="320" t="str">
        <f>IF($AK9&gt;0,"1","")</f>
        <v>1</v>
      </c>
      <c r="B8" s="348" t="s">
        <v>10</v>
      </c>
      <c r="C8" s="349"/>
      <c r="D8" s="350"/>
      <c r="E8" s="324" t="str">
        <f>AU3</f>
        <v>Hurricane VBC 17 Typhoon</v>
      </c>
      <c r="F8" s="325"/>
      <c r="G8" s="325"/>
      <c r="H8" s="325"/>
      <c r="I8" s="325"/>
      <c r="J8" s="325"/>
      <c r="K8" s="326"/>
      <c r="L8" s="327">
        <f>IF($AK10=0,AF64,AF46)</f>
        <v>6</v>
      </c>
      <c r="M8" s="328"/>
      <c r="N8" s="328"/>
      <c r="O8" s="328"/>
      <c r="P8" s="328"/>
      <c r="Q8" s="363"/>
      <c r="R8" s="327">
        <f>IF($AK10=0,AG64,AG46)</f>
        <v>2</v>
      </c>
      <c r="S8" s="328"/>
      <c r="T8" s="328"/>
      <c r="U8" s="328"/>
      <c r="V8" s="328"/>
      <c r="W8" s="327">
        <f>AQ24</f>
        <v>26</v>
      </c>
      <c r="X8" s="328"/>
      <c r="Y8" s="328"/>
      <c r="Z8" s="300">
        <f>IF(AF58&gt;0,(AQ24/AF58),0)</f>
        <v>0.12871287128712872</v>
      </c>
      <c r="AA8" s="301"/>
      <c r="AB8" s="301"/>
      <c r="AC8" s="304">
        <f>IF(AF72=0,0,(AF64/AF72))</f>
        <v>0.75</v>
      </c>
      <c r="AD8" s="305"/>
      <c r="AE8" s="306"/>
      <c r="AF8" s="310">
        <v>2</v>
      </c>
      <c r="AG8" s="310">
        <v>1</v>
      </c>
      <c r="AH8" s="312"/>
      <c r="AI8" s="313"/>
      <c r="AJ8" s="32"/>
      <c r="AK8" s="33">
        <v>10</v>
      </c>
      <c r="AL8" s="34" t="s">
        <v>48</v>
      </c>
      <c r="AM8" s="34"/>
      <c r="AN8" s="34"/>
      <c r="AO8" s="34"/>
      <c r="AP8" s="34"/>
      <c r="AQ8" s="34"/>
      <c r="AR8" s="35"/>
      <c r="AT8" s="24">
        <v>6</v>
      </c>
      <c r="AU8" s="494" t="s">
        <v>844</v>
      </c>
      <c r="AV8" s="494" t="s">
        <v>843</v>
      </c>
      <c r="AW8" s="21">
        <f>VLOOKUP(AV8,Initial!G:K,5,FALSE)</f>
        <v>2797.3454256156274</v>
      </c>
      <c r="AX8" s="25">
        <f t="shared" si="0"/>
        <v>2851.7523628360227</v>
      </c>
      <c r="AY8" s="26">
        <f t="shared" si="1"/>
        <v>2840.9090810092252</v>
      </c>
    </row>
    <row r="9" spans="1:53" ht="18.75" customHeight="1" thickBot="1" x14ac:dyDescent="0.25">
      <c r="A9" s="321"/>
      <c r="B9" s="345" t="s">
        <v>11</v>
      </c>
      <c r="C9" s="346"/>
      <c r="D9" s="347"/>
      <c r="E9" s="341" t="str">
        <f>AV3</f>
        <v>fj7hurrc2pm</v>
      </c>
      <c r="F9" s="342"/>
      <c r="G9" s="342"/>
      <c r="H9" s="342"/>
      <c r="I9" s="342"/>
      <c r="J9" s="342"/>
      <c r="K9" s="342"/>
      <c r="L9" s="343"/>
      <c r="M9" s="344"/>
      <c r="N9" s="344"/>
      <c r="O9" s="344"/>
      <c r="P9" s="344"/>
      <c r="Q9" s="363"/>
      <c r="R9" s="343"/>
      <c r="S9" s="344"/>
      <c r="T9" s="344"/>
      <c r="U9" s="344"/>
      <c r="V9" s="344"/>
      <c r="W9" s="343"/>
      <c r="X9" s="344"/>
      <c r="Y9" s="344"/>
      <c r="Z9" s="331"/>
      <c r="AA9" s="332"/>
      <c r="AB9" s="332"/>
      <c r="AC9" s="333"/>
      <c r="AD9" s="334"/>
      <c r="AE9" s="335"/>
      <c r="AF9" s="336"/>
      <c r="AG9" s="336"/>
      <c r="AH9" s="337"/>
      <c r="AI9" s="338"/>
      <c r="AJ9" s="32"/>
      <c r="AK9" s="33">
        <v>5</v>
      </c>
      <c r="AL9" s="34" t="s">
        <v>51</v>
      </c>
      <c r="AM9" s="32"/>
      <c r="AN9" s="32"/>
      <c r="AO9" s="32"/>
      <c r="AP9" s="32"/>
      <c r="AQ9" s="32"/>
      <c r="AR9" s="3"/>
      <c r="AT9" s="24">
        <v>7</v>
      </c>
      <c r="AU9" s="494" t="s">
        <v>836</v>
      </c>
      <c r="AV9" s="494" t="s">
        <v>835</v>
      </c>
      <c r="AW9" s="21">
        <f>VLOOKUP(AV9,Initial!G:K,5,FALSE)</f>
        <v>2737.7307164150166</v>
      </c>
      <c r="AX9" s="25">
        <f t="shared" si="0"/>
        <v>2729.0854077651702</v>
      </c>
      <c r="AY9" s="26">
        <f t="shared" si="1"/>
        <v>2713.2926836304327</v>
      </c>
    </row>
    <row r="10" spans="1:53" ht="18.75" customHeight="1" thickBot="1" x14ac:dyDescent="0.25">
      <c r="A10" s="320" t="str">
        <f>IF($AK9&gt;1,"2","")</f>
        <v>2</v>
      </c>
      <c r="B10" s="348" t="s">
        <v>10</v>
      </c>
      <c r="C10" s="349"/>
      <c r="D10" s="350"/>
      <c r="E10" s="324" t="str">
        <f>AU8</f>
        <v>Sumter 17 Heath</v>
      </c>
      <c r="F10" s="325"/>
      <c r="G10" s="325"/>
      <c r="H10" s="325"/>
      <c r="I10" s="325"/>
      <c r="J10" s="325"/>
      <c r="K10" s="326"/>
      <c r="L10" s="327">
        <f>IF($AK10=0,AF65,AF47)</f>
        <v>7</v>
      </c>
      <c r="M10" s="328"/>
      <c r="N10" s="328"/>
      <c r="O10" s="328"/>
      <c r="P10" s="328"/>
      <c r="Q10" s="363"/>
      <c r="R10" s="327">
        <f>IF($AK10=0,AG65,AG47)</f>
        <v>1</v>
      </c>
      <c r="S10" s="328"/>
      <c r="T10" s="328"/>
      <c r="U10" s="328"/>
      <c r="V10" s="328"/>
      <c r="W10" s="327">
        <f>AQ25</f>
        <v>44</v>
      </c>
      <c r="X10" s="328"/>
      <c r="Y10" s="328"/>
      <c r="Z10" s="300">
        <f>IF(AF59&gt;0,(AQ25/AF59),0)</f>
        <v>0.21674876847290642</v>
      </c>
      <c r="AA10" s="301"/>
      <c r="AB10" s="301"/>
      <c r="AC10" s="304">
        <f>IF(AF73=0,0,(AF65/AF73))</f>
        <v>0.875</v>
      </c>
      <c r="AD10" s="305"/>
      <c r="AE10" s="306"/>
      <c r="AF10" s="310">
        <v>1</v>
      </c>
      <c r="AG10" s="310">
        <v>1</v>
      </c>
      <c r="AH10" s="312"/>
      <c r="AI10" s="313"/>
      <c r="AJ10" s="32"/>
      <c r="AK10" s="33">
        <v>0</v>
      </c>
      <c r="AL10" s="34" t="s">
        <v>54</v>
      </c>
      <c r="AM10" s="34"/>
      <c r="AN10" s="34"/>
      <c r="AO10" s="34"/>
      <c r="AP10" s="34"/>
      <c r="AQ10" s="34"/>
      <c r="AR10" s="35"/>
      <c r="AT10" s="24">
        <v>8</v>
      </c>
      <c r="AU10" s="494" t="s">
        <v>830</v>
      </c>
      <c r="AV10" s="494" t="s">
        <v>829</v>
      </c>
      <c r="AW10" s="21">
        <f>VLOOKUP(AV10,Initial!G:K,5,FALSE)</f>
        <v>2719.4303773869187</v>
      </c>
      <c r="AX10" s="25">
        <f t="shared" si="0"/>
        <v>2664.1925081847262</v>
      </c>
      <c r="AY10" s="26">
        <f t="shared" si="1"/>
        <v>2659.1136970910657</v>
      </c>
    </row>
    <row r="11" spans="1:53" ht="18.75" customHeight="1" thickBot="1" x14ac:dyDescent="0.25">
      <c r="A11" s="321"/>
      <c r="B11" s="339" t="s">
        <v>11</v>
      </c>
      <c r="C11" s="340"/>
      <c r="D11" s="340"/>
      <c r="E11" s="341" t="str">
        <f>AV8</f>
        <v>fj7sumtr1pm</v>
      </c>
      <c r="F11" s="342"/>
      <c r="G11" s="342"/>
      <c r="H11" s="342"/>
      <c r="I11" s="342"/>
      <c r="J11" s="342"/>
      <c r="K11" s="342"/>
      <c r="L11" s="343"/>
      <c r="M11" s="344"/>
      <c r="N11" s="344"/>
      <c r="O11" s="344"/>
      <c r="P11" s="344"/>
      <c r="Q11" s="363"/>
      <c r="R11" s="343"/>
      <c r="S11" s="344"/>
      <c r="T11" s="344"/>
      <c r="U11" s="344"/>
      <c r="V11" s="344"/>
      <c r="W11" s="343"/>
      <c r="X11" s="344"/>
      <c r="Y11" s="344"/>
      <c r="Z11" s="331"/>
      <c r="AA11" s="332"/>
      <c r="AB11" s="332"/>
      <c r="AC11" s="333"/>
      <c r="AD11" s="334"/>
      <c r="AE11" s="335"/>
      <c r="AF11" s="336"/>
      <c r="AG11" s="336"/>
      <c r="AH11" s="337"/>
      <c r="AI11" s="338"/>
      <c r="AJ11" s="32"/>
      <c r="AK11" s="33">
        <v>1</v>
      </c>
      <c r="AL11" s="34" t="s">
        <v>56</v>
      </c>
      <c r="AM11" s="32"/>
      <c r="AN11" s="32"/>
      <c r="AO11" s="32"/>
      <c r="AP11" s="32"/>
      <c r="AQ11" s="32"/>
      <c r="AR11" s="3"/>
      <c r="AT11" s="24">
        <v>9</v>
      </c>
      <c r="AU11" s="494" t="s">
        <v>814</v>
      </c>
      <c r="AV11" s="494" t="s">
        <v>813</v>
      </c>
      <c r="AW11" s="21">
        <f>VLOOKUP(AV11,Initial!G:K,5,FALSE)</f>
        <v>2697.9075045714135</v>
      </c>
      <c r="AX11" s="25">
        <f t="shared" si="0"/>
        <v>2659.9381995788667</v>
      </c>
      <c r="AY11" s="26">
        <f t="shared" si="1"/>
        <v>2653.5096789028289</v>
      </c>
    </row>
    <row r="12" spans="1:53" ht="18.75" customHeight="1" thickBot="1" x14ac:dyDescent="0.25">
      <c r="A12" s="320" t="str">
        <f>IF($AK9&gt;2,"3","")</f>
        <v>3</v>
      </c>
      <c r="B12" s="322" t="s">
        <v>10</v>
      </c>
      <c r="C12" s="323"/>
      <c r="D12" s="323"/>
      <c r="E12" s="324" t="str">
        <f>AU9</f>
        <v>MOTO 17 IGNITE</v>
      </c>
      <c r="F12" s="325"/>
      <c r="G12" s="325"/>
      <c r="H12" s="325"/>
      <c r="I12" s="325"/>
      <c r="J12" s="325"/>
      <c r="K12" s="326"/>
      <c r="L12" s="327">
        <f>IF($AK10=0,AF66,AF48)</f>
        <v>4</v>
      </c>
      <c r="M12" s="328"/>
      <c r="N12" s="328"/>
      <c r="O12" s="328"/>
      <c r="P12" s="328"/>
      <c r="Q12" s="363"/>
      <c r="R12" s="327">
        <f>IF($AK10=0,AG66,AG48)</f>
        <v>4</v>
      </c>
      <c r="S12" s="328"/>
      <c r="T12" s="328"/>
      <c r="U12" s="328"/>
      <c r="V12" s="328"/>
      <c r="W12" s="327">
        <f>AQ26</f>
        <v>-12</v>
      </c>
      <c r="X12" s="328"/>
      <c r="Y12" s="328"/>
      <c r="Z12" s="300">
        <f>IF(AF60&gt;0,(AQ26/AF60),0)</f>
        <v>-5.9405940594059403E-2</v>
      </c>
      <c r="AA12" s="301"/>
      <c r="AB12" s="301"/>
      <c r="AC12" s="304">
        <f>IF(AF74=0,0,(AF66/AF74))</f>
        <v>0.5</v>
      </c>
      <c r="AD12" s="305"/>
      <c r="AE12" s="306"/>
      <c r="AF12" s="310">
        <v>3</v>
      </c>
      <c r="AG12" s="310">
        <v>1</v>
      </c>
      <c r="AH12" s="312"/>
      <c r="AI12" s="313"/>
      <c r="AJ12" s="43"/>
      <c r="AK12" s="33">
        <v>8</v>
      </c>
      <c r="AL12" s="44" t="s">
        <v>57</v>
      </c>
      <c r="AM12" s="34"/>
      <c r="AN12" s="34"/>
      <c r="AO12" s="34"/>
      <c r="AP12" s="34"/>
      <c r="AQ12" s="34"/>
      <c r="AR12" s="35"/>
      <c r="AT12" s="24">
        <v>10</v>
      </c>
      <c r="AU12" s="494" t="s">
        <v>740</v>
      </c>
      <c r="AV12" s="494" t="s">
        <v>739</v>
      </c>
      <c r="AW12" s="21">
        <f>VLOOKUP(AV12,Initial!G:K,5,FALSE)</f>
        <v>2628.2574952617479</v>
      </c>
      <c r="AX12" s="25">
        <f t="shared" si="0"/>
        <v>2697.1478179971455</v>
      </c>
      <c r="AY12" s="26">
        <f t="shared" si="1"/>
        <v>2692.8270240477468</v>
      </c>
    </row>
    <row r="13" spans="1:53" ht="18.75" customHeight="1" thickBot="1" x14ac:dyDescent="0.25">
      <c r="A13" s="321"/>
      <c r="B13" s="339" t="s">
        <v>11</v>
      </c>
      <c r="C13" s="340"/>
      <c r="D13" s="340"/>
      <c r="E13" s="341" t="str">
        <f>AV9</f>
        <v>fj7motoj1pm</v>
      </c>
      <c r="F13" s="342"/>
      <c r="G13" s="342"/>
      <c r="H13" s="342"/>
      <c r="I13" s="342"/>
      <c r="J13" s="342"/>
      <c r="K13" s="342"/>
      <c r="L13" s="343"/>
      <c r="M13" s="344"/>
      <c r="N13" s="344"/>
      <c r="O13" s="344"/>
      <c r="P13" s="344"/>
      <c r="Q13" s="363"/>
      <c r="R13" s="343"/>
      <c r="S13" s="344"/>
      <c r="T13" s="344"/>
      <c r="U13" s="344"/>
      <c r="V13" s="344"/>
      <c r="W13" s="343"/>
      <c r="X13" s="344"/>
      <c r="Y13" s="344"/>
      <c r="Z13" s="331"/>
      <c r="AA13" s="332"/>
      <c r="AB13" s="332"/>
      <c r="AC13" s="333"/>
      <c r="AD13" s="334"/>
      <c r="AE13" s="335"/>
      <c r="AF13" s="336"/>
      <c r="AG13" s="336"/>
      <c r="AH13" s="337"/>
      <c r="AI13" s="338"/>
      <c r="AJ13" s="43"/>
      <c r="AK13" s="51"/>
      <c r="AL13" s="52"/>
      <c r="AM13" s="52"/>
      <c r="AN13" s="52"/>
      <c r="AO13" s="52"/>
      <c r="AP13" s="52"/>
      <c r="AQ13" s="32"/>
      <c r="AR13" s="3"/>
      <c r="AT13" s="24">
        <v>11</v>
      </c>
      <c r="AU13" s="495" t="s">
        <v>745</v>
      </c>
      <c r="AV13" s="495" t="s">
        <v>744</v>
      </c>
      <c r="AW13" s="21">
        <f>VLOOKUP(AV13,Initial!G:K,5,FALSE)</f>
        <v>2642.4197784613143</v>
      </c>
      <c r="AX13" s="25">
        <f t="shared" si="0"/>
        <v>2679.1000622805209</v>
      </c>
      <c r="AY13" s="26">
        <f t="shared" si="1"/>
        <v>2674.777677614064</v>
      </c>
    </row>
    <row r="14" spans="1:53" ht="18.75" customHeight="1" thickBot="1" x14ac:dyDescent="0.25">
      <c r="A14" s="320" t="str">
        <f>IF($AK9&gt;3,"4","")</f>
        <v>4</v>
      </c>
      <c r="B14" s="322" t="s">
        <v>10</v>
      </c>
      <c r="C14" s="323"/>
      <c r="D14" s="323"/>
      <c r="E14" s="324" t="str">
        <f>AU14</f>
        <v>METRO-ATL 16 BLACK</v>
      </c>
      <c r="F14" s="325"/>
      <c r="G14" s="325"/>
      <c r="H14" s="325"/>
      <c r="I14" s="325"/>
      <c r="J14" s="325"/>
      <c r="K14" s="326"/>
      <c r="L14" s="327">
        <f>IF($AK10=0,AF67,AF49)</f>
        <v>2</v>
      </c>
      <c r="M14" s="328"/>
      <c r="N14" s="328"/>
      <c r="O14" s="328"/>
      <c r="P14" s="328"/>
      <c r="Q14" s="363"/>
      <c r="R14" s="327">
        <f>IF($AK10=0,AG67,AG49)</f>
        <v>6</v>
      </c>
      <c r="S14" s="328"/>
      <c r="T14" s="328"/>
      <c r="U14" s="328"/>
      <c r="V14" s="328"/>
      <c r="W14" s="327">
        <f>AQ27</f>
        <v>-8</v>
      </c>
      <c r="X14" s="328"/>
      <c r="Y14" s="328"/>
      <c r="Z14" s="300">
        <f>IF(AF61&gt;0,(AQ27/AF61),0)</f>
        <v>-3.9800995024875621E-2</v>
      </c>
      <c r="AA14" s="301"/>
      <c r="AB14" s="301"/>
      <c r="AC14" s="304">
        <f>IF(AF75=0,0,(AF67/AF75))</f>
        <v>0.25</v>
      </c>
      <c r="AD14" s="305"/>
      <c r="AE14" s="306"/>
      <c r="AF14" s="310">
        <v>4</v>
      </c>
      <c r="AG14" s="310">
        <v>1</v>
      </c>
      <c r="AH14" s="312"/>
      <c r="AI14" s="313"/>
      <c r="AJ14" s="8"/>
      <c r="AK14" s="52"/>
      <c r="AL14" s="52"/>
      <c r="AM14" s="52"/>
      <c r="AN14" s="52"/>
      <c r="AO14" s="52"/>
      <c r="AP14" s="52"/>
      <c r="AQ14" s="34"/>
      <c r="AR14" s="35"/>
      <c r="AT14" s="24">
        <v>12</v>
      </c>
      <c r="AU14" s="494" t="s">
        <v>1045</v>
      </c>
      <c r="AV14" s="494" t="s">
        <v>1046</v>
      </c>
      <c r="AW14" s="558">
        <v>2614.8962576234244</v>
      </c>
      <c r="AX14" s="25">
        <f t="shared" si="0"/>
        <v>2586.4161586862947</v>
      </c>
      <c r="AY14" s="26">
        <f t="shared" si="1"/>
        <v>2615.1412491366104</v>
      </c>
      <c r="AZ14" s="84">
        <f>AW14-AY14</f>
        <v>-0.24499151318605072</v>
      </c>
    </row>
    <row r="15" spans="1:53" ht="18.75" customHeight="1" thickBot="1" x14ac:dyDescent="0.25">
      <c r="A15" s="321"/>
      <c r="B15" s="339" t="s">
        <v>11</v>
      </c>
      <c r="C15" s="340"/>
      <c r="D15" s="340"/>
      <c r="E15" s="341" t="str">
        <f>AV14</f>
        <v>fj6metro1so</v>
      </c>
      <c r="F15" s="342"/>
      <c r="G15" s="342"/>
      <c r="H15" s="342"/>
      <c r="I15" s="342"/>
      <c r="J15" s="342"/>
      <c r="K15" s="342"/>
      <c r="L15" s="343"/>
      <c r="M15" s="344"/>
      <c r="N15" s="344"/>
      <c r="O15" s="344"/>
      <c r="P15" s="344"/>
      <c r="Q15" s="363"/>
      <c r="R15" s="343"/>
      <c r="S15" s="344"/>
      <c r="T15" s="344"/>
      <c r="U15" s="344"/>
      <c r="V15" s="344"/>
      <c r="W15" s="343"/>
      <c r="X15" s="344"/>
      <c r="Y15" s="344"/>
      <c r="Z15" s="331"/>
      <c r="AA15" s="332"/>
      <c r="AB15" s="332"/>
      <c r="AC15" s="333"/>
      <c r="AD15" s="334"/>
      <c r="AE15" s="335"/>
      <c r="AF15" s="336"/>
      <c r="AG15" s="336"/>
      <c r="AH15" s="337"/>
      <c r="AI15" s="338"/>
      <c r="AJ15" s="8"/>
      <c r="AK15" s="52"/>
      <c r="AL15" s="52"/>
      <c r="AM15" s="52"/>
      <c r="AN15" s="52"/>
      <c r="AO15" s="52"/>
      <c r="AP15" s="52"/>
      <c r="AQ15" s="8"/>
      <c r="AR15" s="3"/>
      <c r="AT15" s="24">
        <v>13</v>
      </c>
      <c r="AU15" s="494" t="s">
        <v>818</v>
      </c>
      <c r="AV15" s="494" t="s">
        <v>817</v>
      </c>
      <c r="AW15" s="21">
        <f>VLOOKUP(AV15,Initial!G:K,5,FALSE)</f>
        <v>2578.3608914325077</v>
      </c>
      <c r="AX15" s="25">
        <f t="shared" si="0"/>
        <v>2543.2164109759397</v>
      </c>
      <c r="AY15" s="26">
        <f t="shared" si="1"/>
        <v>2543.2164109759397</v>
      </c>
    </row>
    <row r="16" spans="1:53" ht="18.75" customHeight="1" thickBot="1" x14ac:dyDescent="0.25">
      <c r="A16" s="320" t="str">
        <f>IF($AK9&gt;4,"5","")</f>
        <v>5</v>
      </c>
      <c r="B16" s="322" t="s">
        <v>10</v>
      </c>
      <c r="C16" s="323"/>
      <c r="D16" s="323"/>
      <c r="E16" s="324" t="str">
        <f>AU15</f>
        <v>Emerald City 17-Power</v>
      </c>
      <c r="F16" s="325"/>
      <c r="G16" s="325"/>
      <c r="H16" s="325"/>
      <c r="I16" s="325"/>
      <c r="J16" s="325"/>
      <c r="K16" s="326"/>
      <c r="L16" s="327">
        <f>IF($AK10=0,AF68,AF50)</f>
        <v>1</v>
      </c>
      <c r="M16" s="328"/>
      <c r="N16" s="328"/>
      <c r="O16" s="328"/>
      <c r="P16" s="328"/>
      <c r="Q16" s="363"/>
      <c r="R16" s="327">
        <f>IF($AK10=0,AG68,AG50)</f>
        <v>7</v>
      </c>
      <c r="S16" s="328"/>
      <c r="T16" s="328"/>
      <c r="U16" s="328"/>
      <c r="V16" s="328"/>
      <c r="W16" s="327">
        <f>AQ28</f>
        <v>-50</v>
      </c>
      <c r="X16" s="328"/>
      <c r="Y16" s="328"/>
      <c r="Z16" s="300">
        <f>IF(AF62&gt;0,(AQ28/AF62),0)</f>
        <v>-0.25</v>
      </c>
      <c r="AA16" s="301"/>
      <c r="AB16" s="301"/>
      <c r="AC16" s="304">
        <f>IF(AF76=0,0,(AF68/AF76))</f>
        <v>0.125</v>
      </c>
      <c r="AD16" s="305"/>
      <c r="AE16" s="306"/>
      <c r="AF16" s="310">
        <v>5</v>
      </c>
      <c r="AG16" s="310">
        <v>1</v>
      </c>
      <c r="AH16" s="312"/>
      <c r="AI16" s="313"/>
      <c r="AJ16" s="8"/>
      <c r="AK16" s="52"/>
      <c r="AL16" s="52"/>
      <c r="AM16" s="52"/>
      <c r="AN16" s="52"/>
      <c r="AO16" s="52"/>
      <c r="AP16" s="52"/>
      <c r="AQ16" s="8"/>
      <c r="AR16" s="3"/>
      <c r="AT16" s="24">
        <v>14</v>
      </c>
      <c r="AU16" s="494" t="s">
        <v>828</v>
      </c>
      <c r="AV16" s="494" t="s">
        <v>827</v>
      </c>
      <c r="AW16" s="21">
        <f>VLOOKUP(AV16,Initial!G:K,5,FALSE)</f>
        <v>2544.0407981926219</v>
      </c>
      <c r="AX16" s="25">
        <f t="shared" si="0"/>
        <v>2520.6651426070603</v>
      </c>
      <c r="AY16" s="26">
        <f t="shared" si="1"/>
        <v>2514.1612969675198</v>
      </c>
    </row>
    <row r="17" spans="1:52" ht="18.75" customHeight="1" thickBot="1" x14ac:dyDescent="0.25">
      <c r="A17" s="321"/>
      <c r="B17" s="316" t="s">
        <v>11</v>
      </c>
      <c r="C17" s="317"/>
      <c r="D17" s="317"/>
      <c r="E17" s="318" t="str">
        <f>AV15</f>
        <v>fj7ecity1pm</v>
      </c>
      <c r="F17" s="319"/>
      <c r="G17" s="319"/>
      <c r="H17" s="319"/>
      <c r="I17" s="319"/>
      <c r="J17" s="319"/>
      <c r="K17" s="319"/>
      <c r="L17" s="329"/>
      <c r="M17" s="330"/>
      <c r="N17" s="330"/>
      <c r="O17" s="330"/>
      <c r="P17" s="330"/>
      <c r="Q17" s="363"/>
      <c r="R17" s="329"/>
      <c r="S17" s="330"/>
      <c r="T17" s="330"/>
      <c r="U17" s="330"/>
      <c r="V17" s="330"/>
      <c r="W17" s="329"/>
      <c r="X17" s="330"/>
      <c r="Y17" s="330"/>
      <c r="Z17" s="302"/>
      <c r="AA17" s="303"/>
      <c r="AB17" s="303"/>
      <c r="AC17" s="307"/>
      <c r="AD17" s="308"/>
      <c r="AE17" s="309"/>
      <c r="AF17" s="311"/>
      <c r="AG17" s="311"/>
      <c r="AH17" s="314"/>
      <c r="AI17" s="315"/>
      <c r="AJ17" s="8"/>
      <c r="AK17" s="52"/>
      <c r="AL17" s="52"/>
      <c r="AM17" s="52"/>
      <c r="AN17" s="52"/>
      <c r="AO17" s="52"/>
      <c r="AP17" s="52"/>
      <c r="AQ17" s="8"/>
      <c r="AR17" s="3"/>
      <c r="AT17" s="45"/>
      <c r="AU17" s="46"/>
      <c r="AV17" s="47"/>
      <c r="AW17" s="48"/>
      <c r="AX17" s="49"/>
      <c r="AY17" s="50"/>
    </row>
    <row r="18" spans="1:52" ht="21" customHeight="1" thickTop="1" thickBot="1" x14ac:dyDescent="0.25">
      <c r="A18" s="55"/>
      <c r="B18" s="297" t="s">
        <v>1047</v>
      </c>
      <c r="C18" s="298"/>
      <c r="D18" s="298"/>
      <c r="E18" s="298"/>
      <c r="F18" s="298"/>
      <c r="G18" s="298"/>
      <c r="H18" s="298"/>
      <c r="I18" s="298"/>
      <c r="J18" s="298"/>
      <c r="K18" s="298"/>
      <c r="L18" s="298"/>
      <c r="M18" s="298"/>
      <c r="N18" s="298"/>
      <c r="O18" s="298"/>
      <c r="P18" s="298"/>
      <c r="Q18" s="298"/>
      <c r="R18" s="298"/>
      <c r="S18" s="298"/>
      <c r="T18" s="298"/>
      <c r="U18" s="298"/>
      <c r="V18" s="298"/>
      <c r="W18" s="298"/>
      <c r="X18" s="298"/>
      <c r="Y18" s="298"/>
      <c r="Z18" s="298"/>
      <c r="AA18" s="298"/>
      <c r="AB18" s="298"/>
      <c r="AC18" s="298"/>
      <c r="AD18" s="298"/>
      <c r="AE18" s="298"/>
      <c r="AF18" s="298"/>
      <c r="AG18" s="298"/>
      <c r="AH18" s="298"/>
      <c r="AI18" s="299"/>
      <c r="AJ18" s="8"/>
      <c r="AK18" s="52"/>
      <c r="AL18" s="52"/>
      <c r="AM18" s="52"/>
      <c r="AN18" s="52"/>
      <c r="AO18" s="52"/>
      <c r="AP18" s="52"/>
      <c r="AQ18" s="8"/>
      <c r="AR18" s="3"/>
      <c r="AT18" s="372" t="s">
        <v>58</v>
      </c>
      <c r="AU18" s="373"/>
      <c r="AV18" s="373"/>
      <c r="AW18" s="373"/>
      <c r="AX18" s="373"/>
      <c r="AY18" s="374"/>
    </row>
    <row r="19" spans="1:52" ht="14.25" thickTop="1" thickBot="1" x14ac:dyDescent="0.25">
      <c r="A19" s="4" t="s">
        <v>60</v>
      </c>
      <c r="B19" s="286">
        <v>0.35416666666666669</v>
      </c>
      <c r="C19" s="287"/>
      <c r="D19" s="288"/>
      <c r="E19" s="286">
        <v>0.38194444444444442</v>
      </c>
      <c r="F19" s="287"/>
      <c r="G19" s="288"/>
      <c r="H19" s="286">
        <v>0.40972222222222227</v>
      </c>
      <c r="I19" s="287"/>
      <c r="J19" s="288"/>
      <c r="K19" s="286">
        <v>0.4375</v>
      </c>
      <c r="L19" s="287"/>
      <c r="M19" s="288"/>
      <c r="N19" s="286">
        <v>0.46527777777777773</v>
      </c>
      <c r="O19" s="287"/>
      <c r="P19" s="288"/>
      <c r="Q19" s="286">
        <v>0.49305555555555558</v>
      </c>
      <c r="R19" s="287"/>
      <c r="S19" s="288"/>
      <c r="T19" s="286">
        <v>0.52083333333333337</v>
      </c>
      <c r="U19" s="287"/>
      <c r="V19" s="288"/>
      <c r="W19" s="286">
        <v>4.8611111111111112E-2</v>
      </c>
      <c r="X19" s="287"/>
      <c r="Y19" s="288"/>
      <c r="Z19" s="286">
        <v>7.6388888888888895E-2</v>
      </c>
      <c r="AA19" s="287"/>
      <c r="AB19" s="288"/>
      <c r="AC19" s="286">
        <v>0.10416666666666667</v>
      </c>
      <c r="AD19" s="287"/>
      <c r="AE19" s="288"/>
      <c r="AF19" s="289" t="s">
        <v>61</v>
      </c>
      <c r="AG19" s="290"/>
      <c r="AH19" s="290"/>
      <c r="AI19" s="290"/>
      <c r="AJ19" s="291"/>
      <c r="AK19" s="291"/>
      <c r="AL19" s="291"/>
      <c r="AM19" s="291"/>
      <c r="AN19" s="291"/>
      <c r="AO19" s="291"/>
      <c r="AP19" s="291"/>
      <c r="AQ19" s="292"/>
      <c r="AT19" s="375"/>
      <c r="AU19" s="376"/>
      <c r="AV19" s="376"/>
      <c r="AW19" s="376"/>
      <c r="AX19" s="376"/>
      <c r="AY19" s="377"/>
    </row>
    <row r="20" spans="1:52" x14ac:dyDescent="0.2">
      <c r="A20" s="56" t="s">
        <v>62</v>
      </c>
      <c r="B20" s="283"/>
      <c r="C20" s="284"/>
      <c r="D20" s="285"/>
      <c r="E20" s="283"/>
      <c r="F20" s="284"/>
      <c r="G20" s="285"/>
      <c r="H20" s="283"/>
      <c r="I20" s="284"/>
      <c r="J20" s="285"/>
      <c r="K20" s="283"/>
      <c r="L20" s="284"/>
      <c r="M20" s="285"/>
      <c r="N20" s="283"/>
      <c r="O20" s="284"/>
      <c r="P20" s="285"/>
      <c r="Q20" s="283"/>
      <c r="R20" s="284"/>
      <c r="S20" s="285"/>
      <c r="T20" s="283"/>
      <c r="U20" s="284"/>
      <c r="V20" s="285"/>
      <c r="W20" s="283"/>
      <c r="X20" s="284"/>
      <c r="Y20" s="285"/>
      <c r="Z20" s="283"/>
      <c r="AA20" s="284"/>
      <c r="AB20" s="285"/>
      <c r="AC20" s="283"/>
      <c r="AD20" s="284"/>
      <c r="AE20" s="285"/>
      <c r="AF20" s="289"/>
      <c r="AG20" s="290"/>
      <c r="AH20" s="290"/>
      <c r="AI20" s="290"/>
      <c r="AJ20" s="290"/>
      <c r="AK20" s="290"/>
      <c r="AL20" s="290"/>
      <c r="AM20" s="290"/>
      <c r="AN20" s="290"/>
      <c r="AO20" s="290"/>
      <c r="AP20" s="290"/>
      <c r="AQ20" s="293"/>
      <c r="AW20" s="4"/>
    </row>
    <row r="21" spans="1:52" ht="13.5" thickBot="1" x14ac:dyDescent="0.25">
      <c r="A21" s="56" t="s">
        <v>63</v>
      </c>
      <c r="B21" s="283"/>
      <c r="C21" s="284"/>
      <c r="D21" s="285"/>
      <c r="E21" s="283"/>
      <c r="F21" s="284"/>
      <c r="G21" s="285"/>
      <c r="H21" s="283"/>
      <c r="I21" s="284"/>
      <c r="J21" s="285"/>
      <c r="K21" s="283"/>
      <c r="L21" s="284"/>
      <c r="M21" s="285"/>
      <c r="N21" s="283"/>
      <c r="O21" s="284"/>
      <c r="P21" s="285"/>
      <c r="Q21" s="283"/>
      <c r="R21" s="284"/>
      <c r="S21" s="285"/>
      <c r="T21" s="283"/>
      <c r="U21" s="284"/>
      <c r="V21" s="285"/>
      <c r="W21" s="283"/>
      <c r="X21" s="284"/>
      <c r="Y21" s="285"/>
      <c r="Z21" s="283"/>
      <c r="AA21" s="284"/>
      <c r="AB21" s="285"/>
      <c r="AC21" s="283"/>
      <c r="AD21" s="284"/>
      <c r="AE21" s="285"/>
      <c r="AF21" s="289"/>
      <c r="AG21" s="290"/>
      <c r="AH21" s="290"/>
      <c r="AI21" s="290"/>
      <c r="AJ21" s="290"/>
      <c r="AK21" s="290"/>
      <c r="AL21" s="290"/>
      <c r="AM21" s="290"/>
      <c r="AN21" s="290"/>
      <c r="AO21" s="290"/>
      <c r="AP21" s="290"/>
      <c r="AQ21" s="293"/>
      <c r="AT21" s="7"/>
      <c r="AU21" s="7"/>
      <c r="AV21" s="7"/>
      <c r="AW21" s="4"/>
    </row>
    <row r="22" spans="1:52" ht="13.5" thickBot="1" x14ac:dyDescent="0.25">
      <c r="A22" s="8"/>
      <c r="B22" s="173" t="s">
        <v>64</v>
      </c>
      <c r="C22" s="174"/>
      <c r="D22" s="180"/>
      <c r="E22" s="173" t="str">
        <f>IF($AK8&gt;1,"Match 2","")</f>
        <v>Match 2</v>
      </c>
      <c r="F22" s="174"/>
      <c r="G22" s="180"/>
      <c r="H22" s="173" t="str">
        <f>IF($AK8&gt;2,"Match 3","")</f>
        <v>Match 3</v>
      </c>
      <c r="I22" s="174"/>
      <c r="J22" s="180"/>
      <c r="K22" s="173" t="str">
        <f>IF($AK8&gt;3,"Match 4","")</f>
        <v>Match 4</v>
      </c>
      <c r="L22" s="174"/>
      <c r="M22" s="180"/>
      <c r="N22" s="173" t="str">
        <f>IF($AK8&gt;4,"Match 5","")</f>
        <v>Match 5</v>
      </c>
      <c r="O22" s="174"/>
      <c r="P22" s="180"/>
      <c r="Q22" s="173" t="str">
        <f>IF($AK8&gt;5,"Match 6","")</f>
        <v>Match 6</v>
      </c>
      <c r="R22" s="174"/>
      <c r="S22" s="180"/>
      <c r="T22" s="173" t="str">
        <f>IF($AK8&gt;6,"Match 7","")</f>
        <v>Match 7</v>
      </c>
      <c r="U22" s="174"/>
      <c r="V22" s="180"/>
      <c r="W22" s="173" t="str">
        <f>IF($AK8&gt;7,"Match 8","")</f>
        <v>Match 8</v>
      </c>
      <c r="X22" s="174"/>
      <c r="Y22" s="180"/>
      <c r="Z22" s="173" t="str">
        <f>IF($AK8&gt;8,"Match 9","")</f>
        <v>Match 9</v>
      </c>
      <c r="AA22" s="174"/>
      <c r="AB22" s="180"/>
      <c r="AC22" s="173" t="str">
        <f>IF($AK8&gt;9,"Match 10","")</f>
        <v>Match 10</v>
      </c>
      <c r="AD22" s="174"/>
      <c r="AE22" s="180"/>
      <c r="AF22" s="294"/>
      <c r="AG22" s="295"/>
      <c r="AH22" s="295"/>
      <c r="AI22" s="295"/>
      <c r="AJ22" s="295"/>
      <c r="AK22" s="295"/>
      <c r="AL22" s="295"/>
      <c r="AM22" s="295"/>
      <c r="AN22" s="295"/>
      <c r="AO22" s="295"/>
      <c r="AP22" s="295"/>
      <c r="AQ22" s="296"/>
      <c r="AT22" s="53"/>
      <c r="AU22" s="495"/>
      <c r="AV22" s="495"/>
      <c r="AW22" s="4"/>
      <c r="AZ22" s="4">
        <f>SUMSQ(AZ6:AZ15)</f>
        <v>133.89335668331847</v>
      </c>
    </row>
    <row r="23" spans="1:52" ht="15.75" x14ac:dyDescent="0.25">
      <c r="A23" s="8"/>
      <c r="B23" s="277" t="s">
        <v>68</v>
      </c>
      <c r="C23" s="278"/>
      <c r="D23" s="279"/>
      <c r="E23" s="277" t="s">
        <v>67</v>
      </c>
      <c r="F23" s="278"/>
      <c r="G23" s="279"/>
      <c r="H23" s="277" t="s">
        <v>65</v>
      </c>
      <c r="I23" s="278"/>
      <c r="J23" s="279"/>
      <c r="K23" s="277" t="s">
        <v>204</v>
      </c>
      <c r="L23" s="278"/>
      <c r="M23" s="279"/>
      <c r="N23" s="277" t="s">
        <v>66</v>
      </c>
      <c r="O23" s="278"/>
      <c r="P23" s="279"/>
      <c r="Q23" s="277" t="s">
        <v>65</v>
      </c>
      <c r="R23" s="278"/>
      <c r="S23" s="279"/>
      <c r="T23" s="277" t="s">
        <v>68</v>
      </c>
      <c r="U23" s="278"/>
      <c r="V23" s="279"/>
      <c r="W23" s="277" t="s">
        <v>66</v>
      </c>
      <c r="X23" s="278"/>
      <c r="Y23" s="279"/>
      <c r="Z23" s="277" t="s">
        <v>204</v>
      </c>
      <c r="AA23" s="278"/>
      <c r="AB23" s="279"/>
      <c r="AC23" s="277" t="s">
        <v>67</v>
      </c>
      <c r="AD23" s="278"/>
      <c r="AE23" s="279"/>
      <c r="AF23" s="57" t="s">
        <v>70</v>
      </c>
      <c r="AG23" s="58">
        <v>1</v>
      </c>
      <c r="AH23" s="58">
        <v>2</v>
      </c>
      <c r="AI23" s="58">
        <v>3</v>
      </c>
      <c r="AJ23" s="58">
        <v>4</v>
      </c>
      <c r="AK23" s="58">
        <v>5</v>
      </c>
      <c r="AL23" s="58">
        <v>6</v>
      </c>
      <c r="AM23" s="58">
        <v>7</v>
      </c>
      <c r="AN23" s="58">
        <v>8</v>
      </c>
      <c r="AO23" s="58">
        <v>9</v>
      </c>
      <c r="AP23" s="58">
        <v>10</v>
      </c>
      <c r="AQ23" s="59" t="s">
        <v>71</v>
      </c>
      <c r="AT23" s="53"/>
      <c r="AU23" s="117"/>
      <c r="AV23" s="117"/>
      <c r="AW23" s="117"/>
      <c r="AX23" s="117"/>
      <c r="AY23" s="117"/>
    </row>
    <row r="24" spans="1:52" ht="15.75" x14ac:dyDescent="0.25">
      <c r="A24" s="8"/>
      <c r="B24" s="61">
        <v>2</v>
      </c>
      <c r="C24" s="62" t="s">
        <v>72</v>
      </c>
      <c r="D24" s="63">
        <v>5</v>
      </c>
      <c r="E24" s="61">
        <v>1</v>
      </c>
      <c r="F24" s="62" t="str">
        <f>IF($AK8&gt;1,"v","")</f>
        <v>v</v>
      </c>
      <c r="G24" s="63">
        <v>4</v>
      </c>
      <c r="H24" s="61">
        <v>3</v>
      </c>
      <c r="I24" s="62" t="str">
        <f>IF($AK8&gt;2,"v","")</f>
        <v>v</v>
      </c>
      <c r="J24" s="63">
        <v>5</v>
      </c>
      <c r="K24" s="61">
        <v>2</v>
      </c>
      <c r="L24" s="62" t="str">
        <f>IF($AK8&gt;3,"v","")</f>
        <v>v</v>
      </c>
      <c r="M24" s="63">
        <v>4</v>
      </c>
      <c r="N24" s="61">
        <v>1</v>
      </c>
      <c r="O24" s="62" t="str">
        <f>IF($AK8&gt;4,"v","")</f>
        <v>v</v>
      </c>
      <c r="P24" s="63">
        <v>3</v>
      </c>
      <c r="Q24" s="61">
        <v>4</v>
      </c>
      <c r="R24" s="62" t="str">
        <f>IF($AK8&gt;5,"v","")</f>
        <v>v</v>
      </c>
      <c r="S24" s="63">
        <v>5</v>
      </c>
      <c r="T24" s="61">
        <v>2</v>
      </c>
      <c r="U24" s="62" t="str">
        <f>IF($AK8&gt;6,"v","")</f>
        <v>v</v>
      </c>
      <c r="V24" s="63">
        <v>3</v>
      </c>
      <c r="W24" s="61">
        <v>1</v>
      </c>
      <c r="X24" s="62" t="str">
        <f>IF($AK8&gt;7,"v","")</f>
        <v>v</v>
      </c>
      <c r="Y24" s="63">
        <v>5</v>
      </c>
      <c r="Z24" s="61">
        <v>3</v>
      </c>
      <c r="AA24" s="62" t="str">
        <f>IF($AK8&gt;8,"v","")</f>
        <v>v</v>
      </c>
      <c r="AB24" s="63">
        <v>4</v>
      </c>
      <c r="AC24" s="61">
        <v>1</v>
      </c>
      <c r="AD24" s="62" t="str">
        <f>IF($AK8&gt;9,"v","")</f>
        <v>v</v>
      </c>
      <c r="AE24" s="63">
        <v>2</v>
      </c>
      <c r="AF24" s="57" t="str">
        <f>IF($AK9&gt;0,"Team 1","")</f>
        <v>Team 1</v>
      </c>
      <c r="AG24" s="64" t="str">
        <f>IF($AK9&lt;1,"",IF($AK8&lt;1,"",IF(B24=1,B30-D30,IF(D24=1,D30-B30,""))))</f>
        <v/>
      </c>
      <c r="AH24" s="64">
        <f>IF($AK9&lt;1,"",IF($AK8&lt;2,"",IF(E24=1,E30-G30,IF(G24=1,G30-E30,""))))</f>
        <v>-2</v>
      </c>
      <c r="AI24" s="64" t="str">
        <f>IF($AK9&lt;1,"",IF($AK8&lt;3,"",IF(H24=1,H30-J30,IF(J24=1,J30-H30,""))))</f>
        <v/>
      </c>
      <c r="AJ24" s="64" t="str">
        <f>IF($AK9&lt;1,"",IF($AK8&lt;4,"",IF(K24=1,K30-M30,IF(M24=1,M30-K30,""))))</f>
        <v/>
      </c>
      <c r="AK24" s="64">
        <f>IF($AK9&lt;1,"",IF($AK8&lt;5,"",IF(N24=1,N30-P30,IF(P24=1,P30-N30,""))))</f>
        <v>17</v>
      </c>
      <c r="AL24" s="64" t="str">
        <f>IF($AK9&lt;1,"",IF($AK8&lt;6,"",IF(Q24=1,Q30-S30,IF(S24=1,S30-Q30,""))))</f>
        <v/>
      </c>
      <c r="AM24" s="64" t="str">
        <f>IF($AK9&lt;1,"",IF($AK8&lt;7,"",IF(T24=1,T30-V30,IF(V24=1,V30-T30,""))))</f>
        <v/>
      </c>
      <c r="AN24" s="64">
        <f>IF($AK9&lt;1,"",IF($AK8&lt;8,"",IF(W24=1,W30-Y30,IF(Y24=1,Y30-W30,""))))</f>
        <v>14</v>
      </c>
      <c r="AO24" s="64" t="str">
        <f>IF($AK9&lt;1,"",IF($AK8&lt;9,"",IF(Z24=1,Z30-AB30,IF(AB24=1,AB30-Z30,""))))</f>
        <v/>
      </c>
      <c r="AP24" s="64">
        <f>IF($AK9&lt;1,"",IF($AK8&lt;10,"",IF(AC24=1,AC30-AE30,IF(AE24=1,AE30-AC30,""))))</f>
        <v>-3</v>
      </c>
      <c r="AQ24" s="59">
        <f>SUM(AG24:AP24)</f>
        <v>26</v>
      </c>
      <c r="AT24" s="53"/>
      <c r="AU24" s="117"/>
      <c r="AV24" s="117"/>
      <c r="AW24" s="117"/>
      <c r="AX24" s="117"/>
      <c r="AY24" s="117"/>
    </row>
    <row r="25" spans="1:52" ht="15" x14ac:dyDescent="0.2">
      <c r="A25" s="4" t="s">
        <v>73</v>
      </c>
      <c r="B25" s="65">
        <v>25</v>
      </c>
      <c r="C25" s="66" t="s">
        <v>74</v>
      </c>
      <c r="D25" s="67">
        <v>15</v>
      </c>
      <c r="E25" s="65">
        <v>25</v>
      </c>
      <c r="F25" s="66" t="str">
        <f>IF($AK8&gt;1,"/","")</f>
        <v>/</v>
      </c>
      <c r="G25" s="67">
        <v>19</v>
      </c>
      <c r="H25" s="65">
        <v>25</v>
      </c>
      <c r="I25" s="66" t="str">
        <f>IF($AK8&gt;2,"/","")</f>
        <v>/</v>
      </c>
      <c r="J25" s="67">
        <v>23</v>
      </c>
      <c r="K25" s="65">
        <v>25</v>
      </c>
      <c r="L25" s="66" t="str">
        <f>IF($AK8&gt;3,"/","")</f>
        <v>/</v>
      </c>
      <c r="M25" s="67">
        <v>18</v>
      </c>
      <c r="N25" s="65">
        <v>25</v>
      </c>
      <c r="O25" s="66" t="str">
        <f>IF($AK8&gt;4,"/","")</f>
        <v>/</v>
      </c>
      <c r="P25" s="67">
        <v>21</v>
      </c>
      <c r="Q25" s="65">
        <v>25</v>
      </c>
      <c r="R25" s="66" t="str">
        <f>IF($AK8&gt;5,"/","")</f>
        <v>/</v>
      </c>
      <c r="S25" s="67">
        <v>14</v>
      </c>
      <c r="T25" s="65">
        <v>26</v>
      </c>
      <c r="U25" s="66" t="str">
        <f>IF($AK8&gt;6,"/","")</f>
        <v>/</v>
      </c>
      <c r="V25" s="67">
        <v>24</v>
      </c>
      <c r="W25" s="65">
        <v>25</v>
      </c>
      <c r="X25" s="66" t="str">
        <f>IF($AK8&gt;7,"/","")</f>
        <v>/</v>
      </c>
      <c r="Y25" s="67">
        <v>16</v>
      </c>
      <c r="Z25" s="65">
        <v>26</v>
      </c>
      <c r="AA25" s="66" t="str">
        <f>IF($AK8&gt;8,"/","")</f>
        <v>/</v>
      </c>
      <c r="AB25" s="67">
        <v>24</v>
      </c>
      <c r="AC25" s="65">
        <v>20</v>
      </c>
      <c r="AD25" s="66" t="str">
        <f>IF($AK8&gt;9,"/","")</f>
        <v>/</v>
      </c>
      <c r="AE25" s="67">
        <v>25</v>
      </c>
      <c r="AF25" s="57" t="str">
        <f>IF($AK9&gt;1,"Team 2","")</f>
        <v>Team 2</v>
      </c>
      <c r="AG25" s="64">
        <f>IF($AK9&lt;2,"",IF($AK8&lt;1,"",IF(B24=2,B30-D30,IF(D24=2,D30-B30,""))))</f>
        <v>20</v>
      </c>
      <c r="AH25" s="64" t="str">
        <f>IF($AK9&lt;2,"",IF($AK8&lt;2,"",IF(E24=2,E30-G30,IF(G24=2,G30-E30,""))))</f>
        <v/>
      </c>
      <c r="AI25" s="64" t="str">
        <f>IF($AK9&lt;2,"",IF($AK8&lt;3,"",IF(H24=2,H30-J30,IF(J24=2,J30-H30,""))))</f>
        <v/>
      </c>
      <c r="AJ25" s="64">
        <f>IF($AK9&lt;2,"",IF($AK8&lt;4,"",IF(K24=2,K30-M30,IF(M24=2,M30-K30,""))))</f>
        <v>12</v>
      </c>
      <c r="AK25" s="64" t="str">
        <f>IF($AK9&lt;2,"",IF($AK8&lt;5,"",IF(N24=2,N30-P30,IF(P24=2,P30-N30,""))))</f>
        <v/>
      </c>
      <c r="AL25" s="64" t="str">
        <f>IF($AK9&lt;2,"",IF($AK8&lt;6,"",IF(Q24=2,Q30-S30,IF(S24=2,S30-Q30,""))))</f>
        <v/>
      </c>
      <c r="AM25" s="64">
        <f>IF($AK9&lt;2,"",IF($AK8&lt;7,"",IF(T24=2,T30-V30,IF(V24=2,V30-T30,""))))</f>
        <v>9</v>
      </c>
      <c r="AN25" s="64" t="str">
        <f>IF($AK9&lt;2,"",IF($AK8&lt;8,"",IF(W24=2,W30-Y30,IF(Y24=2,Y30-W30,""))))</f>
        <v/>
      </c>
      <c r="AO25" s="64" t="str">
        <f>IF($AK9&lt;2,"",IF($AK8&lt;9,"",IF(Z24=2,Z30-AB30,IF(AB24=2,AB30-Z30,""))))</f>
        <v/>
      </c>
      <c r="AP25" s="64">
        <f>IF($AK9&lt;2,"",IF($AK8&lt;10,"",IF(AC24=2,AC30-AE30,IF(AE24=2,AE30-AC30,""))))</f>
        <v>3</v>
      </c>
      <c r="AQ25" s="59">
        <f>SUM(AG25:AP25)</f>
        <v>44</v>
      </c>
      <c r="AT25" s="7"/>
      <c r="AU25" s="7"/>
      <c r="AV25" s="7"/>
      <c r="AW25" s="4"/>
    </row>
    <row r="26" spans="1:52" ht="15" x14ac:dyDescent="0.2">
      <c r="A26" s="3" t="str">
        <f>IF($AK7&gt;1,"Game 2","")</f>
        <v>Game 2</v>
      </c>
      <c r="B26" s="65">
        <v>25</v>
      </c>
      <c r="C26" s="66" t="s">
        <v>74</v>
      </c>
      <c r="D26" s="67">
        <v>15</v>
      </c>
      <c r="E26" s="65">
        <v>17</v>
      </c>
      <c r="F26" s="66" t="str">
        <f>IF($AK8&gt;1,IF($AK7&gt;1,"/",""),"")</f>
        <v>/</v>
      </c>
      <c r="G26" s="67">
        <v>25</v>
      </c>
      <c r="H26" s="65">
        <v>25</v>
      </c>
      <c r="I26" s="66" t="str">
        <f>IF($AK8&gt;2,IF($AK7&gt;1,"/",""),"")</f>
        <v>/</v>
      </c>
      <c r="J26" s="67">
        <v>19</v>
      </c>
      <c r="K26" s="65">
        <v>25</v>
      </c>
      <c r="L26" s="66" t="str">
        <f>IF($AK8&gt;3,IF($AK7&gt;1,"/",""),"")</f>
        <v>/</v>
      </c>
      <c r="M26" s="67">
        <v>20</v>
      </c>
      <c r="N26" s="65">
        <v>25</v>
      </c>
      <c r="O26" s="66" t="str">
        <f>IF($AK8&gt;4,IF($AK7&gt;1,"/",""),"")</f>
        <v>/</v>
      </c>
      <c r="P26" s="67">
        <v>12</v>
      </c>
      <c r="Q26" s="65">
        <v>22</v>
      </c>
      <c r="R26" s="66" t="str">
        <f>IF($AK8&gt;5,IF($AK7&gt;1,"/",""),"")</f>
        <v>/</v>
      </c>
      <c r="S26" s="67">
        <v>25</v>
      </c>
      <c r="T26" s="65">
        <v>25</v>
      </c>
      <c r="U26" s="66" t="str">
        <f>IF($AK8&gt;6,IF($AK7&gt;1,"/",""),"")</f>
        <v>/</v>
      </c>
      <c r="V26" s="67">
        <v>18</v>
      </c>
      <c r="W26" s="65">
        <v>25</v>
      </c>
      <c r="X26" s="66" t="str">
        <f>IF($AK8&gt;7,IF($AK7&gt;1,"/",""),"")</f>
        <v>/</v>
      </c>
      <c r="Y26" s="67">
        <v>20</v>
      </c>
      <c r="Z26" s="65">
        <v>25</v>
      </c>
      <c r="AA26" s="66" t="str">
        <f>IF($AK8&gt;8,IF($AK7&gt;1,"/",""),"")</f>
        <v>/</v>
      </c>
      <c r="AB26" s="67">
        <v>21</v>
      </c>
      <c r="AC26" s="65">
        <v>27</v>
      </c>
      <c r="AD26" s="66" t="str">
        <f>IF($AK8&gt;9,IF($AK7&gt;1,"/",""),"")</f>
        <v>/</v>
      </c>
      <c r="AE26" s="67">
        <v>25</v>
      </c>
      <c r="AF26" s="57" t="str">
        <f>IF($AK9&gt;2,"Team 3","")</f>
        <v>Team 3</v>
      </c>
      <c r="AG26" s="64" t="str">
        <f>IF($AK9&lt;3,"",IF($AK8&lt;1,"",IF(B24=3,B30-D30,IF(D24=3,D30-B30,""))))</f>
        <v/>
      </c>
      <c r="AH26" s="64" t="str">
        <f>IF($AK9&lt;3,"",IF($AK8&lt;2,"",IF(E24=3,E30-G30,IF(G24=3,G30-E30,""))))</f>
        <v/>
      </c>
      <c r="AI26" s="64">
        <f>IF($AK9&lt;3,"",IF($AK8&lt;3,"",IF(H24=3,H30-J30,IF(J24=3,J30-H30,""))))</f>
        <v>8</v>
      </c>
      <c r="AJ26" s="64" t="str">
        <f>IF($AK9&lt;3,"",IF($AK8&lt;4,"",IF(K24=3,K30-M30,IF(M24=3,M30-K30,""))))</f>
        <v/>
      </c>
      <c r="AK26" s="64">
        <f>IF($AK9&lt;3,"",IF($AK8&lt;5,"",IF(N24=3,N30-P30,IF(P24=3,P30-N30,""))))</f>
        <v>-17</v>
      </c>
      <c r="AL26" s="64" t="str">
        <f>IF($AK9&lt;3,"",IF($AK8&lt;6,"",IF(Q24=3,Q30-S30,IF(S24=3,S30-Q30,""))))</f>
        <v/>
      </c>
      <c r="AM26" s="64">
        <f>IF($AK9&lt;3,"",IF($AK8&lt;7,"",IF(T24=3,T30-V30,IF(V24=3,V30-T30,""))))</f>
        <v>-9</v>
      </c>
      <c r="AN26" s="64" t="str">
        <f>IF($AK9&lt;3,"",IF($AK8&lt;8,"",IF(W24=3,W30-Y30,IF(Y24=3,Y30-W30,""))))</f>
        <v/>
      </c>
      <c r="AO26" s="64">
        <f>IF($AK9&lt;3,"",IF($AK8&lt;9,"",IF(Z24=3,Z30-AB30,IF(AB24=3,AB30-Z30,""))))</f>
        <v>6</v>
      </c>
      <c r="AP26" s="64" t="str">
        <f>IF($AK9&lt;3,"",IF($AK8&lt;9,"",IF(AC24=3,AC30-AE30,IF(AE24=3,AE30-AC30,""))))</f>
        <v/>
      </c>
      <c r="AQ26" s="59">
        <f>SUM(AG26:AP26)</f>
        <v>-12</v>
      </c>
      <c r="AT26" s="7"/>
      <c r="AU26" s="7"/>
      <c r="AV26" s="7"/>
      <c r="AW26" s="4"/>
    </row>
    <row r="27" spans="1:52" ht="15" x14ac:dyDescent="0.2">
      <c r="A27" s="3" t="str">
        <f>IF($AK7&gt;2,"Game 3","")</f>
        <v/>
      </c>
      <c r="B27" s="65"/>
      <c r="C27" s="66" t="s">
        <v>74</v>
      </c>
      <c r="D27" s="67"/>
      <c r="E27" s="65"/>
      <c r="F27" s="66" t="str">
        <f>IF($AK8&gt;1,IF($AK7&gt;2,"/",""),"")</f>
        <v/>
      </c>
      <c r="G27" s="67"/>
      <c r="H27" s="65"/>
      <c r="I27" s="66" t="str">
        <f>IF($AK8&gt;2,IF($AK7&gt;2,"/",""),"")</f>
        <v/>
      </c>
      <c r="J27" s="67"/>
      <c r="K27" s="65"/>
      <c r="L27" s="66" t="str">
        <f>IF($AK8&gt;3,IF($AK7&gt;2,"/",""),"")</f>
        <v/>
      </c>
      <c r="M27" s="67"/>
      <c r="N27" s="65"/>
      <c r="O27" s="66" t="str">
        <f>IF($AK8&gt;4,IF($AK7&gt;2,"/",""),"")</f>
        <v/>
      </c>
      <c r="P27" s="67"/>
      <c r="Q27" s="65"/>
      <c r="R27" s="66" t="str">
        <f>IF($AK8&gt;5,IF($AK7&gt;2,"/",""),"")</f>
        <v/>
      </c>
      <c r="S27" s="67"/>
      <c r="T27" s="65"/>
      <c r="U27" s="66" t="str">
        <f>IF($AK8&gt;6,IF($AK7&gt;2,"/",""),"")</f>
        <v/>
      </c>
      <c r="V27" s="67"/>
      <c r="W27" s="65"/>
      <c r="X27" s="66" t="str">
        <f>IF($AK8&gt;7,IF($AK7&gt;2,"/",""),"")</f>
        <v/>
      </c>
      <c r="Y27" s="67"/>
      <c r="Z27" s="65"/>
      <c r="AA27" s="66" t="str">
        <f>IF($AK8&gt;8,IF($AK7&gt;2,"/",""),"")</f>
        <v/>
      </c>
      <c r="AB27" s="67"/>
      <c r="AC27" s="65"/>
      <c r="AD27" s="66" t="str">
        <f>IF($AK8&gt;9,IF($AK7&gt;2,"/",""),"")</f>
        <v/>
      </c>
      <c r="AE27" s="67"/>
      <c r="AF27" s="57" t="str">
        <f>IF($AK9&gt;3,"Team 4","")</f>
        <v>Team 4</v>
      </c>
      <c r="AG27" s="64" t="str">
        <f>IF($AK9&lt;4,"",IF($AK8&lt;1,"",IF(B24=4,B30-D30,IF(D24=4,D30-B30,""))))</f>
        <v/>
      </c>
      <c r="AH27" s="64">
        <f>IF($AK9&lt;4,"",IF($AK8&lt;2,"",IF(E24=4,E30-G30,IF(G24=4,G30-E30,""))))</f>
        <v>2</v>
      </c>
      <c r="AI27" s="64" t="str">
        <f>IF($AK9&lt;4,"",IF($AK8&lt;3,"",IF(H24=4,H30-J30,IF(J24=4,J30-H30,""))))</f>
        <v/>
      </c>
      <c r="AJ27" s="64">
        <f>IF($AK9&lt;4,"",IF($AK8&lt;4,"",IF(K24=4,K30-M30,IF(M24=4,M30-K30,""))))</f>
        <v>-12</v>
      </c>
      <c r="AK27" s="64" t="str">
        <f>IF($AK9&lt;4,"",IF($AK8&lt;5,"",IF(N24=4,N30-P30,IF(P24=4,P30-N30,""))))</f>
        <v/>
      </c>
      <c r="AL27" s="64">
        <f>IF($AK9&lt;4,"",IF($AK8&lt;6,"",IF(Q24=4,Q30-S30,IF(S24=4,S30-Q30,""))))</f>
        <v>8</v>
      </c>
      <c r="AM27" s="64" t="str">
        <f>IF($AK9&lt;4,"",IF($AK8&lt;7,"",IF(T24=4,T30-V30,IF(V24=4,V30-T30,""))))</f>
        <v/>
      </c>
      <c r="AN27" s="64" t="str">
        <f>IF($AK9&lt;4,"",IF($AK8&lt;8,"",IF(W24=4,W30-Y30,IF(Y24=4,Y30-W30,""))))</f>
        <v/>
      </c>
      <c r="AO27" s="64">
        <f>IF($AK9&lt;4,"",IF($AK8&lt;9,"",IF(Z24=4,Z30-AB30,IF(AB24=4,AB30-Z30,""))))</f>
        <v>-6</v>
      </c>
      <c r="AP27" s="64" t="str">
        <f>IF($AK9&lt;4,"",IF($AK8&lt;10,"",IF(AC24=4,AC30-AE30,IF(AE24=4,AE30-AC30,""))))</f>
        <v/>
      </c>
      <c r="AQ27" s="59">
        <f>SUM(AG27:AP27)</f>
        <v>-8</v>
      </c>
      <c r="AW27" s="4"/>
    </row>
    <row r="28" spans="1:52" ht="15" x14ac:dyDescent="0.2">
      <c r="A28" s="3" t="str">
        <f>IF($AK7&gt;3,"Game 4","")</f>
        <v/>
      </c>
      <c r="B28" s="65"/>
      <c r="C28" s="66" t="s">
        <v>74</v>
      </c>
      <c r="D28" s="67"/>
      <c r="E28" s="65"/>
      <c r="F28" s="66" t="str">
        <f>IF($AK8&gt;1,IF($AK7&gt;3,"/",""),"")</f>
        <v/>
      </c>
      <c r="G28" s="67"/>
      <c r="H28" s="65"/>
      <c r="I28" s="66" t="str">
        <f>IF($AK8&gt;2,IF($AK7&gt;3,"/",""),"")</f>
        <v/>
      </c>
      <c r="J28" s="67"/>
      <c r="K28" s="65"/>
      <c r="L28" s="66" t="str">
        <f>IF($AK8&gt;3,IF($AK7&gt;3,"/",""),"")</f>
        <v/>
      </c>
      <c r="M28" s="67"/>
      <c r="N28" s="65"/>
      <c r="O28" s="66" t="str">
        <f>IF($AK8&gt;4,IF($AK7&gt;3,"/",""),"")</f>
        <v/>
      </c>
      <c r="P28" s="67"/>
      <c r="Q28" s="65"/>
      <c r="R28" s="66" t="str">
        <f>IF($AK8&gt;5,IF($AK7&gt;3,"/",""),"")</f>
        <v/>
      </c>
      <c r="S28" s="67"/>
      <c r="T28" s="65"/>
      <c r="U28" s="66" t="str">
        <f>IF($AK8&gt;6,IF($AK7&gt;3,"/",""),"")</f>
        <v/>
      </c>
      <c r="V28" s="67"/>
      <c r="W28" s="65"/>
      <c r="X28" s="66" t="str">
        <f>IF($AK8&gt;7,IF($AK7&gt;3,"/",""),"")</f>
        <v/>
      </c>
      <c r="Y28" s="67"/>
      <c r="Z28" s="65"/>
      <c r="AA28" s="66" t="str">
        <f>IF($AK8&gt;8,IF($AK7&gt;3,"/",""),"")</f>
        <v/>
      </c>
      <c r="AB28" s="67"/>
      <c r="AC28" s="65"/>
      <c r="AD28" s="66" t="str">
        <f>IF($AK8&gt;9,IF($AK7&gt;3,"/",""),"")</f>
        <v/>
      </c>
      <c r="AE28" s="67"/>
      <c r="AF28" s="57" t="str">
        <f>IF($AK9&gt;4,"Team 5","")</f>
        <v>Team 5</v>
      </c>
      <c r="AG28" s="68">
        <f>IF($AK9&lt;5,"",IF($AK8&lt;1,"",IF(B24=5,B30-D30,IF(D24=5,D30-B30,""))))</f>
        <v>-20</v>
      </c>
      <c r="AH28" s="64" t="str">
        <f>IF($AK9&lt;5,"",IF($AK8&lt;2,"",IF(E24=5,E30-G30,IF(G24=5,G30-E30,""))))</f>
        <v/>
      </c>
      <c r="AI28" s="64">
        <f>IF($AK9&lt;5,"",IF($AK8&lt;3,"",IF(H24=5,H30-J30,IF(J24=5,J30-H30,""))))</f>
        <v>-8</v>
      </c>
      <c r="AJ28" s="64" t="str">
        <f>IF($AK9&lt;5,"",IF($AK8&lt;4,"",IF(K24=5,K30-M30,IF(M24=5,M30-K30,""))))</f>
        <v/>
      </c>
      <c r="AK28" s="64" t="str">
        <f>IF($AK9&lt;5,"",IF($AK8&lt;5,"",IF(N24=5,N30-P30,IF(P24=5,P30-N30,""))))</f>
        <v/>
      </c>
      <c r="AL28" s="64">
        <f>IF($AK9&lt;5,"",IF($AK8&lt;6,"",IF(Q24=5,Q30-S30,IF(S24=5,S30-Q30,""))))</f>
        <v>-8</v>
      </c>
      <c r="AM28" s="64" t="str">
        <f>IF($AK9&lt;5,"",IF($AK8&lt;7,"",IF(T24=5,T30-V30,IF(V24=5,V30-T30,""))))</f>
        <v/>
      </c>
      <c r="AN28" s="64">
        <f>IF($AK9&lt;5,"",IF($AK8&lt;8,"",IF(W24=5,W30-Y30,IF(Y24=5,Y30-W30,""))))</f>
        <v>-14</v>
      </c>
      <c r="AO28" s="64" t="str">
        <f>IF($AK9&lt;5,"",IF($AK8&lt;9,"",IF(Z24=5,Z30-AB30,IF(AB24=5,AB30-Z30,""))))</f>
        <v/>
      </c>
      <c r="AP28" s="64" t="str">
        <f>IF($AK9&lt;5,"",IF($AK8&lt;10,"",IF(AC24=5,AC30-AE30,IF(AE24=5,AE30-AC30,""))))</f>
        <v/>
      </c>
      <c r="AQ28" s="59">
        <f>SUM(AG28:AP28)</f>
        <v>-50</v>
      </c>
      <c r="AW28" s="7"/>
      <c r="AX28" s="7"/>
      <c r="AY28" s="7"/>
    </row>
    <row r="29" spans="1:52" ht="15" x14ac:dyDescent="0.2">
      <c r="A29" s="3" t="str">
        <f>IF($AK7&gt;4,"Game 5","")</f>
        <v/>
      </c>
      <c r="B29" s="65"/>
      <c r="C29" s="66" t="s">
        <v>74</v>
      </c>
      <c r="D29" s="67"/>
      <c r="E29" s="65"/>
      <c r="F29" s="66" t="str">
        <f>IF($AK8&gt;1,IF($AK7&gt;4,"/",""),"")</f>
        <v/>
      </c>
      <c r="G29" s="67"/>
      <c r="H29" s="65"/>
      <c r="I29" s="66" t="str">
        <f>IF($AK8&gt;2,IF($AK7&gt;4,"/",""),"")</f>
        <v/>
      </c>
      <c r="J29" s="67"/>
      <c r="K29" s="65"/>
      <c r="L29" s="66" t="str">
        <f>IF($AK8&gt;3,IF($AK7&gt;4,"/",""),"")</f>
        <v/>
      </c>
      <c r="M29" s="67"/>
      <c r="N29" s="65"/>
      <c r="O29" s="66" t="str">
        <f>IF($AK8&gt;4,IF($AK7&gt;4,"/",""),"")</f>
        <v/>
      </c>
      <c r="P29" s="67"/>
      <c r="Q29" s="65"/>
      <c r="R29" s="66" t="str">
        <f>IF($AK8&gt;5,IF($AK7&gt;4,"/",""),"")</f>
        <v/>
      </c>
      <c r="S29" s="67"/>
      <c r="T29" s="65"/>
      <c r="U29" s="66" t="str">
        <f>IF($AK8&gt;6,IF($AK7&gt;4,"/",""),"")</f>
        <v/>
      </c>
      <c r="V29" s="67"/>
      <c r="W29" s="65"/>
      <c r="X29" s="66" t="str">
        <f>IF($AK8&gt;7,IF($AK7&gt;4,"/",""),"")</f>
        <v/>
      </c>
      <c r="Y29" s="67"/>
      <c r="Z29" s="65"/>
      <c r="AA29" s="66" t="str">
        <f>IF($AK8&gt;8,IF($AK7&gt;4,"/",""),"")</f>
        <v/>
      </c>
      <c r="AB29" s="67"/>
      <c r="AC29" s="65"/>
      <c r="AD29" s="66" t="str">
        <f>IF($AK8&gt;9,IF($AK7&gt;4,"/",""),"")</f>
        <v/>
      </c>
      <c r="AE29" s="67"/>
      <c r="AF29" s="8"/>
      <c r="AG29" s="8"/>
      <c r="AH29" s="8"/>
      <c r="AI29" s="8"/>
      <c r="AJ29" s="8"/>
      <c r="AK29" s="8"/>
      <c r="AL29" s="8"/>
      <c r="AM29" s="8"/>
      <c r="AN29" s="8"/>
      <c r="AO29" s="8"/>
      <c r="AP29" s="8"/>
      <c r="AQ29" s="8"/>
      <c r="AW29" s="7"/>
      <c r="AX29" s="7"/>
      <c r="AY29" s="7"/>
    </row>
    <row r="30" spans="1:52" hidden="1" x14ac:dyDescent="0.2">
      <c r="A30" s="69"/>
      <c r="B30" s="69">
        <f>IF($AK7=5,SUM(B25:B29),IF($AK7=4,SUM(B25:B28),IF($AK7=3,SUM(B25:B27),IF($AK7=2,SUM(B25:B26),B25))))</f>
        <v>50</v>
      </c>
      <c r="C30" s="69"/>
      <c r="D30" s="69">
        <f>IF($AK7=5,SUM(D25:D29),IF($AK7=4,SUM(D25:D28),IF($AK7=3,SUM(D25:D27),IF($AK7=2,SUM(D25:D26),D25))))</f>
        <v>30</v>
      </c>
      <c r="E30" s="69">
        <f>IF($AK7=5,SUM(E25:E29),IF($AK7=4,SUM(E25:E28),IF($AK7=3,SUM(E25:E27),IF($AK7=2,SUM(E25:E26),E25))))</f>
        <v>42</v>
      </c>
      <c r="F30" s="69"/>
      <c r="G30" s="69">
        <f>IF($AK7=5,SUM(G25:G29),IF($AK7=4,SUM(G25:G28),IF($AK7=3,SUM(G25:G27),IF($AK7=2,SUM(G25:G26),G25))))</f>
        <v>44</v>
      </c>
      <c r="H30" s="69">
        <f>IF($AK7=5,SUM(H25:H29),IF($AK7=4,SUM(H25:H28),IF($AK7=3,SUM(H25:H27),IF($AK7=2,SUM(H25:H26),H25))))</f>
        <v>50</v>
      </c>
      <c r="I30" s="69"/>
      <c r="J30" s="69">
        <f>IF($AK7=5,SUM(J25:J29),IF($AK7=4,SUM(J25:J28),IF($AK7=3,SUM(J25:J27),IF($AK7=2,SUM(J25:J26),J25))))</f>
        <v>42</v>
      </c>
      <c r="K30" s="69">
        <f>IF($AK7=5,SUM(K25:K29),IF($AK7=4,SUM(K25:K28),IF($AK7=3,SUM(K25:K27),IF($AK7=2,SUM(K25:K26),K25))))</f>
        <v>50</v>
      </c>
      <c r="L30" s="69"/>
      <c r="M30" s="69">
        <f>IF($AK7=5,SUM(M25:M29),IF($AK7=4,SUM(M25:M28),IF($AK7=3,SUM(M25:M27),IF($AK7=2,SUM(M25:M26),M25))))</f>
        <v>38</v>
      </c>
      <c r="N30" s="69">
        <f>IF($AK7=5,SUM(N25:N29),IF($AK7=4,SUM(N25:N28),IF($AK7=3,SUM(N25:N27),IF($AK7=2,SUM(N25:N26),N25))))</f>
        <v>50</v>
      </c>
      <c r="O30" s="69"/>
      <c r="P30" s="69">
        <f>IF($AK7=5,SUM(P25:P29),IF($AK7=4,SUM(P25:P28),IF($AK7=3,SUM(P25:P27),IF($AK7=2,SUM(P25:P26),P25))))</f>
        <v>33</v>
      </c>
      <c r="Q30" s="69">
        <f>IF($AK7=5,SUM(Q25:Q29),IF($AK7=4,SUM(Q25:Q28),IF($AK7=3,SUM(Q25:Q27),IF($AK7=2,SUM(Q25:Q26),Q25))))</f>
        <v>47</v>
      </c>
      <c r="R30" s="69"/>
      <c r="S30" s="69">
        <f>IF($AK7=5,SUM(S25:S29),IF($AK7=4,SUM(S25:S28),IF($AK7=3,SUM(S25:S27),IF($AK7=2,SUM(S25:S26),S25))))</f>
        <v>39</v>
      </c>
      <c r="T30" s="69">
        <f>IF($AK7=5,SUM(T25:T29),IF($AK7=4,SUM(T25:T28),IF($AK7=3,SUM(T25:T27),IF($AK7=2,SUM(T25:T26),T25))))</f>
        <v>51</v>
      </c>
      <c r="U30" s="69"/>
      <c r="V30" s="69">
        <f>IF($AK7=5,SUM(V25:V29),IF($AK7=4,SUM(V25:V28),IF($AK7=3,SUM(V25:V27),IF($AK7=2,SUM(V25:V26),V25))))</f>
        <v>42</v>
      </c>
      <c r="W30" s="69">
        <f>IF($AK7=5,SUM(W25:W29),IF($AK7=4,SUM(W25:W28),IF($AK7=3,SUM(W25:W27),IF($AK7=2,SUM(W25:W26),W25))))</f>
        <v>50</v>
      </c>
      <c r="X30" s="69"/>
      <c r="Y30" s="69">
        <f>IF($AK7=5,SUM(Y25:Y29),IF($AK7=4,SUM(Y25:Y28),IF($AK7=3,SUM(Y25:Y27),IF($AK7=2,SUM(Y25:Y26),Y25))))</f>
        <v>36</v>
      </c>
      <c r="Z30" s="69">
        <f>IF($AK7=5,SUM(Z25:Z29),IF($AK7=4,SUM(Z25:Z28),IF($AK7=3,SUM(Z25:Z27),IF($AK7=2,SUM(Z25:Z26),Z25))))</f>
        <v>51</v>
      </c>
      <c r="AA30" s="69"/>
      <c r="AB30" s="69">
        <f>IF($AK7=5,SUM(AB25:AB29),IF($AK7=4,SUM(AB25:AB28),IF($AK7=3,SUM(AB25:AB27),IF($AK7=2,SUM(AB25:AB26),AB25))))</f>
        <v>45</v>
      </c>
      <c r="AC30" s="69">
        <f>IF($AK7=5,SUM(AC25:AC29),IF($AK7=4,SUM(AC25:AC28),IF($AK7=3,SUM(AC25:AC27),IF($AK7=2,SUM(AC25:AC26),AC25))))</f>
        <v>47</v>
      </c>
      <c r="AD30" s="69"/>
      <c r="AE30" s="69">
        <f>IF($AK7=5,SUM(AE25:AE29),IF($AK7=4,SUM(AE25:AE28),IF($AK7=3,SUM(AE25:AE27),IF($AK7=2,SUM(AE25:AE26),AE25))))</f>
        <v>50</v>
      </c>
      <c r="AF30" s="8"/>
      <c r="AG30" s="8"/>
      <c r="AH30" s="8"/>
      <c r="AI30" s="8"/>
      <c r="AJ30" s="8"/>
      <c r="AK30" s="8"/>
      <c r="AL30" s="8"/>
      <c r="AM30" s="8"/>
      <c r="AN30" s="8"/>
      <c r="AO30" s="8"/>
      <c r="AP30" s="8"/>
      <c r="AQ30" s="8"/>
    </row>
    <row r="31" spans="1:52" s="70" customFormat="1" ht="12.75" hidden="1" customHeight="1" x14ac:dyDescent="0.2">
      <c r="A31" s="70" t="s">
        <v>75</v>
      </c>
      <c r="B31" s="71">
        <f>IF(AND(B25&gt;D25,$AK8&gt;0,ISNUMBER(B25),ISNUMBER(D25)),1,0)</f>
        <v>1</v>
      </c>
      <c r="C31" s="71"/>
      <c r="D31" s="72">
        <f>IF(AND(D25&gt;B25,$AK8&gt;0,ISNUMBER(B25),ISNUMBER(D25)),1,0)</f>
        <v>0</v>
      </c>
      <c r="E31" s="71">
        <f>IF(AND(E25&gt;G25,$AK8&gt;1,ISNUMBER(E25),ISNUMBER(G25)),1,0)</f>
        <v>1</v>
      </c>
      <c r="F31" s="71"/>
      <c r="G31" s="72">
        <f>IF(AND(G25&gt;E25,$AK8&gt;1,ISNUMBER(E25),ISNUMBER(G25)),1,0)</f>
        <v>0</v>
      </c>
      <c r="H31" s="71">
        <f>IF(AND(H25&gt;J25,$AK8&gt;2,ISNUMBER(H25),ISNUMBER(J25)),1,0)</f>
        <v>1</v>
      </c>
      <c r="I31" s="71"/>
      <c r="J31" s="72">
        <f>IF(AND(J25&gt;H25,$AK8&gt;2,ISNUMBER(H25),ISNUMBER(J25)),1,0)</f>
        <v>0</v>
      </c>
      <c r="K31" s="71">
        <f>IF(AND(K25&gt;M25,$AK8&gt;3,ISNUMBER(K25),ISNUMBER(M25)),1,0)</f>
        <v>1</v>
      </c>
      <c r="L31" s="71"/>
      <c r="M31" s="72">
        <f>IF(AND(M25&gt;K25,$AK8&gt;3,ISNUMBER(K25),ISNUMBER(M25)),1,0)</f>
        <v>0</v>
      </c>
      <c r="N31" s="71">
        <f>IF(AND(N25&gt;P25,$AK8&gt;4,ISNUMBER(N25),ISNUMBER(P25)),1,0)</f>
        <v>1</v>
      </c>
      <c r="O31" s="71"/>
      <c r="P31" s="72">
        <f>IF(AND(P25&gt;N25,$AK8&gt;4,ISNUMBER(N25),ISNUMBER(P25)),1,0)</f>
        <v>0</v>
      </c>
      <c r="Q31" s="71">
        <f>IF(AND(Q25&gt;S25,$AK8&gt;5,ISNUMBER(Q25),ISNUMBER(S25)),1,0)</f>
        <v>1</v>
      </c>
      <c r="R31" s="71"/>
      <c r="S31" s="72">
        <f>IF(AND(S25&gt;Q25,$AK8&gt;5,ISNUMBER(Q25),ISNUMBER(S25)),1,0)</f>
        <v>0</v>
      </c>
      <c r="T31" s="71">
        <f>IF(AND(T25&gt;V25,$AK8&gt;6,ISNUMBER(T25),ISNUMBER(V25)),1,0)</f>
        <v>1</v>
      </c>
      <c r="U31" s="71"/>
      <c r="V31" s="72">
        <f>IF(AND(V25&gt;T25,$AK8&gt;6,ISNUMBER(T25),ISNUMBER(V25)),1,0)</f>
        <v>0</v>
      </c>
      <c r="W31" s="71">
        <f>IF(AND(W25&gt;Y25,$AK8&gt;7,ISNUMBER(W25),ISNUMBER(Y25)),1,0)</f>
        <v>1</v>
      </c>
      <c r="X31" s="71"/>
      <c r="Y31" s="72">
        <f>IF(AND(Y25&gt;W25,$AK8&gt;7,ISNUMBER(W25),ISNUMBER(Y25)),1,0)</f>
        <v>0</v>
      </c>
      <c r="Z31" s="71">
        <f>IF(AND(Z25&gt;AB25,$AK8&gt;8,ISNUMBER(Z25),ISNUMBER(AB25)),1,0)</f>
        <v>1</v>
      </c>
      <c r="AA31" s="71"/>
      <c r="AB31" s="72">
        <f>IF(AND(AB25&gt;Z25,$AK8&gt;8,ISNUMBER(Z25),ISNUMBER(AB25)),1,0)</f>
        <v>0</v>
      </c>
      <c r="AC31" s="71">
        <f>IF(AND(AC25&gt;AE25,$AK8&gt;9,ISNUMBER(AC25),ISNUMBER(AE25)),1,0)</f>
        <v>0</v>
      </c>
      <c r="AD31" s="71"/>
      <c r="AE31" s="72">
        <f>IF(AND(AE25&gt;AC25,$AK8&gt;9,ISNUMBER(AC25),ISNUMBER(AE25)),1,0)</f>
        <v>1</v>
      </c>
      <c r="AW31" s="154"/>
    </row>
    <row r="32" spans="1:52" s="70" customFormat="1" ht="12.75" hidden="1" customHeight="1" x14ac:dyDescent="0.2">
      <c r="A32" s="70" t="s">
        <v>76</v>
      </c>
      <c r="B32" s="71">
        <f>IF(AND(B26&gt;D26,$AK8&gt;0,$AK7&gt;1,ISNUMBER(B26),ISNUMBER(D26)),1,0)</f>
        <v>1</v>
      </c>
      <c r="C32" s="71"/>
      <c r="D32" s="72">
        <f>IF(AND(D26&gt;B26,$AK8&gt;0,$AK7&gt;1,ISNUMBER(B26),ISNUMBER(D26)),1,0)</f>
        <v>0</v>
      </c>
      <c r="E32" s="71">
        <f>IF(AND(E26&gt;G26,$AK8&gt;1,$AK7&gt;1,ISNUMBER(E26),ISNUMBER(G26)),1,0)</f>
        <v>0</v>
      </c>
      <c r="F32" s="71"/>
      <c r="G32" s="72">
        <f>IF(AND(G26&gt;E26,$AK8&gt;1,$AK7&gt;1,ISNUMBER(E26),ISNUMBER(G26)),1,0)</f>
        <v>1</v>
      </c>
      <c r="H32" s="71">
        <f>IF(AND(H26&gt;J26,$AK8&gt;2,$AK7&gt;1,ISNUMBER(H26),ISNUMBER(J26)),1,0)</f>
        <v>1</v>
      </c>
      <c r="I32" s="71"/>
      <c r="J32" s="72">
        <f>IF(AND(J26&gt;H26,$AK8&gt;2,$AK7&gt;1,ISNUMBER(H26),ISNUMBER(J26)),1,0)</f>
        <v>0</v>
      </c>
      <c r="K32" s="71">
        <f>IF(AND(K26&gt;M26,$AK8&gt;3,$AK7&gt;1,ISNUMBER(K26),ISNUMBER(M26)),1,0)</f>
        <v>1</v>
      </c>
      <c r="L32" s="71"/>
      <c r="M32" s="72">
        <f>IF(AND(M26&gt;K26,$AK8&gt;3,$AK7&gt;1,ISNUMBER(K26),ISNUMBER(M26)),1,0)</f>
        <v>0</v>
      </c>
      <c r="N32" s="71">
        <f>IF(AND(N26&gt;P26,$AK8&gt;4,$AK7&gt;1,ISNUMBER(N26),ISNUMBER(P26)),1,0)</f>
        <v>1</v>
      </c>
      <c r="O32" s="71"/>
      <c r="P32" s="72">
        <f>IF(AND(P26&gt;N26,$AK8&gt;4,$AK7&gt;1,ISNUMBER(N26),ISNUMBER(P26)),1,0)</f>
        <v>0</v>
      </c>
      <c r="Q32" s="71">
        <f>IF(AND(Q26&gt;S26,$AK8&gt;5,$AK7&gt;1,ISNUMBER(Q26),ISNUMBER(S26)),1,0)</f>
        <v>0</v>
      </c>
      <c r="R32" s="71"/>
      <c r="S32" s="72">
        <f>IF(AND(S26&gt;Q26,$AK8&gt;5,$AK7&gt;1,ISNUMBER(Q26),ISNUMBER(S26)),1,0)</f>
        <v>1</v>
      </c>
      <c r="T32" s="71">
        <f>IF(AND(T26&gt;V26,$AK8&gt;6,$AK7&gt;1,ISNUMBER(T26),ISNUMBER(V26)),1,0)</f>
        <v>1</v>
      </c>
      <c r="U32" s="71"/>
      <c r="V32" s="72">
        <f>IF(AND(V26&gt;T26,$AK8&gt;6,$AK7&gt;1,ISNUMBER(T26),ISNUMBER(V26)),1,0)</f>
        <v>0</v>
      </c>
      <c r="W32" s="71">
        <f>IF(AND(W26&gt;Y26,$AK8&gt;7,$AK7&gt;1,ISNUMBER(W26),ISNUMBER(Y26)),1,0)</f>
        <v>1</v>
      </c>
      <c r="X32" s="71"/>
      <c r="Y32" s="72">
        <f>IF(AND(Y26&gt;W26,$AK8&gt;7,$AK7&gt;1,ISNUMBER(W26),ISNUMBER(Y26)),1,0)</f>
        <v>0</v>
      </c>
      <c r="Z32" s="71">
        <f>IF(AND(Z26&gt;AB26,$AK8&gt;8,$AK7&gt;1,ISNUMBER(Z26),ISNUMBER(AB26)),1,0)</f>
        <v>1</v>
      </c>
      <c r="AA32" s="71"/>
      <c r="AB32" s="72">
        <f>IF(AND(AB26&gt;Z26,$AK8&gt;8,$AK7&gt;1,ISNUMBER(Z26),ISNUMBER(AB26)),1,0)</f>
        <v>0</v>
      </c>
      <c r="AC32" s="71">
        <f>IF(AND(AC26&gt;AE26,$AK8&gt;9,$AK7&gt;1,ISNUMBER(AC26),ISNUMBER(AE26)),1,0)</f>
        <v>1</v>
      </c>
      <c r="AD32" s="71"/>
      <c r="AE32" s="72">
        <f>IF(AND(AE26&gt;AC26,$AK8&gt;9,$AK7&gt;1,ISNUMBER(AC26),ISNUMBER(AE26)),1,0)</f>
        <v>0</v>
      </c>
      <c r="AW32" s="154"/>
    </row>
    <row r="33" spans="1:49" s="70" customFormat="1" ht="12.75" hidden="1" customHeight="1" x14ac:dyDescent="0.2">
      <c r="A33" s="70" t="s">
        <v>77</v>
      </c>
      <c r="B33" s="71">
        <f>IF(AND(B27&gt;D27,$AK8&gt;0,$AK7&gt;2,ISNUMBER(B27),ISNUMBER(D27)),1,0)</f>
        <v>0</v>
      </c>
      <c r="C33" s="71"/>
      <c r="D33" s="72">
        <f>IF(AND(D27&gt;B27,$AK8&gt;0,$AK7&gt;2,ISNUMBER(B27),ISNUMBER(D27)),1,0)</f>
        <v>0</v>
      </c>
      <c r="E33" s="71">
        <f>IF(AND(E27&gt;G27,$AK8&gt;1,$AK7&gt;2,ISNUMBER(E27),ISNUMBER(G27)),1,0)</f>
        <v>0</v>
      </c>
      <c r="F33" s="71"/>
      <c r="G33" s="72">
        <f>IF(AND(G27&gt;E27,$AK8&gt;1,$AK7&gt;2,ISNUMBER(E27),ISNUMBER(G27)),1,0)</f>
        <v>0</v>
      </c>
      <c r="H33" s="71">
        <f>IF(AND(H27&gt;J27,$AK8&gt;2,$AK7&gt;2,ISNUMBER(H27),ISNUMBER(J27)),1,0)</f>
        <v>0</v>
      </c>
      <c r="I33" s="71"/>
      <c r="J33" s="72">
        <f>IF(AND(J27&gt;H27,$AK8&gt;2,$AK7&gt;2,ISNUMBER(H27),ISNUMBER(J27)),1,0)</f>
        <v>0</v>
      </c>
      <c r="K33" s="71">
        <f>IF(AND(K27&gt;M27,$AK8&gt;3,$AK7&gt;2,ISNUMBER(K27),ISNUMBER(M27)),1,0)</f>
        <v>0</v>
      </c>
      <c r="L33" s="71"/>
      <c r="M33" s="72">
        <f>IF(AND(M27&gt;K27,$AK8&gt;3,$AK7&gt;2,ISNUMBER(K27),ISNUMBER(M27)),1,0)</f>
        <v>0</v>
      </c>
      <c r="N33" s="71">
        <f>IF(AND(N27&gt;P27,$AK8&gt;4,$AK7&gt;2,ISNUMBER(N27),ISNUMBER(P27)),1,0)</f>
        <v>0</v>
      </c>
      <c r="O33" s="71"/>
      <c r="P33" s="72">
        <f>IF(AND(P27&gt;N27,$AK8&gt;4,$AK7&gt;2,ISNUMBER(N27),ISNUMBER(P27)),1,0)</f>
        <v>0</v>
      </c>
      <c r="Q33" s="71">
        <f>IF(AND(Q27&gt;S27,$AK8&gt;5,$AK7&gt;2,ISNUMBER(Q27),ISNUMBER(S27)),1,0)</f>
        <v>0</v>
      </c>
      <c r="R33" s="71"/>
      <c r="S33" s="72">
        <f>IF(AND(S27&gt;Q27,$AK8&gt;5,$AK7&gt;2,ISNUMBER(Q27),ISNUMBER(S27)),1,0)</f>
        <v>0</v>
      </c>
      <c r="T33" s="71">
        <f>IF(AND(T27&gt;V27,$AK8&gt;6,$AK7&gt;2,ISNUMBER(T27),ISNUMBER(V27)),1,0)</f>
        <v>0</v>
      </c>
      <c r="U33" s="71"/>
      <c r="V33" s="72">
        <f>IF(AND(V27&gt;T27,$AK8&gt;6,$AK7&gt;2,ISNUMBER(T27),ISNUMBER(V27)),1,0)</f>
        <v>0</v>
      </c>
      <c r="W33" s="71">
        <f>IF(AND(W27&gt;Y27,$AK8&gt;7,$AK7&gt;2,ISNUMBER(W27),ISNUMBER(Y27)),1,0)</f>
        <v>0</v>
      </c>
      <c r="X33" s="71"/>
      <c r="Y33" s="72">
        <f>IF(AND(Y27&gt;W27,$AK8&gt;7,$AK7&gt;2,ISNUMBER(W27),ISNUMBER(Y27)),1,0)</f>
        <v>0</v>
      </c>
      <c r="Z33" s="71">
        <f>IF(AND(Z27&gt;AB27,$AK8&gt;8,$AK7&gt;2,ISNUMBER(Z27),ISNUMBER(AB27)),1,0)</f>
        <v>0</v>
      </c>
      <c r="AA33" s="71"/>
      <c r="AB33" s="72">
        <f>IF(AND(AB27&gt;Z27,$AK8&gt;8,$AK7&gt;2,ISNUMBER(Z27),ISNUMBER(AB27)),1,0)</f>
        <v>0</v>
      </c>
      <c r="AC33" s="71">
        <f>IF(AND(AC27&gt;AE27,$AK8&gt;9,$AK7&gt;2,ISNUMBER(AC27),ISNUMBER(AE27)),1,0)</f>
        <v>0</v>
      </c>
      <c r="AD33" s="71"/>
      <c r="AE33" s="72">
        <f>IF(AND(AE27&gt;AC27,$AK8&gt;9,$AK7&gt;2,ISNUMBER(AC27),ISNUMBER(AE27)),1,0)</f>
        <v>0</v>
      </c>
      <c r="AW33" s="154"/>
    </row>
    <row r="34" spans="1:49" s="70" customFormat="1" ht="12.75" hidden="1" customHeight="1" x14ac:dyDescent="0.2">
      <c r="A34" s="70" t="s">
        <v>78</v>
      </c>
      <c r="B34" s="71">
        <f>IF(AND(B28&gt;D28,$AK8&gt;0,$AK7&gt;3,ISNUMBER(B28),ISNUMBER(D28)),1,0)</f>
        <v>0</v>
      </c>
      <c r="C34" s="71"/>
      <c r="D34" s="72">
        <f>IF(AND(D28&gt;B28,$AK8&gt;0,$AK7&gt;3,ISNUMBER(B28),ISNUMBER(D28)),1,0)</f>
        <v>0</v>
      </c>
      <c r="E34" s="71">
        <f>IF(AND(E28&gt;G28,$AK8&gt;1,$AK7&gt;3,ISNUMBER(E28),ISNUMBER(G28)),1,0)</f>
        <v>0</v>
      </c>
      <c r="F34" s="71"/>
      <c r="G34" s="72">
        <f>IF(AND(G28&gt;E28,$AK8&gt;1,$AK7&gt;3,ISNUMBER(E28),ISNUMBER(G28)),1,0)</f>
        <v>0</v>
      </c>
      <c r="H34" s="71">
        <f>IF(AND(H28&gt;J28,$AK8&gt;2,$AK7&gt;3,ISNUMBER(H28),ISNUMBER(J28)),1,0)</f>
        <v>0</v>
      </c>
      <c r="I34" s="71"/>
      <c r="J34" s="72">
        <f>IF(AND(J28&gt;H28,$AK8&gt;2,$AK7&gt;3,ISNUMBER(H28),ISNUMBER(J28)),1,0)</f>
        <v>0</v>
      </c>
      <c r="K34" s="71">
        <f>IF(AND(K28&gt;M28,$AK8&gt;3,$AK7&gt;3,ISNUMBER(K28),ISNUMBER(M28)),1,0)</f>
        <v>0</v>
      </c>
      <c r="L34" s="71"/>
      <c r="M34" s="72">
        <f>IF(AND(M28&gt;K28,$AK8&gt;3,$AK7&gt;3,ISNUMBER(K28),ISNUMBER(M28)),1,0)</f>
        <v>0</v>
      </c>
      <c r="N34" s="71">
        <f>IF(AND(N28&gt;P28,$AK8&gt;4,$AK7&gt;3,ISNUMBER(N28),ISNUMBER(P28)),1,0)</f>
        <v>0</v>
      </c>
      <c r="O34" s="71"/>
      <c r="P34" s="72">
        <f>IF(AND(P28&gt;N28,$AK8&gt;4,$AK7&gt;3,ISNUMBER(N28),ISNUMBER(P28)),1,0)</f>
        <v>0</v>
      </c>
      <c r="Q34" s="71">
        <f>IF(AND(Q28&gt;S28,$AK8&gt;5,$AK7&gt;3,ISNUMBER(Q28),ISNUMBER(S28)),1,0)</f>
        <v>0</v>
      </c>
      <c r="R34" s="71"/>
      <c r="S34" s="72">
        <f>IF(AND(S28&gt;Q28,$AK8&gt;5,$AK7&gt;3,ISNUMBER(Q28),ISNUMBER(S28)),1,0)</f>
        <v>0</v>
      </c>
      <c r="T34" s="71">
        <f>IF(AND(T28&gt;V28,$AK8&gt;6,$AK7&gt;3,ISNUMBER(T28),ISNUMBER(V28)),1,0)</f>
        <v>0</v>
      </c>
      <c r="U34" s="71"/>
      <c r="V34" s="72">
        <f>IF(AND(V28&gt;T28,$AK8&gt;6,$AK7&gt;3,ISNUMBER(T28),ISNUMBER(V28)),1,0)</f>
        <v>0</v>
      </c>
      <c r="W34" s="71">
        <f>IF(AND(W28&gt;Y28,$AK8&gt;7,$AK7&gt;3,ISNUMBER(W28),ISNUMBER(Y28)),1,0)</f>
        <v>0</v>
      </c>
      <c r="X34" s="71"/>
      <c r="Y34" s="72">
        <f>IF(AND(Y28&gt;W28,$AK8&gt;7,$AK7&gt;3,ISNUMBER(W28),ISNUMBER(Y28)),1,0)</f>
        <v>0</v>
      </c>
      <c r="Z34" s="71">
        <f>IF(AND(Z28&gt;AB28,$AK8&gt;8,$AK7&gt;3,ISNUMBER(Z28),ISNUMBER(AB28)),1,0)</f>
        <v>0</v>
      </c>
      <c r="AA34" s="71"/>
      <c r="AB34" s="72">
        <f>IF(AND(AB28&gt;Z28,$AK8&gt;8,$AK7&gt;3,ISNUMBER(Z28),ISNUMBER(AB28)),1,0)</f>
        <v>0</v>
      </c>
      <c r="AC34" s="71">
        <f>IF(AND(AC28&gt;AE28,$AK8&gt;9,$AK7&gt;3,ISNUMBER(AC28),ISNUMBER(AE28)),1,0)</f>
        <v>0</v>
      </c>
      <c r="AD34" s="71"/>
      <c r="AE34" s="72">
        <f>IF(AND(AE28&gt;AC28,$AK8&gt;9,$AK7&gt;3,ISNUMBER(AC28),ISNUMBER(AE28)),1,0)</f>
        <v>0</v>
      </c>
      <c r="AW34" s="154"/>
    </row>
    <row r="35" spans="1:49" s="70" customFormat="1" ht="12.75" hidden="1" customHeight="1" x14ac:dyDescent="0.2">
      <c r="A35" s="70" t="s">
        <v>79</v>
      </c>
      <c r="B35" s="71">
        <f>IF(AND(B29&gt;D29,$AK8&gt;0,$AK7&gt;4,ISNUMBER(B29),ISNUMBER(D29)),1,0)</f>
        <v>0</v>
      </c>
      <c r="C35" s="71"/>
      <c r="D35" s="72">
        <f>IF(AND(D29&gt;B29,$AK8&gt;0,$AK7&gt;4,ISNUMBER(B29),ISNUMBER(D29)),1,0)</f>
        <v>0</v>
      </c>
      <c r="E35" s="71">
        <f>IF(AND(E29&gt;G29,$AK8&gt;1,$AK7&gt;4,ISNUMBER(E29),ISNUMBER(G29)),1,0)</f>
        <v>0</v>
      </c>
      <c r="F35" s="71"/>
      <c r="G35" s="72">
        <f>IF(AND(G29&gt;E29,$AK8&gt;1,$AK7&gt;4,ISNUMBER(E29),ISNUMBER(G29)),1,0)</f>
        <v>0</v>
      </c>
      <c r="H35" s="71">
        <f>IF(AND(H29&gt;J29,$AK8&gt;2,$AK7&gt;4,ISNUMBER(H29),ISNUMBER(J29)),1,0)</f>
        <v>0</v>
      </c>
      <c r="I35" s="71"/>
      <c r="J35" s="72">
        <f>IF(AND(J29&gt;H29,$AK8&gt;2,$AK7&gt;4,ISNUMBER(H29),ISNUMBER(J29)),1,0)</f>
        <v>0</v>
      </c>
      <c r="K35" s="71">
        <f>IF(AND(K29&gt;M29,$AK8&gt;3,$AK7&gt;4,ISNUMBER(K29),ISNUMBER(M29)),1,0)</f>
        <v>0</v>
      </c>
      <c r="L35" s="71"/>
      <c r="M35" s="72">
        <f>IF(AND(M29&gt;K29,$AK8&gt;3,$AK7&gt;4,ISNUMBER(K29),ISNUMBER(M29)),1,0)</f>
        <v>0</v>
      </c>
      <c r="N35" s="71">
        <f>IF(AND(N29&gt;P29,$AK8&gt;4,$AK7&gt;4,ISNUMBER(N29),ISNUMBER(P29)),1,0)</f>
        <v>0</v>
      </c>
      <c r="O35" s="71"/>
      <c r="P35" s="72">
        <f>IF(AND(P29&gt;N29,$AK8&gt;4,$AK7&gt;4,ISNUMBER(N29),ISNUMBER(P29)),1,0)</f>
        <v>0</v>
      </c>
      <c r="Q35" s="71">
        <f>IF(AND(Q29&gt;S29,$AK8&gt;5,$AK7&gt;4,ISNUMBER(Q29),ISNUMBER(S29)),1,0)</f>
        <v>0</v>
      </c>
      <c r="R35" s="71"/>
      <c r="S35" s="72">
        <f>IF(AND(S29&gt;Q29,$AK8&gt;5,$AK7&gt;4,ISNUMBER(Q29),ISNUMBER(S29)),1,0)</f>
        <v>0</v>
      </c>
      <c r="T35" s="71">
        <f>IF(AND(T29&gt;V29,$AK8&gt;6,$AK7&gt;4,ISNUMBER(T29),ISNUMBER(V29)),1,0)</f>
        <v>0</v>
      </c>
      <c r="U35" s="71"/>
      <c r="V35" s="72">
        <f>IF(AND(V29&gt;T29,$AK8&gt;6,$AK7&gt;4,ISNUMBER(T29),ISNUMBER(V29)),1,0)</f>
        <v>0</v>
      </c>
      <c r="W35" s="71">
        <f>IF(AND(W29&gt;Y29,$AK8&gt;7,$AK7&gt;4,ISNUMBER(W29),ISNUMBER(Y29)),1,0)</f>
        <v>0</v>
      </c>
      <c r="X35" s="71"/>
      <c r="Y35" s="72">
        <f>IF(AND(Y29&gt;W29,$AK8&gt;7,$AK7&gt;4,ISNUMBER(W29),ISNUMBER(Y29)),1,0)</f>
        <v>0</v>
      </c>
      <c r="Z35" s="71">
        <f>IF(AND(Z29&gt;AB29,$AK8&gt;8,$AK7&gt;4,ISNUMBER(Z29),ISNUMBER(AB29)),1,0)</f>
        <v>0</v>
      </c>
      <c r="AA35" s="71"/>
      <c r="AB35" s="72">
        <f>IF(AND(AB29&gt;Z29,$AK8&gt;8,$AK7&gt;4,ISNUMBER(Z29),ISNUMBER(AB29)),1,0)</f>
        <v>0</v>
      </c>
      <c r="AC35" s="71">
        <f>IF(AND(AC29&gt;AE29,$AK8&gt;9,$AK7&gt;4,ISNUMBER(AC29),ISNUMBER(AE29)),1,0)</f>
        <v>0</v>
      </c>
      <c r="AD35" s="71"/>
      <c r="AE35" s="72">
        <f>IF(AND(AE29&gt;AC29,$AK8&gt;9,$AK7&gt;4,ISNUMBER(AC29),ISNUMBER(AE29)),1,0)</f>
        <v>0</v>
      </c>
      <c r="AW35" s="154"/>
    </row>
    <row r="36" spans="1:49" s="70" customFormat="1" ht="38.25" hidden="1" customHeight="1" x14ac:dyDescent="0.2">
      <c r="A36" s="73" t="s">
        <v>80</v>
      </c>
      <c r="B36" s="70">
        <f>SUM(B31:B35)</f>
        <v>2</v>
      </c>
      <c r="D36" s="74">
        <f>SUM(D31:D35)</f>
        <v>0</v>
      </c>
      <c r="E36" s="70">
        <f>SUM(E31:E35)</f>
        <v>1</v>
      </c>
      <c r="G36" s="74">
        <f>SUM(G31:G35)</f>
        <v>1</v>
      </c>
      <c r="H36" s="70">
        <f>SUM(H31:H35)</f>
        <v>2</v>
      </c>
      <c r="J36" s="74">
        <f>SUM(J31:J35)</f>
        <v>0</v>
      </c>
      <c r="K36" s="70">
        <f>SUM(K31:K35)</f>
        <v>2</v>
      </c>
      <c r="M36" s="74">
        <f>SUM(M31:M35)</f>
        <v>0</v>
      </c>
      <c r="N36" s="70">
        <f>SUM(N31:N35)</f>
        <v>2</v>
      </c>
      <c r="P36" s="74">
        <f>SUM(P31:P35)</f>
        <v>0</v>
      </c>
      <c r="Q36" s="70">
        <f>SUM(Q31:Q35)</f>
        <v>1</v>
      </c>
      <c r="S36" s="74">
        <f>SUM(S31:S35)</f>
        <v>1</v>
      </c>
      <c r="T36" s="70">
        <f>SUM(T31:T35)</f>
        <v>2</v>
      </c>
      <c r="V36" s="74">
        <f>SUM(V31:V35)</f>
        <v>0</v>
      </c>
      <c r="W36" s="70">
        <f>SUM(W31:W35)</f>
        <v>2</v>
      </c>
      <c r="Y36" s="74">
        <f>SUM(Y31:Y35)</f>
        <v>0</v>
      </c>
      <c r="Z36" s="70">
        <f>SUM(Z31:Z35)</f>
        <v>2</v>
      </c>
      <c r="AB36" s="74">
        <f>SUM(AB31:AB35)</f>
        <v>0</v>
      </c>
      <c r="AC36" s="70">
        <f>SUM(AC31:AC35)</f>
        <v>1</v>
      </c>
      <c r="AE36" s="74">
        <f>SUM(AE31:AE35)</f>
        <v>1</v>
      </c>
      <c r="AW36" s="154"/>
    </row>
    <row r="37" spans="1:49" s="70" customFormat="1" ht="25.5" hidden="1" customHeight="1" x14ac:dyDescent="0.2">
      <c r="A37" s="73" t="s">
        <v>81</v>
      </c>
      <c r="B37" s="70">
        <f>IF(B36&gt;D36,IF(C71=AK7,1,IF(C71=AK7-1,1,0)),0)</f>
        <v>1</v>
      </c>
      <c r="C37" s="70">
        <f>B37+D37</f>
        <v>1</v>
      </c>
      <c r="D37" s="74">
        <f>IF(D36&gt;B36,IF(C71=AK7,1,IF(C71=AK7-1,1,0)),0)</f>
        <v>0</v>
      </c>
      <c r="E37" s="70">
        <f>IF(E36&gt;G36,IF(F71=AK7,1,IF(F71=AK7-1,1,0)),0)</f>
        <v>0</v>
      </c>
      <c r="F37" s="70">
        <f>E37+G37</f>
        <v>0</v>
      </c>
      <c r="G37" s="74">
        <f>IF(G36&gt;E36,IF(F71=AK7,1,IF(F71=AK7-1,1,0)),0)</f>
        <v>0</v>
      </c>
      <c r="H37" s="70">
        <f>IF(H36&gt;J36,IF(I71=AK7,1,IF(I71=AK7-1,1,0)),0)</f>
        <v>1</v>
      </c>
      <c r="I37" s="70">
        <f>H37+J37</f>
        <v>1</v>
      </c>
      <c r="J37" s="74">
        <f>IF(J36&gt;H36,IF(I71=AK7,1,IF(I71=AK7-1,1,0)),0)</f>
        <v>0</v>
      </c>
      <c r="K37" s="70">
        <f>IF(K36&gt;M36,IF(L71=AK7,1,IF(L71=AK7-1,1,0)),0)</f>
        <v>1</v>
      </c>
      <c r="L37" s="70">
        <f>K37+M37</f>
        <v>1</v>
      </c>
      <c r="M37" s="74">
        <f>IF(M36&gt;K36,IF(L71=AK7,1,IF(L71=AK7-1,1,0)),0)</f>
        <v>0</v>
      </c>
      <c r="N37" s="70">
        <f>IF(N36&gt;P36,IF(O71=AK7,1,IF(O71=AK7-1,1,0)),0)</f>
        <v>1</v>
      </c>
      <c r="O37" s="70">
        <f>N37+P37</f>
        <v>1</v>
      </c>
      <c r="P37" s="74">
        <f>IF(P36&gt;N36,IF(O71=AK7,1,IF(O71=AK7-1,1,0)),0)</f>
        <v>0</v>
      </c>
      <c r="Q37" s="70">
        <f>IF(Q36&gt;S36,IF(R71=AK7,1,IF(R71=AK7-1,1,0)),0)</f>
        <v>0</v>
      </c>
      <c r="R37" s="70">
        <f>Q37+S37</f>
        <v>0</v>
      </c>
      <c r="S37" s="74">
        <f>IF(S36&gt;Q36,IF(R71=AK7,1,IF(R71=AK7-1,1,0)),0)</f>
        <v>0</v>
      </c>
      <c r="T37" s="70">
        <f>IF(T36&gt;V36,IF(U71=AK7,1,IF(U71=AK7-1,1,0)),0)</f>
        <v>1</v>
      </c>
      <c r="U37" s="70">
        <f>T37+V37</f>
        <v>1</v>
      </c>
      <c r="V37" s="74">
        <f>IF(V36&gt;T36,IF(U71=AK7,1,IF(U71=AK7-1,1,0)),0)</f>
        <v>0</v>
      </c>
      <c r="W37" s="70">
        <f>IF(W36&gt;Y36,IF(X71=AK7,1,IF(X71=AK7-1,1,0)),0)</f>
        <v>1</v>
      </c>
      <c r="X37" s="70">
        <f>W37+Y37</f>
        <v>1</v>
      </c>
      <c r="Y37" s="74">
        <f>IF(Y36&gt;W36,IF(X71=AK7,1,IF(X71=AK7-1,1,0)),0)</f>
        <v>0</v>
      </c>
      <c r="Z37" s="70">
        <f>IF(Z36&gt;AB36,IF(AA71=AK7,1,IF(AA71=AK7-1,1,0)),0)</f>
        <v>1</v>
      </c>
      <c r="AA37" s="70">
        <f>Z37+AB37</f>
        <v>1</v>
      </c>
      <c r="AB37" s="74">
        <f>IF(AB36&gt;Z36,IF(AA71=AK7,1,IF(AA71=AK7-1,1,0)),0)</f>
        <v>0</v>
      </c>
      <c r="AC37" s="70">
        <f>IF(AC36&gt;AE36,IF(AD71=AK7,1,IF(AD71=AK7-1,1,0)),0)</f>
        <v>0</v>
      </c>
      <c r="AD37" s="70">
        <f>AC37+AE37</f>
        <v>0</v>
      </c>
      <c r="AE37" s="74">
        <f>IF(AE36&gt;AC36,IF(AD71=AK7,1,IF(AD71=AK7-1,1,0)),0)</f>
        <v>0</v>
      </c>
      <c r="AW37" s="154"/>
    </row>
    <row r="38" spans="1:49" s="70" customFormat="1" ht="25.5" hidden="1" customHeight="1" x14ac:dyDescent="0.2">
      <c r="A38" s="73"/>
      <c r="D38" s="74"/>
      <c r="G38" s="74"/>
      <c r="J38" s="74"/>
      <c r="M38" s="74"/>
      <c r="P38" s="74"/>
      <c r="S38" s="74"/>
      <c r="V38" s="74"/>
      <c r="Y38" s="74"/>
      <c r="AB38" s="74"/>
      <c r="AE38" s="74"/>
      <c r="AW38" s="154"/>
    </row>
    <row r="39" spans="1:49" s="70" customFormat="1" ht="12.75" hidden="1" customHeight="1" x14ac:dyDescent="0.2">
      <c r="A39" s="70" t="s">
        <v>82</v>
      </c>
      <c r="B39" s="70">
        <f>IF(B31=1,B25,0)</f>
        <v>25</v>
      </c>
      <c r="D39" s="74">
        <f t="shared" ref="D39:E43" si="2">IF(D31=1,D25,0)</f>
        <v>0</v>
      </c>
      <c r="E39" s="70">
        <f t="shared" si="2"/>
        <v>25</v>
      </c>
      <c r="G39" s="74">
        <f t="shared" ref="G39:H43" si="3">IF(G31=1,G25,0)</f>
        <v>0</v>
      </c>
      <c r="H39" s="70">
        <f t="shared" si="3"/>
        <v>25</v>
      </c>
      <c r="J39" s="74">
        <f t="shared" ref="J39:K43" si="4">IF(J31=1,J25,0)</f>
        <v>0</v>
      </c>
      <c r="K39" s="70">
        <f t="shared" si="4"/>
        <v>25</v>
      </c>
      <c r="M39" s="74">
        <f t="shared" ref="M39:N43" si="5">IF(M31=1,M25,0)</f>
        <v>0</v>
      </c>
      <c r="N39" s="70">
        <f t="shared" si="5"/>
        <v>25</v>
      </c>
      <c r="P39" s="74">
        <f t="shared" ref="P39:Q43" si="6">IF(P31=1,P25,0)</f>
        <v>0</v>
      </c>
      <c r="Q39" s="70">
        <f t="shared" si="6"/>
        <v>25</v>
      </c>
      <c r="S39" s="74">
        <f t="shared" ref="S39:T43" si="7">IF(S31=1,S25,0)</f>
        <v>0</v>
      </c>
      <c r="T39" s="70">
        <f t="shared" si="7"/>
        <v>26</v>
      </c>
      <c r="V39" s="74">
        <f t="shared" ref="V39:W43" si="8">IF(V31=1,V25,0)</f>
        <v>0</v>
      </c>
      <c r="W39" s="70">
        <f t="shared" si="8"/>
        <v>25</v>
      </c>
      <c r="Y39" s="74">
        <f t="shared" ref="Y39:Z43" si="9">IF(Y31=1,Y25,0)</f>
        <v>0</v>
      </c>
      <c r="Z39" s="70">
        <f t="shared" si="9"/>
        <v>26</v>
      </c>
      <c r="AB39" s="74">
        <f t="shared" ref="AB39:AC43" si="10">IF(AB31=1,AB25,0)</f>
        <v>0</v>
      </c>
      <c r="AC39" s="70">
        <f t="shared" si="10"/>
        <v>0</v>
      </c>
      <c r="AE39" s="74">
        <f>IF(AE31=1,AE25,0)</f>
        <v>25</v>
      </c>
      <c r="AW39" s="154"/>
    </row>
    <row r="40" spans="1:49" s="70" customFormat="1" ht="12.75" hidden="1" customHeight="1" x14ac:dyDescent="0.2">
      <c r="A40" s="70" t="s">
        <v>83</v>
      </c>
      <c r="B40" s="70">
        <f>IF(B32=1,B26,0)</f>
        <v>25</v>
      </c>
      <c r="D40" s="74">
        <f t="shared" si="2"/>
        <v>0</v>
      </c>
      <c r="E40" s="70">
        <f t="shared" si="2"/>
        <v>0</v>
      </c>
      <c r="G40" s="74">
        <f t="shared" si="3"/>
        <v>25</v>
      </c>
      <c r="H40" s="70">
        <f t="shared" si="3"/>
        <v>25</v>
      </c>
      <c r="J40" s="74">
        <f t="shared" si="4"/>
        <v>0</v>
      </c>
      <c r="K40" s="70">
        <f t="shared" si="4"/>
        <v>25</v>
      </c>
      <c r="M40" s="74">
        <f t="shared" si="5"/>
        <v>0</v>
      </c>
      <c r="N40" s="70">
        <f t="shared" si="5"/>
        <v>25</v>
      </c>
      <c r="P40" s="74">
        <f t="shared" si="6"/>
        <v>0</v>
      </c>
      <c r="Q40" s="70">
        <f t="shared" si="6"/>
        <v>0</v>
      </c>
      <c r="S40" s="74">
        <f t="shared" si="7"/>
        <v>25</v>
      </c>
      <c r="T40" s="70">
        <f t="shared" si="7"/>
        <v>25</v>
      </c>
      <c r="V40" s="74">
        <f t="shared" si="8"/>
        <v>0</v>
      </c>
      <c r="W40" s="70">
        <f t="shared" si="8"/>
        <v>25</v>
      </c>
      <c r="Y40" s="74">
        <f t="shared" si="9"/>
        <v>0</v>
      </c>
      <c r="Z40" s="70">
        <f t="shared" si="9"/>
        <v>25</v>
      </c>
      <c r="AB40" s="74">
        <f t="shared" si="10"/>
        <v>0</v>
      </c>
      <c r="AC40" s="70">
        <f t="shared" si="10"/>
        <v>27</v>
      </c>
      <c r="AE40" s="74">
        <f>IF(AE32=1,AE26,0)</f>
        <v>0</v>
      </c>
      <c r="AW40" s="154"/>
    </row>
    <row r="41" spans="1:49" s="70" customFormat="1" ht="12.75" hidden="1" customHeight="1" x14ac:dyDescent="0.2">
      <c r="A41" s="70" t="s">
        <v>84</v>
      </c>
      <c r="B41" s="70">
        <f>IF(B33=1,B27,0)</f>
        <v>0</v>
      </c>
      <c r="D41" s="74">
        <f t="shared" si="2"/>
        <v>0</v>
      </c>
      <c r="E41" s="70">
        <f t="shared" si="2"/>
        <v>0</v>
      </c>
      <c r="G41" s="74">
        <f t="shared" si="3"/>
        <v>0</v>
      </c>
      <c r="H41" s="70">
        <f t="shared" si="3"/>
        <v>0</v>
      </c>
      <c r="J41" s="74">
        <f t="shared" si="4"/>
        <v>0</v>
      </c>
      <c r="K41" s="70">
        <f t="shared" si="4"/>
        <v>0</v>
      </c>
      <c r="M41" s="74">
        <f t="shared" si="5"/>
        <v>0</v>
      </c>
      <c r="N41" s="70">
        <f t="shared" si="5"/>
        <v>0</v>
      </c>
      <c r="P41" s="74">
        <f t="shared" si="6"/>
        <v>0</v>
      </c>
      <c r="Q41" s="70">
        <f t="shared" si="6"/>
        <v>0</v>
      </c>
      <c r="S41" s="74">
        <f t="shared" si="7"/>
        <v>0</v>
      </c>
      <c r="T41" s="70">
        <f t="shared" si="7"/>
        <v>0</v>
      </c>
      <c r="V41" s="74">
        <f t="shared" si="8"/>
        <v>0</v>
      </c>
      <c r="W41" s="70">
        <f t="shared" si="8"/>
        <v>0</v>
      </c>
      <c r="Y41" s="74">
        <f t="shared" si="9"/>
        <v>0</v>
      </c>
      <c r="Z41" s="70">
        <f t="shared" si="9"/>
        <v>0</v>
      </c>
      <c r="AB41" s="74">
        <f t="shared" si="10"/>
        <v>0</v>
      </c>
      <c r="AC41" s="70">
        <f t="shared" si="10"/>
        <v>0</v>
      </c>
      <c r="AE41" s="74">
        <f>IF(AE33=1,AE27,0)</f>
        <v>0</v>
      </c>
      <c r="AW41" s="154"/>
    </row>
    <row r="42" spans="1:49" s="70" customFormat="1" ht="12.75" hidden="1" customHeight="1" x14ac:dyDescent="0.2">
      <c r="A42" s="70" t="s">
        <v>85</v>
      </c>
      <c r="B42" s="70">
        <f>IF(B34=1,B28,0)</f>
        <v>0</v>
      </c>
      <c r="D42" s="74">
        <f t="shared" si="2"/>
        <v>0</v>
      </c>
      <c r="E42" s="70">
        <f t="shared" si="2"/>
        <v>0</v>
      </c>
      <c r="G42" s="74">
        <f t="shared" si="3"/>
        <v>0</v>
      </c>
      <c r="H42" s="70">
        <f t="shared" si="3"/>
        <v>0</v>
      </c>
      <c r="J42" s="74">
        <f t="shared" si="4"/>
        <v>0</v>
      </c>
      <c r="K42" s="70">
        <f t="shared" si="4"/>
        <v>0</v>
      </c>
      <c r="M42" s="74">
        <f t="shared" si="5"/>
        <v>0</v>
      </c>
      <c r="N42" s="70">
        <f t="shared" si="5"/>
        <v>0</v>
      </c>
      <c r="P42" s="74">
        <f t="shared" si="6"/>
        <v>0</v>
      </c>
      <c r="Q42" s="70">
        <f t="shared" si="6"/>
        <v>0</v>
      </c>
      <c r="S42" s="74">
        <f t="shared" si="7"/>
        <v>0</v>
      </c>
      <c r="T42" s="70">
        <f t="shared" si="7"/>
        <v>0</v>
      </c>
      <c r="V42" s="74">
        <f t="shared" si="8"/>
        <v>0</v>
      </c>
      <c r="W42" s="70">
        <f t="shared" si="8"/>
        <v>0</v>
      </c>
      <c r="Y42" s="74">
        <f t="shared" si="9"/>
        <v>0</v>
      </c>
      <c r="Z42" s="70">
        <f t="shared" si="9"/>
        <v>0</v>
      </c>
      <c r="AB42" s="74">
        <f t="shared" si="10"/>
        <v>0</v>
      </c>
      <c r="AC42" s="70">
        <f t="shared" si="10"/>
        <v>0</v>
      </c>
      <c r="AE42" s="74">
        <f>IF(AE34=1,AE28,0)</f>
        <v>0</v>
      </c>
      <c r="AW42" s="154"/>
    </row>
    <row r="43" spans="1:49" s="70" customFormat="1" ht="12.75" hidden="1" customHeight="1" x14ac:dyDescent="0.2">
      <c r="A43" s="70" t="s">
        <v>86</v>
      </c>
      <c r="B43" s="70">
        <f>IF(B35=1,B29,0)</f>
        <v>0</v>
      </c>
      <c r="D43" s="74">
        <f t="shared" si="2"/>
        <v>0</v>
      </c>
      <c r="E43" s="70">
        <f t="shared" si="2"/>
        <v>0</v>
      </c>
      <c r="G43" s="74">
        <f t="shared" si="3"/>
        <v>0</v>
      </c>
      <c r="H43" s="70">
        <f t="shared" si="3"/>
        <v>0</v>
      </c>
      <c r="J43" s="74">
        <f t="shared" si="4"/>
        <v>0</v>
      </c>
      <c r="K43" s="70">
        <f t="shared" si="4"/>
        <v>0</v>
      </c>
      <c r="M43" s="74">
        <f t="shared" si="5"/>
        <v>0</v>
      </c>
      <c r="N43" s="70">
        <f t="shared" si="5"/>
        <v>0</v>
      </c>
      <c r="P43" s="74">
        <f t="shared" si="6"/>
        <v>0</v>
      </c>
      <c r="Q43" s="70">
        <f t="shared" si="6"/>
        <v>0</v>
      </c>
      <c r="S43" s="74">
        <f t="shared" si="7"/>
        <v>0</v>
      </c>
      <c r="T43" s="70">
        <f t="shared" si="7"/>
        <v>0</v>
      </c>
      <c r="V43" s="74">
        <f t="shared" si="8"/>
        <v>0</v>
      </c>
      <c r="W43" s="70">
        <f t="shared" si="8"/>
        <v>0</v>
      </c>
      <c r="Y43" s="74">
        <f t="shared" si="9"/>
        <v>0</v>
      </c>
      <c r="Z43" s="70">
        <f t="shared" si="9"/>
        <v>0</v>
      </c>
      <c r="AB43" s="74">
        <f t="shared" si="10"/>
        <v>0</v>
      </c>
      <c r="AC43" s="70">
        <f t="shared" si="10"/>
        <v>0</v>
      </c>
      <c r="AE43" s="74">
        <f>IF(AE35=1,AE29,0)</f>
        <v>0</v>
      </c>
      <c r="AW43" s="154"/>
    </row>
    <row r="44" spans="1:49" s="70" customFormat="1" ht="38.25" hidden="1" customHeight="1" x14ac:dyDescent="0.2">
      <c r="A44" s="73" t="s">
        <v>87</v>
      </c>
      <c r="B44" s="70">
        <f>SUM(B39:D43)</f>
        <v>50</v>
      </c>
      <c r="D44" s="74"/>
      <c r="E44" s="70">
        <f>SUM(E39:G43)</f>
        <v>50</v>
      </c>
      <c r="G44" s="74"/>
      <c r="H44" s="70">
        <f>SUM(H39:J43)</f>
        <v>50</v>
      </c>
      <c r="J44" s="74"/>
      <c r="K44" s="70">
        <f>SUM(K39:M43)</f>
        <v>50</v>
      </c>
      <c r="M44" s="74"/>
      <c r="N44" s="70">
        <f>SUM(N39:P43)</f>
        <v>50</v>
      </c>
      <c r="P44" s="74"/>
      <c r="Q44" s="70">
        <f>SUM(Q39:S43)</f>
        <v>50</v>
      </c>
      <c r="S44" s="74"/>
      <c r="T44" s="70">
        <f>SUM(T39:V43)</f>
        <v>51</v>
      </c>
      <c r="V44" s="74"/>
      <c r="W44" s="70">
        <f>SUM(W39:Y43)</f>
        <v>50</v>
      </c>
      <c r="Y44" s="74"/>
      <c r="Z44" s="70">
        <f>SUM(Z39:AB43)</f>
        <v>51</v>
      </c>
      <c r="AB44" s="74"/>
      <c r="AC44" s="70">
        <f>SUM(AC39:AE43)</f>
        <v>52</v>
      </c>
      <c r="AE44" s="74"/>
      <c r="AW44" s="154"/>
    </row>
    <row r="45" spans="1:49" s="70" customFormat="1" ht="38.25" hidden="1" customHeight="1" x14ac:dyDescent="0.2">
      <c r="A45" s="70" t="s">
        <v>88</v>
      </c>
      <c r="D45" s="74"/>
      <c r="G45" s="74"/>
      <c r="J45" s="74"/>
      <c r="M45" s="74"/>
      <c r="P45" s="74"/>
      <c r="S45" s="74"/>
      <c r="V45" s="74"/>
      <c r="Y45" s="74"/>
      <c r="AB45" s="74"/>
      <c r="AE45" s="74"/>
      <c r="AF45" s="73" t="s">
        <v>89</v>
      </c>
      <c r="AG45" s="70" t="s">
        <v>90</v>
      </c>
      <c r="AW45" s="154"/>
    </row>
    <row r="46" spans="1:49" s="70" customFormat="1" ht="12.75" hidden="1" customHeight="1" x14ac:dyDescent="0.2">
      <c r="A46" s="70" t="s">
        <v>91</v>
      </c>
      <c r="B46" s="70">
        <f>IF(B24=1,IF(B37=1,1,0),0)</f>
        <v>0</v>
      </c>
      <c r="D46" s="74">
        <f>IF(D24=1,IF(D37=1,1,0),0)</f>
        <v>0</v>
      </c>
      <c r="E46" s="70">
        <f>IF(E24=1,IF(E37=1,1,0),0)</f>
        <v>0</v>
      </c>
      <c r="G46" s="74">
        <f>IF(G24=1,IF(G37=1,1,0),0)</f>
        <v>0</v>
      </c>
      <c r="H46" s="70">
        <f>IF(H24=1,IF(H37=1,1,0),0)</f>
        <v>0</v>
      </c>
      <c r="J46" s="74">
        <f>IF(J24=1,IF(J37=1,1,0),0)</f>
        <v>0</v>
      </c>
      <c r="K46" s="70">
        <f>IF(K24=1,IF(K37=1,1,0),0)</f>
        <v>0</v>
      </c>
      <c r="M46" s="74">
        <f>IF(M24=1,IF(M37=1,1,0),0)</f>
        <v>0</v>
      </c>
      <c r="N46" s="70">
        <f>IF(N24=1,IF(N37=1,1,0),0)</f>
        <v>1</v>
      </c>
      <c r="P46" s="74">
        <f>IF(P24=1,IF(P37=1,1,0),0)</f>
        <v>0</v>
      </c>
      <c r="Q46" s="70">
        <f>IF(Q24=1,IF(Q37=1,1,0),0)</f>
        <v>0</v>
      </c>
      <c r="S46" s="74">
        <f>IF(S24=1,IF(S37=1,1,0),0)</f>
        <v>0</v>
      </c>
      <c r="T46" s="70">
        <f>IF(T24=1,IF(T37=1,1,0),0)</f>
        <v>0</v>
      </c>
      <c r="V46" s="74">
        <f>IF(V24=1,IF(V37=1,1,0),0)</f>
        <v>0</v>
      </c>
      <c r="W46" s="70">
        <f>IF(W24=1,IF(W37=1,1,0),0)</f>
        <v>1</v>
      </c>
      <c r="Y46" s="74">
        <f>IF(Y24=1,IF(Y37=1,1,0),0)</f>
        <v>0</v>
      </c>
      <c r="Z46" s="70">
        <f>IF(Z24=1,IF(Z37=1,1,0),0)</f>
        <v>0</v>
      </c>
      <c r="AB46" s="74">
        <f>IF(AB24=1,IF(AB37=1,1,0),0)</f>
        <v>0</v>
      </c>
      <c r="AC46" s="70">
        <f>IF(AC24=1,IF(AC37=1,1,0),0)</f>
        <v>0</v>
      </c>
      <c r="AE46" s="74">
        <f>IF(AE24=1,IF(AE37=1,1,0),0)</f>
        <v>0</v>
      </c>
      <c r="AF46" s="70">
        <f>SUM(B46:AE46)</f>
        <v>2</v>
      </c>
      <c r="AG46" s="70">
        <f>AF52-AF46</f>
        <v>0</v>
      </c>
      <c r="AW46" s="154"/>
    </row>
    <row r="47" spans="1:49" s="70" customFormat="1" ht="12.75" hidden="1" customHeight="1" x14ac:dyDescent="0.2">
      <c r="A47" s="70" t="s">
        <v>92</v>
      </c>
      <c r="B47" s="70">
        <f>IF(B24=2,IF(B37=1,1,0),0)</f>
        <v>1</v>
      </c>
      <c r="D47" s="74">
        <f>IF(D24=2,IF(D37=1,1,0),0)</f>
        <v>0</v>
      </c>
      <c r="E47" s="70">
        <f>IF(E24=2,IF(E37=1,1,0),0)</f>
        <v>0</v>
      </c>
      <c r="G47" s="74">
        <f>IF(G24=2,IF(G37=1,1,0),0)</f>
        <v>0</v>
      </c>
      <c r="H47" s="70">
        <f>IF(H24=2,IF(H37=1,1,0),0)</f>
        <v>0</v>
      </c>
      <c r="J47" s="74">
        <f>IF(J24=2,IF(J37=1,1,0),0)</f>
        <v>0</v>
      </c>
      <c r="K47" s="70">
        <f>IF(K24=2,IF(K37=1,1,0),0)</f>
        <v>1</v>
      </c>
      <c r="M47" s="74">
        <f>IF(M24=2,IF(M37=1,1,0),0)</f>
        <v>0</v>
      </c>
      <c r="N47" s="70">
        <f>IF(N24=2,IF(N37=1,1,0),0)</f>
        <v>0</v>
      </c>
      <c r="P47" s="74">
        <f>IF(P24=2,IF(P37=1,1,0),0)</f>
        <v>0</v>
      </c>
      <c r="Q47" s="70">
        <f>IF(Q24=2,IF(Q37=1,1,0),0)</f>
        <v>0</v>
      </c>
      <c r="S47" s="74">
        <f>IF(S24=2,IF(S37=1,1,0),0)</f>
        <v>0</v>
      </c>
      <c r="T47" s="70">
        <f>IF(T24=2,IF(T37=1,1,0),0)</f>
        <v>1</v>
      </c>
      <c r="V47" s="74">
        <f>IF(V24=2,IF(V37=1,1,0),0)</f>
        <v>0</v>
      </c>
      <c r="W47" s="70">
        <f>IF(W24=2,IF(W37=1,1,0),0)</f>
        <v>0</v>
      </c>
      <c r="Y47" s="74">
        <f>IF(Y24=2,IF(Y37=1,1,0),0)</f>
        <v>0</v>
      </c>
      <c r="Z47" s="70">
        <f>IF(Z24=2,IF(Z37=1,1,0),0)</f>
        <v>0</v>
      </c>
      <c r="AB47" s="74">
        <f>IF(AB24=2,IF(AB37=1,1,0),0)</f>
        <v>0</v>
      </c>
      <c r="AC47" s="70">
        <f>IF(AC24=2,IF(AC37=1,1,0),0)</f>
        <v>0</v>
      </c>
      <c r="AE47" s="74">
        <f>IF(AE24=2,IF(AE37=1,1,0),0)</f>
        <v>0</v>
      </c>
      <c r="AF47" s="70">
        <f>SUM(B47:AE47)</f>
        <v>3</v>
      </c>
      <c r="AG47" s="70">
        <f>AF53-AF47</f>
        <v>0</v>
      </c>
      <c r="AW47" s="154"/>
    </row>
    <row r="48" spans="1:49" s="70" customFormat="1" ht="12.75" hidden="1" customHeight="1" x14ac:dyDescent="0.2">
      <c r="A48" s="70" t="s">
        <v>93</v>
      </c>
      <c r="B48" s="70">
        <f>IF(B24=3,IF(B37=1,1,0),0)</f>
        <v>0</v>
      </c>
      <c r="D48" s="74">
        <f>IF(D24=3,IF(D37=1,1,0),0)</f>
        <v>0</v>
      </c>
      <c r="E48" s="70">
        <f>IF(E24=3,IF(E37=1,1,0),0)</f>
        <v>0</v>
      </c>
      <c r="G48" s="74">
        <f>IF(G24=3,IF(G37=1,1,0),0)</f>
        <v>0</v>
      </c>
      <c r="H48" s="70">
        <f>IF(H24=3,IF(H37=1,1,0),0)</f>
        <v>1</v>
      </c>
      <c r="J48" s="74">
        <f>IF(J24=3,IF(J37=1,1,0),0)</f>
        <v>0</v>
      </c>
      <c r="K48" s="70">
        <f>IF(K24=3,IF(K37=1,1,0),0)</f>
        <v>0</v>
      </c>
      <c r="M48" s="74">
        <f>IF(M24=3,IF(M37=1,1,0),0)</f>
        <v>0</v>
      </c>
      <c r="N48" s="70">
        <f>IF(N24=3,IF(N37=1,1,0),0)</f>
        <v>0</v>
      </c>
      <c r="P48" s="74">
        <f>IF(P24=3,IF(P37=1,1,0),0)</f>
        <v>0</v>
      </c>
      <c r="Q48" s="70">
        <f>IF(Q24=3,IF(Q37=1,1,0),0)</f>
        <v>0</v>
      </c>
      <c r="S48" s="74">
        <f>IF(S24=3,IF(S37=1,1,0),0)</f>
        <v>0</v>
      </c>
      <c r="T48" s="70">
        <f>IF(T24=3,IF(T37=1,1,0),0)</f>
        <v>0</v>
      </c>
      <c r="V48" s="74">
        <f>IF(V24=3,IF(V37=1,1,0),0)</f>
        <v>0</v>
      </c>
      <c r="W48" s="70">
        <f>IF(W24=3,IF(W37=1,1,0),0)</f>
        <v>0</v>
      </c>
      <c r="Y48" s="74">
        <f>IF(Y24=3,IF(Y37=1,1,0),0)</f>
        <v>0</v>
      </c>
      <c r="Z48" s="70">
        <f>IF(Z24=3,IF(Z37=1,1,0),0)</f>
        <v>1</v>
      </c>
      <c r="AB48" s="74">
        <f>IF(AB24=3,IF(AB37=1,1,0),0)</f>
        <v>0</v>
      </c>
      <c r="AC48" s="70">
        <f>IF(AC24=3,IF(AC37=1,1,0),0)</f>
        <v>0</v>
      </c>
      <c r="AE48" s="74">
        <f>IF(AE24=3,IF(AE37=1,1,0),0)</f>
        <v>0</v>
      </c>
      <c r="AF48" s="70">
        <f>SUM(B48:AE48)</f>
        <v>2</v>
      </c>
      <c r="AG48" s="70">
        <f>AF54-AF48</f>
        <v>2</v>
      </c>
      <c r="AW48" s="154"/>
    </row>
    <row r="49" spans="1:49" s="70" customFormat="1" ht="12.75" hidden="1" customHeight="1" x14ac:dyDescent="0.2">
      <c r="A49" s="70" t="s">
        <v>94</v>
      </c>
      <c r="B49" s="70">
        <f>IF(B24=4,IF(B37=1,1,0),0)</f>
        <v>0</v>
      </c>
      <c r="D49" s="74">
        <f>IF(D24=4,IF(D37=1,1,0),0)</f>
        <v>0</v>
      </c>
      <c r="E49" s="70">
        <f>IF(E24=4,IF(E37=1,1,0),0)</f>
        <v>0</v>
      </c>
      <c r="G49" s="74">
        <f>IF(G24=4,IF(G37=1,1,0),0)</f>
        <v>0</v>
      </c>
      <c r="H49" s="70">
        <f>IF(H24=4,IF(H37=1,1,0),0)</f>
        <v>0</v>
      </c>
      <c r="J49" s="74">
        <f>IF(J24=4,IF(J37=1,1,0),0)</f>
        <v>0</v>
      </c>
      <c r="K49" s="70">
        <f>IF(K24=4,IF(K37=1,1,0),0)</f>
        <v>0</v>
      </c>
      <c r="M49" s="74">
        <f>IF(M24=4,IF(M37=1,1,0),0)</f>
        <v>0</v>
      </c>
      <c r="N49" s="70">
        <f>IF(N24=4,IF(N37=1,1,0),0)</f>
        <v>0</v>
      </c>
      <c r="P49" s="74">
        <f>IF(P24=4,IF(P37=1,1,0),0)</f>
        <v>0</v>
      </c>
      <c r="Q49" s="70">
        <f>IF(Q24=4,IF(Q37=1,1,0),0)</f>
        <v>0</v>
      </c>
      <c r="S49" s="74">
        <f>IF(S24=4,IF(S37=1,1,0),0)</f>
        <v>0</v>
      </c>
      <c r="T49" s="70">
        <f>IF(T24=4,IF(T37=1,1,0),0)</f>
        <v>0</v>
      </c>
      <c r="V49" s="74">
        <f>IF(V24=4,IF(V37=1,1,0),0)</f>
        <v>0</v>
      </c>
      <c r="W49" s="70">
        <f>IF(W24=4,IF(W37=1,1,0),0)</f>
        <v>0</v>
      </c>
      <c r="Y49" s="74">
        <f>IF(Y24=4,IF(Y37=1,1,0),0)</f>
        <v>0</v>
      </c>
      <c r="Z49" s="70">
        <f>IF(Z24=4,IF(Z37=1,1,0),0)</f>
        <v>0</v>
      </c>
      <c r="AB49" s="74">
        <f>IF(AB24=4,IF(AB37=1,1,0),0)</f>
        <v>0</v>
      </c>
      <c r="AC49" s="70">
        <f>IF(AC24=4,IF(AC37=1,1,0),0)</f>
        <v>0</v>
      </c>
      <c r="AE49" s="74">
        <f>IF(AE24=4,IF(AE37=1,1,0),0)</f>
        <v>0</v>
      </c>
      <c r="AF49" s="70">
        <f>SUM(B49:AE49)</f>
        <v>0</v>
      </c>
      <c r="AG49" s="70">
        <f>AF55-AF49</f>
        <v>2</v>
      </c>
      <c r="AW49" s="154"/>
    </row>
    <row r="50" spans="1:49" s="70" customFormat="1" ht="12.75" hidden="1" customHeight="1" x14ac:dyDescent="0.2">
      <c r="A50" s="70" t="s">
        <v>95</v>
      </c>
      <c r="B50" s="70">
        <f>IF(B24=5,IF(B37=1,1,0),0)</f>
        <v>0</v>
      </c>
      <c r="D50" s="74">
        <f>IF(D24=5,IF(D37=1,1,0),0)</f>
        <v>0</v>
      </c>
      <c r="E50" s="70">
        <f>IF(E24=5,IF(E37=1,1,0),0)</f>
        <v>0</v>
      </c>
      <c r="G50" s="74">
        <f>IF(G24=5,IF(G37=1,1,0),0)</f>
        <v>0</v>
      </c>
      <c r="H50" s="70">
        <f>IF(H24=5,IF(H37=1,1,0),0)</f>
        <v>0</v>
      </c>
      <c r="J50" s="74">
        <f>IF(J24=5,IF(J37=1,1,0),0)</f>
        <v>0</v>
      </c>
      <c r="K50" s="70">
        <f>IF(K24=5,IF(K37=1,1,0),0)</f>
        <v>0</v>
      </c>
      <c r="M50" s="74">
        <f>IF(M24=5,IF(M37=1,1,0),0)</f>
        <v>0</v>
      </c>
      <c r="N50" s="70">
        <f>IF(N24=5,IF(N37=1,1,0),0)</f>
        <v>0</v>
      </c>
      <c r="P50" s="74">
        <f>IF(P24=5,IF(P37=1,1,0),0)</f>
        <v>0</v>
      </c>
      <c r="Q50" s="70">
        <f>IF(Q24=5,IF(Q37=1,1,0),0)</f>
        <v>0</v>
      </c>
      <c r="S50" s="74">
        <f>IF(S24=5,IF(S37=1,1,0),0)</f>
        <v>0</v>
      </c>
      <c r="T50" s="70">
        <f>IF(T24=5,IF(T37=1,1,0),0)</f>
        <v>0</v>
      </c>
      <c r="V50" s="74">
        <f>IF(V24=5,IF(V37=1,1,0),0)</f>
        <v>0</v>
      </c>
      <c r="W50" s="70">
        <f>IF(W24=5,IF(W37=1,1,0),0)</f>
        <v>0</v>
      </c>
      <c r="Y50" s="74">
        <f>IF(Y24=5,IF(Y37=1,1,0),0)</f>
        <v>0</v>
      </c>
      <c r="Z50" s="70">
        <f>IF(Z24=5,IF(Z37=1,1,0),0)</f>
        <v>0</v>
      </c>
      <c r="AB50" s="74">
        <f>IF(AB24=5,IF(AB37=1,1,0),0)</f>
        <v>0</v>
      </c>
      <c r="AC50" s="70">
        <f>IF(AC24=5,IF(AC37=1,1,0),0)</f>
        <v>0</v>
      </c>
      <c r="AE50" s="74">
        <f>IF(AE24=5,IF(AE37=1,1,0),0)</f>
        <v>0</v>
      </c>
      <c r="AF50" s="70">
        <f>SUM(B50:AE50)</f>
        <v>0</v>
      </c>
      <c r="AG50" s="70">
        <f>AF56-AF50</f>
        <v>3</v>
      </c>
      <c r="AW50" s="154"/>
    </row>
    <row r="51" spans="1:49" s="70" customFormat="1" ht="38.25" hidden="1" customHeight="1" x14ac:dyDescent="0.2">
      <c r="A51" s="73"/>
      <c r="D51" s="74"/>
      <c r="G51" s="74"/>
      <c r="J51" s="74"/>
      <c r="M51" s="74"/>
      <c r="P51" s="74"/>
      <c r="S51" s="74"/>
      <c r="V51" s="74"/>
      <c r="Y51" s="74"/>
      <c r="AB51" s="74"/>
      <c r="AE51" s="74"/>
      <c r="AF51" s="73" t="s">
        <v>96</v>
      </c>
      <c r="AW51" s="154"/>
    </row>
    <row r="52" spans="1:49" s="70" customFormat="1" ht="12.75" hidden="1" customHeight="1" x14ac:dyDescent="0.2">
      <c r="A52" s="70" t="s">
        <v>97</v>
      </c>
      <c r="B52" s="70">
        <f>IF(B24=1,IF(C37=1,1,0),0)</f>
        <v>0</v>
      </c>
      <c r="D52" s="74">
        <f>IF(D24=1,IF(C37=1,1,0),0)</f>
        <v>0</v>
      </c>
      <c r="E52" s="70">
        <f>IF(E24=1,IF(F37=1,1,0),0)</f>
        <v>0</v>
      </c>
      <c r="G52" s="74">
        <f>IF(G24=1,IF(F37=1,1,0),0)</f>
        <v>0</v>
      </c>
      <c r="H52" s="70">
        <f>IF(H24=1,IF(I37=1,1,0),0)</f>
        <v>0</v>
      </c>
      <c r="J52" s="74">
        <f>IF(J24=1,IF(I37=1,1,0),0)</f>
        <v>0</v>
      </c>
      <c r="K52" s="70">
        <f>IF(K24=1,IF(L37=1,1,0),0)</f>
        <v>0</v>
      </c>
      <c r="M52" s="74">
        <f>IF(M24=1,IF(L37=1,1,0),0)</f>
        <v>0</v>
      </c>
      <c r="N52" s="70">
        <f>IF(N24=1,IF(O37=1,1,0),0)</f>
        <v>1</v>
      </c>
      <c r="P52" s="74">
        <f>IF(P24=1,IF(O37=1,1,0),0)</f>
        <v>0</v>
      </c>
      <c r="Q52" s="70">
        <f>IF(Q24=1,IF(R37=1,1,0),0)</f>
        <v>0</v>
      </c>
      <c r="S52" s="74">
        <f>IF(S24=1,IF(R37=1,1,0),0)</f>
        <v>0</v>
      </c>
      <c r="T52" s="70">
        <f>IF(T24=1,IF(U37=1,1,0),0)</f>
        <v>0</v>
      </c>
      <c r="V52" s="74">
        <f>IF(V24=1,IF(U37=1,1,0),0)</f>
        <v>0</v>
      </c>
      <c r="W52" s="70">
        <f>IF(W24=1,IF(X37=1,1,0),0)</f>
        <v>1</v>
      </c>
      <c r="Y52" s="74">
        <f>IF(Y24=1,IF(X37=1,1,0),0)</f>
        <v>0</v>
      </c>
      <c r="Z52" s="70">
        <f>IF(Z24=1,IF(AA37=1,1,0),0)</f>
        <v>0</v>
      </c>
      <c r="AB52" s="74">
        <f>IF(AB24=1,IF(AA37=1,1,0),0)</f>
        <v>0</v>
      </c>
      <c r="AC52" s="70">
        <f>IF(AC24=1,IF(AD37=1,1,0),0)</f>
        <v>0</v>
      </c>
      <c r="AE52" s="74">
        <f>IF(AE24=1,IF(AD37=1,1,0),0)</f>
        <v>0</v>
      </c>
      <c r="AF52" s="70">
        <f>SUM(B52:AE52)</f>
        <v>2</v>
      </c>
      <c r="AW52" s="154"/>
    </row>
    <row r="53" spans="1:49" s="70" customFormat="1" ht="12.75" hidden="1" customHeight="1" x14ac:dyDescent="0.2">
      <c r="A53" s="70" t="s">
        <v>98</v>
      </c>
      <c r="B53" s="70">
        <f>IF(B24=2,IF(C37=1,1,0),0)</f>
        <v>1</v>
      </c>
      <c r="D53" s="74">
        <f>IF(D24=2,IF(C37=1,1,0),0)</f>
        <v>0</v>
      </c>
      <c r="E53" s="70">
        <f>IF(E24=2,IF(F37=1,1,0),0)</f>
        <v>0</v>
      </c>
      <c r="G53" s="74">
        <f>IF(G24=2,IF(F37=1,1,0),0)</f>
        <v>0</v>
      </c>
      <c r="H53" s="70">
        <f>IF(H24=2,IF(I37=1,1,0),0)</f>
        <v>0</v>
      </c>
      <c r="J53" s="74">
        <f>IF(J24=2,IF(I37=1,1,0),0)</f>
        <v>0</v>
      </c>
      <c r="K53" s="70">
        <f>IF(K24=2,IF(L37=1,1,0),0)</f>
        <v>1</v>
      </c>
      <c r="M53" s="74">
        <f>IF(M24=2,IF(L37=1,1,0),0)</f>
        <v>0</v>
      </c>
      <c r="N53" s="70">
        <f>IF(N24=2,IF(O37=1,1,0),0)</f>
        <v>0</v>
      </c>
      <c r="P53" s="74">
        <f>IF(P24=2,IF(O37=1,1,0),0)</f>
        <v>0</v>
      </c>
      <c r="Q53" s="70">
        <f>IF(Q24=2,IF(R37=1,1,0),0)</f>
        <v>0</v>
      </c>
      <c r="S53" s="74">
        <f>IF(S24=2,IF(R37=1,1,0),0)</f>
        <v>0</v>
      </c>
      <c r="T53" s="70">
        <f>IF(T24=2,IF(U37=1,1,0),0)</f>
        <v>1</v>
      </c>
      <c r="V53" s="74">
        <f>IF(V24=2,IF(U37=1,1,0),0)</f>
        <v>0</v>
      </c>
      <c r="W53" s="70">
        <f>IF(W24=2,IF(X37=1,1,0),0)</f>
        <v>0</v>
      </c>
      <c r="Y53" s="74">
        <f>IF(Y24=2,IF(X37=1,1,0),0)</f>
        <v>0</v>
      </c>
      <c r="Z53" s="70">
        <f>IF(Z24=2,IF(AA37=1,1,0),0)</f>
        <v>0</v>
      </c>
      <c r="AB53" s="74">
        <f>IF(AB24=2,IF(AA37=1,1,0),0)</f>
        <v>0</v>
      </c>
      <c r="AC53" s="70">
        <f>IF(AC24=2,IF(AD37=1,1,0),0)</f>
        <v>0</v>
      </c>
      <c r="AE53" s="74">
        <f>IF(AE24=2,IF(AD37=1,1,0),0)</f>
        <v>0</v>
      </c>
      <c r="AF53" s="70">
        <f>SUM(B53:AE53)</f>
        <v>3</v>
      </c>
      <c r="AW53" s="154"/>
    </row>
    <row r="54" spans="1:49" s="70" customFormat="1" ht="12.75" hidden="1" customHeight="1" x14ac:dyDescent="0.2">
      <c r="A54" s="70" t="s">
        <v>99</v>
      </c>
      <c r="B54" s="70">
        <f>IF(B24=3,IF(C37=1,1,0),0)</f>
        <v>0</v>
      </c>
      <c r="D54" s="74">
        <f>IF(D24=3,IF(C37=1,1,0),0)</f>
        <v>0</v>
      </c>
      <c r="E54" s="70">
        <f>IF(E24=3,IF(F37=1,1,0),0)</f>
        <v>0</v>
      </c>
      <c r="G54" s="74">
        <f>IF(G24=3,IF(F37=1,1,0),0)</f>
        <v>0</v>
      </c>
      <c r="H54" s="70">
        <f>IF(H24=3,IF(I37=1,1,0),0)</f>
        <v>1</v>
      </c>
      <c r="J54" s="74">
        <f>IF(J24=3,IF(I37=1,1,0),0)</f>
        <v>0</v>
      </c>
      <c r="K54" s="70">
        <f>IF(K24=3,IF(L37=1,1,0),0)</f>
        <v>0</v>
      </c>
      <c r="M54" s="74">
        <f>IF(M24=3,IF(L37=1,1,0),0)</f>
        <v>0</v>
      </c>
      <c r="N54" s="70">
        <f>IF(N24=3,IF(O37=1,1,0),0)</f>
        <v>0</v>
      </c>
      <c r="P54" s="74">
        <f>IF(P24=3,IF(O37=1,1,0),0)</f>
        <v>1</v>
      </c>
      <c r="Q54" s="70">
        <f>IF(Q24=3,IF(R37=1,1,0),0)</f>
        <v>0</v>
      </c>
      <c r="S54" s="74">
        <f>IF(S24=3,IF(R37=1,1,0),0)</f>
        <v>0</v>
      </c>
      <c r="T54" s="70">
        <f>IF(T24=3,IF(U37=1,1,0),0)</f>
        <v>0</v>
      </c>
      <c r="V54" s="74">
        <f>IF(V24=3,IF(U37=1,1,0),0)</f>
        <v>1</v>
      </c>
      <c r="W54" s="70">
        <f>IF(W24=3,IF(X37=1,1,0),0)</f>
        <v>0</v>
      </c>
      <c r="Y54" s="74">
        <f>IF(Y24=3,IF(X37=1,1,0),0)</f>
        <v>0</v>
      </c>
      <c r="Z54" s="70">
        <f>IF(Z24=3,IF(AA37=1,1,0),0)</f>
        <v>1</v>
      </c>
      <c r="AB54" s="74">
        <f>IF(AB24=3,IF(AA37=1,1,0),0)</f>
        <v>0</v>
      </c>
      <c r="AC54" s="70">
        <f>IF(AC24=3,IF(AD37=1,1,0),0)</f>
        <v>0</v>
      </c>
      <c r="AE54" s="74">
        <f>IF(AE24=3,IF(AD37=1,1,0),0)</f>
        <v>0</v>
      </c>
      <c r="AF54" s="70">
        <f>SUM(B54:AE54)</f>
        <v>4</v>
      </c>
      <c r="AW54" s="154"/>
    </row>
    <row r="55" spans="1:49" s="70" customFormat="1" ht="12.75" hidden="1" customHeight="1" x14ac:dyDescent="0.2">
      <c r="A55" s="70" t="s">
        <v>100</v>
      </c>
      <c r="B55" s="70">
        <f>IF(B24=4,IF(C37=1,1,0),0)</f>
        <v>0</v>
      </c>
      <c r="D55" s="74">
        <f>IF(D24=4,IF(C37=1,1,0),0)</f>
        <v>0</v>
      </c>
      <c r="E55" s="70">
        <f>IF(E24=4,IF(F37=1,1,0),0)</f>
        <v>0</v>
      </c>
      <c r="G55" s="74">
        <f>IF(G24=4,IF(F37=1,1,0),0)</f>
        <v>0</v>
      </c>
      <c r="H55" s="70">
        <f>IF(H24=4,IF(I37=1,1,0),0)</f>
        <v>0</v>
      </c>
      <c r="J55" s="74">
        <f>IF(J24=4,IF(I37=1,1,0),0)</f>
        <v>0</v>
      </c>
      <c r="K55" s="70">
        <f>IF(K24=4,IF(L37=1,1,0),0)</f>
        <v>0</v>
      </c>
      <c r="M55" s="74">
        <f>IF(M24=4,IF(L37=1,1,0),0)</f>
        <v>1</v>
      </c>
      <c r="N55" s="70">
        <f>IF(N24=4,IF(O37=1,1,0),0)</f>
        <v>0</v>
      </c>
      <c r="P55" s="74">
        <f>IF(P24=4,IF(O37=1,1,0),0)</f>
        <v>0</v>
      </c>
      <c r="Q55" s="70">
        <f>IF(Q24=4,IF(R37=1,1,0),0)</f>
        <v>0</v>
      </c>
      <c r="S55" s="74">
        <f>IF(S24=4,IF(R37=1,1,0),0)</f>
        <v>0</v>
      </c>
      <c r="T55" s="70">
        <f>IF(T24=4,IF(U37=1,1,0),0)</f>
        <v>0</v>
      </c>
      <c r="V55" s="74">
        <f>IF(V24=4,IF(U37=1,1,0),0)</f>
        <v>0</v>
      </c>
      <c r="W55" s="70">
        <f>IF(W24=4,IF(X37=1,1,0),0)</f>
        <v>0</v>
      </c>
      <c r="Y55" s="74">
        <f>IF(Y24=4,IF(X37=1,1,0),0)</f>
        <v>0</v>
      </c>
      <c r="Z55" s="70">
        <f>IF(Z24=4,IF(AA37=1,1,0),0)</f>
        <v>0</v>
      </c>
      <c r="AB55" s="74">
        <f>IF(AB24=4,IF(AA37=1,1,0),0)</f>
        <v>1</v>
      </c>
      <c r="AC55" s="70">
        <f>IF(AC24=4,IF(AD37=1,1,0),0)</f>
        <v>0</v>
      </c>
      <c r="AE55" s="74">
        <f>IF(AE24=4,IF(AD37=1,1,0),0)</f>
        <v>0</v>
      </c>
      <c r="AF55" s="70">
        <f>SUM(B55:AE55)</f>
        <v>2</v>
      </c>
      <c r="AW55" s="154"/>
    </row>
    <row r="56" spans="1:49" s="70" customFormat="1" ht="12.75" hidden="1" customHeight="1" x14ac:dyDescent="0.2">
      <c r="A56" s="70" t="s">
        <v>101</v>
      </c>
      <c r="B56" s="70">
        <f>IF(B24=5,IF(C37=1,1,0),0)</f>
        <v>0</v>
      </c>
      <c r="D56" s="74">
        <f>IF(D24=5,IF(C37=1,1,0),0)</f>
        <v>1</v>
      </c>
      <c r="E56" s="70">
        <f>IF(E24=5,IF(F37=1,1,0),0)</f>
        <v>0</v>
      </c>
      <c r="G56" s="74">
        <f>IF(G24=5,IF(F37=1,1,0),0)</f>
        <v>0</v>
      </c>
      <c r="H56" s="70">
        <f>IF(H24=5,IF(I37=1,1,0),0)</f>
        <v>0</v>
      </c>
      <c r="J56" s="74">
        <f>IF(J24=5,IF(I37=1,1,0),0)</f>
        <v>1</v>
      </c>
      <c r="K56" s="70">
        <f>IF(K24=5,IF(L37=1,1,0),0)</f>
        <v>0</v>
      </c>
      <c r="M56" s="74">
        <f>IF(M24=5,IF(L37=1,1,0),0)</f>
        <v>0</v>
      </c>
      <c r="N56" s="70">
        <f>IF(N24=5,IF(O37=1,1,0),0)</f>
        <v>0</v>
      </c>
      <c r="P56" s="74">
        <f>IF(P24=5,IF(O37=1,1,0),0)</f>
        <v>0</v>
      </c>
      <c r="Q56" s="70">
        <f>IF(Q24=5,IF(R37=1,1,0),0)</f>
        <v>0</v>
      </c>
      <c r="S56" s="74">
        <f>IF(S24=5,IF(R37=1,1,0),0)</f>
        <v>0</v>
      </c>
      <c r="T56" s="70">
        <f>IF(T24=5,IF(U37=1,1,0),0)</f>
        <v>0</v>
      </c>
      <c r="V56" s="74">
        <f>IF(V24=5,IF(U37=1,1,0),0)</f>
        <v>0</v>
      </c>
      <c r="W56" s="70">
        <f>IF(W24=5,IF(X37=1,1,0),0)</f>
        <v>0</v>
      </c>
      <c r="Y56" s="74">
        <f>IF(Y24=5,IF(X37=1,1,0),0)</f>
        <v>1</v>
      </c>
      <c r="Z56" s="70">
        <f>IF(Z24=5,IF(AA37=1,1,0),0)</f>
        <v>0</v>
      </c>
      <c r="AB56" s="74">
        <f>IF(AB24=5,IF(AA37=1,1,0),0)</f>
        <v>0</v>
      </c>
      <c r="AC56" s="70">
        <f>IF(AC24=5,IF(AD37=1,1,0),0)</f>
        <v>0</v>
      </c>
      <c r="AE56" s="74">
        <f>IF(AE24=5,IF(AD37=1,1,0),0)</f>
        <v>0</v>
      </c>
      <c r="AF56" s="70">
        <f>SUM(B56:AE56)</f>
        <v>3</v>
      </c>
      <c r="AW56" s="154"/>
    </row>
    <row r="57" spans="1:49" s="70" customFormat="1" ht="38.25" hidden="1" customHeight="1" x14ac:dyDescent="0.2">
      <c r="A57" s="73"/>
      <c r="D57" s="74"/>
      <c r="G57" s="74"/>
      <c r="J57" s="74"/>
      <c r="M57" s="74"/>
      <c r="P57" s="74"/>
      <c r="S57" s="74"/>
      <c r="V57" s="74"/>
      <c r="Y57" s="74"/>
      <c r="AB57" s="74"/>
      <c r="AE57" s="74"/>
      <c r="AF57" s="73" t="s">
        <v>102</v>
      </c>
      <c r="AG57" s="280"/>
      <c r="AH57" s="280"/>
      <c r="AI57" s="280"/>
      <c r="AJ57" s="280"/>
      <c r="AK57" s="280"/>
      <c r="AW57" s="154"/>
    </row>
    <row r="58" spans="1:49" s="70" customFormat="1" ht="12.75" hidden="1" customHeight="1" x14ac:dyDescent="0.2">
      <c r="A58" s="70" t="s">
        <v>97</v>
      </c>
      <c r="B58" s="70">
        <f>IF(B24=1,B44,0)</f>
        <v>0</v>
      </c>
      <c r="D58" s="74">
        <f>IF(D24=1,B44,0)</f>
        <v>0</v>
      </c>
      <c r="E58" s="70">
        <f>IF(E24=1,E44,0)</f>
        <v>50</v>
      </c>
      <c r="G58" s="74">
        <f>IF(G24=1,E44,0)</f>
        <v>0</v>
      </c>
      <c r="H58" s="70">
        <f>IF(H24=1,H44,0)</f>
        <v>0</v>
      </c>
      <c r="J58" s="74">
        <f>IF(J24=1,H44,0)</f>
        <v>0</v>
      </c>
      <c r="K58" s="70">
        <f>IF(K24=1,K44,0)</f>
        <v>0</v>
      </c>
      <c r="M58" s="74">
        <f>IF(M24=1,K44,0)</f>
        <v>0</v>
      </c>
      <c r="N58" s="70">
        <f>IF(N24=1,N44,0)</f>
        <v>50</v>
      </c>
      <c r="P58" s="74">
        <f>IF(P24=1,N44,0)</f>
        <v>0</v>
      </c>
      <c r="Q58" s="70">
        <f>IF(Q24=1,Q44,0)</f>
        <v>0</v>
      </c>
      <c r="S58" s="74">
        <f>IF(S24=1,Q44,0)</f>
        <v>0</v>
      </c>
      <c r="T58" s="70">
        <f>IF(T24=1,T44,0)</f>
        <v>0</v>
      </c>
      <c r="V58" s="74">
        <f>IF(V24=1,T44,0)</f>
        <v>0</v>
      </c>
      <c r="W58" s="70">
        <f>IF(W24=1,W44,0)</f>
        <v>50</v>
      </c>
      <c r="Y58" s="74">
        <f>IF(Y24=1,W44,0)</f>
        <v>0</v>
      </c>
      <c r="Z58" s="70">
        <f>IF(Z24=1,Z44,0)</f>
        <v>0</v>
      </c>
      <c r="AB58" s="74">
        <f>IF(AB24=1,Z44,0)</f>
        <v>0</v>
      </c>
      <c r="AC58" s="70">
        <f>IF(AC24=1,AC44,0)</f>
        <v>52</v>
      </c>
      <c r="AE58" s="74">
        <f>IF(AE24=1,AC44,0)</f>
        <v>0</v>
      </c>
      <c r="AF58" s="70">
        <f>SUM(B58:AE58)</f>
        <v>202</v>
      </c>
      <c r="AW58" s="154"/>
    </row>
    <row r="59" spans="1:49" s="70" customFormat="1" ht="12.75" hidden="1" customHeight="1" x14ac:dyDescent="0.2">
      <c r="A59" s="70" t="s">
        <v>98</v>
      </c>
      <c r="B59" s="70">
        <f>IF(B24=2,B44,0)</f>
        <v>50</v>
      </c>
      <c r="D59" s="74">
        <f>IF(D24=2,B44,0)</f>
        <v>0</v>
      </c>
      <c r="E59" s="70">
        <f>IF(E24=2,E44,0)</f>
        <v>0</v>
      </c>
      <c r="G59" s="74">
        <f>IF(G24=2,E44,0)</f>
        <v>0</v>
      </c>
      <c r="H59" s="70">
        <f>IF(H24=2,H44,0)</f>
        <v>0</v>
      </c>
      <c r="J59" s="74">
        <f>IF(J24=2,H44,0)</f>
        <v>0</v>
      </c>
      <c r="K59" s="70">
        <f>IF(K24=2,K44,0)</f>
        <v>50</v>
      </c>
      <c r="M59" s="74">
        <f>IF(M24=2,K44,0)</f>
        <v>0</v>
      </c>
      <c r="N59" s="70">
        <f>IF(N24=2,N44,0)</f>
        <v>0</v>
      </c>
      <c r="P59" s="74">
        <f>IF(P24=2,N44,0)</f>
        <v>0</v>
      </c>
      <c r="Q59" s="70">
        <f>IF(Q24=2,Q44,0)</f>
        <v>0</v>
      </c>
      <c r="S59" s="74">
        <f>IF(S24=2,Q44,0)</f>
        <v>0</v>
      </c>
      <c r="T59" s="70">
        <f>IF(T24=2,T44,0)</f>
        <v>51</v>
      </c>
      <c r="V59" s="74">
        <f>IF(V24=2,T44,0)</f>
        <v>0</v>
      </c>
      <c r="W59" s="70">
        <f>IF(W24=2,W44,0)</f>
        <v>0</v>
      </c>
      <c r="Y59" s="74">
        <f>IF(Y24=2,W44,0)</f>
        <v>0</v>
      </c>
      <c r="Z59" s="70">
        <f>IF(Z24=2,Z44,0)</f>
        <v>0</v>
      </c>
      <c r="AB59" s="74">
        <f>IF(AB24=2,Z44,0)</f>
        <v>0</v>
      </c>
      <c r="AC59" s="70">
        <f>IF(AC24=2,AC44,0)</f>
        <v>0</v>
      </c>
      <c r="AE59" s="74">
        <f>IF(AE24=2,AC44,0)</f>
        <v>52</v>
      </c>
      <c r="AF59" s="70">
        <f>SUM(B59:AE59)</f>
        <v>203</v>
      </c>
      <c r="AW59" s="154"/>
    </row>
    <row r="60" spans="1:49" s="70" customFormat="1" ht="12.75" hidden="1" customHeight="1" x14ac:dyDescent="0.2">
      <c r="A60" s="70" t="s">
        <v>99</v>
      </c>
      <c r="B60" s="70">
        <f>IF(B24=3,B44,0)</f>
        <v>0</v>
      </c>
      <c r="D60" s="74">
        <f>IF(D24=3,B44,0)</f>
        <v>0</v>
      </c>
      <c r="E60" s="70">
        <f>IF(E24=3,E44,0)</f>
        <v>0</v>
      </c>
      <c r="G60" s="74">
        <f>IF(G24=3,E44,0)</f>
        <v>0</v>
      </c>
      <c r="H60" s="70">
        <f>IF(H24=3,H44,0)</f>
        <v>50</v>
      </c>
      <c r="J60" s="74">
        <f>IF(J24=3,H44,0)</f>
        <v>0</v>
      </c>
      <c r="K60" s="70">
        <f>IF(K24=3,K44,0)</f>
        <v>0</v>
      </c>
      <c r="M60" s="74">
        <f>IF(M24=3,K44,0)</f>
        <v>0</v>
      </c>
      <c r="N60" s="70">
        <f>IF(N24=3,N44,0)</f>
        <v>0</v>
      </c>
      <c r="P60" s="74">
        <f>IF(P24=3,N44,0)</f>
        <v>50</v>
      </c>
      <c r="Q60" s="70">
        <f>IF(Q24=3,Q44,0)</f>
        <v>0</v>
      </c>
      <c r="S60" s="74">
        <f>IF(S24=3,Q44,0)</f>
        <v>0</v>
      </c>
      <c r="T60" s="70">
        <f>IF(T24=3,T44,0)</f>
        <v>0</v>
      </c>
      <c r="V60" s="74">
        <f>IF(V24=3,T44,0)</f>
        <v>51</v>
      </c>
      <c r="W60" s="70">
        <f>IF(W24=3,W44,0)</f>
        <v>0</v>
      </c>
      <c r="Y60" s="74">
        <f>IF(Y24=3,W44,0)</f>
        <v>0</v>
      </c>
      <c r="Z60" s="70">
        <f>IF(Z24=3,Z44,0)</f>
        <v>51</v>
      </c>
      <c r="AB60" s="74">
        <f>IF(AB24=3,Z44,0)</f>
        <v>0</v>
      </c>
      <c r="AC60" s="70">
        <f>IF(AC24=3,AC44,0)</f>
        <v>0</v>
      </c>
      <c r="AE60" s="74">
        <f>IF(AE24=3,AC44,0)</f>
        <v>0</v>
      </c>
      <c r="AF60" s="70">
        <f>SUM(B60:AE60)</f>
        <v>202</v>
      </c>
      <c r="AW60" s="154"/>
    </row>
    <row r="61" spans="1:49" s="70" customFormat="1" ht="12.75" hidden="1" customHeight="1" x14ac:dyDescent="0.2">
      <c r="A61" s="70" t="s">
        <v>100</v>
      </c>
      <c r="B61" s="70">
        <f>IF(B24=4,B44,0)</f>
        <v>0</v>
      </c>
      <c r="D61" s="74">
        <f>IF(D24=4,B44,0)</f>
        <v>0</v>
      </c>
      <c r="E61" s="70">
        <f>IF(E24=4,E44,0)</f>
        <v>0</v>
      </c>
      <c r="G61" s="74">
        <f>IF(G24=4,E44,0)</f>
        <v>50</v>
      </c>
      <c r="H61" s="70">
        <f>IF(H24=4,H44,0)</f>
        <v>0</v>
      </c>
      <c r="J61" s="74">
        <f>IF(J24=4,H44,0)</f>
        <v>0</v>
      </c>
      <c r="K61" s="70">
        <f>IF(K24=4,K44,0)</f>
        <v>0</v>
      </c>
      <c r="M61" s="74">
        <f>IF(M24=4,K44,0)</f>
        <v>50</v>
      </c>
      <c r="N61" s="70">
        <f>IF(N24=4,N44,0)</f>
        <v>0</v>
      </c>
      <c r="P61" s="74">
        <f>IF(P24=4,N44,0)</f>
        <v>0</v>
      </c>
      <c r="Q61" s="70">
        <f>IF(Q24=4,Q44,0)</f>
        <v>50</v>
      </c>
      <c r="S61" s="74">
        <f>IF(S24=4,Q44,0)</f>
        <v>0</v>
      </c>
      <c r="T61" s="70">
        <f>IF(T24=4,T44,0)</f>
        <v>0</v>
      </c>
      <c r="V61" s="74">
        <f>IF(V24=4,T44,0)</f>
        <v>0</v>
      </c>
      <c r="W61" s="70">
        <f>IF(W24=4,W44,0)</f>
        <v>0</v>
      </c>
      <c r="Y61" s="74">
        <f>IF(Y24=4,W44,0)</f>
        <v>0</v>
      </c>
      <c r="Z61" s="70">
        <f>IF(Z24=4,Z44,0)</f>
        <v>0</v>
      </c>
      <c r="AB61" s="74">
        <f>IF(AB24=4,Z44,0)</f>
        <v>51</v>
      </c>
      <c r="AC61" s="70">
        <f>IF(AC24=4,AC44,0)</f>
        <v>0</v>
      </c>
      <c r="AE61" s="74">
        <f>IF(AE24=4,AC44,0)</f>
        <v>0</v>
      </c>
      <c r="AF61" s="70">
        <f>SUM(B61:AE61)</f>
        <v>201</v>
      </c>
      <c r="AW61" s="154"/>
    </row>
    <row r="62" spans="1:49" s="70" customFormat="1" ht="12.75" hidden="1" customHeight="1" x14ac:dyDescent="0.2">
      <c r="A62" s="70" t="s">
        <v>101</v>
      </c>
      <c r="B62" s="70">
        <f>IF(B24=5,B44,0)</f>
        <v>0</v>
      </c>
      <c r="D62" s="74">
        <f>IF(D24=5,B44,0)</f>
        <v>50</v>
      </c>
      <c r="E62" s="70">
        <f>IF(E24=5,E44,0)</f>
        <v>0</v>
      </c>
      <c r="G62" s="74">
        <f>IF(G24=5,E44,0)</f>
        <v>0</v>
      </c>
      <c r="H62" s="70">
        <f>IF(H24=5,H44,0)</f>
        <v>0</v>
      </c>
      <c r="J62" s="74">
        <f>IF(J24=5,H44,0)</f>
        <v>50</v>
      </c>
      <c r="K62" s="70">
        <f>IF(K24=5,K44,0)</f>
        <v>0</v>
      </c>
      <c r="M62" s="74">
        <f>IF(M24=5,K44,0)</f>
        <v>0</v>
      </c>
      <c r="N62" s="70">
        <f>IF(N24=5,N44,0)</f>
        <v>0</v>
      </c>
      <c r="P62" s="74">
        <f>IF(P24=5,N44,0)</f>
        <v>0</v>
      </c>
      <c r="Q62" s="70">
        <f>IF(Q24=5,Q44,0)</f>
        <v>0</v>
      </c>
      <c r="S62" s="74">
        <f>IF(S24=5,Q44,0)</f>
        <v>50</v>
      </c>
      <c r="T62" s="70">
        <f>IF(T24=5,T44,0)</f>
        <v>0</v>
      </c>
      <c r="V62" s="74">
        <f>IF(V24=5,T44,0)</f>
        <v>0</v>
      </c>
      <c r="W62" s="70">
        <f>IF(W24=5,W44,0)</f>
        <v>0</v>
      </c>
      <c r="Y62" s="74">
        <f>IF(Y24=5,W44,0)</f>
        <v>50</v>
      </c>
      <c r="Z62" s="70">
        <f>IF(Z24=5,Z44,0)</f>
        <v>0</v>
      </c>
      <c r="AB62" s="74">
        <f>IF(AB24=5,Z44,0)</f>
        <v>0</v>
      </c>
      <c r="AC62" s="70">
        <f>IF(AC24=5,AC44,0)</f>
        <v>0</v>
      </c>
      <c r="AE62" s="74">
        <f>IF(AE24=5,AC44,0)</f>
        <v>0</v>
      </c>
      <c r="AF62" s="70">
        <f>SUM(B62:AE62)</f>
        <v>200</v>
      </c>
      <c r="AW62" s="154"/>
    </row>
    <row r="63" spans="1:49" s="70" customFormat="1" ht="38.25" hidden="1" customHeight="1" x14ac:dyDescent="0.2">
      <c r="A63" s="70" t="s">
        <v>103</v>
      </c>
      <c r="D63" s="74"/>
      <c r="G63" s="74"/>
      <c r="J63" s="74"/>
      <c r="M63" s="74"/>
      <c r="P63" s="74"/>
      <c r="S63" s="74"/>
      <c r="V63" s="74"/>
      <c r="Y63" s="74"/>
      <c r="AB63" s="74"/>
      <c r="AE63" s="74"/>
      <c r="AF63" s="73" t="s">
        <v>104</v>
      </c>
      <c r="AG63" s="70" t="s">
        <v>105</v>
      </c>
      <c r="AW63" s="154"/>
    </row>
    <row r="64" spans="1:49" s="70" customFormat="1" ht="12.75" hidden="1" customHeight="1" x14ac:dyDescent="0.2">
      <c r="A64" s="70" t="s">
        <v>91</v>
      </c>
      <c r="B64" s="70">
        <f>IF(B24=1,SUMIF(B31:B35,"&gt;0"),0)</f>
        <v>0</v>
      </c>
      <c r="D64" s="74">
        <f>IF(D24=1,SUMIF(D31:D35,"&gt;0"),0)</f>
        <v>0</v>
      </c>
      <c r="E64" s="70">
        <f>IF(E24=1,SUMIF(E31:E35,"&gt;0"),0)</f>
        <v>1</v>
      </c>
      <c r="G64" s="74">
        <f>IF(G24=1,SUMIF(G31:G35,"&gt;0"),0)</f>
        <v>0</v>
      </c>
      <c r="H64" s="70">
        <f>IF(H24=1,SUMIF(H31:H35,"&gt;0"),0)</f>
        <v>0</v>
      </c>
      <c r="J64" s="74">
        <f>IF(J24=1,SUMIF(J31:J35,"&gt;0"),0)</f>
        <v>0</v>
      </c>
      <c r="K64" s="70">
        <f>IF(K24=1,SUMIF(K31:K35,"&gt;0"),0)</f>
        <v>0</v>
      </c>
      <c r="M64" s="74">
        <f>IF(M24=1,SUMIF(M31:M35,"&gt;0"),0)</f>
        <v>0</v>
      </c>
      <c r="N64" s="70">
        <f>IF(N24=1,SUMIF(N31:N35,"&gt;0"),0)</f>
        <v>2</v>
      </c>
      <c r="P64" s="74">
        <f>IF(P24=1,SUMIF(P31:P35,"&gt;0"),0)</f>
        <v>0</v>
      </c>
      <c r="Q64" s="70">
        <f>IF(Q24=1,SUMIF(Q31:Q35,"&gt;0"),0)</f>
        <v>0</v>
      </c>
      <c r="S64" s="74">
        <f>IF(S24=1,SUMIF(S31:S35,"&gt;0"),0)</f>
        <v>0</v>
      </c>
      <c r="T64" s="70">
        <f>IF(T24=1,SUMIF(T31:T35,"&gt;0"),0)</f>
        <v>0</v>
      </c>
      <c r="V64" s="74">
        <f>IF(V24=1,SUMIF(V31:V35,"&gt;0"),0)</f>
        <v>0</v>
      </c>
      <c r="W64" s="70">
        <f>IF(W24=1,SUMIF(W31:W35,"&gt;0"),0)</f>
        <v>2</v>
      </c>
      <c r="Y64" s="74">
        <f>IF(Y24=1,SUMIF(Y31:Y35,"&gt;0"),0)</f>
        <v>0</v>
      </c>
      <c r="Z64" s="70">
        <f>IF(Z24=1,SUMIF(Z31:Z35,"&gt;0"),0)</f>
        <v>0</v>
      </c>
      <c r="AB64" s="74">
        <f>IF(AB24=1,SUMIF(AB31:AB35,"&gt;0"),0)</f>
        <v>0</v>
      </c>
      <c r="AC64" s="70">
        <f>IF(AC24=1,SUMIF(AC31:AC35,"&gt;0"),0)</f>
        <v>1</v>
      </c>
      <c r="AE64" s="74">
        <f>IF(AE24=1,SUMIF(AE31:AE35,"&gt;0"),0)</f>
        <v>0</v>
      </c>
      <c r="AF64" s="70">
        <f>SUM(B64:AE64)</f>
        <v>6</v>
      </c>
      <c r="AG64" s="70">
        <f>AF72-AF64</f>
        <v>2</v>
      </c>
      <c r="AW64" s="154"/>
    </row>
    <row r="65" spans="1:54" s="70" customFormat="1" ht="12.75" hidden="1" customHeight="1" x14ac:dyDescent="0.2">
      <c r="A65" s="70" t="s">
        <v>92</v>
      </c>
      <c r="B65" s="70">
        <f>IF(B24=2,SUMIF(B31:B35,"&gt;0"),0)</f>
        <v>2</v>
      </c>
      <c r="D65" s="74">
        <f>IF(D24=2,SUMIF(D31:D35,"&gt;0"),0)</f>
        <v>0</v>
      </c>
      <c r="E65" s="70">
        <f>IF(E24=2,SUMIF(E31:E35,"&gt;0"),0)</f>
        <v>0</v>
      </c>
      <c r="G65" s="74">
        <f>IF(G24=2,SUMIF(G31:G35,"&gt;0"),0)</f>
        <v>0</v>
      </c>
      <c r="H65" s="70">
        <f>IF(H24=2,SUMIF(H31:H35,"&gt;0"),0)</f>
        <v>0</v>
      </c>
      <c r="J65" s="74">
        <f>IF(J24=2,SUMIF(J31:J35,"&gt;0"),0)</f>
        <v>0</v>
      </c>
      <c r="K65" s="70">
        <f>IF(K24=2,SUMIF(K31:K35,"&gt;0"),0)</f>
        <v>2</v>
      </c>
      <c r="M65" s="74">
        <f>IF(M24=2,SUMIF(M31:M35,"&gt;0"),0)</f>
        <v>0</v>
      </c>
      <c r="N65" s="70">
        <f>IF(N24=2,SUMIF(N31:N35,"&gt;0"),0)</f>
        <v>0</v>
      </c>
      <c r="P65" s="74">
        <f>IF(P24=2,SUMIF(P31:P35,"&gt;0"),0)</f>
        <v>0</v>
      </c>
      <c r="Q65" s="70">
        <f>IF(Q24=2,SUMIF(Q31:Q35,"&gt;0"),0)</f>
        <v>0</v>
      </c>
      <c r="S65" s="74">
        <f>IF(S24=2,SUMIF(S31:S35,"&gt;0"),0)</f>
        <v>0</v>
      </c>
      <c r="T65" s="70">
        <f>IF(T24=2,SUMIF(T31:T35,"&gt;0"),0)</f>
        <v>2</v>
      </c>
      <c r="V65" s="74">
        <f>IF(V24=2,SUMIF(V31:V35,"&gt;0"),0)</f>
        <v>0</v>
      </c>
      <c r="W65" s="70">
        <f>IF(W24=2,SUMIF(W31:W35,"&gt;0"),0)</f>
        <v>0</v>
      </c>
      <c r="Y65" s="74">
        <f>IF(Y24=2,SUMIF(Y31:Y35,"&gt;0"),0)</f>
        <v>0</v>
      </c>
      <c r="Z65" s="70">
        <f>IF(Z24=2,SUMIF(Z31:Z35,"&gt;0"),0)</f>
        <v>0</v>
      </c>
      <c r="AB65" s="74">
        <f>IF(AB24=2,SUMIF(AB31:AB35,"&gt;0"),0)</f>
        <v>0</v>
      </c>
      <c r="AC65" s="70">
        <f>IF(AC24=2,SUMIF(AC31:AC35,"&gt;0"),0)</f>
        <v>0</v>
      </c>
      <c r="AE65" s="74">
        <f>IF(AE24=2,SUMIF(AE31:AE35,"&gt;0"),0)</f>
        <v>1</v>
      </c>
      <c r="AF65" s="70">
        <f>SUM(B65:AE65)</f>
        <v>7</v>
      </c>
      <c r="AG65" s="70">
        <f>AF73-AF65</f>
        <v>1</v>
      </c>
      <c r="AW65" s="154"/>
    </row>
    <row r="66" spans="1:54" s="70" customFormat="1" ht="12.75" hidden="1" customHeight="1" x14ac:dyDescent="0.2">
      <c r="A66" s="70" t="s">
        <v>93</v>
      </c>
      <c r="B66" s="70">
        <f>IF(B24=3,SUMIF(B31:B35,"&gt;0"),0)</f>
        <v>0</v>
      </c>
      <c r="D66" s="74">
        <f>IF(D24=3,SUMIF(D31:D35,"&gt;0"),0)</f>
        <v>0</v>
      </c>
      <c r="E66" s="70">
        <f>IF(E24=3,SUMIF(E31:E35,"&gt;0"),0)</f>
        <v>0</v>
      </c>
      <c r="G66" s="74">
        <f>IF(G24=3,SUMIF(G31:G35,"&gt;0"),0)</f>
        <v>0</v>
      </c>
      <c r="H66" s="70">
        <f>IF(H24=3,SUMIF(H31:H35,"&gt;0"),0)</f>
        <v>2</v>
      </c>
      <c r="J66" s="74">
        <f>IF(J24=3,SUMIF(J31:J35,"&gt;0"),0)</f>
        <v>0</v>
      </c>
      <c r="K66" s="70">
        <f>IF(K24=3,SUMIF(K31:K35,"&gt;0"),0)</f>
        <v>0</v>
      </c>
      <c r="M66" s="74">
        <f>IF(M24=3,SUMIF(M31:M35,"&gt;0"),0)</f>
        <v>0</v>
      </c>
      <c r="N66" s="70">
        <f>IF(N24=3,SUMIF(N31:N35,"&gt;0"),0)</f>
        <v>0</v>
      </c>
      <c r="P66" s="74">
        <f>IF(P24=3,SUMIF(P31:P35,"&gt;0"),0)</f>
        <v>0</v>
      </c>
      <c r="Q66" s="70">
        <f>IF(Q24=3,SUMIF(Q31:Q35,"&gt;0"),0)</f>
        <v>0</v>
      </c>
      <c r="S66" s="74">
        <f>IF(S24=3,SUMIF(S31:S35,"&gt;0"),0)</f>
        <v>0</v>
      </c>
      <c r="T66" s="70">
        <f>IF(T24=3,SUMIF(T31:T35,"&gt;0"),0)</f>
        <v>0</v>
      </c>
      <c r="V66" s="74">
        <f>IF(V24=3,SUMIF(V31:V35,"&gt;0"),0)</f>
        <v>0</v>
      </c>
      <c r="W66" s="70">
        <f>IF(W24=3,SUMIF(W31:W35,"&gt;0"),0)</f>
        <v>0</v>
      </c>
      <c r="Y66" s="74">
        <f>IF(Y24=3,SUMIF(Y31:Y35,"&gt;0"),0)</f>
        <v>0</v>
      </c>
      <c r="Z66" s="70">
        <f>IF(Z24=3,SUMIF(Z31:Z35,"&gt;0"),0)</f>
        <v>2</v>
      </c>
      <c r="AB66" s="74">
        <f>IF(AB24=3,SUMIF(AB31:AB35,"&gt;0"),0)</f>
        <v>0</v>
      </c>
      <c r="AC66" s="70">
        <f>IF(AC24=3,SUMIF(AC31:AC35,"&gt;0"),0)</f>
        <v>0</v>
      </c>
      <c r="AE66" s="74">
        <f>IF(AE24=3,SUMIF(AE31:AE35,"&gt;0"),0)</f>
        <v>0</v>
      </c>
      <c r="AF66" s="70">
        <f>SUM(B66:AE66)</f>
        <v>4</v>
      </c>
      <c r="AG66" s="70">
        <f>AF74-AF66</f>
        <v>4</v>
      </c>
      <c r="AW66" s="154"/>
    </row>
    <row r="67" spans="1:54" s="70" customFormat="1" ht="12.75" hidden="1" customHeight="1" x14ac:dyDescent="0.2">
      <c r="A67" s="70" t="s">
        <v>94</v>
      </c>
      <c r="B67" s="70">
        <f>IF(B24=4,SUMIF(B31:B35,"&gt;0"),0)</f>
        <v>0</v>
      </c>
      <c r="D67" s="74">
        <f>IF(D24=4,SUMIF(D31:D35,"&gt;0"),0)</f>
        <v>0</v>
      </c>
      <c r="E67" s="70">
        <f>IF(E24=4,SUMIF(E31:E35,"&gt;0"),0)</f>
        <v>0</v>
      </c>
      <c r="G67" s="74">
        <f>IF(G24=4,SUMIF(G31:G35,"&gt;0"),0)</f>
        <v>1</v>
      </c>
      <c r="H67" s="70">
        <f>IF(H24=4,SUMIF(H31:H35,"&gt;0"),0)</f>
        <v>0</v>
      </c>
      <c r="J67" s="74">
        <f>IF(J24=4,SUMIF(J31:J35,"&gt;0"),0)</f>
        <v>0</v>
      </c>
      <c r="K67" s="70">
        <f>IF(K24=4,SUMIF(K31:K35,"&gt;0"),0)</f>
        <v>0</v>
      </c>
      <c r="M67" s="74">
        <f>IF(M24=4,SUMIF(M31:M35,"&gt;0"),0)</f>
        <v>0</v>
      </c>
      <c r="N67" s="70">
        <f>IF(N24=4,SUMIF(N31:N35,"&gt;0"),0)</f>
        <v>0</v>
      </c>
      <c r="P67" s="74">
        <f>IF(P24=4,SUMIF(P31:P35,"&gt;0"),0)</f>
        <v>0</v>
      </c>
      <c r="Q67" s="70">
        <f>IF(Q24=4,SUMIF(Q31:Q35,"&gt;0"),0)</f>
        <v>1</v>
      </c>
      <c r="S67" s="74">
        <f>IF(S24=4,SUMIF(S31:S35,"&gt;0"),0)</f>
        <v>0</v>
      </c>
      <c r="T67" s="70">
        <f>IF(T24=4,SUMIF(T31:T35,"&gt;0"),0)</f>
        <v>0</v>
      </c>
      <c r="V67" s="74">
        <f>IF(V24=4,SUMIF(V31:V35,"&gt;0"),0)</f>
        <v>0</v>
      </c>
      <c r="W67" s="70">
        <f>IF(W24=4,SUMIF(W31:W35,"&gt;0"),0)</f>
        <v>0</v>
      </c>
      <c r="Y67" s="74">
        <f>IF(Y24=4,SUMIF(Y31:Y35,"&gt;0"),0)</f>
        <v>0</v>
      </c>
      <c r="Z67" s="70">
        <f>IF(Z24=4,SUMIF(Z31:Z35,"&gt;0"),0)</f>
        <v>0</v>
      </c>
      <c r="AB67" s="74">
        <f>IF(AB24=4,SUMIF(AB31:AB35,"&gt;0"),0)</f>
        <v>0</v>
      </c>
      <c r="AC67" s="70">
        <f>IF(AC24=4,SUMIF(AC31:AC35,"&gt;0"),0)</f>
        <v>0</v>
      </c>
      <c r="AE67" s="74">
        <f>IF(AE24=4,SUMIF(AE31:AE35,"&gt;0"),0)</f>
        <v>0</v>
      </c>
      <c r="AF67" s="70">
        <f>SUM(B67:AE67)</f>
        <v>2</v>
      </c>
      <c r="AG67" s="70">
        <f>AF75-AF67</f>
        <v>6</v>
      </c>
      <c r="AW67" s="154"/>
    </row>
    <row r="68" spans="1:54" s="70" customFormat="1" ht="12.75" hidden="1" customHeight="1" x14ac:dyDescent="0.2">
      <c r="A68" s="70" t="s">
        <v>95</v>
      </c>
      <c r="B68" s="70">
        <f>IF(B24=5,SUMIF(B31:B35,"&gt;0"),0)</f>
        <v>0</v>
      </c>
      <c r="D68" s="74">
        <f>IF(D24=5,SUMIF(D31:D35,"&gt;0"),0)</f>
        <v>0</v>
      </c>
      <c r="E68" s="70">
        <f>IF(E24=5,SUMIF(E31:E35,"&gt;0"),0)</f>
        <v>0</v>
      </c>
      <c r="G68" s="74">
        <f>IF(G24=5,SUMIF(G31:G35,"&gt;0"),0)</f>
        <v>0</v>
      </c>
      <c r="H68" s="70">
        <f>IF(H24=5,SUMIF(H31:H35,"&gt;0"),0)</f>
        <v>0</v>
      </c>
      <c r="J68" s="74">
        <f>IF(J24=5,SUMIF(J31:J35,"&gt;0"),0)</f>
        <v>0</v>
      </c>
      <c r="K68" s="70">
        <f>IF(K24=5,SUMIF(K31:K35,"&gt;0"),0)</f>
        <v>0</v>
      </c>
      <c r="M68" s="74">
        <f>IF(M24=5,SUMIF(M31:M35,"&gt;0"),0)</f>
        <v>0</v>
      </c>
      <c r="N68" s="70">
        <f>IF(N24=5,SUMIF(N31:N35,"&gt;0"),0)</f>
        <v>0</v>
      </c>
      <c r="P68" s="74">
        <f>IF(P24=5,SUMIF(P31:P35,"&gt;0"),0)</f>
        <v>0</v>
      </c>
      <c r="Q68" s="70">
        <f>IF(Q24=5,SUMIF(Q31:Q35,"&gt;0"),0)</f>
        <v>0</v>
      </c>
      <c r="S68" s="74">
        <f>IF(S24=5,SUMIF(S31:S35,"&gt;0"),0)</f>
        <v>1</v>
      </c>
      <c r="T68" s="70">
        <f>IF(T24=5,SUMIF(T31:T35,"&gt;0"),0)</f>
        <v>0</v>
      </c>
      <c r="V68" s="74">
        <f>IF(V24=5,SUMIF(V31:V35,"&gt;0"),0)</f>
        <v>0</v>
      </c>
      <c r="W68" s="70">
        <f>IF(W24=5,SUMIF(W31:W35,"&gt;0"),0)</f>
        <v>0</v>
      </c>
      <c r="Y68" s="74">
        <f>IF(Y24=5,SUMIF(Y31:Y35,"&gt;0"),0)</f>
        <v>0</v>
      </c>
      <c r="Z68" s="70">
        <f>IF(Z24=5,SUMIF(Z31:Z35,"&gt;0"),0)</f>
        <v>0</v>
      </c>
      <c r="AB68" s="74">
        <f>IF(AB24=5,SUMIF(AB31:AB35,"&gt;0"),0)</f>
        <v>0</v>
      </c>
      <c r="AC68" s="70">
        <f>IF(AC24=5,SUMIF(AC31:AC35,"&gt;0"),0)</f>
        <v>0</v>
      </c>
      <c r="AE68" s="74">
        <f>IF(AE24=5,SUMIF(AE31:AE35,"&gt;0"),0)</f>
        <v>0</v>
      </c>
      <c r="AF68" s="70">
        <f>SUM(B68:AE68)</f>
        <v>1</v>
      </c>
      <c r="AG68" s="70">
        <f>AF76-AF68</f>
        <v>7</v>
      </c>
      <c r="AW68" s="154"/>
    </row>
    <row r="69" spans="1:54" s="70" customFormat="1" ht="12.75" hidden="1" customHeight="1" x14ac:dyDescent="0.2">
      <c r="D69" s="74"/>
      <c r="G69" s="74"/>
      <c r="J69" s="74"/>
      <c r="M69" s="74"/>
      <c r="P69" s="74"/>
      <c r="S69" s="74"/>
      <c r="V69" s="74"/>
      <c r="Y69" s="74"/>
      <c r="AB69" s="74"/>
      <c r="AE69" s="74"/>
      <c r="AW69" s="154"/>
    </row>
    <row r="70" spans="1:54" s="70" customFormat="1" ht="12.75" hidden="1" customHeight="1" x14ac:dyDescent="0.2">
      <c r="D70" s="74"/>
      <c r="G70" s="74"/>
      <c r="J70" s="74"/>
      <c r="M70" s="74"/>
      <c r="P70" s="74"/>
      <c r="S70" s="74"/>
      <c r="V70" s="74"/>
      <c r="Y70" s="74"/>
      <c r="AB70" s="74"/>
      <c r="AE70" s="74"/>
      <c r="AW70" s="154"/>
    </row>
    <row r="71" spans="1:54" s="70" customFormat="1" ht="51" hidden="1" customHeight="1" x14ac:dyDescent="0.2">
      <c r="A71" s="73" t="s">
        <v>106</v>
      </c>
      <c r="C71" s="70">
        <f>SUMIF(B64:D68,"&gt;0")</f>
        <v>2</v>
      </c>
      <c r="D71" s="74"/>
      <c r="F71" s="70">
        <f>SUMIF(E64:G68,"&gt;0")</f>
        <v>2</v>
      </c>
      <c r="G71" s="74"/>
      <c r="I71" s="70">
        <f>SUMIF(H64:J68,"&gt;0")</f>
        <v>2</v>
      </c>
      <c r="J71" s="74"/>
      <c r="L71" s="70">
        <f>SUMIF(K64:M68,"&gt;0")</f>
        <v>2</v>
      </c>
      <c r="M71" s="74"/>
      <c r="O71" s="70">
        <f>SUMIF(N64:P68,"&gt;0")</f>
        <v>2</v>
      </c>
      <c r="P71" s="74"/>
      <c r="R71" s="70">
        <f>SUMIF(Q64:S68,"&gt;0")</f>
        <v>2</v>
      </c>
      <c r="S71" s="74"/>
      <c r="U71" s="70">
        <f>SUMIF(T64:V68,"&gt;0")</f>
        <v>2</v>
      </c>
      <c r="V71" s="74"/>
      <c r="X71" s="70">
        <f>SUMIF(W64:Y68,"&gt;0")</f>
        <v>2</v>
      </c>
      <c r="Y71" s="74"/>
      <c r="AA71" s="70">
        <f>SUMIF(Z64:AB68,"&gt;0")</f>
        <v>2</v>
      </c>
      <c r="AB71" s="74"/>
      <c r="AD71" s="70">
        <f>SUMIF(AC64:AE68,"&gt;0")</f>
        <v>2</v>
      </c>
      <c r="AE71" s="74"/>
      <c r="AF71" s="73" t="s">
        <v>107</v>
      </c>
      <c r="AW71" s="154"/>
    </row>
    <row r="72" spans="1:54" s="70" customFormat="1" ht="12.75" hidden="1" customHeight="1" x14ac:dyDescent="0.2">
      <c r="A72" s="70" t="s">
        <v>97</v>
      </c>
      <c r="B72" s="70">
        <f>IF(B24=1,C71,0)</f>
        <v>0</v>
      </c>
      <c r="D72" s="74">
        <f>IF(D24=1,C71,0)</f>
        <v>0</v>
      </c>
      <c r="E72" s="70">
        <f>IF(E24=1,F71,0)</f>
        <v>2</v>
      </c>
      <c r="G72" s="74">
        <f>IF(G24=1,F71,0)</f>
        <v>0</v>
      </c>
      <c r="H72" s="70">
        <f>IF(H24=1,I71,0)</f>
        <v>0</v>
      </c>
      <c r="J72" s="74">
        <f>IF(J24=1,I71,0)</f>
        <v>0</v>
      </c>
      <c r="K72" s="70">
        <f>IF(K24=1,L71,0)</f>
        <v>0</v>
      </c>
      <c r="M72" s="74">
        <f>IF(M24=1,L71,0)</f>
        <v>0</v>
      </c>
      <c r="N72" s="70">
        <f>IF(N24=1,O71,0)</f>
        <v>2</v>
      </c>
      <c r="P72" s="74">
        <f>IF(P24=1,O71,0)</f>
        <v>0</v>
      </c>
      <c r="Q72" s="70">
        <f>IF(Q24=1,R71,0)</f>
        <v>0</v>
      </c>
      <c r="S72" s="74">
        <f>IF(S24=1,R71,0)</f>
        <v>0</v>
      </c>
      <c r="T72" s="70">
        <f>IF(T24=1,U71,0)</f>
        <v>0</v>
      </c>
      <c r="V72" s="74">
        <f>IF(V24=1,U71,0)</f>
        <v>0</v>
      </c>
      <c r="W72" s="70">
        <f>IF(W24=1,X71,0)</f>
        <v>2</v>
      </c>
      <c r="Y72" s="74">
        <f>IF(Y24=1,X71,0)</f>
        <v>0</v>
      </c>
      <c r="Z72" s="70">
        <f>IF(Z24=1,AA71,0)</f>
        <v>0</v>
      </c>
      <c r="AB72" s="74">
        <f>IF(AB24=1,AA71,0)</f>
        <v>0</v>
      </c>
      <c r="AC72" s="70">
        <f>IF(AC24=1,AD71,0)</f>
        <v>2</v>
      </c>
      <c r="AE72" s="74">
        <f>IF(AE24=1,AD71,0)</f>
        <v>0</v>
      </c>
      <c r="AF72" s="70">
        <f>SUM(B72:AE72)</f>
        <v>8</v>
      </c>
      <c r="AW72" s="154"/>
    </row>
    <row r="73" spans="1:54" s="70" customFormat="1" ht="12.75" hidden="1" customHeight="1" x14ac:dyDescent="0.2">
      <c r="A73" s="70" t="s">
        <v>98</v>
      </c>
      <c r="B73" s="70">
        <f>IF(B24=2,C71,0)</f>
        <v>2</v>
      </c>
      <c r="D73" s="74">
        <f>IF(D24=2,C71,0)</f>
        <v>0</v>
      </c>
      <c r="E73" s="70">
        <f>IF(E24=2,F71,0)</f>
        <v>0</v>
      </c>
      <c r="G73" s="74">
        <f>IF(G24=2,F71,0)</f>
        <v>0</v>
      </c>
      <c r="H73" s="70">
        <f>IF(H24=2,I71,0)</f>
        <v>0</v>
      </c>
      <c r="J73" s="74">
        <f>IF(J24=2,I71,0)</f>
        <v>0</v>
      </c>
      <c r="K73" s="70">
        <f>IF(K24=2,L71,0)</f>
        <v>2</v>
      </c>
      <c r="M73" s="74">
        <f>IF(M24=2,L71,0)</f>
        <v>0</v>
      </c>
      <c r="N73" s="70">
        <f>IF(N24=2,O71,0)</f>
        <v>0</v>
      </c>
      <c r="P73" s="74">
        <f>IF(P24=2,O71,0)</f>
        <v>0</v>
      </c>
      <c r="Q73" s="70">
        <f>IF(Q24=2,R71,0)</f>
        <v>0</v>
      </c>
      <c r="S73" s="74">
        <f>IF(S24=2,R71,0)</f>
        <v>0</v>
      </c>
      <c r="T73" s="70">
        <f>IF(T24=2,U71,0)</f>
        <v>2</v>
      </c>
      <c r="V73" s="74">
        <f>IF(V24=2,U71,0)</f>
        <v>0</v>
      </c>
      <c r="W73" s="70">
        <f>IF(W24=2,X71,0)</f>
        <v>0</v>
      </c>
      <c r="Y73" s="74">
        <f>IF(Y24=2,X71,0)</f>
        <v>0</v>
      </c>
      <c r="Z73" s="70">
        <f>IF(Z24=2,AA71,0)</f>
        <v>0</v>
      </c>
      <c r="AB73" s="74">
        <f>IF(AB24=2,AA71,0)</f>
        <v>0</v>
      </c>
      <c r="AC73" s="70">
        <f>IF(AC24=2,AD71,0)</f>
        <v>0</v>
      </c>
      <c r="AE73" s="74">
        <f>IF(AE24=2,AD71,0)</f>
        <v>2</v>
      </c>
      <c r="AF73" s="70">
        <f>SUM(B73:AE73)</f>
        <v>8</v>
      </c>
      <c r="AW73" s="154"/>
    </row>
    <row r="74" spans="1:54" s="70" customFormat="1" ht="12.75" hidden="1" customHeight="1" x14ac:dyDescent="0.2">
      <c r="A74" s="70" t="s">
        <v>99</v>
      </c>
      <c r="B74" s="70">
        <f>IF(B24=3,C71,0)</f>
        <v>0</v>
      </c>
      <c r="D74" s="74">
        <f>IF(D24=3,C71,0)</f>
        <v>0</v>
      </c>
      <c r="E74" s="70">
        <f>IF(E24=3,F71,0)</f>
        <v>0</v>
      </c>
      <c r="G74" s="74">
        <f>IF(G24=3,F71,0)</f>
        <v>0</v>
      </c>
      <c r="H74" s="70">
        <f>IF(H24=3,I71,0)</f>
        <v>2</v>
      </c>
      <c r="J74" s="74">
        <f>IF(J24=3,I71,0)</f>
        <v>0</v>
      </c>
      <c r="K74" s="70">
        <f>IF(K24=3,L71,0)</f>
        <v>0</v>
      </c>
      <c r="M74" s="74">
        <f>IF(M24=3,L71,0)</f>
        <v>0</v>
      </c>
      <c r="N74" s="70">
        <f>IF(N24=3,O71,0)</f>
        <v>0</v>
      </c>
      <c r="P74" s="74">
        <f>IF(P24=3,O71,0)</f>
        <v>2</v>
      </c>
      <c r="Q74" s="70">
        <f>IF(Q24=3,R71,0)</f>
        <v>0</v>
      </c>
      <c r="S74" s="74">
        <f>IF(S24=3,R71,0)</f>
        <v>0</v>
      </c>
      <c r="T74" s="70">
        <f>IF(T24=3,U71,0)</f>
        <v>0</v>
      </c>
      <c r="V74" s="74">
        <f>IF(V24=3,U71,0)</f>
        <v>2</v>
      </c>
      <c r="W74" s="70">
        <f>IF(W24=3,X71,0)</f>
        <v>0</v>
      </c>
      <c r="Y74" s="74">
        <f>IF(Y24=3,X71,0)</f>
        <v>0</v>
      </c>
      <c r="Z74" s="70">
        <f>IF(Z24=3,AA71,0)</f>
        <v>2</v>
      </c>
      <c r="AB74" s="74">
        <f>IF(AB24=3,AA71,0)</f>
        <v>0</v>
      </c>
      <c r="AC74" s="70">
        <f>IF(AC24=3,AD71,0)</f>
        <v>0</v>
      </c>
      <c r="AE74" s="74">
        <f>IF(AE24=3,AD71,0)</f>
        <v>0</v>
      </c>
      <c r="AF74" s="70">
        <f>SUM(B74:AE74)</f>
        <v>8</v>
      </c>
      <c r="AW74" s="154"/>
    </row>
    <row r="75" spans="1:54" s="70" customFormat="1" ht="12.75" hidden="1" customHeight="1" x14ac:dyDescent="0.2">
      <c r="A75" s="70" t="s">
        <v>100</v>
      </c>
      <c r="B75" s="70">
        <f>IF(B24=4,C71,0)</f>
        <v>0</v>
      </c>
      <c r="D75" s="74">
        <f>IF(D24=4,C71,0)</f>
        <v>0</v>
      </c>
      <c r="E75" s="70">
        <f>IF(E24=4,F71,0)</f>
        <v>0</v>
      </c>
      <c r="G75" s="74">
        <f>IF(G24=4,F71,0)</f>
        <v>2</v>
      </c>
      <c r="H75" s="70">
        <f>IF(H24=4,I71,0)</f>
        <v>0</v>
      </c>
      <c r="J75" s="74">
        <f>IF(J24=4,I71,0)</f>
        <v>0</v>
      </c>
      <c r="K75" s="70">
        <f>IF(K24=4,L71,0)</f>
        <v>0</v>
      </c>
      <c r="M75" s="74">
        <f>IF(M24=4,L71,0)</f>
        <v>2</v>
      </c>
      <c r="N75" s="70">
        <f>IF(N24=4,O71,0)</f>
        <v>0</v>
      </c>
      <c r="P75" s="74">
        <f>IF(P24=4,O71,0)</f>
        <v>0</v>
      </c>
      <c r="Q75" s="70">
        <f>IF(Q24=4,R71,0)</f>
        <v>2</v>
      </c>
      <c r="S75" s="74">
        <f>IF(S24=4,R71,0)</f>
        <v>0</v>
      </c>
      <c r="T75" s="70">
        <f>IF(T24=4,U71,0)</f>
        <v>0</v>
      </c>
      <c r="V75" s="74">
        <f>IF(V24=4,U71,0)</f>
        <v>0</v>
      </c>
      <c r="W75" s="70">
        <f>IF(W24=4,X71,0)</f>
        <v>0</v>
      </c>
      <c r="Y75" s="74">
        <f>IF(Y24=4,X71,0)</f>
        <v>0</v>
      </c>
      <c r="Z75" s="70">
        <f>IF(Z24=4,AA71,0)</f>
        <v>0</v>
      </c>
      <c r="AB75" s="74">
        <f>IF(AB24=4,AA71,0)</f>
        <v>2</v>
      </c>
      <c r="AC75" s="70">
        <f>IF(AC24=4,AD71,0)</f>
        <v>0</v>
      </c>
      <c r="AE75" s="74">
        <f>IF(AE24=4,AD71,0)</f>
        <v>0</v>
      </c>
      <c r="AF75" s="70">
        <f>SUM(B75:AE75)</f>
        <v>8</v>
      </c>
      <c r="AW75" s="154"/>
    </row>
    <row r="76" spans="1:54" s="70" customFormat="1" ht="12.75" hidden="1" customHeight="1" x14ac:dyDescent="0.2">
      <c r="A76" s="70" t="s">
        <v>101</v>
      </c>
      <c r="B76" s="70">
        <f>IF(B24=5,C71,0)</f>
        <v>0</v>
      </c>
      <c r="D76" s="74">
        <f>IF(D24=5,C71,0)</f>
        <v>2</v>
      </c>
      <c r="E76" s="70">
        <f>IF(E24=5,F71,0)</f>
        <v>0</v>
      </c>
      <c r="G76" s="74">
        <f>IF(G24=5,F71,0)</f>
        <v>0</v>
      </c>
      <c r="H76" s="70">
        <f>IF(H24=5,I71,0)</f>
        <v>0</v>
      </c>
      <c r="J76" s="74">
        <f>IF(J24=5,I71,0)</f>
        <v>2</v>
      </c>
      <c r="K76" s="70">
        <f>IF(K24=5,L71,0)</f>
        <v>0</v>
      </c>
      <c r="M76" s="74">
        <f>IF(M24=5,L71,0)</f>
        <v>0</v>
      </c>
      <c r="N76" s="70">
        <f>IF(N24=5,O71,0)</f>
        <v>0</v>
      </c>
      <c r="P76" s="74">
        <f>IF(P24=5,O71,0)</f>
        <v>0</v>
      </c>
      <c r="Q76" s="70">
        <f>IF(Q24=5,R71,0)</f>
        <v>0</v>
      </c>
      <c r="S76" s="74">
        <f>IF(S24=5,R71,0)</f>
        <v>2</v>
      </c>
      <c r="T76" s="70">
        <f>IF(T24=5,U71,0)</f>
        <v>0</v>
      </c>
      <c r="V76" s="74">
        <f>IF(V24=5,U71,0)</f>
        <v>0</v>
      </c>
      <c r="W76" s="70">
        <f>IF(W24=5,X71,0)</f>
        <v>0</v>
      </c>
      <c r="Y76" s="74">
        <f>IF(Y24=5,X71,0)</f>
        <v>2</v>
      </c>
      <c r="Z76" s="70">
        <f>IF(Z24=5,AA71,0)</f>
        <v>0</v>
      </c>
      <c r="AB76" s="74">
        <f>IF(AB24=5,AA71,0)</f>
        <v>0</v>
      </c>
      <c r="AC76" s="70">
        <f>IF(AC24=5,AD71,0)</f>
        <v>0</v>
      </c>
      <c r="AE76" s="74">
        <f>IF(AE24=5,AD71,0)</f>
        <v>0</v>
      </c>
      <c r="AF76" s="70">
        <f>SUM(B76:AE76)</f>
        <v>8</v>
      </c>
      <c r="AW76" s="154"/>
    </row>
    <row r="77" spans="1:54" hidden="1" x14ac:dyDescent="0.2">
      <c r="A77" s="95"/>
      <c r="B77" s="95"/>
      <c r="C77" s="95"/>
      <c r="D77" s="95"/>
      <c r="E77" s="95"/>
      <c r="F77" s="95"/>
      <c r="G77" s="95"/>
      <c r="H77" s="95"/>
      <c r="I77" s="95"/>
      <c r="J77" s="95"/>
      <c r="K77" s="95"/>
      <c r="L77" s="95"/>
      <c r="M77" s="95"/>
      <c r="N77" s="95"/>
      <c r="O77" s="95"/>
      <c r="P77" s="95"/>
      <c r="Q77" s="95"/>
      <c r="R77" s="95"/>
      <c r="S77" s="95"/>
      <c r="T77" s="95"/>
      <c r="U77" s="95"/>
      <c r="V77" s="95"/>
      <c r="W77" s="95"/>
      <c r="X77" s="95"/>
      <c r="Y77" s="95"/>
      <c r="Z77" s="95"/>
      <c r="AA77" s="95"/>
      <c r="AB77" s="95"/>
      <c r="AC77" s="95"/>
      <c r="AD77" s="95"/>
      <c r="AE77" s="95"/>
      <c r="AF77" s="95"/>
      <c r="AG77" s="95"/>
      <c r="AH77" s="95"/>
      <c r="AI77" s="95"/>
      <c r="AJ77" s="95"/>
      <c r="AK77" s="95"/>
      <c r="AL77" s="95"/>
      <c r="AM77" s="95"/>
      <c r="AN77" s="96"/>
      <c r="AO77" s="96"/>
      <c r="AP77" s="96"/>
      <c r="AQ77" s="96"/>
      <c r="AR77" s="77"/>
      <c r="AS77" s="77"/>
      <c r="AT77" s="77"/>
      <c r="AU77" s="77"/>
      <c r="AV77" s="77"/>
      <c r="BB77" s="156"/>
    </row>
    <row r="78" spans="1:54" s="77" customFormat="1" hidden="1" x14ac:dyDescent="0.2">
      <c r="A78" s="79"/>
      <c r="B78" s="79"/>
      <c r="C78" s="79" t="s">
        <v>108</v>
      </c>
      <c r="D78" s="79">
        <v>1</v>
      </c>
      <c r="E78" s="79"/>
      <c r="F78" s="79"/>
      <c r="G78" s="79">
        <v>2</v>
      </c>
      <c r="H78" s="79"/>
      <c r="I78" s="79"/>
      <c r="J78" s="79">
        <v>3</v>
      </c>
      <c r="K78" s="79"/>
      <c r="L78" s="79"/>
      <c r="M78" s="79">
        <v>4</v>
      </c>
      <c r="N78" s="79"/>
      <c r="O78" s="79"/>
      <c r="P78" s="79">
        <v>5</v>
      </c>
      <c r="Q78" s="79"/>
      <c r="R78" s="79"/>
      <c r="S78" s="79">
        <v>6</v>
      </c>
      <c r="T78" s="79"/>
      <c r="U78" s="79"/>
      <c r="V78" s="79">
        <v>7</v>
      </c>
      <c r="W78" s="79"/>
      <c r="X78" s="79"/>
      <c r="Y78" s="79">
        <v>8</v>
      </c>
      <c r="Z78" s="79"/>
      <c r="AA78" s="79"/>
      <c r="AB78" s="79">
        <v>9</v>
      </c>
      <c r="AC78" s="79"/>
      <c r="AD78" s="79"/>
      <c r="AE78" s="79">
        <v>10</v>
      </c>
      <c r="AF78" s="4"/>
      <c r="AG78" s="79"/>
      <c r="AI78" s="80"/>
      <c r="AJ78" s="4"/>
      <c r="AK78" s="4"/>
      <c r="AL78" s="4"/>
      <c r="AM78" s="4"/>
      <c r="AN78" s="4"/>
      <c r="AO78" s="4"/>
      <c r="AT78" s="80" t="s">
        <v>109</v>
      </c>
      <c r="AW78" s="81"/>
      <c r="BB78" s="81"/>
    </row>
    <row r="79" spans="1:54" s="77" customFormat="1" hidden="1" x14ac:dyDescent="0.2">
      <c r="A79" s="82">
        <v>1</v>
      </c>
      <c r="B79" s="82" t="str">
        <f>E8</f>
        <v>Hurricane VBC 17 Typhoon</v>
      </c>
      <c r="C79" s="82">
        <f>VLOOKUP(B79,AU$3:BB$33,3,FALSE)</f>
        <v>2836.8425057223294</v>
      </c>
      <c r="D79" s="82">
        <f>IF(B72,B87,IF(D72,D87,C79))</f>
        <v>2836.8425057223294</v>
      </c>
      <c r="E79" s="82"/>
      <c r="F79" s="82"/>
      <c r="G79" s="82">
        <f>IF(E72,E87,IF(G72,G87,D79))</f>
        <v>2818.7916078142525</v>
      </c>
      <c r="H79" s="82"/>
      <c r="I79" s="82"/>
      <c r="J79" s="82">
        <f>IF(H72,H87,IF(J72,J87,G79))</f>
        <v>2818.7916078142525</v>
      </c>
      <c r="K79" s="82"/>
      <c r="L79" s="82"/>
      <c r="M79" s="82">
        <f>IF(K72,K87,IF(M72,M87,J79))</f>
        <v>2818.7916078142525</v>
      </c>
      <c r="N79" s="82"/>
      <c r="O79" s="82"/>
      <c r="P79" s="82">
        <f>IF(N72,N87,IF(P72,P87,M79))</f>
        <v>2844.9776168632611</v>
      </c>
      <c r="Q79" s="82"/>
      <c r="R79" s="82"/>
      <c r="S79" s="82">
        <f>IF(Q72,Q87,IF(S72,S87,P79))</f>
        <v>2844.9776168632611</v>
      </c>
      <c r="T79" s="82"/>
      <c r="U79" s="82"/>
      <c r="V79" s="82">
        <f>IF(T72,T87,IF(V72,V87,S79))</f>
        <v>2844.9776168632611</v>
      </c>
      <c r="W79" s="82"/>
      <c r="X79" s="82"/>
      <c r="Y79" s="82">
        <f>IF(W72,W87,IF(Y72,Y87,V79))</f>
        <v>2855.0388473132348</v>
      </c>
      <c r="Z79" s="82"/>
      <c r="AA79" s="82"/>
      <c r="AB79" s="82">
        <f>IF(Z72,Z87,IF(AB72,AB87,Y79))</f>
        <v>2855.0388473132348</v>
      </c>
      <c r="AC79" s="82"/>
      <c r="AD79" s="82"/>
      <c r="AE79" s="82">
        <f>IF(AC72,AC87,IF(AE72,AE87,AB79))</f>
        <v>2854.7054565454782</v>
      </c>
      <c r="AF79" s="4"/>
      <c r="AG79" s="4"/>
      <c r="AJ79" s="4"/>
      <c r="AK79" s="4"/>
      <c r="AL79" s="4"/>
      <c r="AM79" s="4"/>
      <c r="AN79" s="4"/>
      <c r="AO79" s="4"/>
      <c r="AT79" s="77" t="str">
        <f>B79</f>
        <v>Hurricane VBC 17 Typhoon</v>
      </c>
      <c r="AU79" s="77">
        <f>AE79</f>
        <v>2854.7054565454782</v>
      </c>
      <c r="AW79" s="81"/>
      <c r="BB79" s="81"/>
    </row>
    <row r="80" spans="1:54" s="77" customFormat="1" hidden="1" x14ac:dyDescent="0.2">
      <c r="A80" s="82">
        <v>2</v>
      </c>
      <c r="B80" s="82" t="str">
        <f>E10</f>
        <v>Sumter 17 Heath</v>
      </c>
      <c r="C80" s="82">
        <f>VLOOKUP(B80,AU$3:BB$33,3,FALSE)</f>
        <v>2797.3454256156274</v>
      </c>
      <c r="D80" s="82">
        <f>IF(B73,B87,IF(D73,D87,C80))</f>
        <v>2811.4814063909116</v>
      </c>
      <c r="E80" s="82"/>
      <c r="F80" s="82"/>
      <c r="G80" s="82">
        <f>IF(E73,E87,IF(G73,G87,D80))</f>
        <v>2811.4814063909116</v>
      </c>
      <c r="H80" s="82"/>
      <c r="I80" s="82"/>
      <c r="J80" s="82">
        <f>IF(H73,H87,IF(J73,J87,G80))</f>
        <v>2811.4814063909116</v>
      </c>
      <c r="K80" s="82"/>
      <c r="L80" s="82"/>
      <c r="M80" s="82">
        <f>IF(K73,K87,IF(M73,M87,J80))</f>
        <v>2828.3470224055513</v>
      </c>
      <c r="N80" s="82"/>
      <c r="O80" s="82"/>
      <c r="P80" s="82">
        <f>IF(N73,N87,IF(P73,P87,M80))</f>
        <v>2828.3470224055513</v>
      </c>
      <c r="Q80" s="82"/>
      <c r="R80" s="82"/>
      <c r="S80" s="82">
        <f>IF(Q73,Q87,IF(S73,S87,P80))</f>
        <v>2828.3470224055513</v>
      </c>
      <c r="T80" s="82"/>
      <c r="U80" s="82"/>
      <c r="V80" s="82">
        <f>IF(T73,T87,IF(V73,V87,S80))</f>
        <v>2851.4189720682662</v>
      </c>
      <c r="W80" s="82"/>
      <c r="X80" s="82"/>
      <c r="Y80" s="82">
        <f>IF(W73,W87,IF(Y73,Y87,V80))</f>
        <v>2851.4189720682662</v>
      </c>
      <c r="Z80" s="82"/>
      <c r="AA80" s="82"/>
      <c r="AB80" s="82">
        <f>IF(Z73,Z87,IF(AB73,AB87,Y80))</f>
        <v>2851.4189720682662</v>
      </c>
      <c r="AC80" s="82"/>
      <c r="AD80" s="82"/>
      <c r="AE80" s="82">
        <f>IF(AC73,AC87,IF(AE73,AE87,AB80))</f>
        <v>2851.7523628360227</v>
      </c>
      <c r="AF80" s="4"/>
      <c r="AG80" s="4"/>
      <c r="AJ80" s="4"/>
      <c r="AL80" s="4"/>
      <c r="AM80" s="4"/>
      <c r="AN80" s="4"/>
      <c r="AO80" s="4"/>
      <c r="AT80" s="77" t="str">
        <f>B80</f>
        <v>Sumter 17 Heath</v>
      </c>
      <c r="AU80" s="77">
        <f>AE80</f>
        <v>2851.7523628360227</v>
      </c>
      <c r="AW80" s="81"/>
      <c r="BB80" s="81"/>
    </row>
    <row r="81" spans="1:54" s="77" customFormat="1" hidden="1" x14ac:dyDescent="0.2">
      <c r="A81" s="82">
        <v>3</v>
      </c>
      <c r="B81" s="82" t="str">
        <f>E12</f>
        <v>MOTO 17 IGNITE</v>
      </c>
      <c r="C81" s="82">
        <f>VLOOKUP(B81,AU$3:BB$33,3,FALSE)</f>
        <v>2737.7307164150166</v>
      </c>
      <c r="D81" s="82">
        <f>IF(B74,B87,IF(D74,D87,C81))</f>
        <v>2737.7307164150166</v>
      </c>
      <c r="E81" s="82"/>
      <c r="F81" s="82"/>
      <c r="G81" s="82">
        <f>IF(E74,E87,IF(G74,G87,D81))</f>
        <v>2737.7307164150166</v>
      </c>
      <c r="H81" s="82"/>
      <c r="I81" s="82"/>
      <c r="J81" s="82">
        <f>IF(H74,H87,IF(J74,J87,G81))</f>
        <v>2754.9583268869242</v>
      </c>
      <c r="K81" s="82"/>
      <c r="L81" s="82"/>
      <c r="M81" s="82">
        <f>IF(K74,K87,IF(M74,M87,J81))</f>
        <v>2754.9583268869242</v>
      </c>
      <c r="N81" s="82"/>
      <c r="O81" s="82"/>
      <c r="P81" s="82">
        <f>IF(N74,N87,IF(P74,P87,M81))</f>
        <v>2728.7723178379156</v>
      </c>
      <c r="Q81" s="82"/>
      <c r="R81" s="82"/>
      <c r="S81" s="82">
        <f>IF(Q74,Q87,IF(S74,S87,P81))</f>
        <v>2728.7723178379156</v>
      </c>
      <c r="T81" s="82"/>
      <c r="U81" s="82"/>
      <c r="V81" s="82">
        <f>IF(T74,T87,IF(V74,V87,S81))</f>
        <v>2705.7003681752008</v>
      </c>
      <c r="W81" s="82"/>
      <c r="X81" s="82"/>
      <c r="Y81" s="82">
        <f>IF(W74,W87,IF(Y74,Y87,V81))</f>
        <v>2705.7003681752008</v>
      </c>
      <c r="Z81" s="82"/>
      <c r="AA81" s="82"/>
      <c r="AB81" s="82">
        <f>IF(Z74,Z87,IF(AB74,AB87,Y81))</f>
        <v>2729.0854077651702</v>
      </c>
      <c r="AC81" s="82"/>
      <c r="AD81" s="82"/>
      <c r="AE81" s="82">
        <f>IF(AC74,AC87,IF(AE74,AE87,AB81))</f>
        <v>2729.0854077651702</v>
      </c>
      <c r="AF81" s="4"/>
      <c r="AG81" s="4"/>
      <c r="AJ81" s="4"/>
      <c r="AL81" s="4"/>
      <c r="AM81" s="4"/>
      <c r="AN81" s="4"/>
      <c r="AO81" s="4"/>
      <c r="AT81" s="77" t="str">
        <f>B81</f>
        <v>MOTO 17 IGNITE</v>
      </c>
      <c r="AU81" s="77">
        <f>AE81</f>
        <v>2729.0854077651702</v>
      </c>
      <c r="AW81" s="81"/>
      <c r="BB81" s="81"/>
    </row>
    <row r="82" spans="1:54" s="77" customFormat="1" hidden="1" x14ac:dyDescent="0.2">
      <c r="A82" s="82">
        <v>4</v>
      </c>
      <c r="B82" s="82" t="str">
        <f>E14</f>
        <v>METRO-ATL 16 BLACK</v>
      </c>
      <c r="C82" s="82">
        <f>VLOOKUP(B82,AU$3:BB$33,3,FALSE)</f>
        <v>2614.8962576234244</v>
      </c>
      <c r="D82" s="82">
        <f>IF(B75,B87,IF(D75,D87,C82))</f>
        <v>2614.8962576234244</v>
      </c>
      <c r="E82" s="82"/>
      <c r="F82" s="82"/>
      <c r="G82" s="82">
        <f>IF(E75,E87,IF(G75,G87,D82))</f>
        <v>2632.9471555315013</v>
      </c>
      <c r="H82" s="82"/>
      <c r="I82" s="82"/>
      <c r="J82" s="82">
        <f>IF(H75,H87,IF(J75,J87,G82))</f>
        <v>2632.9471555315013</v>
      </c>
      <c r="K82" s="82"/>
      <c r="L82" s="82"/>
      <c r="M82" s="82">
        <f>IF(K75,K87,IF(M75,M87,J82))</f>
        <v>2616.0815395168615</v>
      </c>
      <c r="N82" s="82"/>
      <c r="O82" s="82"/>
      <c r="P82" s="82">
        <f>IF(N75,N87,IF(P75,P87,M82))</f>
        <v>2616.0815395168615</v>
      </c>
      <c r="Q82" s="82"/>
      <c r="R82" s="82"/>
      <c r="S82" s="82">
        <f>IF(Q75,Q87,IF(S75,S87,P82))</f>
        <v>2609.8011982762641</v>
      </c>
      <c r="T82" s="82"/>
      <c r="U82" s="82"/>
      <c r="V82" s="82">
        <f>IF(T75,T87,IF(V75,V87,S82))</f>
        <v>2609.8011982762641</v>
      </c>
      <c r="W82" s="82"/>
      <c r="X82" s="82"/>
      <c r="Y82" s="82">
        <f>IF(W75,W87,IF(Y75,Y87,V82))</f>
        <v>2609.8011982762641</v>
      </c>
      <c r="Z82" s="82"/>
      <c r="AA82" s="82"/>
      <c r="AB82" s="82">
        <f>IF(Z75,Z87,IF(AB75,AB87,Y82))</f>
        <v>2586.4161586862947</v>
      </c>
      <c r="AC82" s="82"/>
      <c r="AD82" s="82"/>
      <c r="AE82" s="82">
        <f>IF(AC75,AC87,IF(AE75,AE87,AB82))</f>
        <v>2586.4161586862947</v>
      </c>
      <c r="AF82" s="4"/>
      <c r="AG82" s="4"/>
      <c r="AJ82" s="4"/>
      <c r="AL82" s="4"/>
      <c r="AM82" s="4"/>
      <c r="AN82" s="4"/>
      <c r="AO82" s="4"/>
      <c r="AT82" s="77" t="str">
        <f>B82</f>
        <v>METRO-ATL 16 BLACK</v>
      </c>
      <c r="AU82" s="77">
        <f>AE82</f>
        <v>2586.4161586862947</v>
      </c>
      <c r="AW82" s="81"/>
      <c r="BB82" s="81"/>
    </row>
    <row r="83" spans="1:54" s="77" customFormat="1" hidden="1" x14ac:dyDescent="0.2">
      <c r="A83" s="82">
        <v>5</v>
      </c>
      <c r="B83" s="82" t="str">
        <f>E16</f>
        <v>Emerald City 17-Power</v>
      </c>
      <c r="C83" s="82">
        <f>VLOOKUP(B83,AU$3:BB$33,3,FALSE)</f>
        <v>2578.3608914325077</v>
      </c>
      <c r="D83" s="82">
        <f>IF(B76,B87,IF(D76,D87,C83))</f>
        <v>2564.2249106572235</v>
      </c>
      <c r="E83" s="82"/>
      <c r="F83" s="82"/>
      <c r="G83" s="82">
        <f>IF(E76,E87,IF(G76,G87,D83))</f>
        <v>2564.2249106572235</v>
      </c>
      <c r="H83" s="82"/>
      <c r="I83" s="82"/>
      <c r="J83" s="82">
        <f>IF(H76,H87,IF(J76,J87,G83))</f>
        <v>2546.9973001853159</v>
      </c>
      <c r="K83" s="82"/>
      <c r="L83" s="82"/>
      <c r="M83" s="82">
        <f>IF(K76,K87,IF(M76,M87,J83))</f>
        <v>2546.9973001853159</v>
      </c>
      <c r="N83" s="82"/>
      <c r="O83" s="82"/>
      <c r="P83" s="82">
        <f>IF(N76,N87,IF(P76,P87,M83))</f>
        <v>2546.9973001853159</v>
      </c>
      <c r="Q83" s="82"/>
      <c r="R83" s="82"/>
      <c r="S83" s="82">
        <f>IF(Q76,Q87,IF(S76,S87,P83))</f>
        <v>2553.2776414259133</v>
      </c>
      <c r="T83" s="82"/>
      <c r="U83" s="82"/>
      <c r="V83" s="82">
        <f>IF(T76,T87,IF(V76,V87,S83))</f>
        <v>2553.2776414259133</v>
      </c>
      <c r="W83" s="82"/>
      <c r="X83" s="82"/>
      <c r="Y83" s="82">
        <f>IF(W76,W87,IF(Y76,Y87,V83))</f>
        <v>2543.2164109759397</v>
      </c>
      <c r="Z83" s="82"/>
      <c r="AA83" s="82"/>
      <c r="AB83" s="82">
        <f>IF(Z76,Z87,IF(AB76,AB87,Y83))</f>
        <v>2543.2164109759397</v>
      </c>
      <c r="AC83" s="82"/>
      <c r="AD83" s="82"/>
      <c r="AE83" s="82">
        <f>IF(AC76,AC87,IF(AE76,AE87,AB83))</f>
        <v>2543.2164109759397</v>
      </c>
      <c r="AF83" s="4"/>
      <c r="AG83" s="4"/>
      <c r="AJ83" s="4"/>
      <c r="AL83" s="4"/>
      <c r="AM83" s="4"/>
      <c r="AN83" s="4"/>
      <c r="AO83" s="4"/>
      <c r="AT83" s="77" t="str">
        <f>B83</f>
        <v>Emerald City 17-Power</v>
      </c>
      <c r="AU83" s="77">
        <f>AE83</f>
        <v>2543.2164109759397</v>
      </c>
      <c r="AW83" s="81"/>
      <c r="BB83" s="81"/>
    </row>
    <row r="84" spans="1:54" s="77" customFormat="1" hidden="1" x14ac:dyDescent="0.2">
      <c r="A84" s="82"/>
      <c r="B84" s="82"/>
      <c r="C84" s="82"/>
      <c r="D84" s="82"/>
      <c r="E84" s="82"/>
      <c r="F84" s="82"/>
      <c r="G84" s="82"/>
      <c r="H84" s="82"/>
      <c r="I84" s="82"/>
      <c r="J84" s="82"/>
      <c r="K84" s="82"/>
      <c r="L84" s="82"/>
      <c r="M84" s="82"/>
      <c r="N84" s="82"/>
      <c r="O84" s="82"/>
      <c r="P84" s="82"/>
      <c r="Q84" s="82"/>
      <c r="R84" s="82"/>
      <c r="S84" s="82"/>
      <c r="T84" s="82"/>
      <c r="U84" s="82"/>
      <c r="V84" s="82"/>
      <c r="W84" s="82"/>
      <c r="X84" s="82"/>
      <c r="Y84" s="82"/>
      <c r="Z84" s="82"/>
      <c r="AA84" s="82"/>
      <c r="AB84" s="82"/>
      <c r="AC84" s="82"/>
      <c r="AD84" s="82"/>
      <c r="AE84" s="82"/>
      <c r="AF84" s="4"/>
      <c r="AG84" s="4"/>
      <c r="AJ84" s="4"/>
      <c r="AL84" s="4"/>
      <c r="AM84" s="4"/>
      <c r="AN84" s="4"/>
      <c r="AO84" s="4"/>
      <c r="AW84" s="81"/>
      <c r="BB84" s="81"/>
    </row>
    <row r="85" spans="1:54" s="77" customFormat="1" hidden="1" x14ac:dyDescent="0.2">
      <c r="A85" s="82" t="s">
        <v>110</v>
      </c>
      <c r="B85" s="82">
        <f>VLOOKUP(B24,$A79:$AE83,3,FALSE)</f>
        <v>2797.3454256156274</v>
      </c>
      <c r="C85" s="82">
        <v>1</v>
      </c>
      <c r="D85" s="82">
        <f>VLOOKUP(D24,$A79:$AE83,3,FALSE)</f>
        <v>2578.3608914325077</v>
      </c>
      <c r="E85" s="82">
        <f>VLOOKUP(E24,$A79:$AE83,4,FALSE)</f>
        <v>2836.8425057223294</v>
      </c>
      <c r="F85" s="82">
        <v>2</v>
      </c>
      <c r="G85" s="82">
        <f>VLOOKUP(G24,$A79:$AE83,4,FALSE)</f>
        <v>2614.8962576234244</v>
      </c>
      <c r="H85" s="82">
        <f>VLOOKUP(H24,$A79:$AE83,7,FALSE)</f>
        <v>2737.7307164150166</v>
      </c>
      <c r="I85" s="82">
        <v>3</v>
      </c>
      <c r="J85" s="82">
        <f>VLOOKUP(J24,$A79:$AE83,7,FALSE)</f>
        <v>2564.2249106572235</v>
      </c>
      <c r="K85" s="82">
        <f>VLOOKUP(K24,$A79:$AE83,10,FALSE)</f>
        <v>2811.4814063909116</v>
      </c>
      <c r="L85" s="82">
        <v>4</v>
      </c>
      <c r="M85" s="82">
        <f>VLOOKUP(M24,$A79:$AE83,10,FALSE)</f>
        <v>2632.9471555315013</v>
      </c>
      <c r="N85" s="82">
        <f>VLOOKUP(N24,$A79:$AE83,13,FALSE)</f>
        <v>2818.7916078142525</v>
      </c>
      <c r="O85" s="82">
        <v>5</v>
      </c>
      <c r="P85" s="82">
        <f>VLOOKUP(P24,$A79:$AE83,13,FALSE)</f>
        <v>2754.9583268869242</v>
      </c>
      <c r="Q85" s="82">
        <f>VLOOKUP(Q24,$A79:$AE83,16,FALSE)</f>
        <v>2616.0815395168615</v>
      </c>
      <c r="R85" s="82">
        <v>6</v>
      </c>
      <c r="S85" s="82">
        <f>VLOOKUP(S24,$A79:$AE83,16,FALSE)</f>
        <v>2546.9973001853159</v>
      </c>
      <c r="T85" s="82">
        <f>VLOOKUP(T24,$A79:$AE83,19,FALSE)</f>
        <v>2828.3470224055513</v>
      </c>
      <c r="U85" s="82">
        <v>7</v>
      </c>
      <c r="V85" s="82">
        <f>VLOOKUP(V24,$A79:$AE83,19,FALSE)</f>
        <v>2728.7723178379156</v>
      </c>
      <c r="W85" s="82">
        <f>VLOOKUP(W24,$A79:$AE83,22,FALSE)</f>
        <v>2844.9776168632611</v>
      </c>
      <c r="X85" s="82">
        <v>8</v>
      </c>
      <c r="Y85" s="82">
        <f>VLOOKUP(Y24,$A79:$AE83,22,FALSE)</f>
        <v>2553.2776414259133</v>
      </c>
      <c r="Z85" s="82">
        <f>VLOOKUP(Z24,$A79:$AE83,25,FALSE)</f>
        <v>2705.7003681752008</v>
      </c>
      <c r="AA85" s="82">
        <v>9</v>
      </c>
      <c r="AB85" s="82">
        <f>VLOOKUP(AB24,$A79:$AE83,25,FALSE)</f>
        <v>2609.8011982762641</v>
      </c>
      <c r="AC85" s="82">
        <f>VLOOKUP(AC24,$A79:$AE83,28,FALSE)</f>
        <v>2855.0388473132348</v>
      </c>
      <c r="AD85" s="82">
        <v>10</v>
      </c>
      <c r="AE85" s="82">
        <f>VLOOKUP(AE24,$A79:$AE83,28,FALSE)</f>
        <v>2851.4189720682662</v>
      </c>
      <c r="AF85" s="4"/>
      <c r="AG85" s="95"/>
      <c r="AH85" s="95"/>
      <c r="AI85" s="95"/>
      <c r="AJ85" s="95"/>
      <c r="AK85" s="95"/>
      <c r="AL85" s="95"/>
      <c r="AM85" s="95"/>
      <c r="AN85" s="96"/>
      <c r="AO85" s="96"/>
      <c r="AP85" s="96"/>
      <c r="AQ85" s="96"/>
      <c r="AW85" s="81"/>
      <c r="BB85" s="81"/>
    </row>
    <row r="86" spans="1:54" s="87" customFormat="1" hidden="1" x14ac:dyDescent="0.2">
      <c r="A86" s="83" t="s">
        <v>111</v>
      </c>
      <c r="B86" s="83">
        <f>1/(1+(10^-((B85-D85)/400)))*(B36+D36)</f>
        <v>1.5582506007723749</v>
      </c>
      <c r="C86" s="83"/>
      <c r="D86" s="83">
        <f>1/(1+(10^-((D85-B85)/400)))*(B36+D36)</f>
        <v>0.44174939922762502</v>
      </c>
      <c r="E86" s="83">
        <f>1/(1+(10^-((E85-G85)/400)))*(E36+G36)</f>
        <v>1.5640905596274088</v>
      </c>
      <c r="F86" s="83"/>
      <c r="G86" s="83">
        <f>1/(1+(10^-((G85-E85)/400)))*(E36+G36)</f>
        <v>0.43590944037259133</v>
      </c>
      <c r="H86" s="83">
        <f>1/(1+(10^-((H85-J85)/400)))*(H36+J36)</f>
        <v>1.4616371727528872</v>
      </c>
      <c r="I86" s="83"/>
      <c r="J86" s="83">
        <f>1/(1+(10^-((J85-H85)/400)))*(H36+J36)</f>
        <v>0.53836282724711293</v>
      </c>
      <c r="K86" s="83">
        <f>1/(1+(10^-((K85-M85)/400)))*(K36+M36)</f>
        <v>1.4729494995425036</v>
      </c>
      <c r="L86" s="83"/>
      <c r="M86" s="83">
        <f>1/(1+(10^-((M85-K85)/400)))*(K36+M36)</f>
        <v>0.52705050045749624</v>
      </c>
      <c r="N86" s="83">
        <f>1/(1+(10^-((N85-P85)/400)))*(N36+P36)</f>
        <v>1.1816872172184836</v>
      </c>
      <c r="O86" s="83"/>
      <c r="P86" s="83">
        <f>1/(1+(10^-((P85-N85)/400)))*(N36+P36)</f>
        <v>0.81831278278151642</v>
      </c>
      <c r="Q86" s="83">
        <f>1/(1+(10^-((Q85-S85)/400)))*(Q36+S36)</f>
        <v>1.1962606637686655</v>
      </c>
      <c r="R86" s="83"/>
      <c r="S86" s="83">
        <f>1/(1+(10^-((S85-Q85)/400)))*(Q36+S36)</f>
        <v>0.80373933623133442</v>
      </c>
      <c r="T86" s="83">
        <f>1/(1+(10^-((T85-V85)/400)))*(T36+V36)</f>
        <v>1.2790015730401672</v>
      </c>
      <c r="U86" s="83"/>
      <c r="V86" s="83">
        <f>1/(1+(10^-((V85-T85)/400)))*(T36+V36)</f>
        <v>0.72099842695983285</v>
      </c>
      <c r="W86" s="83">
        <f>1/(1+(10^-((W85-Y85)/400)))*(W36+Y36)</f>
        <v>1.6855865484383186</v>
      </c>
      <c r="X86" s="83"/>
      <c r="Y86" s="83">
        <f>1/(1+(10^-((Y85-W85)/400)))*(W36+Y36)</f>
        <v>0.31441345156168143</v>
      </c>
      <c r="Z86" s="83">
        <f>1/(1+(10^-((Z85-AB85)/400)))*(Z36+AB36)</f>
        <v>1.2692175128134537</v>
      </c>
      <c r="AA86" s="83"/>
      <c r="AB86" s="83">
        <f>1/(1+(10^-((AB85-Z85)/400)))*(Z36+AB36)</f>
        <v>0.73078248718654637</v>
      </c>
      <c r="AC86" s="83">
        <f>1/(1+(10^-((AC85-AE85)/400)))*(AC36+AE36)</f>
        <v>1.0104184614923937</v>
      </c>
      <c r="AD86" s="83"/>
      <c r="AE86" s="83">
        <f>1/(1+(10^-((AE85-AC85)/400)))*(AC36+AE36)</f>
        <v>0.98958153850760633</v>
      </c>
      <c r="AF86" s="84"/>
      <c r="AG86" s="85"/>
      <c r="AH86" s="85"/>
      <c r="AI86" s="85"/>
      <c r="AJ86" s="85"/>
      <c r="AK86" s="85"/>
      <c r="AL86" s="85"/>
      <c r="AM86" s="85"/>
      <c r="AN86" s="86"/>
      <c r="AO86" s="86"/>
      <c r="AP86" s="86"/>
      <c r="AQ86" s="86"/>
      <c r="AW86" s="88"/>
      <c r="BB86" s="88"/>
    </row>
    <row r="87" spans="1:54" s="93" customFormat="1" hidden="1" x14ac:dyDescent="0.2">
      <c r="A87" s="89" t="s">
        <v>112</v>
      </c>
      <c r="B87" s="89">
        <f>B85+(B36-B86)*$BA$1</f>
        <v>2811.4814063909116</v>
      </c>
      <c r="C87" s="89"/>
      <c r="D87" s="89">
        <f>D85+(D36-D86)*$BA$1</f>
        <v>2564.2249106572235</v>
      </c>
      <c r="E87" s="89">
        <f>E85+(E36-E86)*$BA$1</f>
        <v>2818.7916078142525</v>
      </c>
      <c r="F87" s="89"/>
      <c r="G87" s="89">
        <f>G85+(G36-G86)*$BA$1</f>
        <v>2632.9471555315013</v>
      </c>
      <c r="H87" s="89">
        <f>H85+(H36-H86)*$BA$1</f>
        <v>2754.9583268869242</v>
      </c>
      <c r="I87" s="89"/>
      <c r="J87" s="89">
        <f>J85+(J36-J86)*$BA$1</f>
        <v>2546.9973001853159</v>
      </c>
      <c r="K87" s="89">
        <f>K85+(K36-K86)*$BA$1</f>
        <v>2828.3470224055513</v>
      </c>
      <c r="L87" s="89"/>
      <c r="M87" s="89">
        <f>M85+(M36-M86)*$BA$1</f>
        <v>2616.0815395168615</v>
      </c>
      <c r="N87" s="89">
        <f>N85+(N36-N86)*$BA$1</f>
        <v>2844.9776168632611</v>
      </c>
      <c r="O87" s="89"/>
      <c r="P87" s="89">
        <f>P85+(P36-P86)*$BA$1</f>
        <v>2728.7723178379156</v>
      </c>
      <c r="Q87" s="89">
        <f>Q85+(Q36-Q86)*$BA$1</f>
        <v>2609.8011982762641</v>
      </c>
      <c r="R87" s="89"/>
      <c r="S87" s="89">
        <f>S85+(S36-S86)*$BA$1</f>
        <v>2553.2776414259133</v>
      </c>
      <c r="T87" s="89">
        <f>T85+(T36-T86)*$BA$1</f>
        <v>2851.4189720682662</v>
      </c>
      <c r="U87" s="89"/>
      <c r="V87" s="89">
        <f>V85+(V36-V86)*$BA$1</f>
        <v>2705.7003681752008</v>
      </c>
      <c r="W87" s="89">
        <f>W85+(W36-W86)*$BA$1</f>
        <v>2855.0388473132348</v>
      </c>
      <c r="X87" s="89"/>
      <c r="Y87" s="89">
        <f>Y85+(Y36-Y86)*$BA$1</f>
        <v>2543.2164109759397</v>
      </c>
      <c r="Z87" s="89">
        <f>Z85+(Z36-Z86)*$BA$1</f>
        <v>2729.0854077651702</v>
      </c>
      <c r="AA87" s="89"/>
      <c r="AB87" s="89">
        <f>AB85+(AB36-AB86)*$BA$1</f>
        <v>2586.4161586862947</v>
      </c>
      <c r="AC87" s="89">
        <f>AC85+(AC36-AC86)*$BA$1</f>
        <v>2854.7054565454782</v>
      </c>
      <c r="AD87" s="89"/>
      <c r="AE87" s="89">
        <f>AE85+(AE36-AE86)*$BA$1</f>
        <v>2851.7523628360227</v>
      </c>
      <c r="AF87" s="90"/>
      <c r="AG87" s="91"/>
      <c r="AH87" s="91"/>
      <c r="AI87" s="91"/>
      <c r="AJ87" s="91"/>
      <c r="AK87" s="91"/>
      <c r="AL87" s="91"/>
      <c r="AM87" s="91"/>
      <c r="AN87" s="92"/>
      <c r="AO87" s="92"/>
      <c r="AP87" s="92"/>
      <c r="AQ87" s="92"/>
      <c r="AW87" s="94"/>
      <c r="BB87" s="94"/>
    </row>
    <row r="88" spans="1:54" s="93" customFormat="1" hidden="1" x14ac:dyDescent="0.2">
      <c r="A88" s="89"/>
      <c r="B88" s="89"/>
      <c r="C88" s="89"/>
      <c r="D88" s="89"/>
      <c r="E88" s="89"/>
      <c r="F88" s="89"/>
      <c r="G88" s="89"/>
      <c r="H88" s="89"/>
      <c r="I88" s="89"/>
      <c r="J88" s="89"/>
      <c r="K88" s="89"/>
      <c r="L88" s="89"/>
      <c r="M88" s="89"/>
      <c r="N88" s="89"/>
      <c r="O88" s="89"/>
      <c r="P88" s="89"/>
      <c r="Q88" s="89"/>
      <c r="R88" s="89"/>
      <c r="S88" s="89"/>
      <c r="T88" s="89"/>
      <c r="U88" s="89"/>
      <c r="V88" s="89"/>
      <c r="W88" s="89"/>
      <c r="X88" s="89"/>
      <c r="Y88" s="89"/>
      <c r="Z88" s="89"/>
      <c r="AA88" s="89"/>
      <c r="AB88" s="89"/>
      <c r="AC88" s="89"/>
      <c r="AD88" s="89"/>
      <c r="AE88" s="89"/>
      <c r="AF88" s="90"/>
      <c r="AG88" s="91"/>
      <c r="AH88" s="91"/>
      <c r="AI88" s="91"/>
      <c r="AJ88" s="91"/>
      <c r="AK88" s="91"/>
      <c r="AL88" s="91"/>
      <c r="AM88" s="91"/>
      <c r="AN88" s="92"/>
      <c r="AO88" s="92"/>
      <c r="AP88" s="92"/>
      <c r="AQ88" s="92"/>
      <c r="AW88" s="94"/>
      <c r="BB88" s="94"/>
    </row>
    <row r="89" spans="1:54" s="77" customFormat="1" x14ac:dyDescent="0.2">
      <c r="A89" s="281" t="str">
        <f>IF($AK10=1,"Pool Tiereaker : 1) Matches Won vs Lost (if 3 way tie then #4)  2) Head to Head  3) Game Win %  4) Total Pool Net Points  5) Flip a Coin","Pool Tiebreaker : 1) Games Won vs Lost (if 3 way tie then #5)  2) Head to Head  3) Head to Head Net Points  4) Game Win %  5) Total Pool Net Points  6) Flip a Coin")</f>
        <v>Pool Tiebreaker : 1) Games Won vs Lost (if 3 way tie then #5)  2) Head to Head  3) Head to Head Net Points  4) Game Win %  5) Total Pool Net Points  6) Flip a Coin</v>
      </c>
      <c r="B89" s="281"/>
      <c r="C89" s="281"/>
      <c r="D89" s="281"/>
      <c r="E89" s="281"/>
      <c r="F89" s="281"/>
      <c r="G89" s="281"/>
      <c r="H89" s="281"/>
      <c r="I89" s="281"/>
      <c r="J89" s="281"/>
      <c r="K89" s="281"/>
      <c r="L89" s="281"/>
      <c r="M89" s="281"/>
      <c r="N89" s="281"/>
      <c r="O89" s="281"/>
      <c r="P89" s="281"/>
      <c r="Q89" s="281"/>
      <c r="R89" s="281"/>
      <c r="S89" s="281"/>
      <c r="T89" s="281"/>
      <c r="U89" s="281"/>
      <c r="V89" s="281"/>
      <c r="W89" s="281"/>
      <c r="X89" s="281"/>
      <c r="Y89" s="281"/>
      <c r="Z89" s="281"/>
      <c r="AA89" s="281"/>
      <c r="AB89" s="281"/>
      <c r="AC89" s="281"/>
      <c r="AD89" s="281"/>
      <c r="AE89" s="281"/>
      <c r="AF89" s="281"/>
      <c r="AG89" s="281"/>
      <c r="AH89" s="281"/>
      <c r="AI89" s="281"/>
      <c r="AJ89" s="281"/>
      <c r="AK89" s="281"/>
      <c r="AL89" s="281"/>
      <c r="AM89" s="281"/>
      <c r="AN89" s="259"/>
      <c r="AO89" s="259"/>
      <c r="AP89" s="259"/>
      <c r="AQ89" s="259"/>
      <c r="AW89" s="81"/>
    </row>
    <row r="90" spans="1:54" s="77" customFormat="1" ht="13.5" thickBot="1" x14ac:dyDescent="0.25">
      <c r="A90" s="282"/>
      <c r="B90" s="282"/>
      <c r="C90" s="282"/>
      <c r="D90" s="282"/>
      <c r="E90" s="282"/>
      <c r="F90" s="282"/>
      <c r="G90" s="282"/>
      <c r="H90" s="282"/>
      <c r="I90" s="282"/>
      <c r="J90" s="282"/>
      <c r="K90" s="282"/>
      <c r="L90" s="282"/>
      <c r="M90" s="282"/>
      <c r="N90" s="282"/>
      <c r="O90" s="282"/>
      <c r="P90" s="282"/>
      <c r="Q90" s="282"/>
      <c r="R90" s="282"/>
      <c r="S90" s="282"/>
      <c r="T90" s="282"/>
      <c r="U90" s="282"/>
      <c r="V90" s="282"/>
      <c r="W90" s="282"/>
      <c r="X90" s="282"/>
      <c r="Y90" s="282"/>
      <c r="Z90" s="282"/>
      <c r="AA90" s="282"/>
      <c r="AB90" s="282"/>
      <c r="AC90" s="282"/>
      <c r="AD90" s="282"/>
      <c r="AE90" s="282"/>
      <c r="AF90" s="282"/>
      <c r="AG90" s="282"/>
      <c r="AH90" s="282"/>
      <c r="AI90" s="282"/>
      <c r="AJ90" s="282"/>
      <c r="AK90" s="282"/>
      <c r="AL90" s="282"/>
      <c r="AM90" s="282"/>
      <c r="AN90" s="282"/>
      <c r="AO90" s="282"/>
      <c r="AP90" s="282"/>
      <c r="AQ90" s="282"/>
      <c r="AW90" s="81"/>
    </row>
    <row r="91" spans="1:54" ht="24" customHeight="1" thickBot="1" x14ac:dyDescent="0.25">
      <c r="A91" s="27" t="s">
        <v>34</v>
      </c>
      <c r="B91" s="28" t="s">
        <v>113</v>
      </c>
      <c r="C91" s="353" t="s">
        <v>36</v>
      </c>
      <c r="D91" s="354"/>
      <c r="E91" s="354"/>
      <c r="F91" s="354"/>
      <c r="G91" s="354"/>
      <c r="H91" s="355"/>
      <c r="I91" s="356">
        <v>2</v>
      </c>
      <c r="J91" s="357"/>
      <c r="K91" s="358" t="str">
        <f>"Pool "&amp;B91&amp;" - Round 1 - Court "&amp;I91</f>
        <v>Pool B - Round 1 - Court 2</v>
      </c>
      <c r="L91" s="359"/>
      <c r="M91" s="359"/>
      <c r="N91" s="359"/>
      <c r="O91" s="359"/>
      <c r="P91" s="359"/>
      <c r="Q91" s="359"/>
      <c r="R91" s="359"/>
      <c r="S91" s="359"/>
      <c r="T91" s="359"/>
      <c r="U91" s="359"/>
      <c r="V91" s="359"/>
      <c r="W91" s="359"/>
      <c r="X91" s="359"/>
      <c r="Y91" s="359"/>
      <c r="Z91" s="359"/>
      <c r="AA91" s="359"/>
      <c r="AB91" s="359"/>
      <c r="AC91" s="359"/>
      <c r="AD91" s="359"/>
      <c r="AE91" s="359"/>
      <c r="AF91" s="359"/>
      <c r="AG91" s="359"/>
      <c r="AH91" s="359"/>
      <c r="AI91" s="360"/>
      <c r="AJ91" s="8"/>
      <c r="AK91" s="8"/>
      <c r="AL91" s="8"/>
      <c r="AM91" s="8"/>
      <c r="AN91" s="8"/>
      <c r="AO91" s="8"/>
      <c r="AP91" s="8"/>
      <c r="AQ91" s="8"/>
    </row>
    <row r="92" spans="1:54" ht="27" customHeight="1" thickBot="1" x14ac:dyDescent="0.25">
      <c r="A92" s="29" t="s">
        <v>39</v>
      </c>
      <c r="B92" s="361" t="s">
        <v>10</v>
      </c>
      <c r="C92" s="362"/>
      <c r="D92" s="362"/>
      <c r="E92" s="362"/>
      <c r="F92" s="362"/>
      <c r="G92" s="362"/>
      <c r="H92" s="362"/>
      <c r="I92" s="362"/>
      <c r="J92" s="362"/>
      <c r="K92" s="362"/>
      <c r="L92" s="361" t="str">
        <f>IF($AK95=0,"Games Won","Matches Won")</f>
        <v>Games Won</v>
      </c>
      <c r="M92" s="362"/>
      <c r="N92" s="362"/>
      <c r="O92" s="362"/>
      <c r="P92" s="362"/>
      <c r="Q92" s="363"/>
      <c r="R92" s="361" t="str">
        <f>IF($AK95=0,"Games Lost","Matches Lost")</f>
        <v>Games Lost</v>
      </c>
      <c r="S92" s="364"/>
      <c r="T92" s="364"/>
      <c r="U92" s="364"/>
      <c r="V92" s="365"/>
      <c r="W92" s="366" t="s">
        <v>40</v>
      </c>
      <c r="X92" s="367"/>
      <c r="Y92" s="368"/>
      <c r="Z92" s="366" t="s">
        <v>41</v>
      </c>
      <c r="AA92" s="367"/>
      <c r="AB92" s="368"/>
      <c r="AC92" s="369" t="s">
        <v>42</v>
      </c>
      <c r="AD92" s="370"/>
      <c r="AE92" s="371"/>
      <c r="AF92" s="30" t="s">
        <v>43</v>
      </c>
      <c r="AG92" s="31" t="s">
        <v>9</v>
      </c>
      <c r="AH92" s="351" t="s">
        <v>44</v>
      </c>
      <c r="AI92" s="352"/>
      <c r="AJ92" s="32"/>
      <c r="AK92" s="33">
        <v>2</v>
      </c>
      <c r="AL92" s="34" t="s">
        <v>45</v>
      </c>
      <c r="AM92" s="34"/>
      <c r="AN92" s="34"/>
      <c r="AO92" s="34"/>
      <c r="AP92" s="34"/>
      <c r="AQ92" s="34"/>
      <c r="AR92" s="35"/>
    </row>
    <row r="93" spans="1:54" ht="18.75" customHeight="1" x14ac:dyDescent="0.2">
      <c r="A93" s="320" t="str">
        <f>IF($AK94&gt;0,"1","")</f>
        <v>1</v>
      </c>
      <c r="B93" s="348" t="s">
        <v>10</v>
      </c>
      <c r="C93" s="349"/>
      <c r="D93" s="350"/>
      <c r="E93" s="324" t="str">
        <f>AU4</f>
        <v>PRV 17U Alicia</v>
      </c>
      <c r="F93" s="325"/>
      <c r="G93" s="325"/>
      <c r="H93" s="325"/>
      <c r="I93" s="325"/>
      <c r="J93" s="325"/>
      <c r="K93" s="326"/>
      <c r="L93" s="327">
        <f>IF($AK95=0,AF149,AF131)</f>
        <v>8</v>
      </c>
      <c r="M93" s="328"/>
      <c r="N93" s="328"/>
      <c r="O93" s="328"/>
      <c r="P93" s="328"/>
      <c r="Q93" s="363"/>
      <c r="R93" s="327">
        <f>IF($AK95=0,AG149,AG131)</f>
        <v>0</v>
      </c>
      <c r="S93" s="328"/>
      <c r="T93" s="328"/>
      <c r="U93" s="328"/>
      <c r="V93" s="328"/>
      <c r="W93" s="327">
        <f>AQ109</f>
        <v>64</v>
      </c>
      <c r="X93" s="328"/>
      <c r="Y93" s="328"/>
      <c r="Z93" s="300">
        <f>IF(AF143&gt;0,(AQ109/AF143),0)</f>
        <v>0.32</v>
      </c>
      <c r="AA93" s="301"/>
      <c r="AB93" s="301"/>
      <c r="AC93" s="304">
        <f>IF(AF157=0,0,(AF149/AF157))</f>
        <v>1</v>
      </c>
      <c r="AD93" s="305"/>
      <c r="AE93" s="306"/>
      <c r="AF93" s="310">
        <v>1</v>
      </c>
      <c r="AG93" s="310">
        <v>1</v>
      </c>
      <c r="AH93" s="312"/>
      <c r="AI93" s="313"/>
      <c r="AJ93" s="32"/>
      <c r="AK93" s="33">
        <v>10</v>
      </c>
      <c r="AL93" s="34" t="s">
        <v>48</v>
      </c>
      <c r="AM93" s="34"/>
      <c r="AN93" s="34"/>
      <c r="AO93" s="34"/>
      <c r="AP93" s="34"/>
      <c r="AQ93" s="34"/>
      <c r="AR93" s="35"/>
    </row>
    <row r="94" spans="1:54" ht="18.75" customHeight="1" thickBot="1" x14ac:dyDescent="0.25">
      <c r="A94" s="321"/>
      <c r="B94" s="345" t="s">
        <v>11</v>
      </c>
      <c r="C94" s="346"/>
      <c r="D94" s="347"/>
      <c r="E94" s="341" t="str">
        <f>AV4</f>
        <v>fj7prage1pm</v>
      </c>
      <c r="F94" s="342"/>
      <c r="G94" s="342"/>
      <c r="H94" s="342"/>
      <c r="I94" s="342"/>
      <c r="J94" s="342"/>
      <c r="K94" s="342"/>
      <c r="L94" s="343"/>
      <c r="M94" s="344"/>
      <c r="N94" s="344"/>
      <c r="O94" s="344"/>
      <c r="P94" s="344"/>
      <c r="Q94" s="363"/>
      <c r="R94" s="343"/>
      <c r="S94" s="344"/>
      <c r="T94" s="344"/>
      <c r="U94" s="344"/>
      <c r="V94" s="344"/>
      <c r="W94" s="343"/>
      <c r="X94" s="344"/>
      <c r="Y94" s="344"/>
      <c r="Z94" s="331"/>
      <c r="AA94" s="332"/>
      <c r="AB94" s="332"/>
      <c r="AC94" s="333"/>
      <c r="AD94" s="334"/>
      <c r="AE94" s="335"/>
      <c r="AF94" s="336"/>
      <c r="AG94" s="336"/>
      <c r="AH94" s="337"/>
      <c r="AI94" s="338"/>
      <c r="AJ94" s="32"/>
      <c r="AK94" s="33">
        <v>5</v>
      </c>
      <c r="AL94" s="34" t="s">
        <v>51</v>
      </c>
      <c r="AM94" s="32"/>
      <c r="AN94" s="32"/>
      <c r="AO94" s="32"/>
      <c r="AP94" s="32"/>
      <c r="AQ94" s="32"/>
      <c r="AR94" s="3"/>
    </row>
    <row r="95" spans="1:54" ht="18.75" customHeight="1" x14ac:dyDescent="0.2">
      <c r="A95" s="320" t="str">
        <f>IF($AK94&gt;1,"2","")</f>
        <v>2</v>
      </c>
      <c r="B95" s="348" t="s">
        <v>10</v>
      </c>
      <c r="C95" s="349"/>
      <c r="D95" s="350"/>
      <c r="E95" s="324" t="str">
        <f>AU7</f>
        <v>Auggies</v>
      </c>
      <c r="F95" s="325"/>
      <c r="G95" s="325"/>
      <c r="H95" s="325"/>
      <c r="I95" s="325"/>
      <c r="J95" s="325"/>
      <c r="K95" s="326"/>
      <c r="L95" s="327">
        <f>IF($AK95=0,AF150,AF132)</f>
        <v>2</v>
      </c>
      <c r="M95" s="328"/>
      <c r="N95" s="328"/>
      <c r="O95" s="328"/>
      <c r="P95" s="328"/>
      <c r="Q95" s="363"/>
      <c r="R95" s="327">
        <f>IF($AK95=0,AG150,AG132)</f>
        <v>6</v>
      </c>
      <c r="S95" s="328"/>
      <c r="T95" s="328"/>
      <c r="U95" s="328"/>
      <c r="V95" s="328"/>
      <c r="W95" s="327">
        <f>AQ110</f>
        <v>-60</v>
      </c>
      <c r="X95" s="328"/>
      <c r="Y95" s="328"/>
      <c r="Z95" s="300">
        <f>IF(AF144&gt;0,(AQ110/AF144),0)</f>
        <v>-0.29702970297029702</v>
      </c>
      <c r="AA95" s="301"/>
      <c r="AB95" s="301"/>
      <c r="AC95" s="304">
        <f>IF(AF158=0,0,(AF150/AF158))</f>
        <v>0.25</v>
      </c>
      <c r="AD95" s="305"/>
      <c r="AE95" s="306"/>
      <c r="AF95" s="310">
        <v>5</v>
      </c>
      <c r="AG95" s="310">
        <v>3</v>
      </c>
      <c r="AH95" s="312"/>
      <c r="AI95" s="313"/>
      <c r="AJ95" s="32"/>
      <c r="AK95" s="33">
        <v>0</v>
      </c>
      <c r="AL95" s="34" t="s">
        <v>54</v>
      </c>
      <c r="AM95" s="34"/>
      <c r="AN95" s="34"/>
      <c r="AO95" s="34"/>
      <c r="AP95" s="34"/>
      <c r="AQ95" s="34"/>
      <c r="AR95" s="35"/>
    </row>
    <row r="96" spans="1:54" ht="18.75" customHeight="1" thickBot="1" x14ac:dyDescent="0.25">
      <c r="A96" s="321"/>
      <c r="B96" s="339" t="s">
        <v>11</v>
      </c>
      <c r="C96" s="340"/>
      <c r="D96" s="340"/>
      <c r="E96" s="341" t="str">
        <f>AV7</f>
        <v>fj7svavc1so</v>
      </c>
      <c r="F96" s="342"/>
      <c r="G96" s="342"/>
      <c r="H96" s="342"/>
      <c r="I96" s="342"/>
      <c r="J96" s="342"/>
      <c r="K96" s="342"/>
      <c r="L96" s="343"/>
      <c r="M96" s="344"/>
      <c r="N96" s="344"/>
      <c r="O96" s="344"/>
      <c r="P96" s="344"/>
      <c r="Q96" s="363"/>
      <c r="R96" s="343"/>
      <c r="S96" s="344"/>
      <c r="T96" s="344"/>
      <c r="U96" s="344"/>
      <c r="V96" s="344"/>
      <c r="W96" s="343"/>
      <c r="X96" s="344"/>
      <c r="Y96" s="344"/>
      <c r="Z96" s="331"/>
      <c r="AA96" s="332"/>
      <c r="AB96" s="332"/>
      <c r="AC96" s="333"/>
      <c r="AD96" s="334"/>
      <c r="AE96" s="335"/>
      <c r="AF96" s="336"/>
      <c r="AG96" s="336"/>
      <c r="AH96" s="337"/>
      <c r="AI96" s="338"/>
      <c r="AJ96" s="32"/>
      <c r="AK96" s="33">
        <v>1</v>
      </c>
      <c r="AL96" s="34" t="s">
        <v>56</v>
      </c>
      <c r="AM96" s="32"/>
      <c r="AN96" s="32"/>
      <c r="AO96" s="32"/>
      <c r="AP96" s="32"/>
      <c r="AQ96" s="32"/>
      <c r="AR96" s="3"/>
    </row>
    <row r="97" spans="1:44" ht="18.75" customHeight="1" x14ac:dyDescent="0.2">
      <c r="A97" s="320" t="str">
        <f>IF($AK94&gt;2,"3","")</f>
        <v>3</v>
      </c>
      <c r="B97" s="322" t="s">
        <v>10</v>
      </c>
      <c r="C97" s="323"/>
      <c r="D97" s="323"/>
      <c r="E97" s="324" t="str">
        <f>AU10</f>
        <v>Lake Murray 17 Red</v>
      </c>
      <c r="F97" s="325"/>
      <c r="G97" s="325"/>
      <c r="H97" s="325"/>
      <c r="I97" s="325"/>
      <c r="J97" s="325"/>
      <c r="K97" s="326"/>
      <c r="L97" s="327">
        <f>IF($AK95=0,AF151,AF133)</f>
        <v>3</v>
      </c>
      <c r="M97" s="328"/>
      <c r="N97" s="328"/>
      <c r="O97" s="328"/>
      <c r="P97" s="328"/>
      <c r="Q97" s="363"/>
      <c r="R97" s="327">
        <f>IF($AK95=0,AG151,AG133)</f>
        <v>5</v>
      </c>
      <c r="S97" s="328"/>
      <c r="T97" s="328"/>
      <c r="U97" s="328"/>
      <c r="V97" s="328"/>
      <c r="W97" s="327">
        <f>AQ111</f>
        <v>4</v>
      </c>
      <c r="X97" s="328"/>
      <c r="Y97" s="328"/>
      <c r="Z97" s="300">
        <f>IF(AF145&gt;0,(AQ111/AF145),0)</f>
        <v>0.02</v>
      </c>
      <c r="AA97" s="301"/>
      <c r="AB97" s="301"/>
      <c r="AC97" s="304">
        <f>IF(AF159=0,0,(AF151/AF159))</f>
        <v>0.375</v>
      </c>
      <c r="AD97" s="305"/>
      <c r="AE97" s="306"/>
      <c r="AF97" s="310">
        <v>3</v>
      </c>
      <c r="AG97" s="310">
        <v>1</v>
      </c>
      <c r="AH97" s="312"/>
      <c r="AI97" s="313"/>
      <c r="AJ97" s="43"/>
      <c r="AK97" s="33">
        <v>8</v>
      </c>
      <c r="AL97" s="44" t="s">
        <v>57</v>
      </c>
      <c r="AM97" s="34"/>
      <c r="AN97" s="34"/>
      <c r="AO97" s="34"/>
      <c r="AP97" s="34"/>
      <c r="AQ97" s="34"/>
      <c r="AR97" s="35"/>
    </row>
    <row r="98" spans="1:44" ht="18.75" customHeight="1" thickBot="1" x14ac:dyDescent="0.25">
      <c r="A98" s="321"/>
      <c r="B98" s="339" t="s">
        <v>11</v>
      </c>
      <c r="C98" s="340"/>
      <c r="D98" s="340"/>
      <c r="E98" s="341" t="str">
        <f>AV10</f>
        <v>fj7lakem1pm</v>
      </c>
      <c r="F98" s="342"/>
      <c r="G98" s="342"/>
      <c r="H98" s="342"/>
      <c r="I98" s="342"/>
      <c r="J98" s="342"/>
      <c r="K98" s="342"/>
      <c r="L98" s="343"/>
      <c r="M98" s="344"/>
      <c r="N98" s="344"/>
      <c r="O98" s="344"/>
      <c r="P98" s="344"/>
      <c r="Q98" s="363"/>
      <c r="R98" s="343"/>
      <c r="S98" s="344"/>
      <c r="T98" s="344"/>
      <c r="U98" s="344"/>
      <c r="V98" s="344"/>
      <c r="W98" s="343"/>
      <c r="X98" s="344"/>
      <c r="Y98" s="344"/>
      <c r="Z98" s="331"/>
      <c r="AA98" s="332"/>
      <c r="AB98" s="332"/>
      <c r="AC98" s="333"/>
      <c r="AD98" s="334"/>
      <c r="AE98" s="335"/>
      <c r="AF98" s="336"/>
      <c r="AG98" s="336"/>
      <c r="AH98" s="337"/>
      <c r="AI98" s="338"/>
      <c r="AJ98" s="43"/>
      <c r="AK98" s="51"/>
      <c r="AL98" s="52"/>
      <c r="AM98" s="52"/>
      <c r="AN98" s="52"/>
      <c r="AO98" s="52"/>
      <c r="AP98" s="52"/>
      <c r="AQ98" s="32"/>
      <c r="AR98" s="3"/>
    </row>
    <row r="99" spans="1:44" ht="18.75" customHeight="1" x14ac:dyDescent="0.2">
      <c r="A99" s="320" t="str">
        <f>IF($AK94&gt;3,"4","")</f>
        <v>4</v>
      </c>
      <c r="B99" s="322" t="s">
        <v>10</v>
      </c>
      <c r="C99" s="323"/>
      <c r="D99" s="323"/>
      <c r="E99" s="324" t="str">
        <f>AU13</f>
        <v>Magnum 16 Mizuno</v>
      </c>
      <c r="F99" s="325"/>
      <c r="G99" s="325"/>
      <c r="H99" s="325"/>
      <c r="I99" s="325"/>
      <c r="J99" s="325"/>
      <c r="K99" s="326"/>
      <c r="L99" s="327">
        <f>IF($AK95=0,AF152,AF134)</f>
        <v>5</v>
      </c>
      <c r="M99" s="328"/>
      <c r="N99" s="328"/>
      <c r="O99" s="328"/>
      <c r="P99" s="328"/>
      <c r="Q99" s="363"/>
      <c r="R99" s="327">
        <f>IF($AK95=0,AG152,AG134)</f>
        <v>3</v>
      </c>
      <c r="S99" s="328"/>
      <c r="T99" s="328"/>
      <c r="U99" s="328"/>
      <c r="V99" s="328"/>
      <c r="W99" s="327">
        <f>AQ112</f>
        <v>37</v>
      </c>
      <c r="X99" s="328"/>
      <c r="Y99" s="328"/>
      <c r="Z99" s="300">
        <f>IF(AF146&gt;0,(AQ112/AF146),0)</f>
        <v>0.18316831683168316</v>
      </c>
      <c r="AA99" s="301"/>
      <c r="AB99" s="301"/>
      <c r="AC99" s="304">
        <f>IF(AF160=0,0,(AF152/AF160))</f>
        <v>0.625</v>
      </c>
      <c r="AD99" s="305"/>
      <c r="AE99" s="306"/>
      <c r="AF99" s="310">
        <v>2</v>
      </c>
      <c r="AG99" s="310">
        <v>1</v>
      </c>
      <c r="AH99" s="312"/>
      <c r="AI99" s="313"/>
      <c r="AJ99" s="8"/>
      <c r="AK99" s="52"/>
      <c r="AL99" s="52"/>
      <c r="AM99" s="52"/>
      <c r="AN99" s="52"/>
      <c r="AO99" s="52"/>
      <c r="AP99" s="52"/>
      <c r="AQ99" s="34"/>
      <c r="AR99" s="35"/>
    </row>
    <row r="100" spans="1:44" ht="18.75" customHeight="1" thickBot="1" x14ac:dyDescent="0.25">
      <c r="A100" s="321"/>
      <c r="B100" s="339" t="s">
        <v>11</v>
      </c>
      <c r="C100" s="340"/>
      <c r="D100" s="340"/>
      <c r="E100" s="341" t="str">
        <f>AV13</f>
        <v>fj6magnm1pm</v>
      </c>
      <c r="F100" s="342"/>
      <c r="G100" s="342"/>
      <c r="H100" s="342"/>
      <c r="I100" s="342"/>
      <c r="J100" s="342"/>
      <c r="K100" s="342"/>
      <c r="L100" s="343"/>
      <c r="M100" s="344"/>
      <c r="N100" s="344"/>
      <c r="O100" s="344"/>
      <c r="P100" s="344"/>
      <c r="Q100" s="363"/>
      <c r="R100" s="343"/>
      <c r="S100" s="344"/>
      <c r="T100" s="344"/>
      <c r="U100" s="344"/>
      <c r="V100" s="344"/>
      <c r="W100" s="343"/>
      <c r="X100" s="344"/>
      <c r="Y100" s="344"/>
      <c r="Z100" s="331"/>
      <c r="AA100" s="332"/>
      <c r="AB100" s="332"/>
      <c r="AC100" s="333"/>
      <c r="AD100" s="334"/>
      <c r="AE100" s="335"/>
      <c r="AF100" s="336"/>
      <c r="AG100" s="336"/>
      <c r="AH100" s="337"/>
      <c r="AI100" s="338"/>
      <c r="AJ100" s="8"/>
      <c r="AK100" s="52"/>
      <c r="AL100" s="52"/>
      <c r="AM100" s="52"/>
      <c r="AN100" s="52"/>
      <c r="AO100" s="52"/>
      <c r="AP100" s="52"/>
      <c r="AQ100" s="8"/>
      <c r="AR100" s="3"/>
    </row>
    <row r="101" spans="1:44" ht="18.75" customHeight="1" x14ac:dyDescent="0.2">
      <c r="A101" s="320" t="str">
        <f>IF($AK94&gt;4,"5","")</f>
        <v>5</v>
      </c>
      <c r="B101" s="322" t="s">
        <v>10</v>
      </c>
      <c r="C101" s="323"/>
      <c r="D101" s="323"/>
      <c r="E101" s="324" t="str">
        <f>AU16</f>
        <v>Intense 17 Perf RH</v>
      </c>
      <c r="F101" s="325"/>
      <c r="G101" s="325"/>
      <c r="H101" s="325"/>
      <c r="I101" s="325"/>
      <c r="J101" s="325"/>
      <c r="K101" s="326"/>
      <c r="L101" s="327">
        <f>IF($AK95=0,AF153,AF135)</f>
        <v>2</v>
      </c>
      <c r="M101" s="328"/>
      <c r="N101" s="328"/>
      <c r="O101" s="328"/>
      <c r="P101" s="328"/>
      <c r="Q101" s="363"/>
      <c r="R101" s="327">
        <f>IF($AK95=0,AG153,AG135)</f>
        <v>6</v>
      </c>
      <c r="S101" s="328"/>
      <c r="T101" s="328"/>
      <c r="U101" s="328"/>
      <c r="V101" s="328"/>
      <c r="W101" s="327">
        <f>AQ113</f>
        <v>-45</v>
      </c>
      <c r="X101" s="328"/>
      <c r="Y101" s="328"/>
      <c r="Z101" s="300">
        <f>IF(AF147&gt;0,(AQ113/AF147),0)</f>
        <v>-0.22500000000000001</v>
      </c>
      <c r="AA101" s="301"/>
      <c r="AB101" s="301"/>
      <c r="AC101" s="304">
        <f>IF(AF161=0,0,(AF153/AF161))</f>
        <v>0.25</v>
      </c>
      <c r="AD101" s="305"/>
      <c r="AE101" s="306"/>
      <c r="AF101" s="310">
        <v>4</v>
      </c>
      <c r="AG101" s="310">
        <v>3</v>
      </c>
      <c r="AH101" s="312"/>
      <c r="AI101" s="313"/>
      <c r="AJ101" s="8"/>
      <c r="AK101" s="52"/>
      <c r="AL101" s="52"/>
      <c r="AM101" s="52"/>
      <c r="AN101" s="52"/>
      <c r="AO101" s="52"/>
      <c r="AP101" s="52"/>
      <c r="AQ101" s="8"/>
      <c r="AR101" s="3"/>
    </row>
    <row r="102" spans="1:44" ht="18.75" customHeight="1" thickBot="1" x14ac:dyDescent="0.25">
      <c r="A102" s="321"/>
      <c r="B102" s="316" t="s">
        <v>11</v>
      </c>
      <c r="C102" s="317"/>
      <c r="D102" s="317"/>
      <c r="E102" s="318" t="str">
        <f>AV16</f>
        <v>fj7inten1pm</v>
      </c>
      <c r="F102" s="319"/>
      <c r="G102" s="319"/>
      <c r="H102" s="319"/>
      <c r="I102" s="319"/>
      <c r="J102" s="319"/>
      <c r="K102" s="319"/>
      <c r="L102" s="329"/>
      <c r="M102" s="330"/>
      <c r="N102" s="330"/>
      <c r="O102" s="330"/>
      <c r="P102" s="330"/>
      <c r="Q102" s="363"/>
      <c r="R102" s="329"/>
      <c r="S102" s="330"/>
      <c r="T102" s="330"/>
      <c r="U102" s="330"/>
      <c r="V102" s="330"/>
      <c r="W102" s="329"/>
      <c r="X102" s="330"/>
      <c r="Y102" s="330"/>
      <c r="Z102" s="302"/>
      <c r="AA102" s="303"/>
      <c r="AB102" s="303"/>
      <c r="AC102" s="307"/>
      <c r="AD102" s="308"/>
      <c r="AE102" s="309"/>
      <c r="AF102" s="311"/>
      <c r="AG102" s="311"/>
      <c r="AH102" s="314"/>
      <c r="AI102" s="315"/>
      <c r="AJ102" s="8"/>
      <c r="AK102" s="52"/>
      <c r="AL102" s="52"/>
      <c r="AM102" s="52"/>
      <c r="AN102" s="52"/>
      <c r="AO102" s="52"/>
      <c r="AP102" s="52"/>
      <c r="AQ102" s="8"/>
      <c r="AR102" s="3"/>
    </row>
    <row r="103" spans="1:44" ht="21" customHeight="1" thickTop="1" thickBot="1" x14ac:dyDescent="0.25">
      <c r="A103" s="55"/>
      <c r="B103" s="297" t="s">
        <v>1047</v>
      </c>
      <c r="C103" s="298"/>
      <c r="D103" s="298"/>
      <c r="E103" s="298"/>
      <c r="F103" s="298"/>
      <c r="G103" s="298"/>
      <c r="H103" s="298"/>
      <c r="I103" s="298"/>
      <c r="J103" s="298"/>
      <c r="K103" s="298"/>
      <c r="L103" s="298"/>
      <c r="M103" s="298"/>
      <c r="N103" s="298"/>
      <c r="O103" s="298"/>
      <c r="P103" s="298"/>
      <c r="Q103" s="298"/>
      <c r="R103" s="298"/>
      <c r="S103" s="298"/>
      <c r="T103" s="298"/>
      <c r="U103" s="298"/>
      <c r="V103" s="298"/>
      <c r="W103" s="298"/>
      <c r="X103" s="298"/>
      <c r="Y103" s="298"/>
      <c r="Z103" s="298"/>
      <c r="AA103" s="298"/>
      <c r="AB103" s="298"/>
      <c r="AC103" s="298"/>
      <c r="AD103" s="298"/>
      <c r="AE103" s="298"/>
      <c r="AF103" s="298"/>
      <c r="AG103" s="298"/>
      <c r="AH103" s="298"/>
      <c r="AI103" s="299"/>
      <c r="AJ103" s="8"/>
      <c r="AK103" s="52"/>
      <c r="AL103" s="52"/>
      <c r="AM103" s="52"/>
      <c r="AN103" s="52"/>
      <c r="AO103" s="52"/>
      <c r="AP103" s="52"/>
      <c r="AQ103" s="8"/>
      <c r="AR103" s="3"/>
    </row>
    <row r="104" spans="1:44" ht="13.5" thickTop="1" x14ac:dyDescent="0.2">
      <c r="A104" s="4" t="s">
        <v>60</v>
      </c>
      <c r="B104" s="286">
        <v>0.35416666666666669</v>
      </c>
      <c r="C104" s="287"/>
      <c r="D104" s="288"/>
      <c r="E104" s="286">
        <v>0.38194444444444442</v>
      </c>
      <c r="F104" s="287"/>
      <c r="G104" s="288"/>
      <c r="H104" s="286">
        <v>0.40972222222222227</v>
      </c>
      <c r="I104" s="287"/>
      <c r="J104" s="288"/>
      <c r="K104" s="286">
        <v>0.4375</v>
      </c>
      <c r="L104" s="287"/>
      <c r="M104" s="288"/>
      <c r="N104" s="286">
        <v>0.46527777777777773</v>
      </c>
      <c r="O104" s="287"/>
      <c r="P104" s="288"/>
      <c r="Q104" s="286">
        <v>0.49305555555555558</v>
      </c>
      <c r="R104" s="287"/>
      <c r="S104" s="288"/>
      <c r="T104" s="286">
        <v>0.52083333333333337</v>
      </c>
      <c r="U104" s="287"/>
      <c r="V104" s="288"/>
      <c r="W104" s="286">
        <v>4.8611111111111112E-2</v>
      </c>
      <c r="X104" s="287"/>
      <c r="Y104" s="288"/>
      <c r="Z104" s="286">
        <v>7.6388888888888895E-2</v>
      </c>
      <c r="AA104" s="287"/>
      <c r="AB104" s="288"/>
      <c r="AC104" s="286">
        <v>0.10416666666666667</v>
      </c>
      <c r="AD104" s="287"/>
      <c r="AE104" s="288"/>
      <c r="AF104" s="289" t="s">
        <v>61</v>
      </c>
      <c r="AG104" s="290"/>
      <c r="AH104" s="290"/>
      <c r="AI104" s="290"/>
      <c r="AJ104" s="291"/>
      <c r="AK104" s="291"/>
      <c r="AL104" s="291"/>
      <c r="AM104" s="291"/>
      <c r="AN104" s="291"/>
      <c r="AO104" s="291"/>
      <c r="AP104" s="291"/>
      <c r="AQ104" s="292"/>
    </row>
    <row r="105" spans="1:44" x14ac:dyDescent="0.2">
      <c r="A105" s="56" t="s">
        <v>62</v>
      </c>
      <c r="B105" s="283"/>
      <c r="C105" s="284"/>
      <c r="D105" s="285"/>
      <c r="E105" s="283"/>
      <c r="F105" s="284"/>
      <c r="G105" s="285"/>
      <c r="H105" s="283"/>
      <c r="I105" s="284"/>
      <c r="J105" s="285"/>
      <c r="K105" s="283"/>
      <c r="L105" s="284"/>
      <c r="M105" s="285"/>
      <c r="N105" s="283"/>
      <c r="O105" s="284"/>
      <c r="P105" s="285"/>
      <c r="Q105" s="283"/>
      <c r="R105" s="284"/>
      <c r="S105" s="285"/>
      <c r="T105" s="283"/>
      <c r="U105" s="284"/>
      <c r="V105" s="285"/>
      <c r="W105" s="283"/>
      <c r="X105" s="284"/>
      <c r="Y105" s="285"/>
      <c r="Z105" s="283"/>
      <c r="AA105" s="284"/>
      <c r="AB105" s="285"/>
      <c r="AC105" s="283"/>
      <c r="AD105" s="284"/>
      <c r="AE105" s="285"/>
      <c r="AF105" s="289"/>
      <c r="AG105" s="290"/>
      <c r="AH105" s="290"/>
      <c r="AI105" s="290"/>
      <c r="AJ105" s="290"/>
      <c r="AK105" s="290"/>
      <c r="AL105" s="290"/>
      <c r="AM105" s="290"/>
      <c r="AN105" s="290"/>
      <c r="AO105" s="290"/>
      <c r="AP105" s="290"/>
      <c r="AQ105" s="293"/>
    </row>
    <row r="106" spans="1:44" x14ac:dyDescent="0.2">
      <c r="A106" s="56" t="s">
        <v>63</v>
      </c>
      <c r="B106" s="283"/>
      <c r="C106" s="284"/>
      <c r="D106" s="285"/>
      <c r="E106" s="283"/>
      <c r="F106" s="284"/>
      <c r="G106" s="285"/>
      <c r="H106" s="283"/>
      <c r="I106" s="284"/>
      <c r="J106" s="285"/>
      <c r="K106" s="283"/>
      <c r="L106" s="284"/>
      <c r="M106" s="285"/>
      <c r="N106" s="283"/>
      <c r="O106" s="284"/>
      <c r="P106" s="285"/>
      <c r="Q106" s="283"/>
      <c r="R106" s="284"/>
      <c r="S106" s="285"/>
      <c r="T106" s="283"/>
      <c r="U106" s="284"/>
      <c r="V106" s="285"/>
      <c r="W106" s="283"/>
      <c r="X106" s="284"/>
      <c r="Y106" s="285"/>
      <c r="Z106" s="283"/>
      <c r="AA106" s="284"/>
      <c r="AB106" s="285"/>
      <c r="AC106" s="283"/>
      <c r="AD106" s="284"/>
      <c r="AE106" s="285"/>
      <c r="AF106" s="289"/>
      <c r="AG106" s="290"/>
      <c r="AH106" s="290"/>
      <c r="AI106" s="290"/>
      <c r="AJ106" s="290"/>
      <c r="AK106" s="290"/>
      <c r="AL106" s="290"/>
      <c r="AM106" s="290"/>
      <c r="AN106" s="290"/>
      <c r="AO106" s="290"/>
      <c r="AP106" s="290"/>
      <c r="AQ106" s="293"/>
    </row>
    <row r="107" spans="1:44" ht="13.5" thickBot="1" x14ac:dyDescent="0.25">
      <c r="A107" s="8"/>
      <c r="B107" s="173" t="s">
        <v>64</v>
      </c>
      <c r="C107" s="174"/>
      <c r="D107" s="180"/>
      <c r="E107" s="173" t="str">
        <f>IF(AK93&gt;1,"Match 2","")</f>
        <v>Match 2</v>
      </c>
      <c r="F107" s="174"/>
      <c r="G107" s="180"/>
      <c r="H107" s="173" t="str">
        <f>IF(AK93&gt;2,"Match 3","")</f>
        <v>Match 3</v>
      </c>
      <c r="I107" s="174"/>
      <c r="J107" s="180"/>
      <c r="K107" s="173" t="str">
        <f>IF(AK93&gt;3,"Match 4","")</f>
        <v>Match 4</v>
      </c>
      <c r="L107" s="174"/>
      <c r="M107" s="180"/>
      <c r="N107" s="173" t="str">
        <f>IF(AK93&gt;4,"Match 5","")</f>
        <v>Match 5</v>
      </c>
      <c r="O107" s="174"/>
      <c r="P107" s="180"/>
      <c r="Q107" s="173" t="str">
        <f>IF(AK93&gt;5,"Match 6","")</f>
        <v>Match 6</v>
      </c>
      <c r="R107" s="174"/>
      <c r="S107" s="180"/>
      <c r="T107" s="173" t="str">
        <f>IF(AK93&gt;6,"Match 7","")</f>
        <v>Match 7</v>
      </c>
      <c r="U107" s="174"/>
      <c r="V107" s="180"/>
      <c r="W107" s="173" t="str">
        <f>IF(AK93&gt;7,"Match 8","")</f>
        <v>Match 8</v>
      </c>
      <c r="X107" s="174"/>
      <c r="Y107" s="180"/>
      <c r="Z107" s="173" t="str">
        <f>IF(AK93&gt;8,"Match 9","")</f>
        <v>Match 9</v>
      </c>
      <c r="AA107" s="174"/>
      <c r="AB107" s="180"/>
      <c r="AC107" s="173" t="str">
        <f>IF(AK93&gt;9,"Match 10","")</f>
        <v>Match 10</v>
      </c>
      <c r="AD107" s="174"/>
      <c r="AE107" s="180"/>
      <c r="AF107" s="294"/>
      <c r="AG107" s="295"/>
      <c r="AH107" s="295"/>
      <c r="AI107" s="295"/>
      <c r="AJ107" s="295"/>
      <c r="AK107" s="295"/>
      <c r="AL107" s="295"/>
      <c r="AM107" s="295"/>
      <c r="AN107" s="295"/>
      <c r="AO107" s="295"/>
      <c r="AP107" s="295"/>
      <c r="AQ107" s="296"/>
    </row>
    <row r="108" spans="1:44" ht="15.75" x14ac:dyDescent="0.25">
      <c r="A108" s="8"/>
      <c r="B108" s="277" t="s">
        <v>68</v>
      </c>
      <c r="C108" s="278"/>
      <c r="D108" s="279"/>
      <c r="E108" s="277" t="s">
        <v>67</v>
      </c>
      <c r="F108" s="278"/>
      <c r="G108" s="279"/>
      <c r="H108" s="277" t="s">
        <v>65</v>
      </c>
      <c r="I108" s="278"/>
      <c r="J108" s="279"/>
      <c r="K108" s="277" t="s">
        <v>204</v>
      </c>
      <c r="L108" s="278"/>
      <c r="M108" s="279"/>
      <c r="N108" s="277" t="s">
        <v>66</v>
      </c>
      <c r="O108" s="278"/>
      <c r="P108" s="279"/>
      <c r="Q108" s="277" t="s">
        <v>65</v>
      </c>
      <c r="R108" s="278"/>
      <c r="S108" s="279"/>
      <c r="T108" s="277" t="s">
        <v>68</v>
      </c>
      <c r="U108" s="278"/>
      <c r="V108" s="279"/>
      <c r="W108" s="277" t="s">
        <v>66</v>
      </c>
      <c r="X108" s="278"/>
      <c r="Y108" s="279"/>
      <c r="Z108" s="277" t="s">
        <v>204</v>
      </c>
      <c r="AA108" s="278"/>
      <c r="AB108" s="279"/>
      <c r="AC108" s="277" t="s">
        <v>67</v>
      </c>
      <c r="AD108" s="278"/>
      <c r="AE108" s="279"/>
      <c r="AF108" s="57" t="s">
        <v>70</v>
      </c>
      <c r="AG108" s="58">
        <v>1</v>
      </c>
      <c r="AH108" s="58">
        <v>2</v>
      </c>
      <c r="AI108" s="58">
        <v>3</v>
      </c>
      <c r="AJ108" s="58">
        <v>4</v>
      </c>
      <c r="AK108" s="58">
        <v>5</v>
      </c>
      <c r="AL108" s="58">
        <v>6</v>
      </c>
      <c r="AM108" s="58">
        <v>7</v>
      </c>
      <c r="AN108" s="58">
        <v>8</v>
      </c>
      <c r="AO108" s="58">
        <v>9</v>
      </c>
      <c r="AP108" s="58">
        <v>10</v>
      </c>
      <c r="AQ108" s="59" t="s">
        <v>71</v>
      </c>
    </row>
    <row r="109" spans="1:44" ht="15.75" x14ac:dyDescent="0.25">
      <c r="A109" s="8"/>
      <c r="B109" s="61">
        <v>2</v>
      </c>
      <c r="C109" s="62" t="s">
        <v>72</v>
      </c>
      <c r="D109" s="63">
        <v>5</v>
      </c>
      <c r="E109" s="61">
        <v>1</v>
      </c>
      <c r="F109" s="62" t="str">
        <f>IF(AK93&gt;1,"v","")</f>
        <v>v</v>
      </c>
      <c r="G109" s="63">
        <v>4</v>
      </c>
      <c r="H109" s="61">
        <v>3</v>
      </c>
      <c r="I109" s="62" t="str">
        <f>IF(AK93&gt;2,"v","")</f>
        <v>v</v>
      </c>
      <c r="J109" s="63">
        <v>5</v>
      </c>
      <c r="K109" s="61">
        <v>2</v>
      </c>
      <c r="L109" s="62" t="str">
        <f>IF(AK93&gt;3,"v","")</f>
        <v>v</v>
      </c>
      <c r="M109" s="63">
        <v>4</v>
      </c>
      <c r="N109" s="61">
        <v>1</v>
      </c>
      <c r="O109" s="62" t="str">
        <f>IF(AK93&gt;4,"v","")</f>
        <v>v</v>
      </c>
      <c r="P109" s="63">
        <v>3</v>
      </c>
      <c r="Q109" s="61">
        <v>4</v>
      </c>
      <c r="R109" s="62" t="str">
        <f>IF(AK93&gt;5,"v","")</f>
        <v>v</v>
      </c>
      <c r="S109" s="63">
        <v>5</v>
      </c>
      <c r="T109" s="61">
        <v>2</v>
      </c>
      <c r="U109" s="62" t="str">
        <f>IF(AK93&gt;6,"v","")</f>
        <v>v</v>
      </c>
      <c r="V109" s="63">
        <v>3</v>
      </c>
      <c r="W109" s="61">
        <v>1</v>
      </c>
      <c r="X109" s="62" t="str">
        <f>IF(AK93&gt;7,"v","")</f>
        <v>v</v>
      </c>
      <c r="Y109" s="63">
        <v>5</v>
      </c>
      <c r="Z109" s="61">
        <v>3</v>
      </c>
      <c r="AA109" s="62" t="str">
        <f>IF(AK93&gt;8,"v","")</f>
        <v>v</v>
      </c>
      <c r="AB109" s="63">
        <v>4</v>
      </c>
      <c r="AC109" s="61">
        <v>1</v>
      </c>
      <c r="AD109" s="62" t="str">
        <f>IF(AK93&gt;9,"v","")</f>
        <v>v</v>
      </c>
      <c r="AE109" s="63">
        <v>2</v>
      </c>
      <c r="AF109" s="57" t="str">
        <f>IF(AK94&gt;0,"Team 1","")</f>
        <v>Team 1</v>
      </c>
      <c r="AG109" s="64" t="str">
        <f>IF(AK94&lt;1,"",IF(AK93&lt;1,"",IF(B109=1,B115-D115,IF(D109=1,D115-B115,""))))</f>
        <v/>
      </c>
      <c r="AH109" s="64">
        <f>IF(AK94&lt;1,"",IF(AK93&lt;2,"",IF(E109=1,E115-G115,IF(G109=1,G115-E115,""))))</f>
        <v>6</v>
      </c>
      <c r="AI109" s="64" t="str">
        <f>IF(AK94&lt;1,"",IF(AK93&lt;3,"",IF(H109=1,H115-J115,IF(J109=1,J115-H115,""))))</f>
        <v/>
      </c>
      <c r="AJ109" s="64" t="str">
        <f>IF(AK94&lt;1,"",IF(AK93&lt;4,"",IF(K109=1,K115-M115,IF(M109=1,M115-K115,""))))</f>
        <v/>
      </c>
      <c r="AK109" s="64">
        <f>IF(AK94&lt;1,"",IF(AK93&lt;5,"",IF(N109=1,N115-P115,IF(P109=1,P115-N115,""))))</f>
        <v>14</v>
      </c>
      <c r="AL109" s="64" t="str">
        <f>IF(AK94&lt;1,"",IF(AK93&lt;6,"",IF(Q109=1,Q115-S115,IF(S109=1,S115-Q115,""))))</f>
        <v/>
      </c>
      <c r="AM109" s="64" t="str">
        <f>IF(AK94&lt;1,"",IF(AK93&lt;7,"",IF(T109=1,T115-V115,IF(V109=1,V115-T115,""))))</f>
        <v/>
      </c>
      <c r="AN109" s="64">
        <f>IF(AK94&lt;1,"",IF(AK93&lt;8,"",IF(W109=1,W115-Y115,IF(Y109=1,Y115-W115,""))))</f>
        <v>25</v>
      </c>
      <c r="AO109" s="64" t="str">
        <f>IF(AK94&lt;1,"",IF(AK93&lt;9,"",IF(Z109=1,Z115-AB115,IF(AB109=1,AB115-Z115,""))))</f>
        <v/>
      </c>
      <c r="AP109" s="64">
        <f>IF(AK94&lt;1,"",IF(AK93&lt;10,"",IF(AC109=1,AC115-AE115,IF(AE109=1,AE115-AC115,""))))</f>
        <v>19</v>
      </c>
      <c r="AQ109" s="59">
        <f>SUM(AG109:AP109)</f>
        <v>64</v>
      </c>
    </row>
    <row r="110" spans="1:44" ht="15" x14ac:dyDescent="0.2">
      <c r="A110" s="4" t="s">
        <v>73</v>
      </c>
      <c r="B110" s="65">
        <v>0</v>
      </c>
      <c r="C110" s="66" t="s">
        <v>74</v>
      </c>
      <c r="D110" s="67">
        <v>25</v>
      </c>
      <c r="E110" s="65">
        <v>25</v>
      </c>
      <c r="F110" s="66" t="str">
        <f>IF(AK93&gt;1,"/","")</f>
        <v>/</v>
      </c>
      <c r="G110" s="67">
        <v>23</v>
      </c>
      <c r="H110" s="65">
        <v>23</v>
      </c>
      <c r="I110" s="66" t="str">
        <f>IF(AK93&gt;2,"/","")</f>
        <v>/</v>
      </c>
      <c r="J110" s="67">
        <v>25</v>
      </c>
      <c r="K110" s="65">
        <v>27</v>
      </c>
      <c r="L110" s="66" t="str">
        <f>IF(AK93&gt;3,"/","")</f>
        <v>/</v>
      </c>
      <c r="M110" s="67">
        <v>26</v>
      </c>
      <c r="N110" s="65">
        <v>25</v>
      </c>
      <c r="O110" s="66" t="str">
        <f>IF(AK93&gt;4,"/","")</f>
        <v>/</v>
      </c>
      <c r="P110" s="67">
        <v>20</v>
      </c>
      <c r="Q110" s="65">
        <v>25</v>
      </c>
      <c r="R110" s="66" t="str">
        <f>IF(AK93&gt;5,"/","")</f>
        <v>/</v>
      </c>
      <c r="S110" s="67">
        <v>10</v>
      </c>
      <c r="T110" s="65">
        <v>18</v>
      </c>
      <c r="U110" s="66" t="str">
        <f>IF(AK93&gt;6,"/","")</f>
        <v>/</v>
      </c>
      <c r="V110" s="67">
        <v>25</v>
      </c>
      <c r="W110" s="65">
        <v>25</v>
      </c>
      <c r="X110" s="66" t="str">
        <f>IF(AK93&gt;7,"/","")</f>
        <v>/</v>
      </c>
      <c r="Y110" s="67">
        <v>10</v>
      </c>
      <c r="Z110" s="65">
        <v>23</v>
      </c>
      <c r="AA110" s="66" t="str">
        <f>IF(AK93&gt;8,"/","")</f>
        <v>/</v>
      </c>
      <c r="AB110" s="67">
        <v>25</v>
      </c>
      <c r="AC110" s="65">
        <v>25</v>
      </c>
      <c r="AD110" s="66" t="str">
        <f>IF(AK93&gt;9,"/","")</f>
        <v>/</v>
      </c>
      <c r="AE110" s="67">
        <v>16</v>
      </c>
      <c r="AF110" s="57" t="str">
        <f>IF(AK94&gt;1,"Team 2","")</f>
        <v>Team 2</v>
      </c>
      <c r="AG110" s="64">
        <f>IF(AK94&lt;2,"",IF(AK93&lt;1,"",IF(B109=2,B115-D115,IF(D109=2,D115-B115,""))))</f>
        <v>-18</v>
      </c>
      <c r="AH110" s="64" t="str">
        <f>IF(AK94&lt;2,"",IF(AK93&lt;2,"",IF(E109=2,E115-G115,IF(G109=2,G115-E115,""))))</f>
        <v/>
      </c>
      <c r="AI110" s="64" t="str">
        <f>IF(AK94&lt;2,"",IF(AK93&lt;3,"",IF(H109=2,H115-J115,IF(J109=2,J115-H115,""))))</f>
        <v/>
      </c>
      <c r="AJ110" s="64">
        <f>IF(AK94&lt;2,"",IF(AK93&lt;4,"",IF(K109=2,K115-M115,IF(M109=2,M115-K115,""))))</f>
        <v>-10</v>
      </c>
      <c r="AK110" s="64" t="str">
        <f>IF(AK94&lt;2,"",IF(AK93&lt;5,"",IF(N109=2,N115-P115,IF(P109=2,P115-N115,""))))</f>
        <v/>
      </c>
      <c r="AL110" s="64" t="str">
        <f>IF(AK94&lt;2,"",IF(AK93&lt;6,"",IF(Q109=2,Q115-S115,IF(S109=2,S115-Q115,""))))</f>
        <v/>
      </c>
      <c r="AM110" s="64">
        <f>IF(AK94&lt;2,"",IF(AK93&lt;7,"",IF(T109=2,T115-V115,IF(V109=2,V115-T115,""))))</f>
        <v>-13</v>
      </c>
      <c r="AN110" s="64" t="str">
        <f>IF(AK94&lt;2,"",IF(AK93&lt;8,"",IF(W109=2,W115-Y115,IF(Y109=2,Y115-W115,""))))</f>
        <v/>
      </c>
      <c r="AO110" s="64" t="str">
        <f>IF(AK94&lt;2,"",IF(AK93&lt;9,"",IF(Z109=2,Z115-AB115,IF(AB109=2,AB115-Z115,""))))</f>
        <v/>
      </c>
      <c r="AP110" s="64">
        <f>IF(AK94&lt;2,"",IF(AK93&lt;10,"",IF(AC109=2,AC115-AE115,IF(AE109=2,AE115-AC115,""))))</f>
        <v>-19</v>
      </c>
      <c r="AQ110" s="59">
        <f>SUM(AG110:AP110)</f>
        <v>-60</v>
      </c>
    </row>
    <row r="111" spans="1:44" ht="15" x14ac:dyDescent="0.2">
      <c r="A111" s="3" t="str">
        <f>IF(AK92&gt;1,"Game 2","")</f>
        <v>Game 2</v>
      </c>
      <c r="B111" s="65">
        <v>25</v>
      </c>
      <c r="C111" s="66" t="s">
        <v>74</v>
      </c>
      <c r="D111" s="67">
        <v>18</v>
      </c>
      <c r="E111" s="65">
        <v>25</v>
      </c>
      <c r="F111" s="66" t="str">
        <f>IF(AK93&gt;1,IF(AK92&gt;1,"/",""),"")</f>
        <v>/</v>
      </c>
      <c r="G111" s="67">
        <v>21</v>
      </c>
      <c r="H111" s="65">
        <v>25</v>
      </c>
      <c r="I111" s="66" t="str">
        <f>IF(AK93&gt;2,IF(AK92&gt;1,"/",""),"")</f>
        <v>/</v>
      </c>
      <c r="J111" s="67">
        <v>14</v>
      </c>
      <c r="K111" s="65">
        <v>14</v>
      </c>
      <c r="L111" s="66" t="str">
        <f>IF(AK93&gt;3,IF(AK92&gt;1,"/",""),"")</f>
        <v>/</v>
      </c>
      <c r="M111" s="67">
        <v>25</v>
      </c>
      <c r="N111" s="65">
        <v>25</v>
      </c>
      <c r="O111" s="66" t="str">
        <f>IF(AK93&gt;4,IF(AK92&gt;1,"/",""),"")</f>
        <v>/</v>
      </c>
      <c r="P111" s="67">
        <v>16</v>
      </c>
      <c r="Q111" s="65">
        <v>25</v>
      </c>
      <c r="R111" s="66" t="str">
        <f>IF(AK93&gt;5,IF(AK92&gt;1,"/",""),"")</f>
        <v>/</v>
      </c>
      <c r="S111" s="67">
        <v>11</v>
      </c>
      <c r="T111" s="65">
        <v>19</v>
      </c>
      <c r="U111" s="66" t="str">
        <f>IF(AK93&gt;6,IF(AK92&gt;1,"/",""),"")</f>
        <v>/</v>
      </c>
      <c r="V111" s="67">
        <v>25</v>
      </c>
      <c r="W111" s="65">
        <v>25</v>
      </c>
      <c r="X111" s="66" t="str">
        <f>IF(AK93&gt;7,IF(AK92&gt;1,"/",""),"")</f>
        <v>/</v>
      </c>
      <c r="Y111" s="67">
        <v>15</v>
      </c>
      <c r="Z111" s="65">
        <v>23</v>
      </c>
      <c r="AA111" s="66" t="str">
        <f>IF(AK93&gt;8,IF(AK92&gt;1,"/",""),"")</f>
        <v>/</v>
      </c>
      <c r="AB111" s="67">
        <v>25</v>
      </c>
      <c r="AC111" s="65">
        <v>25</v>
      </c>
      <c r="AD111" s="66" t="str">
        <f>IF(AK93&gt;9,IF(AK92&gt;1,"/",""),"")</f>
        <v>/</v>
      </c>
      <c r="AE111" s="67">
        <v>15</v>
      </c>
      <c r="AF111" s="57" t="str">
        <f>IF(AK94&gt;2,"Team 3","")</f>
        <v>Team 3</v>
      </c>
      <c r="AG111" s="64" t="str">
        <f>IF(AK94&lt;3,"",IF(AK93&lt;1,"",IF(B109=3,B115-D115,IF(D109=3,D115-B115,""))))</f>
        <v/>
      </c>
      <c r="AH111" s="64" t="str">
        <f>IF(AK94&lt;3,"",IF(AK93&lt;2,"",IF(E109=3,E115-G115,IF(G109=3,G115-E115,""))))</f>
        <v/>
      </c>
      <c r="AI111" s="64">
        <f>IF(AK94&lt;3,"",IF(AK93&lt;3,"",IF(H109=3,H115-J115,IF(J109=3,J115-H115,""))))</f>
        <v>9</v>
      </c>
      <c r="AJ111" s="64" t="str">
        <f>IF(AK94&lt;3,"",IF(AK93&lt;4,"",IF(K109=3,K115-M115,IF(M109=3,M115-K115,""))))</f>
        <v/>
      </c>
      <c r="AK111" s="64">
        <f>IF(AK94&lt;3,"",IF(AK93&lt;5,"",IF(N109=3,N115-P115,IF(P109=3,P115-N115,""))))</f>
        <v>-14</v>
      </c>
      <c r="AL111" s="64" t="str">
        <f>IF(AK94&lt;3,"",IF(AK93&lt;6,"",IF(Q109=3,Q115-S115,IF(S109=3,S115-Q115,""))))</f>
        <v/>
      </c>
      <c r="AM111" s="64">
        <f>IF(AK94&lt;3,"",IF(AK93&lt;7,"",IF(T109=3,T115-V115,IF(V109=3,V115-T115,""))))</f>
        <v>13</v>
      </c>
      <c r="AN111" s="64" t="str">
        <f>IF(AK94&lt;3,"",IF(AK93&lt;8,"",IF(W109=3,W115-Y115,IF(Y109=3,Y115-W115,""))))</f>
        <v/>
      </c>
      <c r="AO111" s="64">
        <f>IF(AK94&lt;3,"",IF(AK93&lt;9,"",IF(Z109=3,Z115-AB115,IF(AB109=3,AB115-Z115,""))))</f>
        <v>-4</v>
      </c>
      <c r="AP111" s="64" t="str">
        <f>IF(AK94&lt;3,"",IF(AK93&lt;9,"",IF(AC109=3,AC115-AE115,IF(AE109=3,AE115-AC115,""))))</f>
        <v/>
      </c>
      <c r="AQ111" s="59">
        <f>SUM(AG111:AP111)</f>
        <v>4</v>
      </c>
    </row>
    <row r="112" spans="1:44" ht="15" x14ac:dyDescent="0.2">
      <c r="A112" s="3" t="str">
        <f>IF(AK92&gt;2,"Game 3","")</f>
        <v/>
      </c>
      <c r="B112" s="65"/>
      <c r="C112" s="66" t="s">
        <v>74</v>
      </c>
      <c r="D112" s="67"/>
      <c r="E112" s="65"/>
      <c r="F112" s="66" t="str">
        <f>IF(AK93&gt;1,IF(AK92&gt;2,"/",""),"")</f>
        <v/>
      </c>
      <c r="G112" s="67"/>
      <c r="H112" s="65"/>
      <c r="I112" s="66" t="str">
        <f>IF(AK93&gt;2,IF(AK92&gt;2,"/",""),"")</f>
        <v/>
      </c>
      <c r="J112" s="67"/>
      <c r="K112" s="65"/>
      <c r="L112" s="66" t="str">
        <f>IF(AK93&gt;3,IF(AK92&gt;2,"/",""),"")</f>
        <v/>
      </c>
      <c r="M112" s="67"/>
      <c r="N112" s="65"/>
      <c r="O112" s="66" t="str">
        <f>IF(AK93&gt;4,IF(AK92&gt;2,"/",""),"")</f>
        <v/>
      </c>
      <c r="P112" s="67"/>
      <c r="Q112" s="65"/>
      <c r="R112" s="66" t="str">
        <f>IF(AK93&gt;5,IF(AK92&gt;2,"/",""),"")</f>
        <v/>
      </c>
      <c r="S112" s="67"/>
      <c r="T112" s="65"/>
      <c r="U112" s="66" t="str">
        <f>IF(AK93&gt;6,IF(AK92&gt;2,"/",""),"")</f>
        <v/>
      </c>
      <c r="V112" s="67"/>
      <c r="W112" s="65"/>
      <c r="X112" s="66" t="str">
        <f>IF(AK93&gt;7,IF(AK92&gt;2,"/",""),"")</f>
        <v/>
      </c>
      <c r="Y112" s="67"/>
      <c r="Z112" s="65"/>
      <c r="AA112" s="66" t="str">
        <f>IF(AK93&gt;8,IF(AK92&gt;2,"/",""),"")</f>
        <v/>
      </c>
      <c r="AB112" s="67"/>
      <c r="AC112" s="65"/>
      <c r="AD112" s="66" t="str">
        <f>IF(AK93&gt;9,IF(AK92&gt;2,"/",""),"")</f>
        <v/>
      </c>
      <c r="AE112" s="67"/>
      <c r="AF112" s="57" t="str">
        <f>IF(AK94&gt;3,"Team 4","")</f>
        <v>Team 4</v>
      </c>
      <c r="AG112" s="64" t="str">
        <f>IF(AK94&lt;4,"",IF(AK93&lt;1,"",IF(B109=4,B115-D115,IF(D109=4,D115-B115,""))))</f>
        <v/>
      </c>
      <c r="AH112" s="64">
        <f>IF(AK94&lt;4,"",IF(AK93&lt;2,"",IF(E109=4,E115-G115,IF(G109=4,G115-E115,""))))</f>
        <v>-6</v>
      </c>
      <c r="AI112" s="64" t="str">
        <f>IF(AK94&lt;4,"",IF(AK93&lt;3,"",IF(H109=4,H115-J115,IF(J109=4,J115-H115,""))))</f>
        <v/>
      </c>
      <c r="AJ112" s="64">
        <f>IF(AK94&lt;4,"",IF(AK93&lt;4,"",IF(K109=4,K115-M115,IF(M109=4,M115-K115,""))))</f>
        <v>10</v>
      </c>
      <c r="AK112" s="64" t="str">
        <f>IF(AK94&lt;4,"",IF(AK93&lt;5,"",IF(N109=4,N115-P115,IF(P109=4,P115-N115,""))))</f>
        <v/>
      </c>
      <c r="AL112" s="64">
        <f>IF(AK94&lt;4,"",IF(AK93&lt;6,"",IF(Q109=4,Q115-S115,IF(S109=4,S115-Q115,""))))</f>
        <v>29</v>
      </c>
      <c r="AM112" s="64" t="str">
        <f>IF(AK94&lt;4,"",IF(AK93&lt;7,"",IF(T109=4,T115-V115,IF(V109=4,V115-T115,""))))</f>
        <v/>
      </c>
      <c r="AN112" s="64" t="str">
        <f>IF(AK94&lt;4,"",IF(AK93&lt;8,"",IF(W109=4,W115-Y115,IF(Y109=4,Y115-W115,""))))</f>
        <v/>
      </c>
      <c r="AO112" s="64">
        <f>IF(AK94&lt;4,"",IF(AK93&lt;9,"",IF(Z109=4,Z115-AB115,IF(AB109=4,AB115-Z115,""))))</f>
        <v>4</v>
      </c>
      <c r="AP112" s="64" t="str">
        <f>IF(AK94&lt;4,"",IF(AK93&lt;10,"",IF(AC109=4,AC115-AE115,IF(AE109=4,AE115-AC115,""))))</f>
        <v/>
      </c>
      <c r="AQ112" s="59">
        <f>SUM(AG112:AP112)</f>
        <v>37</v>
      </c>
    </row>
    <row r="113" spans="1:49" ht="15" x14ac:dyDescent="0.2">
      <c r="A113" s="3" t="str">
        <f>IF(AK92&gt;3,"Game 4","")</f>
        <v/>
      </c>
      <c r="B113" s="65"/>
      <c r="C113" s="66" t="s">
        <v>74</v>
      </c>
      <c r="D113" s="67"/>
      <c r="E113" s="65"/>
      <c r="F113" s="66" t="str">
        <f>IF(AK93&gt;1,IF(AK92&gt;3,"/",""),"")</f>
        <v/>
      </c>
      <c r="G113" s="67"/>
      <c r="H113" s="65"/>
      <c r="I113" s="66" t="str">
        <f>IF(AK93&gt;2,IF(AK92&gt;3,"/",""),"")</f>
        <v/>
      </c>
      <c r="J113" s="67"/>
      <c r="K113" s="65"/>
      <c r="L113" s="66" t="str">
        <f>IF(AK93&gt;3,IF(AK92&gt;3,"/",""),"")</f>
        <v/>
      </c>
      <c r="M113" s="67"/>
      <c r="N113" s="65"/>
      <c r="O113" s="66" t="str">
        <f>IF(AK93&gt;4,IF(AK92&gt;3,"/",""),"")</f>
        <v/>
      </c>
      <c r="P113" s="67"/>
      <c r="Q113" s="65"/>
      <c r="R113" s="66" t="str">
        <f>IF(AK93&gt;5,IF(AK92&gt;3,"/",""),"")</f>
        <v/>
      </c>
      <c r="S113" s="67"/>
      <c r="T113" s="65"/>
      <c r="U113" s="66" t="str">
        <f>IF(AK93&gt;6,IF(AK92&gt;3,"/",""),"")</f>
        <v/>
      </c>
      <c r="V113" s="67"/>
      <c r="W113" s="65"/>
      <c r="X113" s="66" t="str">
        <f>IF(AK93&gt;7,IF(AK92&gt;3,"/",""),"")</f>
        <v/>
      </c>
      <c r="Y113" s="67"/>
      <c r="Z113" s="65"/>
      <c r="AA113" s="66" t="str">
        <f>IF(AK93&gt;8,IF(AK92&gt;3,"/",""),"")</f>
        <v/>
      </c>
      <c r="AB113" s="67"/>
      <c r="AC113" s="65"/>
      <c r="AD113" s="66" t="str">
        <f>IF(AK93&gt;9,IF(AK92&gt;3,"/",""),"")</f>
        <v/>
      </c>
      <c r="AE113" s="67"/>
      <c r="AF113" s="57" t="str">
        <f>IF(AK94&gt;4,"Team 5","")</f>
        <v>Team 5</v>
      </c>
      <c r="AG113" s="68">
        <f>IF(AK94&lt;5,"",IF(AK93&lt;1,"",IF(B109=5,B115-D115,IF(D109=5,D115-B115,""))))</f>
        <v>18</v>
      </c>
      <c r="AH113" s="64" t="str">
        <f>IF(AK94&lt;5,"",IF(AK93&lt;2,"",IF(E109=5,E115-G115,IF(G109=5,G115-E115,""))))</f>
        <v/>
      </c>
      <c r="AI113" s="64">
        <f>IF(AK94&lt;5,"",IF(AK93&lt;3,"",IF(H109=5,H115-J115,IF(J109=5,J115-H115,""))))</f>
        <v>-9</v>
      </c>
      <c r="AJ113" s="64" t="str">
        <f>IF(AK94&lt;5,"",IF(AK93&lt;4,"",IF(K109=5,K115-M115,IF(M109=5,M115-K115,""))))</f>
        <v/>
      </c>
      <c r="AK113" s="64" t="str">
        <f>IF(AK94&lt;5,"",IF(AK93&lt;5,"",IF(N109=5,N115-P115,IF(P109=5,P115-N115,""))))</f>
        <v/>
      </c>
      <c r="AL113" s="64">
        <f>IF(AK94&lt;5,"",IF(AK93&lt;6,"",IF(Q109=5,Q115-S115,IF(S109=5,S115-Q115,""))))</f>
        <v>-29</v>
      </c>
      <c r="AM113" s="64" t="str">
        <f>IF(AK94&lt;5,"",IF(AK93&lt;7,"",IF(T109=5,T115-V115,IF(V109=5,V115-T115,""))))</f>
        <v/>
      </c>
      <c r="AN113" s="64">
        <f>IF(AK94&lt;5,"",IF(AK93&lt;8,"",IF(W109=5,W115-Y115,IF(Y109=5,Y115-W115,""))))</f>
        <v>-25</v>
      </c>
      <c r="AO113" s="64" t="str">
        <f>IF(AK94&lt;5,"",IF(AK93&lt;9,"",IF(Z109=5,Z115-AB115,IF(AB109=5,AB115-Z115,""))))</f>
        <v/>
      </c>
      <c r="AP113" s="64" t="str">
        <f>IF(AK94&lt;5,"",IF(AK93&lt;10,"",IF(AC109=5,AC115-AE115,IF(AE109=5,AE115-AC115,""))))</f>
        <v/>
      </c>
      <c r="AQ113" s="59">
        <f>SUM(AG113:AP113)</f>
        <v>-45</v>
      </c>
    </row>
    <row r="114" spans="1:49" ht="15" x14ac:dyDescent="0.2">
      <c r="A114" s="3" t="str">
        <f>IF(AK92&gt;4,"Game 5","")</f>
        <v/>
      </c>
      <c r="B114" s="65"/>
      <c r="C114" s="66" t="s">
        <v>74</v>
      </c>
      <c r="D114" s="67"/>
      <c r="E114" s="65"/>
      <c r="F114" s="66" t="str">
        <f>IF(AK93&gt;1,IF(AK92&gt;4,"/",""),"")</f>
        <v/>
      </c>
      <c r="G114" s="67"/>
      <c r="H114" s="65"/>
      <c r="I114" s="66" t="str">
        <f>IF(AK93&gt;2,IF(AK92&gt;4,"/",""),"")</f>
        <v/>
      </c>
      <c r="J114" s="67"/>
      <c r="K114" s="65"/>
      <c r="L114" s="66" t="str">
        <f>IF(AK93&gt;3,IF(AK92&gt;4,"/",""),"")</f>
        <v/>
      </c>
      <c r="M114" s="67"/>
      <c r="N114" s="65"/>
      <c r="O114" s="66" t="str">
        <f>IF(AK93&gt;4,IF(AK92&gt;4,"/",""),"")</f>
        <v/>
      </c>
      <c r="P114" s="67"/>
      <c r="Q114" s="65"/>
      <c r="R114" s="66" t="str">
        <f>IF(AK93&gt;5,IF(AK92&gt;4,"/",""),"")</f>
        <v/>
      </c>
      <c r="S114" s="67"/>
      <c r="T114" s="65"/>
      <c r="U114" s="66" t="str">
        <f>IF(AK93&gt;6,IF(AK92&gt;4,"/",""),"")</f>
        <v/>
      </c>
      <c r="V114" s="67"/>
      <c r="W114" s="65"/>
      <c r="X114" s="66" t="str">
        <f>IF(AK93&gt;7,IF(AK92&gt;4,"/",""),"")</f>
        <v/>
      </c>
      <c r="Y114" s="67"/>
      <c r="Z114" s="65"/>
      <c r="AA114" s="66" t="str">
        <f>IF(AK93&gt;8,IF(AK92&gt;4,"/",""),"")</f>
        <v/>
      </c>
      <c r="AB114" s="67"/>
      <c r="AC114" s="65"/>
      <c r="AD114" s="66" t="str">
        <f>IF(AK93&gt;9,IF(AK92&gt;4,"/",""),"")</f>
        <v/>
      </c>
      <c r="AE114" s="67"/>
      <c r="AF114" s="8"/>
      <c r="AG114" s="8"/>
      <c r="AH114" s="8"/>
      <c r="AI114" s="8"/>
      <c r="AJ114" s="8"/>
      <c r="AK114" s="8"/>
      <c r="AL114" s="8"/>
      <c r="AM114" s="8"/>
      <c r="AN114" s="8"/>
      <c r="AO114" s="8"/>
      <c r="AP114" s="8"/>
      <c r="AQ114" s="8"/>
    </row>
    <row r="115" spans="1:49" hidden="1" x14ac:dyDescent="0.2">
      <c r="A115" s="69"/>
      <c r="B115" s="69">
        <f>IF($AK92=5,SUM(B110:B114),IF($AK92=4,SUM(B110:B113),IF($AK92=3,SUM(B110:B112),IF($AK92=2,SUM(B110:B111),B110))))</f>
        <v>25</v>
      </c>
      <c r="C115" s="69"/>
      <c r="D115" s="69">
        <f>IF($AK92=5,SUM(D110:D114),IF($AK92=4,SUM(D110:D113),IF($AK92=3,SUM(D110:D112),IF($AK92=2,SUM(D110:D111),D110))))</f>
        <v>43</v>
      </c>
      <c r="E115" s="69">
        <f>IF($AK92=5,SUM(E110:E114),IF($AK92=4,SUM(E110:E113),IF($AK92=3,SUM(E110:E112),IF($AK92=2,SUM(E110:E111),E110))))</f>
        <v>50</v>
      </c>
      <c r="F115" s="69"/>
      <c r="G115" s="69">
        <f>IF($AK92=5,SUM(G110:G114),IF($AK92=4,SUM(G110:G113),IF($AK92=3,SUM(G110:G112),IF($AK92=2,SUM(G110:G111),G110))))</f>
        <v>44</v>
      </c>
      <c r="H115" s="69">
        <f>IF($AK92=5,SUM(H110:H114),IF($AK92=4,SUM(H110:H113),IF($AK92=3,SUM(H110:H112),IF($AK92=2,SUM(H110:H111),H110))))</f>
        <v>48</v>
      </c>
      <c r="I115" s="69"/>
      <c r="J115" s="69">
        <f>IF($AK92=5,SUM(J110:J114),IF($AK92=4,SUM(J110:J113),IF($AK92=3,SUM(J110:J112),IF($AK92=2,SUM(J110:J111),J110))))</f>
        <v>39</v>
      </c>
      <c r="K115" s="69">
        <f>IF($AK92=5,SUM(K110:K114),IF($AK92=4,SUM(K110:K113),IF($AK92=3,SUM(K110:K112),IF($AK92=2,SUM(K110:K111),K110))))</f>
        <v>41</v>
      </c>
      <c r="L115" s="69"/>
      <c r="M115" s="69">
        <f>IF($AK92=5,SUM(M110:M114),IF($AK92=4,SUM(M110:M113),IF($AK92=3,SUM(M110:M112),IF($AK92=2,SUM(M110:M111),M110))))</f>
        <v>51</v>
      </c>
      <c r="N115" s="69">
        <f>IF($AK92=5,SUM(N110:N114),IF($AK92=4,SUM(N110:N113),IF($AK92=3,SUM(N110:N112),IF($AK92=2,SUM(N110:N111),N110))))</f>
        <v>50</v>
      </c>
      <c r="O115" s="69"/>
      <c r="P115" s="69">
        <f>IF($AK92=5,SUM(P110:P114),IF($AK92=4,SUM(P110:P113),IF($AK92=3,SUM(P110:P112),IF($AK92=2,SUM(P110:P111),P110))))</f>
        <v>36</v>
      </c>
      <c r="Q115" s="69">
        <f>IF($AK92=5,SUM(Q110:Q114),IF($AK92=4,SUM(Q110:Q113),IF($AK92=3,SUM(Q110:Q112),IF($AK92=2,SUM(Q110:Q111),Q110))))</f>
        <v>50</v>
      </c>
      <c r="R115" s="69"/>
      <c r="S115" s="69">
        <f>IF($AK92=5,SUM(S110:S114),IF($AK92=4,SUM(S110:S113),IF($AK92=3,SUM(S110:S112),IF($AK92=2,SUM(S110:S111),S110))))</f>
        <v>21</v>
      </c>
      <c r="T115" s="69">
        <f>IF($AK92=5,SUM(T110:T114),IF($AK92=4,SUM(T110:T113),IF($AK92=3,SUM(T110:T112),IF($AK92=2,SUM(T110:T111),T110))))</f>
        <v>37</v>
      </c>
      <c r="U115" s="69"/>
      <c r="V115" s="69">
        <f>IF($AK92=5,SUM(V110:V114),IF($AK92=4,SUM(V110:V113),IF($AK92=3,SUM(V110:V112),IF($AK92=2,SUM(V110:V111),V110))))</f>
        <v>50</v>
      </c>
      <c r="W115" s="69">
        <f>IF($AK92=5,SUM(W110:W114),IF($AK92=4,SUM(W110:W113),IF($AK92=3,SUM(W110:W112),IF($AK92=2,SUM(W110:W111),W110))))</f>
        <v>50</v>
      </c>
      <c r="X115" s="69"/>
      <c r="Y115" s="69">
        <f>IF($AK92=5,SUM(Y110:Y114),IF($AK92=4,SUM(Y110:Y113),IF($AK92=3,SUM(Y110:Y112),IF($AK92=2,SUM(Y110:Y111),Y110))))</f>
        <v>25</v>
      </c>
      <c r="Z115" s="69">
        <f>IF($AK92=5,SUM(Z110:Z114),IF($AK92=4,SUM(Z110:Z113),IF($AK92=3,SUM(Z110:Z112),IF($AK92=2,SUM(Z110:Z111),Z110))))</f>
        <v>46</v>
      </c>
      <c r="AA115" s="69"/>
      <c r="AB115" s="69">
        <f>IF($AK92=5,SUM(AB110:AB114),IF($AK92=4,SUM(AB110:AB113),IF($AK92=3,SUM(AB110:AB112),IF($AK92=2,SUM(AB110:AB111),AB110))))</f>
        <v>50</v>
      </c>
      <c r="AC115" s="69">
        <f>IF($AK92=5,SUM(AC110:AC114),IF($AK92=4,SUM(AC110:AC113),IF($AK92=3,SUM(AC110:AC112),IF($AK92=2,SUM(AC110:AC111),AC110))))</f>
        <v>50</v>
      </c>
      <c r="AD115" s="69"/>
      <c r="AE115" s="69">
        <f>IF($AK92=5,SUM(AE110:AE114),IF($AK92=4,SUM(AE110:AE113),IF($AK92=3,SUM(AE110:AE112),IF($AK92=2,SUM(AE110:AE111),AE110))))</f>
        <v>31</v>
      </c>
      <c r="AF115" s="8"/>
      <c r="AG115" s="8"/>
      <c r="AH115" s="8"/>
      <c r="AI115" s="8"/>
      <c r="AJ115" s="8"/>
      <c r="AK115" s="8"/>
      <c r="AL115" s="8"/>
      <c r="AM115" s="8"/>
      <c r="AN115" s="8"/>
      <c r="AO115" s="8"/>
      <c r="AP115" s="8"/>
      <c r="AQ115" s="8"/>
    </row>
    <row r="116" spans="1:49" s="70" customFormat="1" ht="12.75" hidden="1" customHeight="1" x14ac:dyDescent="0.2">
      <c r="A116" s="70" t="s">
        <v>75</v>
      </c>
      <c r="B116" s="71">
        <f>IF(AND(B110&gt;D110,$AK93&gt;0,ISNUMBER(B110),ISNUMBER(D110)),1,0)</f>
        <v>0</v>
      </c>
      <c r="C116" s="71"/>
      <c r="D116" s="72">
        <f>IF(AND(D110&gt;B110,$AK93&gt;0,ISNUMBER(B110),ISNUMBER(D110)),1,0)</f>
        <v>1</v>
      </c>
      <c r="E116" s="71">
        <f>IF(AND(E110&gt;G110,$AK93&gt;1,ISNUMBER(E110),ISNUMBER(G110)),1,0)</f>
        <v>1</v>
      </c>
      <c r="F116" s="71"/>
      <c r="G116" s="72">
        <f>IF(AND(G110&gt;E110,$AK93&gt;1,ISNUMBER(E110),ISNUMBER(G110)),1,0)</f>
        <v>0</v>
      </c>
      <c r="H116" s="71">
        <f>IF(AND(H110&gt;J110,$AK93&gt;2,ISNUMBER(H110),ISNUMBER(J110)),1,0)</f>
        <v>0</v>
      </c>
      <c r="I116" s="71"/>
      <c r="J116" s="72">
        <f>IF(AND(J110&gt;H110,$AK93&gt;2,ISNUMBER(H110),ISNUMBER(J110)),1,0)</f>
        <v>1</v>
      </c>
      <c r="K116" s="71">
        <f>IF(AND(K110&gt;M110,$AK93&gt;3,ISNUMBER(K110),ISNUMBER(M110)),1,0)</f>
        <v>1</v>
      </c>
      <c r="L116" s="71"/>
      <c r="M116" s="72">
        <f>IF(AND(M110&gt;K110,$AK93&gt;3,ISNUMBER(K110),ISNUMBER(M110)),1,0)</f>
        <v>0</v>
      </c>
      <c r="N116" s="71">
        <f>IF(AND(N110&gt;P110,$AK93&gt;4,ISNUMBER(N110),ISNUMBER(P110)),1,0)</f>
        <v>1</v>
      </c>
      <c r="O116" s="71"/>
      <c r="P116" s="72">
        <f>IF(AND(P110&gt;N110,$AK93&gt;4,ISNUMBER(N110),ISNUMBER(P110)),1,0)</f>
        <v>0</v>
      </c>
      <c r="Q116" s="71">
        <f>IF(AND(Q110&gt;S110,$AK93&gt;5,ISNUMBER(Q110),ISNUMBER(S110)),1,0)</f>
        <v>1</v>
      </c>
      <c r="R116" s="71"/>
      <c r="S116" s="72">
        <f>IF(AND(S110&gt;Q110,$AK93&gt;5,ISNUMBER(Q110),ISNUMBER(S110)),1,0)</f>
        <v>0</v>
      </c>
      <c r="T116" s="71">
        <f>IF(AND(T110&gt;V110,$AK93&gt;6,ISNUMBER(T110),ISNUMBER(V110)),1,0)</f>
        <v>0</v>
      </c>
      <c r="U116" s="71"/>
      <c r="V116" s="72">
        <f>IF(AND(V110&gt;T110,$AK93&gt;6,ISNUMBER(T110),ISNUMBER(V110)),1,0)</f>
        <v>1</v>
      </c>
      <c r="W116" s="71">
        <f>IF(AND(W110&gt;Y110,$AK93&gt;7,ISNUMBER(W110),ISNUMBER(Y110)),1,0)</f>
        <v>1</v>
      </c>
      <c r="X116" s="71"/>
      <c r="Y116" s="72">
        <f>IF(AND(Y110&gt;W110,$AK93&gt;7,ISNUMBER(W110),ISNUMBER(Y110)),1,0)</f>
        <v>0</v>
      </c>
      <c r="Z116" s="71">
        <f>IF(AND(Z110&gt;AB110,$AK93&gt;8,ISNUMBER(Z110),ISNUMBER(AB110)),1,0)</f>
        <v>0</v>
      </c>
      <c r="AA116" s="71"/>
      <c r="AB116" s="72">
        <f>IF(AND(AB110&gt;Z110,$AK93&gt;8,ISNUMBER(Z110),ISNUMBER(AB110)),1,0)</f>
        <v>1</v>
      </c>
      <c r="AC116" s="71">
        <f>IF(AND(AC110&gt;AE110,$AK93&gt;9,ISNUMBER(AC110),ISNUMBER(AE110)),1,0)</f>
        <v>1</v>
      </c>
      <c r="AD116" s="71"/>
      <c r="AE116" s="72">
        <f>IF(AND(AE110&gt;AC110,$AK93&gt;9,ISNUMBER(AC110),ISNUMBER(AE110)),1,0)</f>
        <v>0</v>
      </c>
      <c r="AW116" s="154"/>
    </row>
    <row r="117" spans="1:49" s="70" customFormat="1" ht="12.75" hidden="1" customHeight="1" x14ac:dyDescent="0.2">
      <c r="A117" s="70" t="s">
        <v>76</v>
      </c>
      <c r="B117" s="71">
        <f>IF(AND(B111&gt;D111,$AK93&gt;0,$AK92&gt;1,ISNUMBER(B111),ISNUMBER(D111)),1,0)</f>
        <v>1</v>
      </c>
      <c r="C117" s="71"/>
      <c r="D117" s="72">
        <f>IF(AND(D111&gt;B111,$AK93&gt;0,$AK92&gt;1,ISNUMBER(B111),ISNUMBER(D111)),1,0)</f>
        <v>0</v>
      </c>
      <c r="E117" s="71">
        <f>IF(AND(E111&gt;G111,$AK93&gt;1,$AK92&gt;1,ISNUMBER(E111),ISNUMBER(G111)),1,0)</f>
        <v>1</v>
      </c>
      <c r="F117" s="71"/>
      <c r="G117" s="72">
        <f>IF(AND(G111&gt;E111,$AK93&gt;1,$AK92&gt;1,ISNUMBER(E111),ISNUMBER(G111)),1,0)</f>
        <v>0</v>
      </c>
      <c r="H117" s="71">
        <f>IF(AND(H111&gt;J111,$AK93&gt;2,$AK92&gt;1,ISNUMBER(H111),ISNUMBER(J111)),1,0)</f>
        <v>1</v>
      </c>
      <c r="I117" s="71"/>
      <c r="J117" s="72">
        <f>IF(AND(J111&gt;H111,$AK93&gt;2,$AK92&gt;1,ISNUMBER(H111),ISNUMBER(J111)),1,0)</f>
        <v>0</v>
      </c>
      <c r="K117" s="71">
        <f>IF(AND(K111&gt;M111,$AK93&gt;3,$AK92&gt;1,ISNUMBER(K111),ISNUMBER(M111)),1,0)</f>
        <v>0</v>
      </c>
      <c r="L117" s="71"/>
      <c r="M117" s="72">
        <f>IF(AND(M111&gt;K111,$AK93&gt;3,$AK92&gt;1,ISNUMBER(K111),ISNUMBER(M111)),1,0)</f>
        <v>1</v>
      </c>
      <c r="N117" s="71">
        <f>IF(AND(N111&gt;P111,$AK93&gt;4,$AK92&gt;1,ISNUMBER(N111),ISNUMBER(P111)),1,0)</f>
        <v>1</v>
      </c>
      <c r="O117" s="71"/>
      <c r="P117" s="72">
        <f>IF(AND(P111&gt;N111,$AK93&gt;4,$AK92&gt;1,ISNUMBER(N111),ISNUMBER(P111)),1,0)</f>
        <v>0</v>
      </c>
      <c r="Q117" s="71">
        <f>IF(AND(Q111&gt;S111,$AK93&gt;5,$AK92&gt;1,ISNUMBER(Q111),ISNUMBER(S111)),1,0)</f>
        <v>1</v>
      </c>
      <c r="R117" s="71"/>
      <c r="S117" s="72">
        <f>IF(AND(S111&gt;Q111,$AK93&gt;5,$AK92&gt;1,ISNUMBER(Q111),ISNUMBER(S111)),1,0)</f>
        <v>0</v>
      </c>
      <c r="T117" s="71">
        <f>IF(AND(T111&gt;V111,$AK93&gt;6,$AK92&gt;1,ISNUMBER(T111),ISNUMBER(V111)),1,0)</f>
        <v>0</v>
      </c>
      <c r="U117" s="71"/>
      <c r="V117" s="72">
        <f>IF(AND(V111&gt;T111,$AK93&gt;6,$AK92&gt;1,ISNUMBER(T111),ISNUMBER(V111)),1,0)</f>
        <v>1</v>
      </c>
      <c r="W117" s="71">
        <f>IF(AND(W111&gt;Y111,$AK93&gt;7,$AK92&gt;1,ISNUMBER(W111),ISNUMBER(Y111)),1,0)</f>
        <v>1</v>
      </c>
      <c r="X117" s="71"/>
      <c r="Y117" s="72">
        <f>IF(AND(Y111&gt;W111,$AK93&gt;7,$AK92&gt;1,ISNUMBER(W111),ISNUMBER(Y111)),1,0)</f>
        <v>0</v>
      </c>
      <c r="Z117" s="71">
        <f>IF(AND(Z111&gt;AB111,$AK93&gt;8,$AK92&gt;1,ISNUMBER(Z111),ISNUMBER(AB111)),1,0)</f>
        <v>0</v>
      </c>
      <c r="AA117" s="71"/>
      <c r="AB117" s="72">
        <f>IF(AND(AB111&gt;Z111,$AK93&gt;8,$AK92&gt;1,ISNUMBER(Z111),ISNUMBER(AB111)),1,0)</f>
        <v>1</v>
      </c>
      <c r="AC117" s="71">
        <f>IF(AND(AC111&gt;AE111,$AK93&gt;9,$AK92&gt;1,ISNUMBER(AC111),ISNUMBER(AE111)),1,0)</f>
        <v>1</v>
      </c>
      <c r="AD117" s="71"/>
      <c r="AE117" s="72">
        <f>IF(AND(AE111&gt;AC111,$AK93&gt;9,$AK92&gt;1,ISNUMBER(AC111),ISNUMBER(AE111)),1,0)</f>
        <v>0</v>
      </c>
      <c r="AW117" s="154"/>
    </row>
    <row r="118" spans="1:49" s="70" customFormat="1" ht="12.75" hidden="1" customHeight="1" x14ac:dyDescent="0.2">
      <c r="A118" s="70" t="s">
        <v>77</v>
      </c>
      <c r="B118" s="71">
        <f>IF(AND(B112&gt;D112,$AK93&gt;0,$AK92&gt;2,ISNUMBER(B112),ISNUMBER(D112)),1,0)</f>
        <v>0</v>
      </c>
      <c r="C118" s="71"/>
      <c r="D118" s="72">
        <f>IF(AND(D112&gt;B112,$AK93&gt;0,$AK92&gt;2,ISNUMBER(B112),ISNUMBER(D112)),1,0)</f>
        <v>0</v>
      </c>
      <c r="E118" s="71">
        <f>IF(AND(E112&gt;G112,$AK93&gt;1,$AK92&gt;2,ISNUMBER(E112),ISNUMBER(G112)),1,0)</f>
        <v>0</v>
      </c>
      <c r="F118" s="71"/>
      <c r="G118" s="72">
        <f>IF(AND(G112&gt;E112,$AK93&gt;1,$AK92&gt;2,ISNUMBER(E112),ISNUMBER(G112)),1,0)</f>
        <v>0</v>
      </c>
      <c r="H118" s="71">
        <f>IF(AND(H112&gt;J112,$AK93&gt;2,$AK92&gt;2,ISNUMBER(H112),ISNUMBER(J112)),1,0)</f>
        <v>0</v>
      </c>
      <c r="I118" s="71"/>
      <c r="J118" s="72">
        <f>IF(AND(J112&gt;H112,$AK93&gt;2,$AK92&gt;2,ISNUMBER(H112),ISNUMBER(J112)),1,0)</f>
        <v>0</v>
      </c>
      <c r="K118" s="71">
        <f>IF(AND(K112&gt;M112,$AK93&gt;3,$AK92&gt;2,ISNUMBER(K112),ISNUMBER(M112)),1,0)</f>
        <v>0</v>
      </c>
      <c r="L118" s="71"/>
      <c r="M118" s="72">
        <f>IF(AND(M112&gt;K112,$AK93&gt;3,$AK92&gt;2,ISNUMBER(K112),ISNUMBER(M112)),1,0)</f>
        <v>0</v>
      </c>
      <c r="N118" s="71">
        <f>IF(AND(N112&gt;P112,$AK93&gt;4,$AK92&gt;2,ISNUMBER(N112),ISNUMBER(P112)),1,0)</f>
        <v>0</v>
      </c>
      <c r="O118" s="71"/>
      <c r="P118" s="72">
        <f>IF(AND(P112&gt;N112,$AK93&gt;4,$AK92&gt;2,ISNUMBER(N112),ISNUMBER(P112)),1,0)</f>
        <v>0</v>
      </c>
      <c r="Q118" s="71">
        <f>IF(AND(Q112&gt;S112,$AK93&gt;5,$AK92&gt;2,ISNUMBER(Q112),ISNUMBER(S112)),1,0)</f>
        <v>0</v>
      </c>
      <c r="R118" s="71"/>
      <c r="S118" s="72">
        <f>IF(AND(S112&gt;Q112,$AK93&gt;5,$AK92&gt;2,ISNUMBER(Q112),ISNUMBER(S112)),1,0)</f>
        <v>0</v>
      </c>
      <c r="T118" s="71">
        <f>IF(AND(T112&gt;V112,$AK93&gt;6,$AK92&gt;2,ISNUMBER(T112),ISNUMBER(V112)),1,0)</f>
        <v>0</v>
      </c>
      <c r="U118" s="71"/>
      <c r="V118" s="72">
        <f>IF(AND(V112&gt;T112,$AK93&gt;6,$AK92&gt;2,ISNUMBER(T112),ISNUMBER(V112)),1,0)</f>
        <v>0</v>
      </c>
      <c r="W118" s="71">
        <f>IF(AND(W112&gt;Y112,$AK93&gt;7,$AK92&gt;2,ISNUMBER(W112),ISNUMBER(Y112)),1,0)</f>
        <v>0</v>
      </c>
      <c r="X118" s="71"/>
      <c r="Y118" s="72">
        <f>IF(AND(Y112&gt;W112,$AK93&gt;7,$AK92&gt;2,ISNUMBER(W112),ISNUMBER(Y112)),1,0)</f>
        <v>0</v>
      </c>
      <c r="Z118" s="71">
        <f>IF(AND(Z112&gt;AB112,$AK93&gt;8,$AK92&gt;2,ISNUMBER(Z112),ISNUMBER(AB112)),1,0)</f>
        <v>0</v>
      </c>
      <c r="AA118" s="71"/>
      <c r="AB118" s="72">
        <f>IF(AND(AB112&gt;Z112,$AK93&gt;8,$AK92&gt;2,ISNUMBER(Z112),ISNUMBER(AB112)),1,0)</f>
        <v>0</v>
      </c>
      <c r="AC118" s="71">
        <f>IF(AND(AC112&gt;AE112,$AK93&gt;9,$AK92&gt;2,ISNUMBER(AC112),ISNUMBER(AE112)),1,0)</f>
        <v>0</v>
      </c>
      <c r="AD118" s="71"/>
      <c r="AE118" s="72">
        <f>IF(AND(AE112&gt;AC112,$AK93&gt;9,$AK92&gt;2,ISNUMBER(AC112),ISNUMBER(AE112)),1,0)</f>
        <v>0</v>
      </c>
      <c r="AW118" s="154"/>
    </row>
    <row r="119" spans="1:49" s="70" customFormat="1" ht="12.75" hidden="1" customHeight="1" x14ac:dyDescent="0.2">
      <c r="A119" s="70" t="s">
        <v>78</v>
      </c>
      <c r="B119" s="71">
        <f>IF(AND(B113&gt;D113,$AK93&gt;0,$AK92&gt;3,ISNUMBER(B113),ISNUMBER(D113)),1,0)</f>
        <v>0</v>
      </c>
      <c r="C119" s="71"/>
      <c r="D119" s="72">
        <f>IF(AND(D113&gt;B113,$AK93&gt;0,$AK92&gt;3,ISNUMBER(B113),ISNUMBER(D113)),1,0)</f>
        <v>0</v>
      </c>
      <c r="E119" s="71">
        <f>IF(AND(E113&gt;G113,$AK93&gt;1,$AK92&gt;3,ISNUMBER(E113),ISNUMBER(G113)),1,0)</f>
        <v>0</v>
      </c>
      <c r="F119" s="71"/>
      <c r="G119" s="72">
        <f>IF(AND(G113&gt;E113,$AK93&gt;1,$AK92&gt;3,ISNUMBER(E113),ISNUMBER(G113)),1,0)</f>
        <v>0</v>
      </c>
      <c r="H119" s="71">
        <f>IF(AND(H113&gt;J113,$AK93&gt;2,$AK92&gt;3,ISNUMBER(H113),ISNUMBER(J113)),1,0)</f>
        <v>0</v>
      </c>
      <c r="I119" s="71"/>
      <c r="J119" s="72">
        <f>IF(AND(J113&gt;H113,$AK93&gt;2,$AK92&gt;3,ISNUMBER(H113),ISNUMBER(J113)),1,0)</f>
        <v>0</v>
      </c>
      <c r="K119" s="71">
        <f>IF(AND(K113&gt;M113,$AK93&gt;3,$AK92&gt;3,ISNUMBER(K113),ISNUMBER(M113)),1,0)</f>
        <v>0</v>
      </c>
      <c r="L119" s="71"/>
      <c r="M119" s="72">
        <f>IF(AND(M113&gt;K113,$AK93&gt;3,$AK92&gt;3,ISNUMBER(K113),ISNUMBER(M113)),1,0)</f>
        <v>0</v>
      </c>
      <c r="N119" s="71">
        <f>IF(AND(N113&gt;P113,$AK93&gt;4,$AK92&gt;3,ISNUMBER(N113),ISNUMBER(P113)),1,0)</f>
        <v>0</v>
      </c>
      <c r="O119" s="71"/>
      <c r="P119" s="72">
        <f>IF(AND(P113&gt;N113,$AK93&gt;4,$AK92&gt;3,ISNUMBER(N113),ISNUMBER(P113)),1,0)</f>
        <v>0</v>
      </c>
      <c r="Q119" s="71">
        <f>IF(AND(Q113&gt;S113,$AK93&gt;5,$AK92&gt;3,ISNUMBER(Q113),ISNUMBER(S113)),1,0)</f>
        <v>0</v>
      </c>
      <c r="R119" s="71"/>
      <c r="S119" s="72">
        <f>IF(AND(S113&gt;Q113,$AK93&gt;5,$AK92&gt;3,ISNUMBER(Q113),ISNUMBER(S113)),1,0)</f>
        <v>0</v>
      </c>
      <c r="T119" s="71">
        <f>IF(AND(T113&gt;V113,$AK93&gt;6,$AK92&gt;3,ISNUMBER(T113),ISNUMBER(V113)),1,0)</f>
        <v>0</v>
      </c>
      <c r="U119" s="71"/>
      <c r="V119" s="72">
        <f>IF(AND(V113&gt;T113,$AK93&gt;6,$AK92&gt;3,ISNUMBER(T113),ISNUMBER(V113)),1,0)</f>
        <v>0</v>
      </c>
      <c r="W119" s="71">
        <f>IF(AND(W113&gt;Y113,$AK93&gt;7,$AK92&gt;3,ISNUMBER(W113),ISNUMBER(Y113)),1,0)</f>
        <v>0</v>
      </c>
      <c r="X119" s="71"/>
      <c r="Y119" s="72">
        <f>IF(AND(Y113&gt;W113,$AK93&gt;7,$AK92&gt;3,ISNUMBER(W113),ISNUMBER(Y113)),1,0)</f>
        <v>0</v>
      </c>
      <c r="Z119" s="71">
        <f>IF(AND(Z113&gt;AB113,$AK93&gt;8,$AK92&gt;3,ISNUMBER(Z113),ISNUMBER(AB113)),1,0)</f>
        <v>0</v>
      </c>
      <c r="AA119" s="71"/>
      <c r="AB119" s="72">
        <f>IF(AND(AB113&gt;Z113,$AK93&gt;8,$AK92&gt;3,ISNUMBER(Z113),ISNUMBER(AB113)),1,0)</f>
        <v>0</v>
      </c>
      <c r="AC119" s="71">
        <f>IF(AND(AC113&gt;AE113,$AK93&gt;9,$AK92&gt;3,ISNUMBER(AC113),ISNUMBER(AE113)),1,0)</f>
        <v>0</v>
      </c>
      <c r="AD119" s="71"/>
      <c r="AE119" s="72">
        <f>IF(AND(AE113&gt;AC113,$AK93&gt;9,$AK92&gt;3,ISNUMBER(AC113),ISNUMBER(AE113)),1,0)</f>
        <v>0</v>
      </c>
      <c r="AW119" s="154"/>
    </row>
    <row r="120" spans="1:49" s="70" customFormat="1" ht="12.75" hidden="1" customHeight="1" x14ac:dyDescent="0.2">
      <c r="A120" s="70" t="s">
        <v>79</v>
      </c>
      <c r="B120" s="71">
        <f>IF(AND(B114&gt;D114,$AK93&gt;0,$AK92&gt;4,ISNUMBER(B114),ISNUMBER(D114)),1,0)</f>
        <v>0</v>
      </c>
      <c r="C120" s="71"/>
      <c r="D120" s="72">
        <f>IF(AND(D114&gt;B114,$AK93&gt;0,$AK92&gt;4,ISNUMBER(B114),ISNUMBER(D114)),1,0)</f>
        <v>0</v>
      </c>
      <c r="E120" s="71">
        <f>IF(AND(E114&gt;G114,$AK93&gt;1,$AK92&gt;4,ISNUMBER(E114),ISNUMBER(G114)),1,0)</f>
        <v>0</v>
      </c>
      <c r="F120" s="71"/>
      <c r="G120" s="72">
        <f>IF(AND(G114&gt;E114,$AK93&gt;1,$AK92&gt;4,ISNUMBER(E114),ISNUMBER(G114)),1,0)</f>
        <v>0</v>
      </c>
      <c r="H120" s="71">
        <f>IF(AND(H114&gt;J114,$AK93&gt;2,$AK92&gt;4,ISNUMBER(H114),ISNUMBER(J114)),1,0)</f>
        <v>0</v>
      </c>
      <c r="I120" s="71"/>
      <c r="J120" s="72">
        <f>IF(AND(J114&gt;H114,$AK93&gt;2,$AK92&gt;4,ISNUMBER(H114),ISNUMBER(J114)),1,0)</f>
        <v>0</v>
      </c>
      <c r="K120" s="71">
        <f>IF(AND(K114&gt;M114,$AK93&gt;3,$AK92&gt;4,ISNUMBER(K114),ISNUMBER(M114)),1,0)</f>
        <v>0</v>
      </c>
      <c r="L120" s="71"/>
      <c r="M120" s="72">
        <f>IF(AND(M114&gt;K114,$AK93&gt;3,$AK92&gt;4,ISNUMBER(K114),ISNUMBER(M114)),1,0)</f>
        <v>0</v>
      </c>
      <c r="N120" s="71">
        <f>IF(AND(N114&gt;P114,$AK93&gt;4,$AK92&gt;4,ISNUMBER(N114),ISNUMBER(P114)),1,0)</f>
        <v>0</v>
      </c>
      <c r="O120" s="71"/>
      <c r="P120" s="72">
        <f>IF(AND(P114&gt;N114,$AK93&gt;4,$AK92&gt;4,ISNUMBER(N114),ISNUMBER(P114)),1,0)</f>
        <v>0</v>
      </c>
      <c r="Q120" s="71">
        <f>IF(AND(Q114&gt;S114,$AK93&gt;5,$AK92&gt;4,ISNUMBER(Q114),ISNUMBER(S114)),1,0)</f>
        <v>0</v>
      </c>
      <c r="R120" s="71"/>
      <c r="S120" s="72">
        <f>IF(AND(S114&gt;Q114,$AK93&gt;5,$AK92&gt;4,ISNUMBER(Q114),ISNUMBER(S114)),1,0)</f>
        <v>0</v>
      </c>
      <c r="T120" s="71">
        <f>IF(AND(T114&gt;V114,$AK93&gt;6,$AK92&gt;4,ISNUMBER(T114),ISNUMBER(V114)),1,0)</f>
        <v>0</v>
      </c>
      <c r="U120" s="71"/>
      <c r="V120" s="72">
        <f>IF(AND(V114&gt;T114,$AK93&gt;6,$AK92&gt;4,ISNUMBER(T114),ISNUMBER(V114)),1,0)</f>
        <v>0</v>
      </c>
      <c r="W120" s="71">
        <f>IF(AND(W114&gt;Y114,$AK93&gt;7,$AK92&gt;4,ISNUMBER(W114),ISNUMBER(Y114)),1,0)</f>
        <v>0</v>
      </c>
      <c r="X120" s="71"/>
      <c r="Y120" s="72">
        <f>IF(AND(Y114&gt;W114,$AK93&gt;7,$AK92&gt;4,ISNUMBER(W114),ISNUMBER(Y114)),1,0)</f>
        <v>0</v>
      </c>
      <c r="Z120" s="71">
        <f>IF(AND(Z114&gt;AB114,$AK93&gt;8,$AK92&gt;4,ISNUMBER(Z114),ISNUMBER(AB114)),1,0)</f>
        <v>0</v>
      </c>
      <c r="AA120" s="71"/>
      <c r="AB120" s="72">
        <f>IF(AND(AB114&gt;Z114,$AK93&gt;8,$AK92&gt;4,ISNUMBER(Z114),ISNUMBER(AB114)),1,0)</f>
        <v>0</v>
      </c>
      <c r="AC120" s="71">
        <f>IF(AND(AC114&gt;AE114,$AK93&gt;9,$AK92&gt;4,ISNUMBER(AC114),ISNUMBER(AE114)),1,0)</f>
        <v>0</v>
      </c>
      <c r="AD120" s="71"/>
      <c r="AE120" s="72">
        <f>IF(AND(AE114&gt;AC114,$AK93&gt;9,$AK92&gt;4,ISNUMBER(AC114),ISNUMBER(AE114)),1,0)</f>
        <v>0</v>
      </c>
      <c r="AW120" s="154"/>
    </row>
    <row r="121" spans="1:49" s="70" customFormat="1" ht="38.25" hidden="1" customHeight="1" x14ac:dyDescent="0.2">
      <c r="A121" s="73" t="s">
        <v>80</v>
      </c>
      <c r="B121" s="70">
        <f>SUM(B116:B120)</f>
        <v>1</v>
      </c>
      <c r="D121" s="74">
        <f>SUM(D116:D120)</f>
        <v>1</v>
      </c>
      <c r="E121" s="70">
        <f>SUM(E116:E120)</f>
        <v>2</v>
      </c>
      <c r="G121" s="74">
        <f>SUM(G116:G120)</f>
        <v>0</v>
      </c>
      <c r="H121" s="70">
        <f>SUM(H116:H120)</f>
        <v>1</v>
      </c>
      <c r="J121" s="74">
        <f>SUM(J116:J120)</f>
        <v>1</v>
      </c>
      <c r="K121" s="70">
        <f>SUM(K116:K120)</f>
        <v>1</v>
      </c>
      <c r="M121" s="74">
        <f>SUM(M116:M120)</f>
        <v>1</v>
      </c>
      <c r="N121" s="70">
        <f>SUM(N116:N120)</f>
        <v>2</v>
      </c>
      <c r="P121" s="74">
        <f>SUM(P116:P120)</f>
        <v>0</v>
      </c>
      <c r="Q121" s="70">
        <f>SUM(Q116:Q120)</f>
        <v>2</v>
      </c>
      <c r="S121" s="74">
        <f>SUM(S116:S120)</f>
        <v>0</v>
      </c>
      <c r="T121" s="70">
        <f>SUM(T116:T120)</f>
        <v>0</v>
      </c>
      <c r="V121" s="74">
        <f>SUM(V116:V120)</f>
        <v>2</v>
      </c>
      <c r="W121" s="70">
        <f>SUM(W116:W120)</f>
        <v>2</v>
      </c>
      <c r="Y121" s="74">
        <f>SUM(Y116:Y120)</f>
        <v>0</v>
      </c>
      <c r="Z121" s="70">
        <f>SUM(Z116:Z120)</f>
        <v>0</v>
      </c>
      <c r="AB121" s="74">
        <f>SUM(AB116:AB120)</f>
        <v>2</v>
      </c>
      <c r="AC121" s="70">
        <f>SUM(AC116:AC120)</f>
        <v>2</v>
      </c>
      <c r="AE121" s="74">
        <f>SUM(AE116:AE120)</f>
        <v>0</v>
      </c>
      <c r="AW121" s="154"/>
    </row>
    <row r="122" spans="1:49" s="70" customFormat="1" ht="25.5" hidden="1" customHeight="1" x14ac:dyDescent="0.2">
      <c r="A122" s="73" t="s">
        <v>81</v>
      </c>
      <c r="B122" s="70">
        <f>IF(B121&gt;D121,IF(C156=AK92,1,IF(C156=AK92-1,1,0)),0)</f>
        <v>0</v>
      </c>
      <c r="C122" s="70">
        <f>B122+D122</f>
        <v>0</v>
      </c>
      <c r="D122" s="74">
        <f>IF(D121&gt;B121,IF(C156=AK92,1,IF(C156=AK92-1,1,0)),0)</f>
        <v>0</v>
      </c>
      <c r="E122" s="70">
        <f>IF(E121&gt;G121,IF(F156=AK92,1,IF(F156=AK92-1,1,0)),0)</f>
        <v>1</v>
      </c>
      <c r="F122" s="70">
        <f>E122+G122</f>
        <v>1</v>
      </c>
      <c r="G122" s="74">
        <f>IF(G121&gt;E121,IF(F156=AK92,1,IF(F156=AK92-1,1,0)),0)</f>
        <v>0</v>
      </c>
      <c r="H122" s="70">
        <f>IF(H121&gt;J121,IF(I156=AK92,1,IF(I156=AK92-1,1,0)),0)</f>
        <v>0</v>
      </c>
      <c r="I122" s="70">
        <f>H122+J122</f>
        <v>0</v>
      </c>
      <c r="J122" s="74">
        <f>IF(J121&gt;H121,IF(I156=AK92,1,IF(I156=AK92-1,1,0)),0)</f>
        <v>0</v>
      </c>
      <c r="K122" s="70">
        <f>IF(K121&gt;M121,IF(L156=AK92,1,IF(L156=AK92-1,1,0)),0)</f>
        <v>0</v>
      </c>
      <c r="L122" s="70">
        <f>K122+M122</f>
        <v>0</v>
      </c>
      <c r="M122" s="74">
        <f>IF(M121&gt;K121,IF(L156=AK92,1,IF(L156=AK92-1,1,0)),0)</f>
        <v>0</v>
      </c>
      <c r="N122" s="70">
        <f>IF(N121&gt;P121,IF(O156=AK92,1,IF(O156=AK92-1,1,0)),0)</f>
        <v>1</v>
      </c>
      <c r="O122" s="70">
        <f>N122+P122</f>
        <v>1</v>
      </c>
      <c r="P122" s="74">
        <f>IF(P121&gt;N121,IF(O156=AK92,1,IF(O156=AK92-1,1,0)),0)</f>
        <v>0</v>
      </c>
      <c r="Q122" s="70">
        <f>IF(Q121&gt;S121,IF(R156=AK92,1,IF(R156=AK92-1,1,0)),0)</f>
        <v>1</v>
      </c>
      <c r="R122" s="70">
        <f>Q122+S122</f>
        <v>1</v>
      </c>
      <c r="S122" s="74">
        <f>IF(S121&gt;Q121,IF(R156=AK92,1,IF(R156=AK92-1,1,0)),0)</f>
        <v>0</v>
      </c>
      <c r="T122" s="70">
        <f>IF(T121&gt;V121,IF(U156=AK92,1,IF(U156=AK92-1,1,0)),0)</f>
        <v>0</v>
      </c>
      <c r="U122" s="70">
        <f>T122+V122</f>
        <v>1</v>
      </c>
      <c r="V122" s="74">
        <f>IF(V121&gt;T121,IF(U156=AK92,1,IF(U156=AK92-1,1,0)),0)</f>
        <v>1</v>
      </c>
      <c r="W122" s="70">
        <f>IF(W121&gt;Y121,IF(X156=AK92,1,IF(X156=AK92-1,1,0)),0)</f>
        <v>1</v>
      </c>
      <c r="X122" s="70">
        <f>W122+Y122</f>
        <v>1</v>
      </c>
      <c r="Y122" s="74">
        <f>IF(Y121&gt;W121,IF(X156=AK92,1,IF(X156=AK92-1,1,0)),0)</f>
        <v>0</v>
      </c>
      <c r="Z122" s="70">
        <f>IF(Z121&gt;AB121,IF(AA156=AK92,1,IF(AA156=AK92-1,1,0)),0)</f>
        <v>0</v>
      </c>
      <c r="AA122" s="70">
        <f>Z122+AB122</f>
        <v>1</v>
      </c>
      <c r="AB122" s="74">
        <f>IF(AB121&gt;Z121,IF(AA156=AK92,1,IF(AA156=AK92-1,1,0)),0)</f>
        <v>1</v>
      </c>
      <c r="AC122" s="70">
        <f>IF(AC121&gt;AE121,IF(AD156=AK92,1,IF(AD156=AK92-1,1,0)),0)</f>
        <v>1</v>
      </c>
      <c r="AD122" s="70">
        <f>AC122+AE122</f>
        <v>1</v>
      </c>
      <c r="AE122" s="74">
        <f>IF(AE121&gt;AC121,IF(AD156=AK92,1,IF(AD156=AK92-1,1,0)),0)</f>
        <v>0</v>
      </c>
      <c r="AW122" s="154"/>
    </row>
    <row r="123" spans="1:49" s="70" customFormat="1" ht="25.5" hidden="1" customHeight="1" x14ac:dyDescent="0.2">
      <c r="A123" s="73"/>
      <c r="D123" s="74"/>
      <c r="G123" s="74"/>
      <c r="J123" s="74"/>
      <c r="M123" s="74"/>
      <c r="P123" s="74"/>
      <c r="S123" s="74"/>
      <c r="V123" s="74"/>
      <c r="Y123" s="74"/>
      <c r="AB123" s="74"/>
      <c r="AE123" s="74"/>
      <c r="AW123" s="154"/>
    </row>
    <row r="124" spans="1:49" s="70" customFormat="1" ht="12.75" hidden="1" customHeight="1" x14ac:dyDescent="0.2">
      <c r="A124" s="70" t="s">
        <v>82</v>
      </c>
      <c r="B124" s="70">
        <f>IF(B116=1,B110,0)</f>
        <v>0</v>
      </c>
      <c r="D124" s="74">
        <f t="shared" ref="D124:E128" si="11">IF(D116=1,D110,0)</f>
        <v>25</v>
      </c>
      <c r="E124" s="70">
        <f t="shared" si="11"/>
        <v>25</v>
      </c>
      <c r="G124" s="74">
        <f t="shared" ref="G124:H128" si="12">IF(G116=1,G110,0)</f>
        <v>0</v>
      </c>
      <c r="H124" s="70">
        <f t="shared" si="12"/>
        <v>0</v>
      </c>
      <c r="J124" s="74">
        <f t="shared" ref="J124:K128" si="13">IF(J116=1,J110,0)</f>
        <v>25</v>
      </c>
      <c r="K124" s="70">
        <f t="shared" si="13"/>
        <v>27</v>
      </c>
      <c r="M124" s="74">
        <f t="shared" ref="M124:N128" si="14">IF(M116=1,M110,0)</f>
        <v>0</v>
      </c>
      <c r="N124" s="70">
        <f t="shared" si="14"/>
        <v>25</v>
      </c>
      <c r="P124" s="74">
        <f t="shared" ref="P124:Q128" si="15">IF(P116=1,P110,0)</f>
        <v>0</v>
      </c>
      <c r="Q124" s="70">
        <f t="shared" si="15"/>
        <v>25</v>
      </c>
      <c r="S124" s="74">
        <f t="shared" ref="S124:T128" si="16">IF(S116=1,S110,0)</f>
        <v>0</v>
      </c>
      <c r="T124" s="70">
        <f t="shared" si="16"/>
        <v>0</v>
      </c>
      <c r="V124" s="74">
        <f t="shared" ref="V124:W128" si="17">IF(V116=1,V110,0)</f>
        <v>25</v>
      </c>
      <c r="W124" s="70">
        <f t="shared" si="17"/>
        <v>25</v>
      </c>
      <c r="Y124" s="74">
        <f t="shared" ref="Y124:Z128" si="18">IF(Y116=1,Y110,0)</f>
        <v>0</v>
      </c>
      <c r="Z124" s="70">
        <f t="shared" si="18"/>
        <v>0</v>
      </c>
      <c r="AB124" s="74">
        <f t="shared" ref="AB124:AC128" si="19">IF(AB116=1,AB110,0)</f>
        <v>25</v>
      </c>
      <c r="AC124" s="70">
        <f t="shared" si="19"/>
        <v>25</v>
      </c>
      <c r="AE124" s="74">
        <f>IF(AE116=1,AE110,0)</f>
        <v>0</v>
      </c>
      <c r="AW124" s="154"/>
    </row>
    <row r="125" spans="1:49" s="70" customFormat="1" ht="12.75" hidden="1" customHeight="1" x14ac:dyDescent="0.2">
      <c r="A125" s="70" t="s">
        <v>83</v>
      </c>
      <c r="B125" s="70">
        <f>IF(B117=1,B111,0)</f>
        <v>25</v>
      </c>
      <c r="D125" s="74">
        <f t="shared" si="11"/>
        <v>0</v>
      </c>
      <c r="E125" s="70">
        <f t="shared" si="11"/>
        <v>25</v>
      </c>
      <c r="G125" s="74">
        <f t="shared" si="12"/>
        <v>0</v>
      </c>
      <c r="H125" s="70">
        <f t="shared" si="12"/>
        <v>25</v>
      </c>
      <c r="J125" s="74">
        <f t="shared" si="13"/>
        <v>0</v>
      </c>
      <c r="K125" s="70">
        <f t="shared" si="13"/>
        <v>0</v>
      </c>
      <c r="M125" s="74">
        <f t="shared" si="14"/>
        <v>25</v>
      </c>
      <c r="N125" s="70">
        <f t="shared" si="14"/>
        <v>25</v>
      </c>
      <c r="P125" s="74">
        <f t="shared" si="15"/>
        <v>0</v>
      </c>
      <c r="Q125" s="70">
        <f t="shared" si="15"/>
        <v>25</v>
      </c>
      <c r="S125" s="74">
        <f t="shared" si="16"/>
        <v>0</v>
      </c>
      <c r="T125" s="70">
        <f t="shared" si="16"/>
        <v>0</v>
      </c>
      <c r="V125" s="74">
        <f t="shared" si="17"/>
        <v>25</v>
      </c>
      <c r="W125" s="70">
        <f t="shared" si="17"/>
        <v>25</v>
      </c>
      <c r="Y125" s="74">
        <f t="shared" si="18"/>
        <v>0</v>
      </c>
      <c r="Z125" s="70">
        <f t="shared" si="18"/>
        <v>0</v>
      </c>
      <c r="AB125" s="74">
        <f t="shared" si="19"/>
        <v>25</v>
      </c>
      <c r="AC125" s="70">
        <f t="shared" si="19"/>
        <v>25</v>
      </c>
      <c r="AE125" s="74">
        <f>IF(AE117=1,AE111,0)</f>
        <v>0</v>
      </c>
      <c r="AW125" s="154"/>
    </row>
    <row r="126" spans="1:49" s="70" customFormat="1" ht="12.75" hidden="1" customHeight="1" x14ac:dyDescent="0.2">
      <c r="A126" s="70" t="s">
        <v>84</v>
      </c>
      <c r="B126" s="70">
        <f>IF(B118=1,B112,0)</f>
        <v>0</v>
      </c>
      <c r="D126" s="74">
        <f t="shared" si="11"/>
        <v>0</v>
      </c>
      <c r="E126" s="70">
        <f t="shared" si="11"/>
        <v>0</v>
      </c>
      <c r="G126" s="74">
        <f t="shared" si="12"/>
        <v>0</v>
      </c>
      <c r="H126" s="70">
        <f t="shared" si="12"/>
        <v>0</v>
      </c>
      <c r="J126" s="74">
        <f t="shared" si="13"/>
        <v>0</v>
      </c>
      <c r="K126" s="70">
        <f t="shared" si="13"/>
        <v>0</v>
      </c>
      <c r="M126" s="74">
        <f t="shared" si="14"/>
        <v>0</v>
      </c>
      <c r="N126" s="70">
        <f t="shared" si="14"/>
        <v>0</v>
      </c>
      <c r="P126" s="74">
        <f t="shared" si="15"/>
        <v>0</v>
      </c>
      <c r="Q126" s="70">
        <f t="shared" si="15"/>
        <v>0</v>
      </c>
      <c r="S126" s="74">
        <f t="shared" si="16"/>
        <v>0</v>
      </c>
      <c r="T126" s="70">
        <f t="shared" si="16"/>
        <v>0</v>
      </c>
      <c r="V126" s="74">
        <f t="shared" si="17"/>
        <v>0</v>
      </c>
      <c r="W126" s="70">
        <f t="shared" si="17"/>
        <v>0</v>
      </c>
      <c r="Y126" s="74">
        <f t="shared" si="18"/>
        <v>0</v>
      </c>
      <c r="Z126" s="70">
        <f t="shared" si="18"/>
        <v>0</v>
      </c>
      <c r="AB126" s="74">
        <f t="shared" si="19"/>
        <v>0</v>
      </c>
      <c r="AC126" s="70">
        <f t="shared" si="19"/>
        <v>0</v>
      </c>
      <c r="AE126" s="74">
        <f>IF(AE118=1,AE112,0)</f>
        <v>0</v>
      </c>
      <c r="AW126" s="154"/>
    </row>
    <row r="127" spans="1:49" s="70" customFormat="1" ht="12.75" hidden="1" customHeight="1" x14ac:dyDescent="0.2">
      <c r="A127" s="70" t="s">
        <v>85</v>
      </c>
      <c r="B127" s="70">
        <f>IF(B119=1,B113,0)</f>
        <v>0</v>
      </c>
      <c r="D127" s="74">
        <f t="shared" si="11"/>
        <v>0</v>
      </c>
      <c r="E127" s="70">
        <f t="shared" si="11"/>
        <v>0</v>
      </c>
      <c r="G127" s="74">
        <f t="shared" si="12"/>
        <v>0</v>
      </c>
      <c r="H127" s="70">
        <f t="shared" si="12"/>
        <v>0</v>
      </c>
      <c r="J127" s="74">
        <f t="shared" si="13"/>
        <v>0</v>
      </c>
      <c r="K127" s="70">
        <f t="shared" si="13"/>
        <v>0</v>
      </c>
      <c r="M127" s="74">
        <f t="shared" si="14"/>
        <v>0</v>
      </c>
      <c r="N127" s="70">
        <f t="shared" si="14"/>
        <v>0</v>
      </c>
      <c r="P127" s="74">
        <f t="shared" si="15"/>
        <v>0</v>
      </c>
      <c r="Q127" s="70">
        <f t="shared" si="15"/>
        <v>0</v>
      </c>
      <c r="S127" s="74">
        <f t="shared" si="16"/>
        <v>0</v>
      </c>
      <c r="T127" s="70">
        <f t="shared" si="16"/>
        <v>0</v>
      </c>
      <c r="V127" s="74">
        <f t="shared" si="17"/>
        <v>0</v>
      </c>
      <c r="W127" s="70">
        <f t="shared" si="17"/>
        <v>0</v>
      </c>
      <c r="Y127" s="74">
        <f t="shared" si="18"/>
        <v>0</v>
      </c>
      <c r="Z127" s="70">
        <f t="shared" si="18"/>
        <v>0</v>
      </c>
      <c r="AB127" s="74">
        <f t="shared" si="19"/>
        <v>0</v>
      </c>
      <c r="AC127" s="70">
        <f t="shared" si="19"/>
        <v>0</v>
      </c>
      <c r="AE127" s="74">
        <f>IF(AE119=1,AE113,0)</f>
        <v>0</v>
      </c>
      <c r="AW127" s="154"/>
    </row>
    <row r="128" spans="1:49" s="70" customFormat="1" ht="12.75" hidden="1" customHeight="1" x14ac:dyDescent="0.2">
      <c r="A128" s="70" t="s">
        <v>86</v>
      </c>
      <c r="B128" s="70">
        <f>IF(B120=1,B114,0)</f>
        <v>0</v>
      </c>
      <c r="D128" s="74">
        <f t="shared" si="11"/>
        <v>0</v>
      </c>
      <c r="E128" s="70">
        <f t="shared" si="11"/>
        <v>0</v>
      </c>
      <c r="G128" s="74">
        <f t="shared" si="12"/>
        <v>0</v>
      </c>
      <c r="H128" s="70">
        <f t="shared" si="12"/>
        <v>0</v>
      </c>
      <c r="J128" s="74">
        <f t="shared" si="13"/>
        <v>0</v>
      </c>
      <c r="K128" s="70">
        <f t="shared" si="13"/>
        <v>0</v>
      </c>
      <c r="M128" s="74">
        <f t="shared" si="14"/>
        <v>0</v>
      </c>
      <c r="N128" s="70">
        <f t="shared" si="14"/>
        <v>0</v>
      </c>
      <c r="P128" s="74">
        <f t="shared" si="15"/>
        <v>0</v>
      </c>
      <c r="Q128" s="70">
        <f t="shared" si="15"/>
        <v>0</v>
      </c>
      <c r="S128" s="74">
        <f t="shared" si="16"/>
        <v>0</v>
      </c>
      <c r="T128" s="70">
        <f t="shared" si="16"/>
        <v>0</v>
      </c>
      <c r="V128" s="74">
        <f t="shared" si="17"/>
        <v>0</v>
      </c>
      <c r="W128" s="70">
        <f t="shared" si="17"/>
        <v>0</v>
      </c>
      <c r="Y128" s="74">
        <f t="shared" si="18"/>
        <v>0</v>
      </c>
      <c r="Z128" s="70">
        <f t="shared" si="18"/>
        <v>0</v>
      </c>
      <c r="AB128" s="74">
        <f t="shared" si="19"/>
        <v>0</v>
      </c>
      <c r="AC128" s="70">
        <f t="shared" si="19"/>
        <v>0</v>
      </c>
      <c r="AE128" s="74">
        <f>IF(AE120=1,AE114,0)</f>
        <v>0</v>
      </c>
      <c r="AW128" s="154"/>
    </row>
    <row r="129" spans="1:49" s="70" customFormat="1" ht="38.25" hidden="1" customHeight="1" x14ac:dyDescent="0.2">
      <c r="A129" s="73" t="s">
        <v>87</v>
      </c>
      <c r="B129" s="70">
        <f>SUM(B124:D128)</f>
        <v>50</v>
      </c>
      <c r="D129" s="74"/>
      <c r="E129" s="70">
        <f>SUM(E124:G128)</f>
        <v>50</v>
      </c>
      <c r="G129" s="74"/>
      <c r="H129" s="70">
        <f>SUM(H124:J128)</f>
        <v>50</v>
      </c>
      <c r="J129" s="74"/>
      <c r="K129" s="70">
        <f>SUM(K124:M128)</f>
        <v>52</v>
      </c>
      <c r="M129" s="74"/>
      <c r="N129" s="70">
        <f>SUM(N124:P128)</f>
        <v>50</v>
      </c>
      <c r="P129" s="74"/>
      <c r="Q129" s="70">
        <f>SUM(Q124:S128)</f>
        <v>50</v>
      </c>
      <c r="S129" s="74"/>
      <c r="T129" s="70">
        <f>SUM(T124:V128)</f>
        <v>50</v>
      </c>
      <c r="V129" s="74"/>
      <c r="W129" s="70">
        <f>SUM(W124:Y128)</f>
        <v>50</v>
      </c>
      <c r="Y129" s="74"/>
      <c r="Z129" s="70">
        <f>SUM(Z124:AB128)</f>
        <v>50</v>
      </c>
      <c r="AB129" s="74"/>
      <c r="AC129" s="70">
        <f>SUM(AC124:AE128)</f>
        <v>50</v>
      </c>
      <c r="AE129" s="74"/>
      <c r="AW129" s="154"/>
    </row>
    <row r="130" spans="1:49" s="70" customFormat="1" ht="38.25" hidden="1" customHeight="1" x14ac:dyDescent="0.2">
      <c r="A130" s="70" t="s">
        <v>88</v>
      </c>
      <c r="D130" s="74"/>
      <c r="G130" s="74"/>
      <c r="J130" s="74"/>
      <c r="M130" s="74"/>
      <c r="P130" s="74"/>
      <c r="S130" s="74"/>
      <c r="V130" s="74"/>
      <c r="Y130" s="74"/>
      <c r="AB130" s="74"/>
      <c r="AE130" s="74"/>
      <c r="AF130" s="73" t="s">
        <v>89</v>
      </c>
      <c r="AG130" s="70" t="s">
        <v>90</v>
      </c>
      <c r="AW130" s="154"/>
    </row>
    <row r="131" spans="1:49" s="70" customFormat="1" ht="12.75" hidden="1" customHeight="1" x14ac:dyDescent="0.2">
      <c r="A131" s="70" t="s">
        <v>91</v>
      </c>
      <c r="B131" s="70">
        <f>IF(B109=1,IF(B122=1,1,0),0)</f>
        <v>0</v>
      </c>
      <c r="D131" s="74">
        <f>IF(D109=1,IF(D122=1,1,0),0)</f>
        <v>0</v>
      </c>
      <c r="E131" s="70">
        <f>IF(E109=1,IF(E122=1,1,0),0)</f>
        <v>1</v>
      </c>
      <c r="G131" s="74">
        <f>IF(G109=1,IF(G122=1,1,0),0)</f>
        <v>0</v>
      </c>
      <c r="H131" s="70">
        <f>IF(H109=1,IF(H122=1,1,0),0)</f>
        <v>0</v>
      </c>
      <c r="J131" s="74">
        <f>IF(J109=1,IF(J122=1,1,0),0)</f>
        <v>0</v>
      </c>
      <c r="K131" s="70">
        <f>IF(K109=1,IF(K122=1,1,0),0)</f>
        <v>0</v>
      </c>
      <c r="M131" s="74">
        <f>IF(M109=1,IF(M122=1,1,0),0)</f>
        <v>0</v>
      </c>
      <c r="N131" s="70">
        <f>IF(N109=1,IF(N122=1,1,0),0)</f>
        <v>1</v>
      </c>
      <c r="P131" s="74">
        <f>IF(P109=1,IF(P122=1,1,0),0)</f>
        <v>0</v>
      </c>
      <c r="Q131" s="70">
        <f>IF(Q109=1,IF(Q122=1,1,0),0)</f>
        <v>0</v>
      </c>
      <c r="S131" s="74">
        <f>IF(S109=1,IF(S122=1,1,0),0)</f>
        <v>0</v>
      </c>
      <c r="T131" s="70">
        <f>IF(T109=1,IF(T122=1,1,0),0)</f>
        <v>0</v>
      </c>
      <c r="V131" s="74">
        <f>IF(V109=1,IF(V122=1,1,0),0)</f>
        <v>0</v>
      </c>
      <c r="W131" s="70">
        <f>IF(W109=1,IF(W122=1,1,0),0)</f>
        <v>1</v>
      </c>
      <c r="Y131" s="74">
        <f>IF(Y109=1,IF(Y122=1,1,0),0)</f>
        <v>0</v>
      </c>
      <c r="Z131" s="70">
        <f>IF(Z109=1,IF(Z122=1,1,0),0)</f>
        <v>0</v>
      </c>
      <c r="AB131" s="74">
        <f>IF(AB109=1,IF(AB122=1,1,0),0)</f>
        <v>0</v>
      </c>
      <c r="AC131" s="70">
        <f>IF(AC109=1,IF(AC122=1,1,0),0)</f>
        <v>1</v>
      </c>
      <c r="AE131" s="74">
        <f>IF(AE109=1,IF(AE122=1,1,0),0)</f>
        <v>0</v>
      </c>
      <c r="AF131" s="70">
        <f>SUM(B131:AE131)</f>
        <v>4</v>
      </c>
      <c r="AG131" s="70">
        <f>AF137-AF131</f>
        <v>0</v>
      </c>
      <c r="AW131" s="154"/>
    </row>
    <row r="132" spans="1:49" s="70" customFormat="1" ht="12.75" hidden="1" customHeight="1" x14ac:dyDescent="0.2">
      <c r="A132" s="70" t="s">
        <v>92</v>
      </c>
      <c r="B132" s="70">
        <f>IF(B109=2,IF(B122=1,1,0),0)</f>
        <v>0</v>
      </c>
      <c r="D132" s="74">
        <f>IF(D109=2,IF(D122=1,1,0),0)</f>
        <v>0</v>
      </c>
      <c r="E132" s="70">
        <f>IF(E109=2,IF(E122=1,1,0),0)</f>
        <v>0</v>
      </c>
      <c r="G132" s="74">
        <f>IF(G109=2,IF(G122=1,1,0),0)</f>
        <v>0</v>
      </c>
      <c r="H132" s="70">
        <f>IF(H109=2,IF(H122=1,1,0),0)</f>
        <v>0</v>
      </c>
      <c r="J132" s="74">
        <f>IF(J109=2,IF(J122=1,1,0),0)</f>
        <v>0</v>
      </c>
      <c r="K132" s="70">
        <f>IF(K109=2,IF(K122=1,1,0),0)</f>
        <v>0</v>
      </c>
      <c r="M132" s="74">
        <f>IF(M109=2,IF(M122=1,1,0),0)</f>
        <v>0</v>
      </c>
      <c r="N132" s="70">
        <f>IF(N109=2,IF(N122=1,1,0),0)</f>
        <v>0</v>
      </c>
      <c r="P132" s="74">
        <f>IF(P109=2,IF(P122=1,1,0),0)</f>
        <v>0</v>
      </c>
      <c r="Q132" s="70">
        <f>IF(Q109=2,IF(Q122=1,1,0),0)</f>
        <v>0</v>
      </c>
      <c r="S132" s="74">
        <f>IF(S109=2,IF(S122=1,1,0),0)</f>
        <v>0</v>
      </c>
      <c r="T132" s="70">
        <f>IF(T109=2,IF(T122=1,1,0),0)</f>
        <v>0</v>
      </c>
      <c r="V132" s="74">
        <f>IF(V109=2,IF(V122=1,1,0),0)</f>
        <v>0</v>
      </c>
      <c r="W132" s="70">
        <f>IF(W109=2,IF(W122=1,1,0),0)</f>
        <v>0</v>
      </c>
      <c r="Y132" s="74">
        <f>IF(Y109=2,IF(Y122=1,1,0),0)</f>
        <v>0</v>
      </c>
      <c r="Z132" s="70">
        <f>IF(Z109=2,IF(Z122=1,1,0),0)</f>
        <v>0</v>
      </c>
      <c r="AB132" s="74">
        <f>IF(AB109=2,IF(AB122=1,1,0),0)</f>
        <v>0</v>
      </c>
      <c r="AC132" s="70">
        <f>IF(AC109=2,IF(AC122=1,1,0),0)</f>
        <v>0</v>
      </c>
      <c r="AE132" s="74">
        <f>IF(AE109=2,IF(AE122=1,1,0),0)</f>
        <v>0</v>
      </c>
      <c r="AF132" s="70">
        <f>SUM(B132:AE132)</f>
        <v>0</v>
      </c>
      <c r="AG132" s="70">
        <f>AF138-AF132</f>
        <v>2</v>
      </c>
      <c r="AW132" s="154"/>
    </row>
    <row r="133" spans="1:49" s="70" customFormat="1" ht="12.75" hidden="1" customHeight="1" x14ac:dyDescent="0.2">
      <c r="A133" s="70" t="s">
        <v>93</v>
      </c>
      <c r="B133" s="70">
        <f>IF(B109=3,IF(B122=1,1,0),0)</f>
        <v>0</v>
      </c>
      <c r="D133" s="74">
        <f>IF(D109=3,IF(D122=1,1,0),0)</f>
        <v>0</v>
      </c>
      <c r="E133" s="70">
        <f>IF(E109=3,IF(E122=1,1,0),0)</f>
        <v>0</v>
      </c>
      <c r="G133" s="74">
        <f>IF(G109=3,IF(G122=1,1,0),0)</f>
        <v>0</v>
      </c>
      <c r="H133" s="70">
        <f>IF(H109=3,IF(H122=1,1,0),0)</f>
        <v>0</v>
      </c>
      <c r="J133" s="74">
        <f>IF(J109=3,IF(J122=1,1,0),0)</f>
        <v>0</v>
      </c>
      <c r="K133" s="70">
        <f>IF(K109=3,IF(K122=1,1,0),0)</f>
        <v>0</v>
      </c>
      <c r="M133" s="74">
        <f>IF(M109=3,IF(M122=1,1,0),0)</f>
        <v>0</v>
      </c>
      <c r="N133" s="70">
        <f>IF(N109=3,IF(N122=1,1,0),0)</f>
        <v>0</v>
      </c>
      <c r="P133" s="74">
        <f>IF(P109=3,IF(P122=1,1,0),0)</f>
        <v>0</v>
      </c>
      <c r="Q133" s="70">
        <f>IF(Q109=3,IF(Q122=1,1,0),0)</f>
        <v>0</v>
      </c>
      <c r="S133" s="74">
        <f>IF(S109=3,IF(S122=1,1,0),0)</f>
        <v>0</v>
      </c>
      <c r="T133" s="70">
        <f>IF(T109=3,IF(T122=1,1,0),0)</f>
        <v>0</v>
      </c>
      <c r="V133" s="74">
        <f>IF(V109=3,IF(V122=1,1,0),0)</f>
        <v>1</v>
      </c>
      <c r="W133" s="70">
        <f>IF(W109=3,IF(W122=1,1,0),0)</f>
        <v>0</v>
      </c>
      <c r="Y133" s="74">
        <f>IF(Y109=3,IF(Y122=1,1,0),0)</f>
        <v>0</v>
      </c>
      <c r="Z133" s="70">
        <f>IF(Z109=3,IF(Z122=1,1,0),0)</f>
        <v>0</v>
      </c>
      <c r="AB133" s="74">
        <f>IF(AB109=3,IF(AB122=1,1,0),0)</f>
        <v>0</v>
      </c>
      <c r="AC133" s="70">
        <f>IF(AC109=3,IF(AC122=1,1,0),0)</f>
        <v>0</v>
      </c>
      <c r="AE133" s="74">
        <f>IF(AE109=3,IF(AE122=1,1,0),0)</f>
        <v>0</v>
      </c>
      <c r="AF133" s="70">
        <f>SUM(B133:AE133)</f>
        <v>1</v>
      </c>
      <c r="AG133" s="70">
        <f>AF139-AF133</f>
        <v>2</v>
      </c>
      <c r="AW133" s="154"/>
    </row>
    <row r="134" spans="1:49" s="70" customFormat="1" ht="12.75" hidden="1" customHeight="1" x14ac:dyDescent="0.2">
      <c r="A134" s="70" t="s">
        <v>94</v>
      </c>
      <c r="B134" s="70">
        <f>IF(B109=4,IF(B122=1,1,0),0)</f>
        <v>0</v>
      </c>
      <c r="D134" s="74">
        <f>IF(D109=4,IF(D122=1,1,0),0)</f>
        <v>0</v>
      </c>
      <c r="E134" s="70">
        <f>IF(E109=4,IF(E122=1,1,0),0)</f>
        <v>0</v>
      </c>
      <c r="G134" s="74">
        <f>IF(G109=4,IF(G122=1,1,0),0)</f>
        <v>0</v>
      </c>
      <c r="H134" s="70">
        <f>IF(H109=4,IF(H122=1,1,0),0)</f>
        <v>0</v>
      </c>
      <c r="J134" s="74">
        <f>IF(J109=4,IF(J122=1,1,0),0)</f>
        <v>0</v>
      </c>
      <c r="K134" s="70">
        <f>IF(K109=4,IF(K122=1,1,0),0)</f>
        <v>0</v>
      </c>
      <c r="M134" s="74">
        <f>IF(M109=4,IF(M122=1,1,0),0)</f>
        <v>0</v>
      </c>
      <c r="N134" s="70">
        <f>IF(N109=4,IF(N122=1,1,0),0)</f>
        <v>0</v>
      </c>
      <c r="P134" s="74">
        <f>IF(P109=4,IF(P122=1,1,0),0)</f>
        <v>0</v>
      </c>
      <c r="Q134" s="70">
        <f>IF(Q109=4,IF(Q122=1,1,0),0)</f>
        <v>1</v>
      </c>
      <c r="S134" s="74">
        <f>IF(S109=4,IF(S122=1,1,0),0)</f>
        <v>0</v>
      </c>
      <c r="T134" s="70">
        <f>IF(T109=4,IF(T122=1,1,0),0)</f>
        <v>0</v>
      </c>
      <c r="V134" s="74">
        <f>IF(V109=4,IF(V122=1,1,0),0)</f>
        <v>0</v>
      </c>
      <c r="W134" s="70">
        <f>IF(W109=4,IF(W122=1,1,0),0)</f>
        <v>0</v>
      </c>
      <c r="Y134" s="74">
        <f>IF(Y109=4,IF(Y122=1,1,0),0)</f>
        <v>0</v>
      </c>
      <c r="Z134" s="70">
        <f>IF(Z109=4,IF(Z122=1,1,0),0)</f>
        <v>0</v>
      </c>
      <c r="AB134" s="74">
        <f>IF(AB109=4,IF(AB122=1,1,0),0)</f>
        <v>1</v>
      </c>
      <c r="AC134" s="70">
        <f>IF(AC109=4,IF(AC122=1,1,0),0)</f>
        <v>0</v>
      </c>
      <c r="AE134" s="74">
        <f>IF(AE109=4,IF(AE122=1,1,0),0)</f>
        <v>0</v>
      </c>
      <c r="AF134" s="70">
        <f>SUM(B134:AE134)</f>
        <v>2</v>
      </c>
      <c r="AG134" s="70">
        <f>AF140-AF134</f>
        <v>1</v>
      </c>
      <c r="AW134" s="154"/>
    </row>
    <row r="135" spans="1:49" s="70" customFormat="1" ht="12.75" hidden="1" customHeight="1" x14ac:dyDescent="0.2">
      <c r="A135" s="70" t="s">
        <v>95</v>
      </c>
      <c r="B135" s="70">
        <f>IF(B109=5,IF(B122=1,1,0),0)</f>
        <v>0</v>
      </c>
      <c r="D135" s="74">
        <f>IF(D109=5,IF(D122=1,1,0),0)</f>
        <v>0</v>
      </c>
      <c r="E135" s="70">
        <f>IF(E109=5,IF(E122=1,1,0),0)</f>
        <v>0</v>
      </c>
      <c r="G135" s="74">
        <f>IF(G109=5,IF(G122=1,1,0),0)</f>
        <v>0</v>
      </c>
      <c r="H135" s="70">
        <f>IF(H109=5,IF(H122=1,1,0),0)</f>
        <v>0</v>
      </c>
      <c r="J135" s="74">
        <f>IF(J109=5,IF(J122=1,1,0),0)</f>
        <v>0</v>
      </c>
      <c r="K135" s="70">
        <f>IF(K109=5,IF(K122=1,1,0),0)</f>
        <v>0</v>
      </c>
      <c r="M135" s="74">
        <f>IF(M109=5,IF(M122=1,1,0),0)</f>
        <v>0</v>
      </c>
      <c r="N135" s="70">
        <f>IF(N109=5,IF(N122=1,1,0),0)</f>
        <v>0</v>
      </c>
      <c r="P135" s="74">
        <f>IF(P109=5,IF(P122=1,1,0),0)</f>
        <v>0</v>
      </c>
      <c r="Q135" s="70">
        <f>IF(Q109=5,IF(Q122=1,1,0),0)</f>
        <v>0</v>
      </c>
      <c r="S135" s="74">
        <f>IF(S109=5,IF(S122=1,1,0),0)</f>
        <v>0</v>
      </c>
      <c r="T135" s="70">
        <f>IF(T109=5,IF(T122=1,1,0),0)</f>
        <v>0</v>
      </c>
      <c r="V135" s="74">
        <f>IF(V109=5,IF(V122=1,1,0),0)</f>
        <v>0</v>
      </c>
      <c r="W135" s="70">
        <f>IF(W109=5,IF(W122=1,1,0),0)</f>
        <v>0</v>
      </c>
      <c r="Y135" s="74">
        <f>IF(Y109=5,IF(Y122=1,1,0),0)</f>
        <v>0</v>
      </c>
      <c r="Z135" s="70">
        <f>IF(Z109=5,IF(Z122=1,1,0),0)</f>
        <v>0</v>
      </c>
      <c r="AB135" s="74">
        <f>IF(AB109=5,IF(AB122=1,1,0),0)</f>
        <v>0</v>
      </c>
      <c r="AC135" s="70">
        <f>IF(AC109=5,IF(AC122=1,1,0),0)</f>
        <v>0</v>
      </c>
      <c r="AE135" s="74">
        <f>IF(AE109=5,IF(AE122=1,1,0),0)</f>
        <v>0</v>
      </c>
      <c r="AF135" s="70">
        <f>SUM(B135:AE135)</f>
        <v>0</v>
      </c>
      <c r="AG135" s="70">
        <f>AF141-AF135</f>
        <v>2</v>
      </c>
      <c r="AW135" s="154"/>
    </row>
    <row r="136" spans="1:49" s="70" customFormat="1" ht="38.25" hidden="1" customHeight="1" x14ac:dyDescent="0.2">
      <c r="A136" s="73"/>
      <c r="D136" s="74"/>
      <c r="G136" s="74"/>
      <c r="J136" s="74"/>
      <c r="M136" s="74"/>
      <c r="P136" s="74"/>
      <c r="S136" s="74"/>
      <c r="V136" s="74"/>
      <c r="Y136" s="74"/>
      <c r="AB136" s="74"/>
      <c r="AE136" s="74"/>
      <c r="AF136" s="73" t="s">
        <v>96</v>
      </c>
      <c r="AW136" s="154"/>
    </row>
    <row r="137" spans="1:49" s="70" customFormat="1" ht="12.75" hidden="1" customHeight="1" x14ac:dyDescent="0.2">
      <c r="A137" s="70" t="s">
        <v>97</v>
      </c>
      <c r="B137" s="70">
        <f>IF(B109=1,IF(C122=1,1,0),0)</f>
        <v>0</v>
      </c>
      <c r="D137" s="74">
        <f>IF(D109=1,IF(C122=1,1,0),0)</f>
        <v>0</v>
      </c>
      <c r="E137" s="70">
        <f>IF(E109=1,IF(F122=1,1,0),0)</f>
        <v>1</v>
      </c>
      <c r="G137" s="74">
        <f>IF(G109=1,IF(F122=1,1,0),0)</f>
        <v>0</v>
      </c>
      <c r="H137" s="70">
        <f>IF(H109=1,IF(I122=1,1,0),0)</f>
        <v>0</v>
      </c>
      <c r="J137" s="74">
        <f>IF(J109=1,IF(I122=1,1,0),0)</f>
        <v>0</v>
      </c>
      <c r="K137" s="70">
        <f>IF(K109=1,IF(L122=1,1,0),0)</f>
        <v>0</v>
      </c>
      <c r="M137" s="74">
        <f>IF(M109=1,IF(L122=1,1,0),0)</f>
        <v>0</v>
      </c>
      <c r="N137" s="70">
        <f>IF(N109=1,IF(O122=1,1,0),0)</f>
        <v>1</v>
      </c>
      <c r="P137" s="74">
        <f>IF(P109=1,IF(O122=1,1,0),0)</f>
        <v>0</v>
      </c>
      <c r="Q137" s="70">
        <f>IF(Q109=1,IF(R122=1,1,0),0)</f>
        <v>0</v>
      </c>
      <c r="S137" s="74">
        <f>IF(S109=1,IF(R122=1,1,0),0)</f>
        <v>0</v>
      </c>
      <c r="T137" s="70">
        <f>IF(T109=1,IF(U122=1,1,0),0)</f>
        <v>0</v>
      </c>
      <c r="V137" s="74">
        <f>IF(V109=1,IF(U122=1,1,0),0)</f>
        <v>0</v>
      </c>
      <c r="W137" s="70">
        <f>IF(W109=1,IF(X122=1,1,0),0)</f>
        <v>1</v>
      </c>
      <c r="Y137" s="74">
        <f>IF(Y109=1,IF(X122=1,1,0),0)</f>
        <v>0</v>
      </c>
      <c r="Z137" s="70">
        <f>IF(Z109=1,IF(AA122=1,1,0),0)</f>
        <v>0</v>
      </c>
      <c r="AB137" s="74">
        <f>IF(AB109=1,IF(AA122=1,1,0),0)</f>
        <v>0</v>
      </c>
      <c r="AC137" s="70">
        <f>IF(AC109=1,IF(AD122=1,1,0),0)</f>
        <v>1</v>
      </c>
      <c r="AE137" s="74">
        <f>IF(AE109=1,IF(AD122=1,1,0),0)</f>
        <v>0</v>
      </c>
      <c r="AF137" s="70">
        <f>SUM(B137:AE137)</f>
        <v>4</v>
      </c>
      <c r="AW137" s="154"/>
    </row>
    <row r="138" spans="1:49" s="70" customFormat="1" ht="12.75" hidden="1" customHeight="1" x14ac:dyDescent="0.2">
      <c r="A138" s="70" t="s">
        <v>98</v>
      </c>
      <c r="B138" s="70">
        <f>IF(B109=2,IF(C122=1,1,0),0)</f>
        <v>0</v>
      </c>
      <c r="D138" s="74">
        <f>IF(D109=2,IF(C122=1,1,0),0)</f>
        <v>0</v>
      </c>
      <c r="E138" s="70">
        <f>IF(E109=2,IF(F122=1,1,0),0)</f>
        <v>0</v>
      </c>
      <c r="G138" s="74">
        <f>IF(G109=2,IF(F122=1,1,0),0)</f>
        <v>0</v>
      </c>
      <c r="H138" s="70">
        <f>IF(H109=2,IF(I122=1,1,0),0)</f>
        <v>0</v>
      </c>
      <c r="J138" s="74">
        <f>IF(J109=2,IF(I122=1,1,0),0)</f>
        <v>0</v>
      </c>
      <c r="K138" s="70">
        <f>IF(K109=2,IF(L122=1,1,0),0)</f>
        <v>0</v>
      </c>
      <c r="M138" s="74">
        <f>IF(M109=2,IF(L122=1,1,0),0)</f>
        <v>0</v>
      </c>
      <c r="N138" s="70">
        <f>IF(N109=2,IF(O122=1,1,0),0)</f>
        <v>0</v>
      </c>
      <c r="P138" s="74">
        <f>IF(P109=2,IF(O122=1,1,0),0)</f>
        <v>0</v>
      </c>
      <c r="Q138" s="70">
        <f>IF(Q109=2,IF(R122=1,1,0),0)</f>
        <v>0</v>
      </c>
      <c r="S138" s="74">
        <f>IF(S109=2,IF(R122=1,1,0),0)</f>
        <v>0</v>
      </c>
      <c r="T138" s="70">
        <f>IF(T109=2,IF(U122=1,1,0),0)</f>
        <v>1</v>
      </c>
      <c r="V138" s="74">
        <f>IF(V109=2,IF(U122=1,1,0),0)</f>
        <v>0</v>
      </c>
      <c r="W138" s="70">
        <f>IF(W109=2,IF(X122=1,1,0),0)</f>
        <v>0</v>
      </c>
      <c r="Y138" s="74">
        <f>IF(Y109=2,IF(X122=1,1,0),0)</f>
        <v>0</v>
      </c>
      <c r="Z138" s="70">
        <f>IF(Z109=2,IF(AA122=1,1,0),0)</f>
        <v>0</v>
      </c>
      <c r="AB138" s="74">
        <f>IF(AB109=2,IF(AA122=1,1,0),0)</f>
        <v>0</v>
      </c>
      <c r="AC138" s="70">
        <f>IF(AC109=2,IF(AD122=1,1,0),0)</f>
        <v>0</v>
      </c>
      <c r="AE138" s="74">
        <f>IF(AE109=2,IF(AD122=1,1,0),0)</f>
        <v>1</v>
      </c>
      <c r="AF138" s="70">
        <f>SUM(B138:AE138)</f>
        <v>2</v>
      </c>
      <c r="AW138" s="154"/>
    </row>
    <row r="139" spans="1:49" s="70" customFormat="1" ht="12.75" hidden="1" customHeight="1" x14ac:dyDescent="0.2">
      <c r="A139" s="70" t="s">
        <v>99</v>
      </c>
      <c r="B139" s="70">
        <f>IF(B109=3,IF(C122=1,1,0),0)</f>
        <v>0</v>
      </c>
      <c r="D139" s="74">
        <f>IF(D109=3,IF(C122=1,1,0),0)</f>
        <v>0</v>
      </c>
      <c r="E139" s="70">
        <f>IF(E109=3,IF(F122=1,1,0),0)</f>
        <v>0</v>
      </c>
      <c r="G139" s="74">
        <f>IF(G109=3,IF(F122=1,1,0),0)</f>
        <v>0</v>
      </c>
      <c r="H139" s="70">
        <f>IF(H109=3,IF(I122=1,1,0),0)</f>
        <v>0</v>
      </c>
      <c r="J139" s="74">
        <f>IF(J109=3,IF(I122=1,1,0),0)</f>
        <v>0</v>
      </c>
      <c r="K139" s="70">
        <f>IF(K109=3,IF(L122=1,1,0),0)</f>
        <v>0</v>
      </c>
      <c r="M139" s="74">
        <f>IF(M109=3,IF(L122=1,1,0),0)</f>
        <v>0</v>
      </c>
      <c r="N139" s="70">
        <f>IF(N109=3,IF(O122=1,1,0),0)</f>
        <v>0</v>
      </c>
      <c r="P139" s="74">
        <f>IF(P109=3,IF(O122=1,1,0),0)</f>
        <v>1</v>
      </c>
      <c r="Q139" s="70">
        <f>IF(Q109=3,IF(R122=1,1,0),0)</f>
        <v>0</v>
      </c>
      <c r="S139" s="74">
        <f>IF(S109=3,IF(R122=1,1,0),0)</f>
        <v>0</v>
      </c>
      <c r="T139" s="70">
        <f>IF(T109=3,IF(U122=1,1,0),0)</f>
        <v>0</v>
      </c>
      <c r="V139" s="74">
        <f>IF(V109=3,IF(U122=1,1,0),0)</f>
        <v>1</v>
      </c>
      <c r="W139" s="70">
        <f>IF(W109=3,IF(X122=1,1,0),0)</f>
        <v>0</v>
      </c>
      <c r="Y139" s="74">
        <f>IF(Y109=3,IF(X122=1,1,0),0)</f>
        <v>0</v>
      </c>
      <c r="Z139" s="70">
        <f>IF(Z109=3,IF(AA122=1,1,0),0)</f>
        <v>1</v>
      </c>
      <c r="AB139" s="74">
        <f>IF(AB109=3,IF(AA122=1,1,0),0)</f>
        <v>0</v>
      </c>
      <c r="AC139" s="70">
        <f>IF(AC109=3,IF(AD122=1,1,0),0)</f>
        <v>0</v>
      </c>
      <c r="AE139" s="74">
        <f>IF(AE109=3,IF(AD122=1,1,0),0)</f>
        <v>0</v>
      </c>
      <c r="AF139" s="70">
        <f>SUM(B139:AE139)</f>
        <v>3</v>
      </c>
      <c r="AW139" s="154"/>
    </row>
    <row r="140" spans="1:49" s="70" customFormat="1" ht="12.75" hidden="1" customHeight="1" x14ac:dyDescent="0.2">
      <c r="A140" s="70" t="s">
        <v>100</v>
      </c>
      <c r="B140" s="70">
        <f>IF(B109=4,IF(C122=1,1,0),0)</f>
        <v>0</v>
      </c>
      <c r="D140" s="74">
        <f>IF(D109=4,IF(C122=1,1,0),0)</f>
        <v>0</v>
      </c>
      <c r="E140" s="70">
        <f>IF(E109=4,IF(F122=1,1,0),0)</f>
        <v>0</v>
      </c>
      <c r="G140" s="74">
        <f>IF(G109=4,IF(F122=1,1,0),0)</f>
        <v>1</v>
      </c>
      <c r="H140" s="70">
        <f>IF(H109=4,IF(I122=1,1,0),0)</f>
        <v>0</v>
      </c>
      <c r="J140" s="74">
        <f>IF(J109=4,IF(I122=1,1,0),0)</f>
        <v>0</v>
      </c>
      <c r="K140" s="70">
        <f>IF(K109=4,IF(L122=1,1,0),0)</f>
        <v>0</v>
      </c>
      <c r="M140" s="74">
        <f>IF(M109=4,IF(L122=1,1,0),0)</f>
        <v>0</v>
      </c>
      <c r="N140" s="70">
        <f>IF(N109=4,IF(O122=1,1,0),0)</f>
        <v>0</v>
      </c>
      <c r="P140" s="74">
        <f>IF(P109=4,IF(O122=1,1,0),0)</f>
        <v>0</v>
      </c>
      <c r="Q140" s="70">
        <f>IF(Q109=4,IF(R122=1,1,0),0)</f>
        <v>1</v>
      </c>
      <c r="S140" s="74">
        <f>IF(S109=4,IF(R122=1,1,0),0)</f>
        <v>0</v>
      </c>
      <c r="T140" s="70">
        <f>IF(T109=4,IF(U122=1,1,0),0)</f>
        <v>0</v>
      </c>
      <c r="V140" s="74">
        <f>IF(V109=4,IF(U122=1,1,0),0)</f>
        <v>0</v>
      </c>
      <c r="W140" s="70">
        <f>IF(W109=4,IF(X122=1,1,0),0)</f>
        <v>0</v>
      </c>
      <c r="Y140" s="74">
        <f>IF(Y109=4,IF(X122=1,1,0),0)</f>
        <v>0</v>
      </c>
      <c r="Z140" s="70">
        <f>IF(Z109=4,IF(AA122=1,1,0),0)</f>
        <v>0</v>
      </c>
      <c r="AB140" s="74">
        <f>IF(AB109=4,IF(AA122=1,1,0),0)</f>
        <v>1</v>
      </c>
      <c r="AC140" s="70">
        <f>IF(AC109=4,IF(AD122=1,1,0),0)</f>
        <v>0</v>
      </c>
      <c r="AE140" s="74">
        <f>IF(AE109=4,IF(AD122=1,1,0),0)</f>
        <v>0</v>
      </c>
      <c r="AF140" s="70">
        <f>SUM(B140:AE140)</f>
        <v>3</v>
      </c>
      <c r="AW140" s="154"/>
    </row>
    <row r="141" spans="1:49" s="70" customFormat="1" ht="12.75" hidden="1" customHeight="1" x14ac:dyDescent="0.2">
      <c r="A141" s="70" t="s">
        <v>101</v>
      </c>
      <c r="B141" s="70">
        <f>IF(B109=5,IF(C122=1,1,0),0)</f>
        <v>0</v>
      </c>
      <c r="D141" s="74">
        <f>IF(D109=5,IF(C122=1,1,0),0)</f>
        <v>0</v>
      </c>
      <c r="E141" s="70">
        <f>IF(E109=5,IF(F122=1,1,0),0)</f>
        <v>0</v>
      </c>
      <c r="G141" s="74">
        <f>IF(G109=5,IF(F122=1,1,0),0)</f>
        <v>0</v>
      </c>
      <c r="H141" s="70">
        <f>IF(H109=5,IF(I122=1,1,0),0)</f>
        <v>0</v>
      </c>
      <c r="J141" s="74">
        <f>IF(J109=5,IF(I122=1,1,0),0)</f>
        <v>0</v>
      </c>
      <c r="K141" s="70">
        <f>IF(K109=5,IF(L122=1,1,0),0)</f>
        <v>0</v>
      </c>
      <c r="M141" s="74">
        <f>IF(M109=5,IF(L122=1,1,0),0)</f>
        <v>0</v>
      </c>
      <c r="N141" s="70">
        <f>IF(N109=5,IF(O122=1,1,0),0)</f>
        <v>0</v>
      </c>
      <c r="P141" s="74">
        <f>IF(P109=5,IF(O122=1,1,0),0)</f>
        <v>0</v>
      </c>
      <c r="Q141" s="70">
        <f>IF(Q109=5,IF(R122=1,1,0),0)</f>
        <v>0</v>
      </c>
      <c r="S141" s="74">
        <f>IF(S109=5,IF(R122=1,1,0),0)</f>
        <v>1</v>
      </c>
      <c r="T141" s="70">
        <f>IF(T109=5,IF(U122=1,1,0),0)</f>
        <v>0</v>
      </c>
      <c r="V141" s="74">
        <f>IF(V109=5,IF(U122=1,1,0),0)</f>
        <v>0</v>
      </c>
      <c r="W141" s="70">
        <f>IF(W109=5,IF(X122=1,1,0),0)</f>
        <v>0</v>
      </c>
      <c r="Y141" s="74">
        <f>IF(Y109=5,IF(X122=1,1,0),0)</f>
        <v>1</v>
      </c>
      <c r="Z141" s="70">
        <f>IF(Z109=5,IF(AA122=1,1,0),0)</f>
        <v>0</v>
      </c>
      <c r="AB141" s="74">
        <f>IF(AB109=5,IF(AA122=1,1,0),0)</f>
        <v>0</v>
      </c>
      <c r="AC141" s="70">
        <f>IF(AC109=5,IF(AD122=1,1,0),0)</f>
        <v>0</v>
      </c>
      <c r="AE141" s="74">
        <f>IF(AE109=5,IF(AD122=1,1,0),0)</f>
        <v>0</v>
      </c>
      <c r="AF141" s="70">
        <f>SUM(B141:AE141)</f>
        <v>2</v>
      </c>
      <c r="AW141" s="154"/>
    </row>
    <row r="142" spans="1:49" s="70" customFormat="1" ht="38.25" hidden="1" customHeight="1" x14ac:dyDescent="0.2">
      <c r="A142" s="73"/>
      <c r="D142" s="74"/>
      <c r="G142" s="74"/>
      <c r="J142" s="74"/>
      <c r="M142" s="74"/>
      <c r="P142" s="74"/>
      <c r="S142" s="74"/>
      <c r="V142" s="74"/>
      <c r="Y142" s="74"/>
      <c r="AB142" s="74"/>
      <c r="AE142" s="74"/>
      <c r="AF142" s="73" t="s">
        <v>102</v>
      </c>
      <c r="AG142" s="280"/>
      <c r="AH142" s="280"/>
      <c r="AI142" s="280"/>
      <c r="AJ142" s="280"/>
      <c r="AK142" s="280"/>
      <c r="AW142" s="154"/>
    </row>
    <row r="143" spans="1:49" s="70" customFormat="1" ht="12.75" hidden="1" customHeight="1" x14ac:dyDescent="0.2">
      <c r="A143" s="70" t="s">
        <v>97</v>
      </c>
      <c r="B143" s="70">
        <f>IF(B109=1,B129,0)</f>
        <v>0</v>
      </c>
      <c r="D143" s="74">
        <f>IF(D109=1,B129,0)</f>
        <v>0</v>
      </c>
      <c r="E143" s="70">
        <f>IF(E109=1,E129,0)</f>
        <v>50</v>
      </c>
      <c r="G143" s="74">
        <f>IF(G109=1,E129,0)</f>
        <v>0</v>
      </c>
      <c r="H143" s="70">
        <f>IF(H109=1,H129,0)</f>
        <v>0</v>
      </c>
      <c r="J143" s="74">
        <f>IF(J109=1,H129,0)</f>
        <v>0</v>
      </c>
      <c r="K143" s="70">
        <f>IF(K109=1,K129,0)</f>
        <v>0</v>
      </c>
      <c r="M143" s="74">
        <f>IF(M109=1,K129,0)</f>
        <v>0</v>
      </c>
      <c r="N143" s="70">
        <f>IF(N109=1,N129,0)</f>
        <v>50</v>
      </c>
      <c r="P143" s="74">
        <f>IF(P109=1,N129,0)</f>
        <v>0</v>
      </c>
      <c r="Q143" s="70">
        <f>IF(Q109=1,Q129,0)</f>
        <v>0</v>
      </c>
      <c r="S143" s="74">
        <f>IF(S109=1,Q129,0)</f>
        <v>0</v>
      </c>
      <c r="T143" s="70">
        <f>IF(T109=1,T129,0)</f>
        <v>0</v>
      </c>
      <c r="V143" s="74">
        <f>IF(V109=1,T129,0)</f>
        <v>0</v>
      </c>
      <c r="W143" s="70">
        <f>IF(W109=1,W129,0)</f>
        <v>50</v>
      </c>
      <c r="Y143" s="74">
        <f>IF(Y109=1,W129,0)</f>
        <v>0</v>
      </c>
      <c r="Z143" s="70">
        <f>IF(Z109=1,Z129,0)</f>
        <v>0</v>
      </c>
      <c r="AB143" s="74">
        <f>IF(AB109=1,Z129,0)</f>
        <v>0</v>
      </c>
      <c r="AC143" s="70">
        <f>IF(AC109=1,AC129,0)</f>
        <v>50</v>
      </c>
      <c r="AE143" s="74">
        <f>IF(AE109=1,AC129,0)</f>
        <v>0</v>
      </c>
      <c r="AF143" s="70">
        <f>SUM(B143:AE143)</f>
        <v>200</v>
      </c>
      <c r="AW143" s="154"/>
    </row>
    <row r="144" spans="1:49" s="70" customFormat="1" ht="12.75" hidden="1" customHeight="1" x14ac:dyDescent="0.2">
      <c r="A144" s="70" t="s">
        <v>98</v>
      </c>
      <c r="B144" s="70">
        <f>IF(B109=2,B129,0)</f>
        <v>50</v>
      </c>
      <c r="D144" s="74">
        <f>IF(D109=2,B129,0)</f>
        <v>0</v>
      </c>
      <c r="E144" s="70">
        <f>IF(E109=2,E129,0)</f>
        <v>0</v>
      </c>
      <c r="G144" s="74">
        <f>IF(G109=2,E129,0)</f>
        <v>0</v>
      </c>
      <c r="H144" s="70">
        <f>IF(H109=2,H129,0)</f>
        <v>0</v>
      </c>
      <c r="J144" s="74">
        <f>IF(J109=2,H129,0)</f>
        <v>0</v>
      </c>
      <c r="K144" s="70">
        <f>IF(K109=2,K129,0)</f>
        <v>52</v>
      </c>
      <c r="M144" s="74">
        <f>IF(M109=2,K129,0)</f>
        <v>0</v>
      </c>
      <c r="N144" s="70">
        <f>IF(N109=2,N129,0)</f>
        <v>0</v>
      </c>
      <c r="P144" s="74">
        <f>IF(P109=2,N129,0)</f>
        <v>0</v>
      </c>
      <c r="Q144" s="70">
        <f>IF(Q109=2,Q129,0)</f>
        <v>0</v>
      </c>
      <c r="S144" s="74">
        <f>IF(S109=2,Q129,0)</f>
        <v>0</v>
      </c>
      <c r="T144" s="70">
        <f>IF(T109=2,T129,0)</f>
        <v>50</v>
      </c>
      <c r="V144" s="74">
        <f>IF(V109=2,T129,0)</f>
        <v>0</v>
      </c>
      <c r="W144" s="70">
        <f>IF(W109=2,W129,0)</f>
        <v>0</v>
      </c>
      <c r="Y144" s="74">
        <f>IF(Y109=2,W129,0)</f>
        <v>0</v>
      </c>
      <c r="Z144" s="70">
        <f>IF(Z109=2,Z129,0)</f>
        <v>0</v>
      </c>
      <c r="AB144" s="74">
        <f>IF(AB109=2,Z129,0)</f>
        <v>0</v>
      </c>
      <c r="AC144" s="70">
        <f>IF(AC109=2,AC129,0)</f>
        <v>0</v>
      </c>
      <c r="AE144" s="74">
        <f>IF(AE109=2,AC129,0)</f>
        <v>50</v>
      </c>
      <c r="AF144" s="70">
        <f>SUM(B144:AE144)</f>
        <v>202</v>
      </c>
      <c r="AW144" s="154"/>
    </row>
    <row r="145" spans="1:49" s="70" customFormat="1" ht="12.75" hidden="1" customHeight="1" x14ac:dyDescent="0.2">
      <c r="A145" s="70" t="s">
        <v>99</v>
      </c>
      <c r="B145" s="70">
        <f>IF(B109=3,B129,0)</f>
        <v>0</v>
      </c>
      <c r="D145" s="74">
        <f>IF(D109=3,B129,0)</f>
        <v>0</v>
      </c>
      <c r="E145" s="70">
        <f>IF(E109=3,E129,0)</f>
        <v>0</v>
      </c>
      <c r="G145" s="74">
        <f>IF(G109=3,E129,0)</f>
        <v>0</v>
      </c>
      <c r="H145" s="70">
        <f>IF(H109=3,H129,0)</f>
        <v>50</v>
      </c>
      <c r="J145" s="74">
        <f>IF(J109=3,H129,0)</f>
        <v>0</v>
      </c>
      <c r="K145" s="70">
        <f>IF(K109=3,K129,0)</f>
        <v>0</v>
      </c>
      <c r="M145" s="74">
        <f>IF(M109=3,K129,0)</f>
        <v>0</v>
      </c>
      <c r="N145" s="70">
        <f>IF(N109=3,N129,0)</f>
        <v>0</v>
      </c>
      <c r="P145" s="74">
        <f>IF(P109=3,N129,0)</f>
        <v>50</v>
      </c>
      <c r="Q145" s="70">
        <f>IF(Q109=3,Q129,0)</f>
        <v>0</v>
      </c>
      <c r="S145" s="74">
        <f>IF(S109=3,Q129,0)</f>
        <v>0</v>
      </c>
      <c r="T145" s="70">
        <f>IF(T109=3,T129,0)</f>
        <v>0</v>
      </c>
      <c r="V145" s="74">
        <f>IF(V109=3,T129,0)</f>
        <v>50</v>
      </c>
      <c r="W145" s="70">
        <f>IF(W109=3,W129,0)</f>
        <v>0</v>
      </c>
      <c r="Y145" s="74">
        <f>IF(Y109=3,W129,0)</f>
        <v>0</v>
      </c>
      <c r="Z145" s="70">
        <f>IF(Z109=3,Z129,0)</f>
        <v>50</v>
      </c>
      <c r="AB145" s="74">
        <f>IF(AB109=3,Z129,0)</f>
        <v>0</v>
      </c>
      <c r="AC145" s="70">
        <f>IF(AC109=3,AC129,0)</f>
        <v>0</v>
      </c>
      <c r="AE145" s="74">
        <f>IF(AE109=3,AC129,0)</f>
        <v>0</v>
      </c>
      <c r="AF145" s="70">
        <f>SUM(B145:AE145)</f>
        <v>200</v>
      </c>
      <c r="AW145" s="154"/>
    </row>
    <row r="146" spans="1:49" s="70" customFormat="1" ht="12.75" hidden="1" customHeight="1" x14ac:dyDescent="0.2">
      <c r="A146" s="70" t="s">
        <v>100</v>
      </c>
      <c r="B146" s="70">
        <f>IF(B109=4,B129,0)</f>
        <v>0</v>
      </c>
      <c r="D146" s="74">
        <f>IF(D109=4,B129,0)</f>
        <v>0</v>
      </c>
      <c r="E146" s="70">
        <f>IF(E109=4,E129,0)</f>
        <v>0</v>
      </c>
      <c r="G146" s="74">
        <f>IF(G109=4,E129,0)</f>
        <v>50</v>
      </c>
      <c r="H146" s="70">
        <f>IF(H109=4,H129,0)</f>
        <v>0</v>
      </c>
      <c r="J146" s="74">
        <f>IF(J109=4,H129,0)</f>
        <v>0</v>
      </c>
      <c r="K146" s="70">
        <f>IF(K109=4,K129,0)</f>
        <v>0</v>
      </c>
      <c r="M146" s="74">
        <f>IF(M109=4,K129,0)</f>
        <v>52</v>
      </c>
      <c r="N146" s="70">
        <f>IF(N109=4,N129,0)</f>
        <v>0</v>
      </c>
      <c r="P146" s="74">
        <f>IF(P109=4,N129,0)</f>
        <v>0</v>
      </c>
      <c r="Q146" s="70">
        <f>IF(Q109=4,Q129,0)</f>
        <v>50</v>
      </c>
      <c r="S146" s="74">
        <f>IF(S109=4,Q129,0)</f>
        <v>0</v>
      </c>
      <c r="T146" s="70">
        <f>IF(T109=4,T129,0)</f>
        <v>0</v>
      </c>
      <c r="V146" s="74">
        <f>IF(V109=4,T129,0)</f>
        <v>0</v>
      </c>
      <c r="W146" s="70">
        <f>IF(W109=4,W129,0)</f>
        <v>0</v>
      </c>
      <c r="Y146" s="74">
        <f>IF(Y109=4,W129,0)</f>
        <v>0</v>
      </c>
      <c r="Z146" s="70">
        <f>IF(Z109=4,Z129,0)</f>
        <v>0</v>
      </c>
      <c r="AB146" s="74">
        <f>IF(AB109=4,Z129,0)</f>
        <v>50</v>
      </c>
      <c r="AC146" s="70">
        <f>IF(AC109=4,AC129,0)</f>
        <v>0</v>
      </c>
      <c r="AE146" s="74">
        <f>IF(AE109=4,AC129,0)</f>
        <v>0</v>
      </c>
      <c r="AF146" s="70">
        <f>SUM(B146:AE146)</f>
        <v>202</v>
      </c>
      <c r="AW146" s="154"/>
    </row>
    <row r="147" spans="1:49" s="70" customFormat="1" ht="12.75" hidden="1" customHeight="1" x14ac:dyDescent="0.2">
      <c r="A147" s="70" t="s">
        <v>101</v>
      </c>
      <c r="B147" s="70">
        <f>IF(B109=5,B129,0)</f>
        <v>0</v>
      </c>
      <c r="D147" s="74">
        <f>IF(D109=5,B129,0)</f>
        <v>50</v>
      </c>
      <c r="E147" s="70">
        <f>IF(E109=5,E129,0)</f>
        <v>0</v>
      </c>
      <c r="G147" s="74">
        <f>IF(G109=5,E129,0)</f>
        <v>0</v>
      </c>
      <c r="H147" s="70">
        <f>IF(H109=5,H129,0)</f>
        <v>0</v>
      </c>
      <c r="J147" s="74">
        <f>IF(J109=5,H129,0)</f>
        <v>50</v>
      </c>
      <c r="K147" s="70">
        <f>IF(K109=5,K129,0)</f>
        <v>0</v>
      </c>
      <c r="M147" s="74">
        <f>IF(M109=5,K129,0)</f>
        <v>0</v>
      </c>
      <c r="N147" s="70">
        <f>IF(N109=5,N129,0)</f>
        <v>0</v>
      </c>
      <c r="P147" s="74">
        <f>IF(P109=5,N129,0)</f>
        <v>0</v>
      </c>
      <c r="Q147" s="70">
        <f>IF(Q109=5,Q129,0)</f>
        <v>0</v>
      </c>
      <c r="S147" s="74">
        <f>IF(S109=5,Q129,0)</f>
        <v>50</v>
      </c>
      <c r="T147" s="70">
        <f>IF(T109=5,T129,0)</f>
        <v>0</v>
      </c>
      <c r="V147" s="74">
        <f>IF(V109=5,T129,0)</f>
        <v>0</v>
      </c>
      <c r="W147" s="70">
        <f>IF(W109=5,W129,0)</f>
        <v>0</v>
      </c>
      <c r="Y147" s="74">
        <f>IF(Y109=5,W129,0)</f>
        <v>50</v>
      </c>
      <c r="Z147" s="70">
        <f>IF(Z109=5,Z129,0)</f>
        <v>0</v>
      </c>
      <c r="AB147" s="74">
        <f>IF(AB109=5,Z129,0)</f>
        <v>0</v>
      </c>
      <c r="AC147" s="70">
        <f>IF(AC109=5,AC129,0)</f>
        <v>0</v>
      </c>
      <c r="AE147" s="74">
        <f>IF(AE109=5,AC129,0)</f>
        <v>0</v>
      </c>
      <c r="AF147" s="70">
        <f>SUM(B147:AE147)</f>
        <v>200</v>
      </c>
      <c r="AW147" s="154"/>
    </row>
    <row r="148" spans="1:49" s="70" customFormat="1" ht="38.25" hidden="1" customHeight="1" x14ac:dyDescent="0.2">
      <c r="A148" s="70" t="s">
        <v>103</v>
      </c>
      <c r="D148" s="74"/>
      <c r="G148" s="74"/>
      <c r="J148" s="74"/>
      <c r="M148" s="74"/>
      <c r="P148" s="74"/>
      <c r="S148" s="74"/>
      <c r="V148" s="74"/>
      <c r="Y148" s="74"/>
      <c r="AB148" s="74"/>
      <c r="AE148" s="74"/>
      <c r="AF148" s="73" t="s">
        <v>104</v>
      </c>
      <c r="AG148" s="70" t="s">
        <v>105</v>
      </c>
      <c r="AW148" s="154"/>
    </row>
    <row r="149" spans="1:49" s="70" customFormat="1" ht="12.75" hidden="1" customHeight="1" x14ac:dyDescent="0.2">
      <c r="A149" s="70" t="s">
        <v>91</v>
      </c>
      <c r="B149" s="70">
        <f>IF(B109=1,SUMIF(B116:B120,"&gt;0"),0)</f>
        <v>0</v>
      </c>
      <c r="D149" s="74">
        <f>IF(D109=1,SUMIF(D116:D120,"&gt;0"),0)</f>
        <v>0</v>
      </c>
      <c r="E149" s="70">
        <f>IF(E109=1,SUMIF(E116:E120,"&gt;0"),0)</f>
        <v>2</v>
      </c>
      <c r="G149" s="74">
        <f>IF(G109=1,SUMIF(G116:G120,"&gt;0"),0)</f>
        <v>0</v>
      </c>
      <c r="H149" s="70">
        <f>IF(H109=1,SUMIF(H116:H120,"&gt;0"),0)</f>
        <v>0</v>
      </c>
      <c r="J149" s="74">
        <f>IF(J109=1,SUMIF(J116:J120,"&gt;0"),0)</f>
        <v>0</v>
      </c>
      <c r="K149" s="70">
        <f>IF(K109=1,SUMIF(K116:K120,"&gt;0"),0)</f>
        <v>0</v>
      </c>
      <c r="M149" s="74">
        <f>IF(M109=1,SUMIF(M116:M120,"&gt;0"),0)</f>
        <v>0</v>
      </c>
      <c r="N149" s="70">
        <f>IF(N109=1,SUMIF(N116:N120,"&gt;0"),0)</f>
        <v>2</v>
      </c>
      <c r="P149" s="74">
        <f>IF(P109=1,SUMIF(P116:P120,"&gt;0"),0)</f>
        <v>0</v>
      </c>
      <c r="Q149" s="70">
        <f>IF(Q109=1,SUMIF(Q116:Q120,"&gt;0"),0)</f>
        <v>0</v>
      </c>
      <c r="S149" s="74">
        <f>IF(S109=1,SUMIF(S116:S120,"&gt;0"),0)</f>
        <v>0</v>
      </c>
      <c r="T149" s="70">
        <f>IF(T109=1,SUMIF(T116:T120,"&gt;0"),0)</f>
        <v>0</v>
      </c>
      <c r="V149" s="74">
        <f>IF(V109=1,SUMIF(V116:V120,"&gt;0"),0)</f>
        <v>0</v>
      </c>
      <c r="W149" s="70">
        <f>IF(W109=1,SUMIF(W116:W120,"&gt;0"),0)</f>
        <v>2</v>
      </c>
      <c r="Y149" s="74">
        <f>IF(Y109=1,SUMIF(Y116:Y120,"&gt;0"),0)</f>
        <v>0</v>
      </c>
      <c r="Z149" s="70">
        <f>IF(Z109=1,SUMIF(Z116:Z120,"&gt;0"),0)</f>
        <v>0</v>
      </c>
      <c r="AB149" s="74">
        <f>IF(AB109=1,SUMIF(AB116:AB120,"&gt;0"),0)</f>
        <v>0</v>
      </c>
      <c r="AC149" s="70">
        <f>IF(AC109=1,SUMIF(AC116:AC120,"&gt;0"),0)</f>
        <v>2</v>
      </c>
      <c r="AE149" s="74">
        <f>IF(AE109=1,SUMIF(AE116:AE120,"&gt;0"),0)</f>
        <v>0</v>
      </c>
      <c r="AF149" s="70">
        <f>SUM(B149:AE149)</f>
        <v>8</v>
      </c>
      <c r="AG149" s="70">
        <f>AF157-AF149</f>
        <v>0</v>
      </c>
      <c r="AW149" s="154"/>
    </row>
    <row r="150" spans="1:49" s="70" customFormat="1" ht="12.75" hidden="1" customHeight="1" x14ac:dyDescent="0.2">
      <c r="A150" s="70" t="s">
        <v>92</v>
      </c>
      <c r="B150" s="70">
        <f>IF(B109=2,SUMIF(B116:B120,"&gt;0"),0)</f>
        <v>1</v>
      </c>
      <c r="D150" s="74">
        <f>IF(D109=2,SUMIF(D116:D120,"&gt;0"),0)</f>
        <v>0</v>
      </c>
      <c r="E150" s="70">
        <f>IF(E109=2,SUMIF(E116:E120,"&gt;0"),0)</f>
        <v>0</v>
      </c>
      <c r="G150" s="74">
        <f>IF(G109=2,SUMIF(G116:G120,"&gt;0"),0)</f>
        <v>0</v>
      </c>
      <c r="H150" s="70">
        <f>IF(H109=2,SUMIF(H116:H120,"&gt;0"),0)</f>
        <v>0</v>
      </c>
      <c r="J150" s="74">
        <f>IF(J109=2,SUMIF(J116:J120,"&gt;0"),0)</f>
        <v>0</v>
      </c>
      <c r="K150" s="70">
        <f>IF(K109=2,SUMIF(K116:K120,"&gt;0"),0)</f>
        <v>1</v>
      </c>
      <c r="M150" s="74">
        <f>IF(M109=2,SUMIF(M116:M120,"&gt;0"),0)</f>
        <v>0</v>
      </c>
      <c r="N150" s="70">
        <f>IF(N109=2,SUMIF(N116:N120,"&gt;0"),0)</f>
        <v>0</v>
      </c>
      <c r="P150" s="74">
        <f>IF(P109=2,SUMIF(P116:P120,"&gt;0"),0)</f>
        <v>0</v>
      </c>
      <c r="Q150" s="70">
        <f>IF(Q109=2,SUMIF(Q116:Q120,"&gt;0"),0)</f>
        <v>0</v>
      </c>
      <c r="S150" s="74">
        <f>IF(S109=2,SUMIF(S116:S120,"&gt;0"),0)</f>
        <v>0</v>
      </c>
      <c r="T150" s="70">
        <f>IF(T109=2,SUMIF(T116:T120,"&gt;0"),0)</f>
        <v>0</v>
      </c>
      <c r="V150" s="74">
        <f>IF(V109=2,SUMIF(V116:V120,"&gt;0"),0)</f>
        <v>0</v>
      </c>
      <c r="W150" s="70">
        <f>IF(W109=2,SUMIF(W116:W120,"&gt;0"),0)</f>
        <v>0</v>
      </c>
      <c r="Y150" s="74">
        <f>IF(Y109=2,SUMIF(Y116:Y120,"&gt;0"),0)</f>
        <v>0</v>
      </c>
      <c r="Z150" s="70">
        <f>IF(Z109=2,SUMIF(Z116:Z120,"&gt;0"),0)</f>
        <v>0</v>
      </c>
      <c r="AB150" s="74">
        <f>IF(AB109=2,SUMIF(AB116:AB120,"&gt;0"),0)</f>
        <v>0</v>
      </c>
      <c r="AC150" s="70">
        <f>IF(AC109=2,SUMIF(AC116:AC120,"&gt;0"),0)</f>
        <v>0</v>
      </c>
      <c r="AE150" s="74">
        <f>IF(AE109=2,SUMIF(AE116:AE120,"&gt;0"),0)</f>
        <v>0</v>
      </c>
      <c r="AF150" s="70">
        <f>SUM(B150:AE150)</f>
        <v>2</v>
      </c>
      <c r="AG150" s="70">
        <f>AF158-AF150</f>
        <v>6</v>
      </c>
      <c r="AW150" s="154"/>
    </row>
    <row r="151" spans="1:49" s="70" customFormat="1" ht="12.75" hidden="1" customHeight="1" x14ac:dyDescent="0.2">
      <c r="A151" s="70" t="s">
        <v>93</v>
      </c>
      <c r="B151" s="70">
        <f>IF(B109=3,SUMIF(B116:B120,"&gt;0"),0)</f>
        <v>0</v>
      </c>
      <c r="D151" s="74">
        <f>IF(D109=3,SUMIF(D116:D120,"&gt;0"),0)</f>
        <v>0</v>
      </c>
      <c r="E151" s="70">
        <f>IF(E109=3,SUMIF(E116:E120,"&gt;0"),0)</f>
        <v>0</v>
      </c>
      <c r="G151" s="74">
        <f>IF(G109=3,SUMIF(G116:G120,"&gt;0"),0)</f>
        <v>0</v>
      </c>
      <c r="H151" s="70">
        <f>IF(H109=3,SUMIF(H116:H120,"&gt;0"),0)</f>
        <v>1</v>
      </c>
      <c r="J151" s="74">
        <f>IF(J109=3,SUMIF(J116:J120,"&gt;0"),0)</f>
        <v>0</v>
      </c>
      <c r="K151" s="70">
        <f>IF(K109=3,SUMIF(K116:K120,"&gt;0"),0)</f>
        <v>0</v>
      </c>
      <c r="M151" s="74">
        <f>IF(M109=3,SUMIF(M116:M120,"&gt;0"),0)</f>
        <v>0</v>
      </c>
      <c r="N151" s="70">
        <f>IF(N109=3,SUMIF(N116:N120,"&gt;0"),0)</f>
        <v>0</v>
      </c>
      <c r="P151" s="74">
        <f>IF(P109=3,SUMIF(P116:P120,"&gt;0"),0)</f>
        <v>0</v>
      </c>
      <c r="Q151" s="70">
        <f>IF(Q109=3,SUMIF(Q116:Q120,"&gt;0"),0)</f>
        <v>0</v>
      </c>
      <c r="S151" s="74">
        <f>IF(S109=3,SUMIF(S116:S120,"&gt;0"),0)</f>
        <v>0</v>
      </c>
      <c r="T151" s="70">
        <f>IF(T109=3,SUMIF(T116:T120,"&gt;0"),0)</f>
        <v>0</v>
      </c>
      <c r="V151" s="74">
        <f>IF(V109=3,SUMIF(V116:V120,"&gt;0"),0)</f>
        <v>2</v>
      </c>
      <c r="W151" s="70">
        <f>IF(W109=3,SUMIF(W116:W120,"&gt;0"),0)</f>
        <v>0</v>
      </c>
      <c r="Y151" s="74">
        <f>IF(Y109=3,SUMIF(Y116:Y120,"&gt;0"),0)</f>
        <v>0</v>
      </c>
      <c r="Z151" s="70">
        <f>IF(Z109=3,SUMIF(Z116:Z120,"&gt;0"),0)</f>
        <v>0</v>
      </c>
      <c r="AB151" s="74">
        <f>IF(AB109=3,SUMIF(AB116:AB120,"&gt;0"),0)</f>
        <v>0</v>
      </c>
      <c r="AC151" s="70">
        <f>IF(AC109=3,SUMIF(AC116:AC120,"&gt;0"),0)</f>
        <v>0</v>
      </c>
      <c r="AE151" s="74">
        <f>IF(AE109=3,SUMIF(AE116:AE120,"&gt;0"),0)</f>
        <v>0</v>
      </c>
      <c r="AF151" s="70">
        <f>SUM(B151:AE151)</f>
        <v>3</v>
      </c>
      <c r="AG151" s="70">
        <f>AF159-AF151</f>
        <v>5</v>
      </c>
      <c r="AW151" s="154"/>
    </row>
    <row r="152" spans="1:49" s="70" customFormat="1" ht="12.75" hidden="1" customHeight="1" x14ac:dyDescent="0.2">
      <c r="A152" s="70" t="s">
        <v>94</v>
      </c>
      <c r="B152" s="70">
        <f>IF(B109=4,SUMIF(B116:B120,"&gt;0"),0)</f>
        <v>0</v>
      </c>
      <c r="D152" s="74">
        <f>IF(D109=4,SUMIF(D116:D120,"&gt;0"),0)</f>
        <v>0</v>
      </c>
      <c r="E152" s="70">
        <f>IF(E109=4,SUMIF(E116:E120,"&gt;0"),0)</f>
        <v>0</v>
      </c>
      <c r="G152" s="74">
        <f>IF(G109=4,SUMIF(G116:G120,"&gt;0"),0)</f>
        <v>0</v>
      </c>
      <c r="H152" s="70">
        <f>IF(H109=4,SUMIF(H116:H120,"&gt;0"),0)</f>
        <v>0</v>
      </c>
      <c r="J152" s="74">
        <f>IF(J109=4,SUMIF(J116:J120,"&gt;0"),0)</f>
        <v>0</v>
      </c>
      <c r="K152" s="70">
        <f>IF(K109=4,SUMIF(K116:K120,"&gt;0"),0)</f>
        <v>0</v>
      </c>
      <c r="M152" s="74">
        <f>IF(M109=4,SUMIF(M116:M120,"&gt;0"),0)</f>
        <v>1</v>
      </c>
      <c r="N152" s="70">
        <f>IF(N109=4,SUMIF(N116:N120,"&gt;0"),0)</f>
        <v>0</v>
      </c>
      <c r="P152" s="74">
        <f>IF(P109=4,SUMIF(P116:P120,"&gt;0"),0)</f>
        <v>0</v>
      </c>
      <c r="Q152" s="70">
        <f>IF(Q109=4,SUMIF(Q116:Q120,"&gt;0"),0)</f>
        <v>2</v>
      </c>
      <c r="S152" s="74">
        <f>IF(S109=4,SUMIF(S116:S120,"&gt;0"),0)</f>
        <v>0</v>
      </c>
      <c r="T152" s="70">
        <f>IF(T109=4,SUMIF(T116:T120,"&gt;0"),0)</f>
        <v>0</v>
      </c>
      <c r="V152" s="74">
        <f>IF(V109=4,SUMIF(V116:V120,"&gt;0"),0)</f>
        <v>0</v>
      </c>
      <c r="W152" s="70">
        <f>IF(W109=4,SUMIF(W116:W120,"&gt;0"),0)</f>
        <v>0</v>
      </c>
      <c r="Y152" s="74">
        <f>IF(Y109=4,SUMIF(Y116:Y120,"&gt;0"),0)</f>
        <v>0</v>
      </c>
      <c r="Z152" s="70">
        <f>IF(Z109=4,SUMIF(Z116:Z120,"&gt;0"),0)</f>
        <v>0</v>
      </c>
      <c r="AB152" s="74">
        <f>IF(AB109=4,SUMIF(AB116:AB120,"&gt;0"),0)</f>
        <v>2</v>
      </c>
      <c r="AC152" s="70">
        <f>IF(AC109=4,SUMIF(AC116:AC120,"&gt;0"),0)</f>
        <v>0</v>
      </c>
      <c r="AE152" s="74">
        <f>IF(AE109=4,SUMIF(AE116:AE120,"&gt;0"),0)</f>
        <v>0</v>
      </c>
      <c r="AF152" s="70">
        <f>SUM(B152:AE152)</f>
        <v>5</v>
      </c>
      <c r="AG152" s="70">
        <f>AF160-AF152</f>
        <v>3</v>
      </c>
      <c r="AW152" s="154"/>
    </row>
    <row r="153" spans="1:49" s="70" customFormat="1" ht="12.75" hidden="1" customHeight="1" x14ac:dyDescent="0.2">
      <c r="A153" s="70" t="s">
        <v>95</v>
      </c>
      <c r="B153" s="70">
        <f>IF(B109=5,SUMIF(B116:B120,"&gt;0"),0)</f>
        <v>0</v>
      </c>
      <c r="D153" s="74">
        <f>IF(D109=5,SUMIF(D116:D120,"&gt;0"),0)</f>
        <v>1</v>
      </c>
      <c r="E153" s="70">
        <f>IF(E109=5,SUMIF(E116:E120,"&gt;0"),0)</f>
        <v>0</v>
      </c>
      <c r="G153" s="74">
        <f>IF(G109=5,SUMIF(G116:G120,"&gt;0"),0)</f>
        <v>0</v>
      </c>
      <c r="H153" s="70">
        <f>IF(H109=5,SUMIF(H116:H120,"&gt;0"),0)</f>
        <v>0</v>
      </c>
      <c r="J153" s="74">
        <f>IF(J109=5,SUMIF(J116:J120,"&gt;0"),0)</f>
        <v>1</v>
      </c>
      <c r="K153" s="70">
        <f>IF(K109=5,SUMIF(K116:K120,"&gt;0"),0)</f>
        <v>0</v>
      </c>
      <c r="M153" s="74">
        <f>IF(M109=5,SUMIF(M116:M120,"&gt;0"),0)</f>
        <v>0</v>
      </c>
      <c r="N153" s="70">
        <f>IF(N109=5,SUMIF(N116:N120,"&gt;0"),0)</f>
        <v>0</v>
      </c>
      <c r="P153" s="74">
        <f>IF(P109=5,SUMIF(P116:P120,"&gt;0"),0)</f>
        <v>0</v>
      </c>
      <c r="Q153" s="70">
        <f>IF(Q109=5,SUMIF(Q116:Q120,"&gt;0"),0)</f>
        <v>0</v>
      </c>
      <c r="S153" s="74">
        <f>IF(S109=5,SUMIF(S116:S120,"&gt;0"),0)</f>
        <v>0</v>
      </c>
      <c r="T153" s="70">
        <f>IF(T109=5,SUMIF(T116:T120,"&gt;0"),0)</f>
        <v>0</v>
      </c>
      <c r="V153" s="74">
        <f>IF(V109=5,SUMIF(V116:V120,"&gt;0"),0)</f>
        <v>0</v>
      </c>
      <c r="W153" s="70">
        <f>IF(W109=5,SUMIF(W116:W120,"&gt;0"),0)</f>
        <v>0</v>
      </c>
      <c r="Y153" s="74">
        <f>IF(Y109=5,SUMIF(Y116:Y120,"&gt;0"),0)</f>
        <v>0</v>
      </c>
      <c r="Z153" s="70">
        <f>IF(Z109=5,SUMIF(Z116:Z120,"&gt;0"),0)</f>
        <v>0</v>
      </c>
      <c r="AB153" s="74">
        <f>IF(AB109=5,SUMIF(AB116:AB120,"&gt;0"),0)</f>
        <v>0</v>
      </c>
      <c r="AC153" s="70">
        <f>IF(AC109=5,SUMIF(AC116:AC120,"&gt;0"),0)</f>
        <v>0</v>
      </c>
      <c r="AE153" s="74">
        <f>IF(AE109=5,SUMIF(AE116:AE120,"&gt;0"),0)</f>
        <v>0</v>
      </c>
      <c r="AF153" s="70">
        <f>SUM(B153:AE153)</f>
        <v>2</v>
      </c>
      <c r="AG153" s="70">
        <f>AF161-AF153</f>
        <v>6</v>
      </c>
      <c r="AW153" s="154"/>
    </row>
    <row r="154" spans="1:49" s="70" customFormat="1" ht="12.75" hidden="1" customHeight="1" x14ac:dyDescent="0.2">
      <c r="D154" s="74"/>
      <c r="G154" s="74"/>
      <c r="J154" s="74"/>
      <c r="M154" s="74"/>
      <c r="P154" s="74"/>
      <c r="S154" s="74"/>
      <c r="V154" s="74"/>
      <c r="Y154" s="74"/>
      <c r="AB154" s="74"/>
      <c r="AE154" s="74"/>
      <c r="AW154" s="154"/>
    </row>
    <row r="155" spans="1:49" s="70" customFormat="1" ht="12.75" hidden="1" customHeight="1" x14ac:dyDescent="0.2">
      <c r="D155" s="74"/>
      <c r="G155" s="74"/>
      <c r="J155" s="74"/>
      <c r="M155" s="74"/>
      <c r="P155" s="74"/>
      <c r="S155" s="74"/>
      <c r="V155" s="74"/>
      <c r="Y155" s="74"/>
      <c r="AB155" s="74"/>
      <c r="AE155" s="74"/>
      <c r="AW155" s="154"/>
    </row>
    <row r="156" spans="1:49" s="70" customFormat="1" ht="51" hidden="1" customHeight="1" x14ac:dyDescent="0.2">
      <c r="A156" s="73" t="s">
        <v>106</v>
      </c>
      <c r="C156" s="70">
        <f>SUMIF(B149:D153,"&gt;0")</f>
        <v>2</v>
      </c>
      <c r="D156" s="74"/>
      <c r="F156" s="70">
        <f>SUMIF(E149:G153,"&gt;0")</f>
        <v>2</v>
      </c>
      <c r="G156" s="74"/>
      <c r="I156" s="70">
        <f>SUMIF(H149:J153,"&gt;0")</f>
        <v>2</v>
      </c>
      <c r="J156" s="74"/>
      <c r="L156" s="70">
        <f>SUMIF(K149:M153,"&gt;0")</f>
        <v>2</v>
      </c>
      <c r="M156" s="74"/>
      <c r="O156" s="70">
        <f>SUMIF(N149:P153,"&gt;0")</f>
        <v>2</v>
      </c>
      <c r="P156" s="74"/>
      <c r="R156" s="70">
        <f>SUMIF(Q149:S153,"&gt;0")</f>
        <v>2</v>
      </c>
      <c r="S156" s="74"/>
      <c r="U156" s="70">
        <f>SUMIF(T149:V153,"&gt;0")</f>
        <v>2</v>
      </c>
      <c r="V156" s="74"/>
      <c r="X156" s="70">
        <f>SUMIF(W149:Y153,"&gt;0")</f>
        <v>2</v>
      </c>
      <c r="Y156" s="74"/>
      <c r="AA156" s="70">
        <f>SUMIF(Z149:AB153,"&gt;0")</f>
        <v>2</v>
      </c>
      <c r="AB156" s="74"/>
      <c r="AD156" s="70">
        <f>SUMIF(AC149:AE153,"&gt;0")</f>
        <v>2</v>
      </c>
      <c r="AE156" s="74"/>
      <c r="AF156" s="73" t="s">
        <v>107</v>
      </c>
      <c r="AW156" s="154"/>
    </row>
    <row r="157" spans="1:49" s="70" customFormat="1" ht="12.75" hidden="1" customHeight="1" x14ac:dyDescent="0.2">
      <c r="A157" s="70" t="s">
        <v>97</v>
      </c>
      <c r="B157" s="70">
        <f>IF(B109=1,C156,0)</f>
        <v>0</v>
      </c>
      <c r="D157" s="74">
        <f>IF(D109=1,C156,0)</f>
        <v>0</v>
      </c>
      <c r="E157" s="70">
        <f>IF(E109=1,F156,0)</f>
        <v>2</v>
      </c>
      <c r="G157" s="74">
        <f>IF(G109=1,F156,0)</f>
        <v>0</v>
      </c>
      <c r="H157" s="70">
        <f>IF(H109=1,I156,0)</f>
        <v>0</v>
      </c>
      <c r="J157" s="74">
        <f>IF(J109=1,I156,0)</f>
        <v>0</v>
      </c>
      <c r="K157" s="70">
        <f>IF(K109=1,L156,0)</f>
        <v>0</v>
      </c>
      <c r="M157" s="74">
        <f>IF(M109=1,L156,0)</f>
        <v>0</v>
      </c>
      <c r="N157" s="70">
        <f>IF(N109=1,O156,0)</f>
        <v>2</v>
      </c>
      <c r="P157" s="74">
        <f>IF(P109=1,O156,0)</f>
        <v>0</v>
      </c>
      <c r="Q157" s="70">
        <f>IF(Q109=1,R156,0)</f>
        <v>0</v>
      </c>
      <c r="S157" s="74">
        <f>IF(S109=1,R156,0)</f>
        <v>0</v>
      </c>
      <c r="T157" s="70">
        <f>IF(T109=1,U156,0)</f>
        <v>0</v>
      </c>
      <c r="V157" s="74">
        <f>IF(V109=1,U156,0)</f>
        <v>0</v>
      </c>
      <c r="W157" s="70">
        <f>IF(W109=1,X156,0)</f>
        <v>2</v>
      </c>
      <c r="Y157" s="74">
        <f>IF(Y109=1,X156,0)</f>
        <v>0</v>
      </c>
      <c r="Z157" s="70">
        <f>IF(Z109=1,AA156,0)</f>
        <v>0</v>
      </c>
      <c r="AB157" s="74">
        <f>IF(AB109=1,AA156,0)</f>
        <v>0</v>
      </c>
      <c r="AC157" s="70">
        <f>IF(AC109=1,AD156,0)</f>
        <v>2</v>
      </c>
      <c r="AE157" s="74">
        <f>IF(AE109=1,AD156,0)</f>
        <v>0</v>
      </c>
      <c r="AF157" s="70">
        <f>SUM(B157:AE157)</f>
        <v>8</v>
      </c>
      <c r="AW157" s="154"/>
    </row>
    <row r="158" spans="1:49" s="70" customFormat="1" ht="12.75" hidden="1" customHeight="1" x14ac:dyDescent="0.2">
      <c r="A158" s="70" t="s">
        <v>98</v>
      </c>
      <c r="B158" s="70">
        <f>IF(B109=2,C156,0)</f>
        <v>2</v>
      </c>
      <c r="D158" s="74">
        <f>IF(D109=2,C156,0)</f>
        <v>0</v>
      </c>
      <c r="E158" s="70">
        <f>IF(E109=2,F156,0)</f>
        <v>0</v>
      </c>
      <c r="G158" s="74">
        <f>IF(G109=2,F156,0)</f>
        <v>0</v>
      </c>
      <c r="H158" s="70">
        <f>IF(H109=2,I156,0)</f>
        <v>0</v>
      </c>
      <c r="J158" s="74">
        <f>IF(J109=2,I156,0)</f>
        <v>0</v>
      </c>
      <c r="K158" s="70">
        <f>IF(K109=2,L156,0)</f>
        <v>2</v>
      </c>
      <c r="M158" s="74">
        <f>IF(M109=2,L156,0)</f>
        <v>0</v>
      </c>
      <c r="N158" s="70">
        <f>IF(N109=2,O156,0)</f>
        <v>0</v>
      </c>
      <c r="P158" s="74">
        <f>IF(P109=2,O156,0)</f>
        <v>0</v>
      </c>
      <c r="Q158" s="70">
        <f>IF(Q109=2,R156,0)</f>
        <v>0</v>
      </c>
      <c r="S158" s="74">
        <f>IF(S109=2,R156,0)</f>
        <v>0</v>
      </c>
      <c r="T158" s="70">
        <f>IF(T109=2,U156,0)</f>
        <v>2</v>
      </c>
      <c r="V158" s="74">
        <f>IF(V109=2,U156,0)</f>
        <v>0</v>
      </c>
      <c r="W158" s="70">
        <f>IF(W109=2,X156,0)</f>
        <v>0</v>
      </c>
      <c r="Y158" s="74">
        <f>IF(Y109=2,X156,0)</f>
        <v>0</v>
      </c>
      <c r="Z158" s="70">
        <f>IF(Z109=2,AA156,0)</f>
        <v>0</v>
      </c>
      <c r="AB158" s="74">
        <f>IF(AB109=2,AA156,0)</f>
        <v>0</v>
      </c>
      <c r="AC158" s="70">
        <f>IF(AC109=2,AD156,0)</f>
        <v>0</v>
      </c>
      <c r="AE158" s="74">
        <f>IF(AE109=2,AD156,0)</f>
        <v>2</v>
      </c>
      <c r="AF158" s="70">
        <f>SUM(B158:AE158)</f>
        <v>8</v>
      </c>
      <c r="AW158" s="154"/>
    </row>
    <row r="159" spans="1:49" s="70" customFormat="1" ht="12.75" hidden="1" customHeight="1" x14ac:dyDescent="0.2">
      <c r="A159" s="70" t="s">
        <v>99</v>
      </c>
      <c r="B159" s="70">
        <f>IF(B109=3,C156,0)</f>
        <v>0</v>
      </c>
      <c r="D159" s="74">
        <f>IF(D109=3,C156,0)</f>
        <v>0</v>
      </c>
      <c r="E159" s="70">
        <f>IF(E109=3,F156,0)</f>
        <v>0</v>
      </c>
      <c r="G159" s="74">
        <f>IF(G109=3,F156,0)</f>
        <v>0</v>
      </c>
      <c r="H159" s="70">
        <f>IF(H109=3,I156,0)</f>
        <v>2</v>
      </c>
      <c r="J159" s="74">
        <f>IF(J109=3,I156,0)</f>
        <v>0</v>
      </c>
      <c r="K159" s="70">
        <f>IF(K109=3,L156,0)</f>
        <v>0</v>
      </c>
      <c r="M159" s="74">
        <f>IF(M109=3,L156,0)</f>
        <v>0</v>
      </c>
      <c r="N159" s="70">
        <f>IF(N109=3,O156,0)</f>
        <v>0</v>
      </c>
      <c r="P159" s="74">
        <f>IF(P109=3,O156,0)</f>
        <v>2</v>
      </c>
      <c r="Q159" s="70">
        <f>IF(Q109=3,R156,0)</f>
        <v>0</v>
      </c>
      <c r="S159" s="74">
        <f>IF(S109=3,R156,0)</f>
        <v>0</v>
      </c>
      <c r="T159" s="70">
        <f>IF(T109=3,U156,0)</f>
        <v>0</v>
      </c>
      <c r="V159" s="74">
        <f>IF(V109=3,U156,0)</f>
        <v>2</v>
      </c>
      <c r="W159" s="70">
        <f>IF(W109=3,X156,0)</f>
        <v>0</v>
      </c>
      <c r="Y159" s="74">
        <f>IF(Y109=3,X156,0)</f>
        <v>0</v>
      </c>
      <c r="Z159" s="70">
        <f>IF(Z109=3,AA156,0)</f>
        <v>2</v>
      </c>
      <c r="AB159" s="74">
        <f>IF(AB109=3,AA156,0)</f>
        <v>0</v>
      </c>
      <c r="AC159" s="70">
        <f>IF(AC109=3,AD156,0)</f>
        <v>0</v>
      </c>
      <c r="AE159" s="74">
        <f>IF(AE109=3,AD156,0)</f>
        <v>0</v>
      </c>
      <c r="AF159" s="70">
        <f>SUM(B159:AE159)</f>
        <v>8</v>
      </c>
      <c r="AW159" s="154"/>
    </row>
    <row r="160" spans="1:49" s="70" customFormat="1" ht="12.75" hidden="1" customHeight="1" x14ac:dyDescent="0.2">
      <c r="A160" s="70" t="s">
        <v>100</v>
      </c>
      <c r="B160" s="70">
        <f>IF(B109=4,C156,0)</f>
        <v>0</v>
      </c>
      <c r="D160" s="74">
        <f>IF(D109=4,C156,0)</f>
        <v>0</v>
      </c>
      <c r="E160" s="70">
        <f>IF(E109=4,F156,0)</f>
        <v>0</v>
      </c>
      <c r="G160" s="74">
        <f>IF(G109=4,F156,0)</f>
        <v>2</v>
      </c>
      <c r="H160" s="70">
        <f>IF(H109=4,I156,0)</f>
        <v>0</v>
      </c>
      <c r="J160" s="74">
        <f>IF(J109=4,I156,0)</f>
        <v>0</v>
      </c>
      <c r="K160" s="70">
        <f>IF(K109=4,L156,0)</f>
        <v>0</v>
      </c>
      <c r="M160" s="74">
        <f>IF(M109=4,L156,0)</f>
        <v>2</v>
      </c>
      <c r="N160" s="70">
        <f>IF(N109=4,O156,0)</f>
        <v>0</v>
      </c>
      <c r="P160" s="74">
        <f>IF(P109=4,O156,0)</f>
        <v>0</v>
      </c>
      <c r="Q160" s="70">
        <f>IF(Q109=4,R156,0)</f>
        <v>2</v>
      </c>
      <c r="S160" s="74">
        <f>IF(S109=4,R156,0)</f>
        <v>0</v>
      </c>
      <c r="T160" s="70">
        <f>IF(T109=4,U156,0)</f>
        <v>0</v>
      </c>
      <c r="V160" s="74">
        <f>IF(V109=4,U156,0)</f>
        <v>0</v>
      </c>
      <c r="W160" s="70">
        <f>IF(W109=4,X156,0)</f>
        <v>0</v>
      </c>
      <c r="Y160" s="74">
        <f>IF(Y109=4,X156,0)</f>
        <v>0</v>
      </c>
      <c r="Z160" s="70">
        <f>IF(Z109=4,AA156,0)</f>
        <v>0</v>
      </c>
      <c r="AB160" s="74">
        <f>IF(AB109=4,AA156,0)</f>
        <v>2</v>
      </c>
      <c r="AC160" s="70">
        <f>IF(AC109=4,AD156,0)</f>
        <v>0</v>
      </c>
      <c r="AE160" s="74">
        <f>IF(AE109=4,AD156,0)</f>
        <v>0</v>
      </c>
      <c r="AF160" s="70">
        <f>SUM(B160:AE160)</f>
        <v>8</v>
      </c>
      <c r="AW160" s="154"/>
    </row>
    <row r="161" spans="1:54" s="70" customFormat="1" ht="12.75" hidden="1" customHeight="1" x14ac:dyDescent="0.2">
      <c r="A161" s="70" t="s">
        <v>101</v>
      </c>
      <c r="B161" s="70">
        <f>IF(B109=5,C156,0)</f>
        <v>0</v>
      </c>
      <c r="D161" s="74">
        <f>IF(D109=5,C156,0)</f>
        <v>2</v>
      </c>
      <c r="E161" s="70">
        <f>IF(E109=5,F156,0)</f>
        <v>0</v>
      </c>
      <c r="G161" s="74">
        <f>IF(G109=5,F156,0)</f>
        <v>0</v>
      </c>
      <c r="H161" s="70">
        <f>IF(H109=5,I156,0)</f>
        <v>0</v>
      </c>
      <c r="J161" s="74">
        <f>IF(J109=5,I156,0)</f>
        <v>2</v>
      </c>
      <c r="K161" s="70">
        <f>IF(K109=5,L156,0)</f>
        <v>0</v>
      </c>
      <c r="M161" s="74">
        <f>IF(M109=5,L156,0)</f>
        <v>0</v>
      </c>
      <c r="N161" s="70">
        <f>IF(N109=5,O156,0)</f>
        <v>0</v>
      </c>
      <c r="P161" s="74">
        <f>IF(P109=5,O156,0)</f>
        <v>0</v>
      </c>
      <c r="Q161" s="70">
        <f>IF(Q109=5,R156,0)</f>
        <v>0</v>
      </c>
      <c r="S161" s="74">
        <f>IF(S109=5,R156,0)</f>
        <v>2</v>
      </c>
      <c r="T161" s="70">
        <f>IF(T109=5,U156,0)</f>
        <v>0</v>
      </c>
      <c r="V161" s="74">
        <f>IF(V109=5,U156,0)</f>
        <v>0</v>
      </c>
      <c r="W161" s="70">
        <f>IF(W109=5,X156,0)</f>
        <v>0</v>
      </c>
      <c r="Y161" s="74">
        <f>IF(Y109=5,X156,0)</f>
        <v>2</v>
      </c>
      <c r="Z161" s="70">
        <f>IF(Z109=5,AA156,0)</f>
        <v>0</v>
      </c>
      <c r="AB161" s="74">
        <f>IF(AB109=5,AA156,0)</f>
        <v>0</v>
      </c>
      <c r="AC161" s="70">
        <f>IF(AC109=5,AD156,0)</f>
        <v>0</v>
      </c>
      <c r="AE161" s="74">
        <f>IF(AE109=5,AD156,0)</f>
        <v>0</v>
      </c>
      <c r="AF161" s="70">
        <f>SUM(B161:AE161)</f>
        <v>8</v>
      </c>
      <c r="AW161" s="154"/>
    </row>
    <row r="162" spans="1:54" hidden="1" x14ac:dyDescent="0.2">
      <c r="A162" s="95"/>
      <c r="B162" s="95"/>
      <c r="C162" s="95"/>
      <c r="D162" s="95"/>
      <c r="E162" s="95"/>
      <c r="F162" s="95"/>
      <c r="G162" s="95"/>
      <c r="H162" s="95"/>
      <c r="I162" s="95"/>
      <c r="J162" s="95"/>
      <c r="K162" s="95"/>
      <c r="L162" s="95"/>
      <c r="M162" s="95"/>
      <c r="N162" s="95"/>
      <c r="O162" s="95"/>
      <c r="P162" s="95"/>
      <c r="Q162" s="95"/>
      <c r="R162" s="95"/>
      <c r="S162" s="95"/>
      <c r="T162" s="95"/>
      <c r="U162" s="95"/>
      <c r="V162" s="95"/>
      <c r="W162" s="95"/>
      <c r="X162" s="95"/>
      <c r="Y162" s="95"/>
      <c r="Z162" s="95"/>
      <c r="AA162" s="95"/>
      <c r="AB162" s="95"/>
      <c r="AC162" s="95"/>
      <c r="AD162" s="95"/>
      <c r="AE162" s="95"/>
      <c r="AF162" s="95"/>
      <c r="AG162" s="95"/>
      <c r="AH162" s="95"/>
      <c r="AI162" s="95"/>
      <c r="AJ162" s="95"/>
      <c r="AK162" s="95"/>
      <c r="AL162" s="95"/>
      <c r="AM162" s="95"/>
      <c r="AN162" s="96"/>
      <c r="AO162" s="96"/>
      <c r="AP162" s="96"/>
      <c r="AQ162" s="96"/>
      <c r="AR162" s="77"/>
      <c r="AS162" s="77"/>
      <c r="AT162" s="77"/>
      <c r="AU162" s="77"/>
      <c r="AV162" s="77"/>
      <c r="BB162" s="156"/>
    </row>
    <row r="163" spans="1:54" s="77" customFormat="1" hidden="1" x14ac:dyDescent="0.2">
      <c r="A163" s="79"/>
      <c r="B163" s="79"/>
      <c r="C163" s="79" t="s">
        <v>108</v>
      </c>
      <c r="D163" s="79">
        <v>1</v>
      </c>
      <c r="E163" s="79"/>
      <c r="F163" s="79"/>
      <c r="G163" s="79">
        <v>2</v>
      </c>
      <c r="H163" s="79"/>
      <c r="I163" s="79"/>
      <c r="J163" s="79">
        <v>3</v>
      </c>
      <c r="K163" s="79"/>
      <c r="L163" s="79"/>
      <c r="M163" s="79">
        <v>4</v>
      </c>
      <c r="N163" s="79"/>
      <c r="O163" s="79"/>
      <c r="P163" s="79">
        <v>5</v>
      </c>
      <c r="Q163" s="79"/>
      <c r="R163" s="79"/>
      <c r="S163" s="79">
        <v>6</v>
      </c>
      <c r="T163" s="79"/>
      <c r="U163" s="79"/>
      <c r="V163" s="79">
        <v>7</v>
      </c>
      <c r="W163" s="79"/>
      <c r="X163" s="79"/>
      <c r="Y163" s="79">
        <v>8</v>
      </c>
      <c r="Z163" s="79"/>
      <c r="AA163" s="79"/>
      <c r="AB163" s="79">
        <v>9</v>
      </c>
      <c r="AC163" s="79"/>
      <c r="AD163" s="79"/>
      <c r="AE163" s="79">
        <v>10</v>
      </c>
      <c r="AF163" s="4"/>
      <c r="AG163" s="79"/>
      <c r="AI163" s="80"/>
      <c r="AJ163" s="4"/>
      <c r="AK163" s="4"/>
      <c r="AL163" s="4"/>
      <c r="AM163" s="4"/>
      <c r="AN163" s="4"/>
      <c r="AO163" s="4"/>
      <c r="AT163" s="80" t="s">
        <v>109</v>
      </c>
      <c r="AW163" s="81"/>
      <c r="BB163" s="81"/>
    </row>
    <row r="164" spans="1:54" s="77" customFormat="1" hidden="1" x14ac:dyDescent="0.2">
      <c r="A164" s="82">
        <v>1</v>
      </c>
      <c r="B164" s="82" t="str">
        <f>E93</f>
        <v>PRV 17U Alicia</v>
      </c>
      <c r="C164" s="82">
        <f>VLOOKUP(B164,AU$3:BB$33,3,FALSE)</f>
        <v>2816.3858469383913</v>
      </c>
      <c r="D164" s="82">
        <f>IF(B157,B172,IF(D157,D172,C164))</f>
        <v>2816.3858469383913</v>
      </c>
      <c r="E164" s="82"/>
      <c r="F164" s="82"/>
      <c r="G164" s="82">
        <f>IF(E157,E172,IF(G157,G172,D164))</f>
        <v>2833.5801201153004</v>
      </c>
      <c r="H164" s="82"/>
      <c r="I164" s="82"/>
      <c r="J164" s="82">
        <f>IF(H157,H172,IF(J157,J172,G164))</f>
        <v>2833.5801201153004</v>
      </c>
      <c r="K164" s="82"/>
      <c r="L164" s="82"/>
      <c r="M164" s="82">
        <f>IF(K157,K172,IF(M157,M172,J164))</f>
        <v>2833.5801201153004</v>
      </c>
      <c r="N164" s="82"/>
      <c r="O164" s="82"/>
      <c r="P164" s="82">
        <f>IF(N157,N172,IF(P157,P172,M164))</f>
        <v>2854.1919764038648</v>
      </c>
      <c r="Q164" s="82"/>
      <c r="R164" s="82"/>
      <c r="S164" s="82">
        <f>IF(Q157,Q172,IF(S157,S172,P164))</f>
        <v>2854.1919764038648</v>
      </c>
      <c r="T164" s="82"/>
      <c r="U164" s="82"/>
      <c r="V164" s="82">
        <f>IF(T157,T172,IF(V157,V172,S164))</f>
        <v>2854.1919764038648</v>
      </c>
      <c r="W164" s="82"/>
      <c r="X164" s="82"/>
      <c r="Y164" s="82">
        <f>IF(W157,W172,IF(Y157,Y172,V164))</f>
        <v>2862.7329537627897</v>
      </c>
      <c r="Z164" s="82"/>
      <c r="AA164" s="82"/>
      <c r="AB164" s="82">
        <f>IF(Z157,Z172,IF(AB157,AB172,Y164))</f>
        <v>2862.7329537627897</v>
      </c>
      <c r="AC164" s="82"/>
      <c r="AD164" s="82"/>
      <c r="AE164" s="82">
        <f>IF(AC157,AC172,IF(AE157,AE172,AB164))</f>
        <v>2869.8877237739443</v>
      </c>
      <c r="AF164" s="4"/>
      <c r="AG164" s="4"/>
      <c r="AJ164" s="4"/>
      <c r="AK164" s="4"/>
      <c r="AL164" s="4"/>
      <c r="AM164" s="4"/>
      <c r="AN164" s="4"/>
      <c r="AO164" s="4"/>
      <c r="AT164" s="77" t="str">
        <f>B164</f>
        <v>PRV 17U Alicia</v>
      </c>
      <c r="AU164" s="77">
        <f>AE164</f>
        <v>2869.8877237739443</v>
      </c>
      <c r="AW164" s="81"/>
      <c r="BB164" s="81"/>
    </row>
    <row r="165" spans="1:54" s="77" customFormat="1" hidden="1" x14ac:dyDescent="0.2">
      <c r="A165" s="82">
        <v>2</v>
      </c>
      <c r="B165" s="82" t="str">
        <f>E95</f>
        <v>Auggies</v>
      </c>
      <c r="C165" s="82">
        <f>VLOOKUP(B165,AU$3:BB$33,3,FALSE)</f>
        <v>2507.1074796480848</v>
      </c>
      <c r="D165" s="82">
        <f>IF(B158,B172,IF(D158,D172,C165))</f>
        <v>2510.4964083554064</v>
      </c>
      <c r="E165" s="82"/>
      <c r="F165" s="82"/>
      <c r="G165" s="82">
        <f>IF(E158,E172,IF(G158,G172,D165))</f>
        <v>2510.4964083554064</v>
      </c>
      <c r="H165" s="82"/>
      <c r="I165" s="82"/>
      <c r="J165" s="82">
        <f>IF(H158,H172,IF(J158,J172,G165))</f>
        <v>2510.4964083554064</v>
      </c>
      <c r="K165" s="82"/>
      <c r="L165" s="82"/>
      <c r="M165" s="82">
        <f>IF(K158,K172,IF(M158,M172,J165))</f>
        <v>2520.6953089834319</v>
      </c>
      <c r="N165" s="82"/>
      <c r="O165" s="82"/>
      <c r="P165" s="82">
        <f>IF(N158,N172,IF(P158,P172,M165))</f>
        <v>2520.6953089834319</v>
      </c>
      <c r="Q165" s="82"/>
      <c r="R165" s="82"/>
      <c r="S165" s="82">
        <f>IF(Q158,Q172,IF(S158,S172,P165))</f>
        <v>2520.6953089834319</v>
      </c>
      <c r="T165" s="82"/>
      <c r="U165" s="82"/>
      <c r="V165" s="82">
        <f>IF(T158,T172,IF(V158,V172,S165))</f>
        <v>2502.6936137922339</v>
      </c>
      <c r="W165" s="82"/>
      <c r="X165" s="82"/>
      <c r="Y165" s="82">
        <f>IF(W158,W172,IF(Y158,Y172,V165))</f>
        <v>2502.6936137922339</v>
      </c>
      <c r="Z165" s="82"/>
      <c r="AA165" s="82"/>
      <c r="AB165" s="82">
        <f>IF(Z158,Z172,IF(AB158,AB172,Y165))</f>
        <v>2502.6936137922339</v>
      </c>
      <c r="AC165" s="82"/>
      <c r="AD165" s="82"/>
      <c r="AE165" s="82">
        <f>IF(AC158,AC172,IF(AE158,AE172,AB165))</f>
        <v>2495.5388437810793</v>
      </c>
      <c r="AF165" s="4"/>
      <c r="AG165" s="4"/>
      <c r="AJ165" s="4"/>
      <c r="AL165" s="4"/>
      <c r="AM165" s="4"/>
      <c r="AN165" s="4"/>
      <c r="AO165" s="4"/>
      <c r="AT165" s="77" t="str">
        <f>B165</f>
        <v>Auggies</v>
      </c>
      <c r="AU165" s="77">
        <f>AE165</f>
        <v>2495.5388437810793</v>
      </c>
      <c r="AW165" s="81"/>
      <c r="BB165" s="81"/>
    </row>
    <row r="166" spans="1:54" s="77" customFormat="1" hidden="1" x14ac:dyDescent="0.2">
      <c r="A166" s="82">
        <v>3</v>
      </c>
      <c r="B166" s="82" t="str">
        <f>E97</f>
        <v>Lake Murray 17 Red</v>
      </c>
      <c r="C166" s="82">
        <f>VLOOKUP(B166,AU$3:BB$33,3,FALSE)</f>
        <v>2719.4303773869187</v>
      </c>
      <c r="D166" s="82">
        <f>IF(B159,B172,IF(D159,D172,C166))</f>
        <v>2719.4303773869187</v>
      </c>
      <c r="E166" s="82"/>
      <c r="F166" s="82"/>
      <c r="G166" s="82">
        <f>IF(E159,E172,IF(G159,G172,D166))</f>
        <v>2719.4303773869187</v>
      </c>
      <c r="H166" s="82"/>
      <c r="I166" s="82"/>
      <c r="J166" s="82">
        <f>IF(H159,H172,IF(J159,J172,G166))</f>
        <v>2704.2785344398703</v>
      </c>
      <c r="K166" s="82"/>
      <c r="L166" s="82"/>
      <c r="M166" s="82">
        <f>IF(K159,K172,IF(M159,M172,J166))</f>
        <v>2704.2785344398703</v>
      </c>
      <c r="N166" s="82"/>
      <c r="O166" s="82"/>
      <c r="P166" s="82">
        <f>IF(N159,N172,IF(P159,P172,M166))</f>
        <v>2683.6666781513059</v>
      </c>
      <c r="Q166" s="82"/>
      <c r="R166" s="82"/>
      <c r="S166" s="82">
        <f>IF(Q159,Q172,IF(S159,S172,P166))</f>
        <v>2683.6666781513059</v>
      </c>
      <c r="T166" s="82"/>
      <c r="U166" s="82"/>
      <c r="V166" s="82">
        <f>IF(T159,T172,IF(V159,V172,S166))</f>
        <v>2701.6683733425039</v>
      </c>
      <c r="W166" s="82"/>
      <c r="X166" s="82"/>
      <c r="Y166" s="82">
        <f>IF(W159,W172,IF(Y159,Y172,V166))</f>
        <v>2701.6683733425039</v>
      </c>
      <c r="Z166" s="82"/>
      <c r="AA166" s="82"/>
      <c r="AB166" s="82">
        <f>IF(Z159,Z172,IF(AB159,AB172,Y166))</f>
        <v>2664.1925081847262</v>
      </c>
      <c r="AC166" s="82"/>
      <c r="AD166" s="82"/>
      <c r="AE166" s="82">
        <f>IF(AC159,AC172,IF(AE159,AE172,AB166))</f>
        <v>2664.1925081847262</v>
      </c>
      <c r="AF166" s="4"/>
      <c r="AG166" s="4"/>
      <c r="AJ166" s="4"/>
      <c r="AL166" s="4"/>
      <c r="AM166" s="4"/>
      <c r="AN166" s="4"/>
      <c r="AO166" s="4"/>
      <c r="AT166" s="77" t="str">
        <f>B166</f>
        <v>Lake Murray 17 Red</v>
      </c>
      <c r="AU166" s="77">
        <f>AE166</f>
        <v>2664.1925081847262</v>
      </c>
      <c r="AW166" s="81"/>
      <c r="BB166" s="81"/>
    </row>
    <row r="167" spans="1:54" s="77" customFormat="1" hidden="1" x14ac:dyDescent="0.2">
      <c r="A167" s="82">
        <v>4</v>
      </c>
      <c r="B167" s="82" t="str">
        <f>E99</f>
        <v>Magnum 16 Mizuno</v>
      </c>
      <c r="C167" s="82">
        <f>VLOOKUP(B167,AU$3:BB$33,3,FALSE)</f>
        <v>2642.4197784613143</v>
      </c>
      <c r="D167" s="82">
        <f>IF(B160,B172,IF(D160,D172,C167))</f>
        <v>2642.4197784613143</v>
      </c>
      <c r="E167" s="82"/>
      <c r="F167" s="82"/>
      <c r="G167" s="82">
        <f>IF(E160,E172,IF(G160,G172,D167))</f>
        <v>2625.2255052844052</v>
      </c>
      <c r="H167" s="82"/>
      <c r="I167" s="82"/>
      <c r="J167" s="82">
        <f>IF(H160,H172,IF(J160,J172,G167))</f>
        <v>2625.2255052844052</v>
      </c>
      <c r="K167" s="82"/>
      <c r="L167" s="82"/>
      <c r="M167" s="82">
        <f>IF(K160,K172,IF(M160,M172,J167))</f>
        <v>2615.0266046563797</v>
      </c>
      <c r="N167" s="82"/>
      <c r="O167" s="82"/>
      <c r="P167" s="82">
        <f>IF(N160,N172,IF(P160,P172,M167))</f>
        <v>2615.0266046563797</v>
      </c>
      <c r="Q167" s="82"/>
      <c r="R167" s="82"/>
      <c r="S167" s="82">
        <f>IF(Q160,Q172,IF(S160,S172,P167))</f>
        <v>2641.6241971227432</v>
      </c>
      <c r="T167" s="82"/>
      <c r="U167" s="82"/>
      <c r="V167" s="82">
        <f>IF(T160,T172,IF(V160,V172,S167))</f>
        <v>2641.6241971227432</v>
      </c>
      <c r="W167" s="82"/>
      <c r="X167" s="82"/>
      <c r="Y167" s="82">
        <f>IF(W160,W172,IF(Y160,Y172,V167))</f>
        <v>2641.6241971227432</v>
      </c>
      <c r="Z167" s="82"/>
      <c r="AA167" s="82"/>
      <c r="AB167" s="82">
        <f>IF(Z160,Z172,IF(AB160,AB172,Y167))</f>
        <v>2679.1000622805209</v>
      </c>
      <c r="AC167" s="82"/>
      <c r="AD167" s="82"/>
      <c r="AE167" s="82">
        <f>IF(AC160,AC172,IF(AE160,AE172,AB167))</f>
        <v>2679.1000622805209</v>
      </c>
      <c r="AF167" s="4"/>
      <c r="AG167" s="4"/>
      <c r="AJ167" s="4"/>
      <c r="AL167" s="4"/>
      <c r="AM167" s="4"/>
      <c r="AN167" s="4"/>
      <c r="AO167" s="4"/>
      <c r="AT167" s="77" t="str">
        <f>B167</f>
        <v>Magnum 16 Mizuno</v>
      </c>
      <c r="AU167" s="77">
        <f>AE167</f>
        <v>2679.1000622805209</v>
      </c>
      <c r="AW167" s="81"/>
      <c r="BB167" s="81"/>
    </row>
    <row r="168" spans="1:54" s="77" customFormat="1" hidden="1" x14ac:dyDescent="0.2">
      <c r="A168" s="82">
        <v>5</v>
      </c>
      <c r="B168" s="82" t="str">
        <f>E101</f>
        <v>Intense 17 Perf RH</v>
      </c>
      <c r="C168" s="82">
        <f>VLOOKUP(B168,AU$3:BB$33,3,FALSE)</f>
        <v>2544.0407981926219</v>
      </c>
      <c r="D168" s="82">
        <f>IF(B161,B172,IF(D161,D172,C168))</f>
        <v>2540.6518694853003</v>
      </c>
      <c r="E168" s="82"/>
      <c r="F168" s="82"/>
      <c r="G168" s="82">
        <f>IF(E161,E172,IF(G161,G172,D168))</f>
        <v>2540.6518694853003</v>
      </c>
      <c r="H168" s="82"/>
      <c r="I168" s="82"/>
      <c r="J168" s="82">
        <f>IF(H161,H172,IF(J161,J172,G168))</f>
        <v>2555.8037124323487</v>
      </c>
      <c r="K168" s="82"/>
      <c r="L168" s="82"/>
      <c r="M168" s="82">
        <f>IF(K161,K172,IF(M161,M172,J168))</f>
        <v>2555.8037124323487</v>
      </c>
      <c r="N168" s="82"/>
      <c r="O168" s="82"/>
      <c r="P168" s="82">
        <f>IF(N161,N172,IF(P161,P172,M168))</f>
        <v>2555.8037124323487</v>
      </c>
      <c r="Q168" s="82"/>
      <c r="R168" s="82"/>
      <c r="S168" s="82">
        <f>IF(Q161,Q172,IF(S161,S172,P168))</f>
        <v>2529.2061199659852</v>
      </c>
      <c r="T168" s="82"/>
      <c r="U168" s="82"/>
      <c r="V168" s="82">
        <f>IF(T161,T172,IF(V161,V172,S168))</f>
        <v>2529.2061199659852</v>
      </c>
      <c r="W168" s="82"/>
      <c r="X168" s="82"/>
      <c r="Y168" s="82">
        <f>IF(W161,W172,IF(Y161,Y172,V168))</f>
        <v>2520.6651426070603</v>
      </c>
      <c r="Z168" s="82"/>
      <c r="AA168" s="82"/>
      <c r="AB168" s="82">
        <f>IF(Z161,Z172,IF(AB161,AB172,Y168))</f>
        <v>2520.6651426070603</v>
      </c>
      <c r="AC168" s="82"/>
      <c r="AD168" s="82"/>
      <c r="AE168" s="82">
        <f>IF(AC161,AC172,IF(AE161,AE172,AB168))</f>
        <v>2520.6651426070603</v>
      </c>
      <c r="AF168" s="4"/>
      <c r="AG168" s="4"/>
      <c r="AJ168" s="4"/>
      <c r="AL168" s="4"/>
      <c r="AM168" s="4"/>
      <c r="AN168" s="4"/>
      <c r="AO168" s="4"/>
      <c r="AT168" s="77" t="str">
        <f>B168</f>
        <v>Intense 17 Perf RH</v>
      </c>
      <c r="AU168" s="77">
        <f>AE168</f>
        <v>2520.6651426070603</v>
      </c>
      <c r="AW168" s="81"/>
      <c r="BB168" s="81"/>
    </row>
    <row r="169" spans="1:54" s="77" customFormat="1" hidden="1" x14ac:dyDescent="0.2">
      <c r="A169" s="82"/>
      <c r="B169" s="82"/>
      <c r="C169" s="82"/>
      <c r="D169" s="82"/>
      <c r="E169" s="82"/>
      <c r="F169" s="82"/>
      <c r="G169" s="82"/>
      <c r="H169" s="82"/>
      <c r="I169" s="82"/>
      <c r="J169" s="82"/>
      <c r="K169" s="82"/>
      <c r="L169" s="82"/>
      <c r="M169" s="82"/>
      <c r="N169" s="82"/>
      <c r="O169" s="82"/>
      <c r="P169" s="82"/>
      <c r="Q169" s="82"/>
      <c r="R169" s="82"/>
      <c r="S169" s="82"/>
      <c r="T169" s="82"/>
      <c r="U169" s="82"/>
      <c r="V169" s="82"/>
      <c r="W169" s="82"/>
      <c r="X169" s="82"/>
      <c r="Y169" s="82"/>
      <c r="Z169" s="82"/>
      <c r="AA169" s="82"/>
      <c r="AB169" s="82"/>
      <c r="AC169" s="82"/>
      <c r="AD169" s="82"/>
      <c r="AE169" s="82"/>
      <c r="AF169" s="4"/>
      <c r="AG169" s="4"/>
      <c r="AJ169" s="4"/>
      <c r="AL169" s="4"/>
      <c r="AM169" s="4"/>
      <c r="AN169" s="4"/>
      <c r="AO169" s="4"/>
      <c r="AW169" s="81"/>
      <c r="BB169" s="81"/>
    </row>
    <row r="170" spans="1:54" s="77" customFormat="1" hidden="1" x14ac:dyDescent="0.2">
      <c r="A170" s="82" t="s">
        <v>110</v>
      </c>
      <c r="B170" s="82">
        <f>VLOOKUP(B109,$A164:$AE168,3,FALSE)</f>
        <v>2507.1074796480848</v>
      </c>
      <c r="C170" s="82">
        <v>1</v>
      </c>
      <c r="D170" s="82">
        <f>VLOOKUP(D109,$A164:$AE168,3,FALSE)</f>
        <v>2544.0407981926219</v>
      </c>
      <c r="E170" s="82">
        <f>VLOOKUP(E109,$A164:$AE168,4,FALSE)</f>
        <v>2816.3858469383913</v>
      </c>
      <c r="F170" s="82">
        <v>2</v>
      </c>
      <c r="G170" s="82">
        <f>VLOOKUP(G109,$A164:$AE168,4,FALSE)</f>
        <v>2642.4197784613143</v>
      </c>
      <c r="H170" s="82">
        <f>VLOOKUP(H109,$A164:$AE168,7,FALSE)</f>
        <v>2719.4303773869187</v>
      </c>
      <c r="I170" s="82">
        <v>3</v>
      </c>
      <c r="J170" s="82">
        <f>VLOOKUP(J109,$A164:$AE168,7,FALSE)</f>
        <v>2540.6518694853003</v>
      </c>
      <c r="K170" s="82">
        <f>VLOOKUP(K109,$A164:$AE168,10,FALSE)</f>
        <v>2510.4964083554064</v>
      </c>
      <c r="L170" s="82">
        <v>4</v>
      </c>
      <c r="M170" s="82">
        <f>VLOOKUP(M109,$A164:$AE168,10,FALSE)</f>
        <v>2625.2255052844052</v>
      </c>
      <c r="N170" s="82">
        <f>VLOOKUP(N109,$A164:$AE168,13,FALSE)</f>
        <v>2833.5801201153004</v>
      </c>
      <c r="O170" s="82">
        <v>5</v>
      </c>
      <c r="P170" s="82">
        <f>VLOOKUP(P109,$A164:$AE168,13,FALSE)</f>
        <v>2704.2785344398703</v>
      </c>
      <c r="Q170" s="82">
        <f>VLOOKUP(Q109,$A164:$AE168,16,FALSE)</f>
        <v>2615.0266046563797</v>
      </c>
      <c r="R170" s="82">
        <v>6</v>
      </c>
      <c r="S170" s="82">
        <f>VLOOKUP(S109,$A164:$AE168,16,FALSE)</f>
        <v>2555.8037124323487</v>
      </c>
      <c r="T170" s="82">
        <f>VLOOKUP(T109,$A164:$AE168,19,FALSE)</f>
        <v>2520.6953089834319</v>
      </c>
      <c r="U170" s="82">
        <v>7</v>
      </c>
      <c r="V170" s="82">
        <f>VLOOKUP(V109,$A164:$AE168,19,FALSE)</f>
        <v>2683.6666781513059</v>
      </c>
      <c r="W170" s="82">
        <f>VLOOKUP(W109,$A164:$AE168,22,FALSE)</f>
        <v>2854.1919764038648</v>
      </c>
      <c r="X170" s="82">
        <v>8</v>
      </c>
      <c r="Y170" s="82">
        <f>VLOOKUP(Y109,$A164:$AE168,22,FALSE)</f>
        <v>2529.2061199659852</v>
      </c>
      <c r="Z170" s="82">
        <f>VLOOKUP(Z109,$A164:$AE168,25,FALSE)</f>
        <v>2701.6683733425039</v>
      </c>
      <c r="AA170" s="82">
        <v>9</v>
      </c>
      <c r="AB170" s="82">
        <f>VLOOKUP(AB109,$A164:$AE168,25,FALSE)</f>
        <v>2641.6241971227432</v>
      </c>
      <c r="AC170" s="82">
        <f>VLOOKUP(AC109,$A164:$AE168,28,FALSE)</f>
        <v>2862.7329537627897</v>
      </c>
      <c r="AD170" s="82">
        <v>10</v>
      </c>
      <c r="AE170" s="82">
        <f>VLOOKUP(AE109,$A164:$AE168,28,FALSE)</f>
        <v>2502.6936137922339</v>
      </c>
      <c r="AF170" s="4"/>
      <c r="AG170" s="95"/>
      <c r="AH170" s="95"/>
      <c r="AI170" s="95"/>
      <c r="AJ170" s="95"/>
      <c r="AK170" s="95"/>
      <c r="AL170" s="95"/>
      <c r="AM170" s="95"/>
      <c r="AN170" s="96"/>
      <c r="AO170" s="96"/>
      <c r="AP170" s="96"/>
      <c r="AQ170" s="96"/>
      <c r="AW170" s="81"/>
      <c r="BB170" s="81"/>
    </row>
    <row r="171" spans="1:54" s="87" customFormat="1" hidden="1" x14ac:dyDescent="0.2">
      <c r="A171" s="83" t="s">
        <v>111</v>
      </c>
      <c r="B171" s="83">
        <f>1/(1+(10^-((B170-D170)/400)))*(B121+D121)</f>
        <v>0.89409597789619411</v>
      </c>
      <c r="C171" s="83"/>
      <c r="D171" s="83">
        <f>1/(1+(10^-((D170-B170)/400)))*(B121+D121)</f>
        <v>1.1059040221038059</v>
      </c>
      <c r="E171" s="83">
        <f>1/(1+(10^-((E170-G170)/400)))*(E121+G121)</f>
        <v>1.4626789632215955</v>
      </c>
      <c r="F171" s="83"/>
      <c r="G171" s="83">
        <f>1/(1+(10^-((G170-E170)/400)))*(E121+G121)</f>
        <v>0.53732103677840437</v>
      </c>
      <c r="H171" s="83">
        <f>1/(1+(10^-((H170-J170)/400)))*(H121+J121)</f>
        <v>1.4734950920952647</v>
      </c>
      <c r="I171" s="83"/>
      <c r="J171" s="83">
        <f>1/(1+(10^-((J170-H170)/400)))*(H121+J121)</f>
        <v>0.52650490790473525</v>
      </c>
      <c r="K171" s="83">
        <f>1/(1+(10^-((K170-M170)/400)))*(K121+M121)</f>
        <v>0.68128435537419918</v>
      </c>
      <c r="L171" s="83"/>
      <c r="M171" s="83">
        <f>1/(1+(10^-((M170-K170)/400)))*(K121+M121)</f>
        <v>1.3187156446258008</v>
      </c>
      <c r="N171" s="83">
        <f>1/(1+(10^-((N170-P170)/400)))*(N121+P121)</f>
        <v>1.3558794909823668</v>
      </c>
      <c r="O171" s="83"/>
      <c r="P171" s="83">
        <f>1/(1+(10^-((P170-N170)/400)))*(N121+P121)</f>
        <v>0.64412050901763318</v>
      </c>
      <c r="Q171" s="83">
        <f>1/(1+(10^-((Q170-S170)/400)))*(Q121+S121)</f>
        <v>1.168825235426135</v>
      </c>
      <c r="R171" s="83"/>
      <c r="S171" s="83">
        <f>1/(1+(10^-((S170-Q170)/400)))*(Q121+S121)</f>
        <v>0.83117476457386485</v>
      </c>
      <c r="T171" s="83">
        <f>1/(1+(10^-((T170-V170)/400)))*(T121+V121)</f>
        <v>0.56255297472493704</v>
      </c>
      <c r="U171" s="83"/>
      <c r="V171" s="83">
        <f>1/(1+(10^-((V170-T170)/400)))*(T121+V121)</f>
        <v>1.4374470252750631</v>
      </c>
      <c r="W171" s="83">
        <f>1/(1+(10^-((W170-Y170)/400)))*(W121+Y121)</f>
        <v>1.7330944575336031</v>
      </c>
      <c r="X171" s="83"/>
      <c r="Y171" s="83">
        <f>1/(1+(10^-((Y170-W170)/400)))*(W121+Y121)</f>
        <v>0.26690554246639686</v>
      </c>
      <c r="Z171" s="83">
        <f>1/(1+(10^-((Z170-AB170)/400)))*(Z121+AB121)</f>
        <v>1.1711207861805506</v>
      </c>
      <c r="AA171" s="83"/>
      <c r="AB171" s="83">
        <f>1/(1+(10^-((AB170-Z170)/400)))*(Z121+AB121)</f>
        <v>0.82887921381944951</v>
      </c>
      <c r="AC171" s="83">
        <f>1/(1+(10^-((AC170-AE170)/400)))*(AC121+AE121)</f>
        <v>1.7764134371514237</v>
      </c>
      <c r="AD171" s="83"/>
      <c r="AE171" s="83">
        <f>1/(1+(10^-((AE170-AC170)/400)))*(AC121+AE121)</f>
        <v>0.22358656284857614</v>
      </c>
      <c r="AF171" s="84"/>
      <c r="AG171" s="85"/>
      <c r="AH171" s="85"/>
      <c r="AI171" s="85"/>
      <c r="AJ171" s="85"/>
      <c r="AK171" s="85"/>
      <c r="AL171" s="85"/>
      <c r="AM171" s="85"/>
      <c r="AN171" s="86"/>
      <c r="AO171" s="86"/>
      <c r="AP171" s="86"/>
      <c r="AQ171" s="86"/>
      <c r="AW171" s="88"/>
      <c r="BB171" s="88"/>
    </row>
    <row r="172" spans="1:54" s="93" customFormat="1" hidden="1" x14ac:dyDescent="0.2">
      <c r="A172" s="89" t="s">
        <v>112</v>
      </c>
      <c r="B172" s="89">
        <f>B170+(B121-B171)*$BA$1</f>
        <v>2510.4964083554064</v>
      </c>
      <c r="C172" s="89"/>
      <c r="D172" s="89">
        <f>D170+(D121-D171)*$BA$1</f>
        <v>2540.6518694853003</v>
      </c>
      <c r="E172" s="89">
        <f>E170+(E121-E171)*$BA$1</f>
        <v>2833.5801201153004</v>
      </c>
      <c r="F172" s="89"/>
      <c r="G172" s="89">
        <f>G170+(G121-G171)*$BA$1</f>
        <v>2625.2255052844052</v>
      </c>
      <c r="H172" s="89">
        <f>H170+(H121-H171)*$BA$1</f>
        <v>2704.2785344398703</v>
      </c>
      <c r="I172" s="89"/>
      <c r="J172" s="89">
        <f>J170+(J121-J171)*$BA$1</f>
        <v>2555.8037124323487</v>
      </c>
      <c r="K172" s="89">
        <f>K170+(K121-K171)*$BA$1</f>
        <v>2520.6953089834319</v>
      </c>
      <c r="L172" s="89"/>
      <c r="M172" s="89">
        <f>M170+(M121-M171)*$BA$1</f>
        <v>2615.0266046563797</v>
      </c>
      <c r="N172" s="89">
        <f>N170+(N121-N171)*$BA$1</f>
        <v>2854.1919764038648</v>
      </c>
      <c r="O172" s="89"/>
      <c r="P172" s="89">
        <f>P170+(P121-P171)*$BA$1</f>
        <v>2683.6666781513059</v>
      </c>
      <c r="Q172" s="89">
        <f>Q170+(Q121-Q171)*$BA$1</f>
        <v>2641.6241971227432</v>
      </c>
      <c r="R172" s="89"/>
      <c r="S172" s="89">
        <f>S170+(S121-S171)*$BA$1</f>
        <v>2529.2061199659852</v>
      </c>
      <c r="T172" s="89">
        <f>T170+(T121-T171)*$BA$1</f>
        <v>2502.6936137922339</v>
      </c>
      <c r="U172" s="89"/>
      <c r="V172" s="89">
        <f>V170+(V121-V171)*$BA$1</f>
        <v>2701.6683733425039</v>
      </c>
      <c r="W172" s="89">
        <f>W170+(W121-W171)*$BA$1</f>
        <v>2862.7329537627897</v>
      </c>
      <c r="X172" s="89"/>
      <c r="Y172" s="89">
        <f>Y170+(Y121-Y171)*$BA$1</f>
        <v>2520.6651426070603</v>
      </c>
      <c r="Z172" s="89">
        <f>Z170+(Z121-Z171)*$BA$1</f>
        <v>2664.1925081847262</v>
      </c>
      <c r="AA172" s="89"/>
      <c r="AB172" s="89">
        <f>AB170+(AB121-AB171)*$BA$1</f>
        <v>2679.1000622805209</v>
      </c>
      <c r="AC172" s="89">
        <f>AC170+(AC121-AC171)*$BA$1</f>
        <v>2869.8877237739443</v>
      </c>
      <c r="AD172" s="89"/>
      <c r="AE172" s="89">
        <f>AE170+(AE121-AE171)*$BA$1</f>
        <v>2495.5388437810793</v>
      </c>
      <c r="AF172" s="90"/>
      <c r="AG172" s="91"/>
      <c r="AH172" s="91"/>
      <c r="AI172" s="91"/>
      <c r="AJ172" s="91"/>
      <c r="AK172" s="91"/>
      <c r="AL172" s="91"/>
      <c r="AM172" s="91"/>
      <c r="AN172" s="92"/>
      <c r="AO172" s="92"/>
      <c r="AP172" s="92"/>
      <c r="AQ172" s="92"/>
      <c r="AW172" s="94"/>
      <c r="BB172" s="94"/>
    </row>
    <row r="173" spans="1:54" s="93" customFormat="1" hidden="1" x14ac:dyDescent="0.2">
      <c r="A173" s="89"/>
      <c r="B173" s="89"/>
      <c r="C173" s="89"/>
      <c r="D173" s="89"/>
      <c r="E173" s="89"/>
      <c r="F173" s="89"/>
      <c r="G173" s="89"/>
      <c r="H173" s="89"/>
      <c r="I173" s="89"/>
      <c r="J173" s="89"/>
      <c r="K173" s="89"/>
      <c r="L173" s="89"/>
      <c r="M173" s="89"/>
      <c r="N173" s="89"/>
      <c r="O173" s="89"/>
      <c r="P173" s="89"/>
      <c r="Q173" s="89"/>
      <c r="R173" s="89"/>
      <c r="S173" s="89"/>
      <c r="T173" s="89"/>
      <c r="U173" s="89"/>
      <c r="V173" s="89"/>
      <c r="W173" s="89"/>
      <c r="X173" s="89"/>
      <c r="Y173" s="89"/>
      <c r="Z173" s="89"/>
      <c r="AA173" s="89"/>
      <c r="AB173" s="89"/>
      <c r="AC173" s="89"/>
      <c r="AD173" s="89"/>
      <c r="AE173" s="89"/>
      <c r="AF173" s="90"/>
      <c r="AG173" s="91"/>
      <c r="AH173" s="91"/>
      <c r="AI173" s="91"/>
      <c r="AJ173" s="91"/>
      <c r="AK173" s="91"/>
      <c r="AL173" s="91"/>
      <c r="AM173" s="91"/>
      <c r="AN173" s="92"/>
      <c r="AO173" s="92"/>
      <c r="AP173" s="92"/>
      <c r="AQ173" s="92"/>
      <c r="AW173" s="94"/>
      <c r="BB173" s="94"/>
    </row>
    <row r="174" spans="1:54" s="77" customFormat="1" x14ac:dyDescent="0.2">
      <c r="A174" s="281" t="str">
        <f>IF($AK95=1,"Pool Tiereaker : 1) Matches Won vs Lost (if 3 way tie then #4)  2) Head to Head  3) Game Win %  4) Total Pool Net Points  5) Flip a Coin","Pool Tiebreaker : 1) Games Won vs Lost (if 3 way tie then #5)  2) Head to Head  3) Head to Head Net Points  4) Game Win %  5) Total Pool Net Points  6) Flip a Coin")</f>
        <v>Pool Tiebreaker : 1) Games Won vs Lost (if 3 way tie then #5)  2) Head to Head  3) Head to Head Net Points  4) Game Win %  5) Total Pool Net Points  6) Flip a Coin</v>
      </c>
      <c r="B174" s="281"/>
      <c r="C174" s="281"/>
      <c r="D174" s="281"/>
      <c r="E174" s="281"/>
      <c r="F174" s="281"/>
      <c r="G174" s="281"/>
      <c r="H174" s="281"/>
      <c r="I174" s="281"/>
      <c r="J174" s="281"/>
      <c r="K174" s="281"/>
      <c r="L174" s="281"/>
      <c r="M174" s="281"/>
      <c r="N174" s="281"/>
      <c r="O174" s="281"/>
      <c r="P174" s="281"/>
      <c r="Q174" s="281"/>
      <c r="R174" s="281"/>
      <c r="S174" s="281"/>
      <c r="T174" s="281"/>
      <c r="U174" s="281"/>
      <c r="V174" s="281"/>
      <c r="W174" s="281"/>
      <c r="X174" s="281"/>
      <c r="Y174" s="281"/>
      <c r="Z174" s="281"/>
      <c r="AA174" s="281"/>
      <c r="AB174" s="281"/>
      <c r="AC174" s="281"/>
      <c r="AD174" s="281"/>
      <c r="AE174" s="281"/>
      <c r="AF174" s="281"/>
      <c r="AG174" s="281"/>
      <c r="AH174" s="281"/>
      <c r="AI174" s="281"/>
      <c r="AJ174" s="281"/>
      <c r="AK174" s="281"/>
      <c r="AL174" s="281"/>
      <c r="AM174" s="281"/>
      <c r="AN174" s="259"/>
      <c r="AO174" s="259"/>
      <c r="AP174" s="259"/>
      <c r="AQ174" s="259"/>
      <c r="AW174" s="81"/>
    </row>
    <row r="175" spans="1:54" s="77" customFormat="1" ht="13.5" thickBot="1" x14ac:dyDescent="0.25">
      <c r="A175" s="282"/>
      <c r="B175" s="282"/>
      <c r="C175" s="282"/>
      <c r="D175" s="282"/>
      <c r="E175" s="282"/>
      <c r="F175" s="282"/>
      <c r="G175" s="282"/>
      <c r="H175" s="282"/>
      <c r="I175" s="282"/>
      <c r="J175" s="282"/>
      <c r="K175" s="282"/>
      <c r="L175" s="282"/>
      <c r="M175" s="282"/>
      <c r="N175" s="282"/>
      <c r="O175" s="282"/>
      <c r="P175" s="282"/>
      <c r="Q175" s="282"/>
      <c r="R175" s="282"/>
      <c r="S175" s="282"/>
      <c r="T175" s="282"/>
      <c r="U175" s="282"/>
      <c r="V175" s="282"/>
      <c r="W175" s="282"/>
      <c r="X175" s="282"/>
      <c r="Y175" s="282"/>
      <c r="Z175" s="282"/>
      <c r="AA175" s="282"/>
      <c r="AB175" s="282"/>
      <c r="AC175" s="282"/>
      <c r="AD175" s="282"/>
      <c r="AE175" s="282"/>
      <c r="AF175" s="282"/>
      <c r="AG175" s="282"/>
      <c r="AH175" s="282"/>
      <c r="AI175" s="282"/>
      <c r="AJ175" s="282"/>
      <c r="AK175" s="282"/>
      <c r="AL175" s="282"/>
      <c r="AM175" s="282"/>
      <c r="AN175" s="282"/>
      <c r="AO175" s="282"/>
      <c r="AP175" s="282"/>
      <c r="AQ175" s="282"/>
      <c r="AW175" s="81"/>
    </row>
    <row r="176" spans="1:54" ht="24" customHeight="1" thickBot="1" x14ac:dyDescent="0.25">
      <c r="A176" s="27" t="s">
        <v>34</v>
      </c>
      <c r="B176" s="28" t="s">
        <v>205</v>
      </c>
      <c r="C176" s="353" t="s">
        <v>36</v>
      </c>
      <c r="D176" s="354"/>
      <c r="E176" s="354"/>
      <c r="F176" s="354"/>
      <c r="G176" s="354"/>
      <c r="H176" s="355"/>
      <c r="I176" s="356">
        <v>3</v>
      </c>
      <c r="J176" s="357"/>
      <c r="K176" s="358" t="str">
        <f>"Pool "&amp;B176&amp;" - Round 1 - Court "&amp;I176</f>
        <v>Pool C - Round 1 - Court 3</v>
      </c>
      <c r="L176" s="359"/>
      <c r="M176" s="359"/>
      <c r="N176" s="359"/>
      <c r="O176" s="359"/>
      <c r="P176" s="359"/>
      <c r="Q176" s="359"/>
      <c r="R176" s="359"/>
      <c r="S176" s="359"/>
      <c r="T176" s="359"/>
      <c r="U176" s="359"/>
      <c r="V176" s="359"/>
      <c r="W176" s="359"/>
      <c r="X176" s="359"/>
      <c r="Y176" s="359"/>
      <c r="Z176" s="359"/>
      <c r="AA176" s="359"/>
      <c r="AB176" s="359"/>
      <c r="AC176" s="359"/>
      <c r="AD176" s="359"/>
      <c r="AE176" s="359"/>
      <c r="AF176" s="359"/>
      <c r="AG176" s="359"/>
      <c r="AH176" s="359"/>
      <c r="AI176" s="360"/>
      <c r="AJ176" s="8"/>
      <c r="AK176" s="8"/>
      <c r="AL176" s="8"/>
      <c r="AM176" s="8"/>
      <c r="AN176" s="8"/>
      <c r="AO176" s="8"/>
      <c r="AP176" s="8"/>
      <c r="AQ176" s="8"/>
    </row>
    <row r="177" spans="1:44" ht="27" customHeight="1" thickBot="1" x14ac:dyDescent="0.25">
      <c r="A177" s="29" t="s">
        <v>39</v>
      </c>
      <c r="B177" s="361" t="s">
        <v>10</v>
      </c>
      <c r="C177" s="362"/>
      <c r="D177" s="362"/>
      <c r="E177" s="362"/>
      <c r="F177" s="362"/>
      <c r="G177" s="362"/>
      <c r="H177" s="362"/>
      <c r="I177" s="362"/>
      <c r="J177" s="362"/>
      <c r="K177" s="362"/>
      <c r="L177" s="361" t="str">
        <f>IF($AK180=0,"Games Won","Matches Won")</f>
        <v>Matches Won</v>
      </c>
      <c r="M177" s="362"/>
      <c r="N177" s="362"/>
      <c r="O177" s="362"/>
      <c r="P177" s="362"/>
      <c r="Q177" s="363"/>
      <c r="R177" s="361" t="str">
        <f>IF($AK180=0,"Games Lost","Matches Lost")</f>
        <v>Matches Lost</v>
      </c>
      <c r="S177" s="364"/>
      <c r="T177" s="364"/>
      <c r="U177" s="364"/>
      <c r="V177" s="365"/>
      <c r="W177" s="366" t="s">
        <v>40</v>
      </c>
      <c r="X177" s="367"/>
      <c r="Y177" s="368"/>
      <c r="Z177" s="366" t="s">
        <v>41</v>
      </c>
      <c r="AA177" s="367"/>
      <c r="AB177" s="368"/>
      <c r="AC177" s="369" t="s">
        <v>42</v>
      </c>
      <c r="AD177" s="370"/>
      <c r="AE177" s="371"/>
      <c r="AF177" s="30" t="s">
        <v>43</v>
      </c>
      <c r="AG177" s="31" t="s">
        <v>9</v>
      </c>
      <c r="AH177" s="351" t="s">
        <v>44</v>
      </c>
      <c r="AI177" s="352"/>
      <c r="AJ177" s="32"/>
      <c r="AK177" s="33">
        <v>3</v>
      </c>
      <c r="AL177" s="34" t="s">
        <v>45</v>
      </c>
      <c r="AM177" s="34"/>
      <c r="AN177" s="34"/>
      <c r="AO177" s="34"/>
      <c r="AP177" s="34"/>
      <c r="AQ177" s="34"/>
      <c r="AR177" s="35"/>
    </row>
    <row r="178" spans="1:44" ht="18.75" customHeight="1" x14ac:dyDescent="0.2">
      <c r="A178" s="320" t="str">
        <f>IF($AK179&gt;0,"1","")</f>
        <v>1</v>
      </c>
      <c r="B178" s="348" t="s">
        <v>10</v>
      </c>
      <c r="C178" s="349"/>
      <c r="D178" s="350"/>
      <c r="E178" s="324" t="str">
        <f>AU5</f>
        <v>CSRA Heat 17 National</v>
      </c>
      <c r="F178" s="325"/>
      <c r="G178" s="325"/>
      <c r="H178" s="325"/>
      <c r="I178" s="325"/>
      <c r="J178" s="325"/>
      <c r="K178" s="326"/>
      <c r="L178" s="327">
        <f>IF($AK180=0,AF234,AF216)</f>
        <v>2</v>
      </c>
      <c r="M178" s="328"/>
      <c r="N178" s="328"/>
      <c r="O178" s="328"/>
      <c r="P178" s="328"/>
      <c r="Q178" s="363"/>
      <c r="R178" s="327">
        <f>IF($AK180=0,AG234,AG216)</f>
        <v>1</v>
      </c>
      <c r="S178" s="328"/>
      <c r="T178" s="328"/>
      <c r="U178" s="328"/>
      <c r="V178" s="328"/>
      <c r="W178" s="327">
        <f>AQ194</f>
        <v>2</v>
      </c>
      <c r="X178" s="328"/>
      <c r="Y178" s="328"/>
      <c r="Z178" s="300">
        <f>IF(AF228&gt;0,(AQ194/AF228),0)</f>
        <v>1.1111111111111112E-2</v>
      </c>
      <c r="AA178" s="301"/>
      <c r="AB178" s="301"/>
      <c r="AC178" s="304">
        <f>IF(AF242=0,0,(AF234/AF242))</f>
        <v>0.625</v>
      </c>
      <c r="AD178" s="305"/>
      <c r="AE178" s="306"/>
      <c r="AF178" s="310">
        <v>2</v>
      </c>
      <c r="AG178" s="310">
        <v>4</v>
      </c>
      <c r="AH178" s="312"/>
      <c r="AI178" s="313"/>
      <c r="AJ178" s="32"/>
      <c r="AK178" s="33">
        <v>6</v>
      </c>
      <c r="AL178" s="34" t="s">
        <v>48</v>
      </c>
      <c r="AM178" s="34"/>
      <c r="AN178" s="34"/>
      <c r="AO178" s="34"/>
      <c r="AP178" s="34"/>
      <c r="AQ178" s="34"/>
      <c r="AR178" s="35"/>
    </row>
    <row r="179" spans="1:44" ht="18.75" customHeight="1" thickBot="1" x14ac:dyDescent="0.25">
      <c r="A179" s="321"/>
      <c r="B179" s="345" t="s">
        <v>11</v>
      </c>
      <c r="C179" s="346"/>
      <c r="D179" s="347"/>
      <c r="E179" s="341" t="str">
        <f>AV5</f>
        <v>fj7csrah1pm</v>
      </c>
      <c r="F179" s="342"/>
      <c r="G179" s="342"/>
      <c r="H179" s="342"/>
      <c r="I179" s="342"/>
      <c r="J179" s="342"/>
      <c r="K179" s="342"/>
      <c r="L179" s="343"/>
      <c r="M179" s="344"/>
      <c r="N179" s="344"/>
      <c r="O179" s="344"/>
      <c r="P179" s="344"/>
      <c r="Q179" s="363"/>
      <c r="R179" s="343"/>
      <c r="S179" s="344"/>
      <c r="T179" s="344"/>
      <c r="U179" s="344"/>
      <c r="V179" s="344"/>
      <c r="W179" s="343"/>
      <c r="X179" s="344"/>
      <c r="Y179" s="344"/>
      <c r="Z179" s="331"/>
      <c r="AA179" s="332"/>
      <c r="AB179" s="332"/>
      <c r="AC179" s="333"/>
      <c r="AD179" s="334"/>
      <c r="AE179" s="335"/>
      <c r="AF179" s="336"/>
      <c r="AG179" s="336"/>
      <c r="AH179" s="337"/>
      <c r="AI179" s="338"/>
      <c r="AJ179" s="32"/>
      <c r="AK179" s="33">
        <v>4</v>
      </c>
      <c r="AL179" s="34" t="s">
        <v>51</v>
      </c>
      <c r="AM179" s="32"/>
      <c r="AN179" s="32"/>
      <c r="AO179" s="32"/>
      <c r="AP179" s="32"/>
      <c r="AQ179" s="32"/>
      <c r="AR179" s="3"/>
    </row>
    <row r="180" spans="1:44" ht="18.75" customHeight="1" x14ac:dyDescent="0.2">
      <c r="A180" s="320" t="str">
        <f>IF($AK179&gt;1,"2","")</f>
        <v>2</v>
      </c>
      <c r="B180" s="348" t="s">
        <v>10</v>
      </c>
      <c r="C180" s="349"/>
      <c r="D180" s="350"/>
      <c r="E180" s="324" t="str">
        <f>AU6</f>
        <v>METRO-ATL 17 BLACK</v>
      </c>
      <c r="F180" s="325"/>
      <c r="G180" s="325"/>
      <c r="H180" s="325"/>
      <c r="I180" s="325"/>
      <c r="J180" s="325"/>
      <c r="K180" s="326"/>
      <c r="L180" s="327">
        <f>IF($AK180=0,AF235,AF217)</f>
        <v>2</v>
      </c>
      <c r="M180" s="328"/>
      <c r="N180" s="328"/>
      <c r="O180" s="328"/>
      <c r="P180" s="328"/>
      <c r="Q180" s="363"/>
      <c r="R180" s="327">
        <f>IF($AK180=0,AG235,AG217)</f>
        <v>1</v>
      </c>
      <c r="S180" s="328"/>
      <c r="T180" s="328"/>
      <c r="U180" s="328"/>
      <c r="V180" s="328"/>
      <c r="W180" s="327">
        <f>AQ195</f>
        <v>0</v>
      </c>
      <c r="X180" s="328"/>
      <c r="Y180" s="328"/>
      <c r="Z180" s="300">
        <f>IF(AF229&gt;0,(AQ195/AF229),0)</f>
        <v>0</v>
      </c>
      <c r="AA180" s="301"/>
      <c r="AB180" s="301"/>
      <c r="AC180" s="304">
        <f>IF(AF243=0,0,(AF235/AF243))</f>
        <v>0.5</v>
      </c>
      <c r="AD180" s="305"/>
      <c r="AE180" s="306"/>
      <c r="AF180" s="310">
        <v>3</v>
      </c>
      <c r="AG180" s="310">
        <v>4</v>
      </c>
      <c r="AH180" s="312"/>
      <c r="AI180" s="313"/>
      <c r="AJ180" s="32"/>
      <c r="AK180" s="33">
        <v>1</v>
      </c>
      <c r="AL180" s="34" t="s">
        <v>54</v>
      </c>
      <c r="AM180" s="34"/>
      <c r="AN180" s="34"/>
      <c r="AO180" s="34"/>
      <c r="AP180" s="34"/>
      <c r="AQ180" s="34"/>
      <c r="AR180" s="35"/>
    </row>
    <row r="181" spans="1:44" ht="18.75" customHeight="1" thickBot="1" x14ac:dyDescent="0.25">
      <c r="A181" s="321"/>
      <c r="B181" s="339" t="s">
        <v>11</v>
      </c>
      <c r="C181" s="340"/>
      <c r="D181" s="340"/>
      <c r="E181" s="341" t="str">
        <f>AV6</f>
        <v>fj7metro1so</v>
      </c>
      <c r="F181" s="342"/>
      <c r="G181" s="342"/>
      <c r="H181" s="342"/>
      <c r="I181" s="342"/>
      <c r="J181" s="342"/>
      <c r="K181" s="342"/>
      <c r="L181" s="343"/>
      <c r="M181" s="344"/>
      <c r="N181" s="344"/>
      <c r="O181" s="344"/>
      <c r="P181" s="344"/>
      <c r="Q181" s="363"/>
      <c r="R181" s="343"/>
      <c r="S181" s="344"/>
      <c r="T181" s="344"/>
      <c r="U181" s="344"/>
      <c r="V181" s="344"/>
      <c r="W181" s="343"/>
      <c r="X181" s="344"/>
      <c r="Y181" s="344"/>
      <c r="Z181" s="331"/>
      <c r="AA181" s="332"/>
      <c r="AB181" s="332"/>
      <c r="AC181" s="333"/>
      <c r="AD181" s="334"/>
      <c r="AE181" s="335"/>
      <c r="AF181" s="336"/>
      <c r="AG181" s="336"/>
      <c r="AH181" s="337"/>
      <c r="AI181" s="338"/>
      <c r="AJ181" s="32"/>
      <c r="AK181" s="33">
        <v>1</v>
      </c>
      <c r="AL181" s="34" t="s">
        <v>56</v>
      </c>
      <c r="AM181" s="32"/>
      <c r="AN181" s="32"/>
      <c r="AO181" s="32"/>
      <c r="AP181" s="32"/>
      <c r="AQ181" s="32"/>
      <c r="AR181" s="3"/>
    </row>
    <row r="182" spans="1:44" ht="18.75" customHeight="1" x14ac:dyDescent="0.2">
      <c r="A182" s="320" t="str">
        <f>IF($AK179&gt;2,"3","")</f>
        <v>3</v>
      </c>
      <c r="B182" s="322" t="s">
        <v>10</v>
      </c>
      <c r="C182" s="323"/>
      <c r="D182" s="323"/>
      <c r="E182" s="324" t="str">
        <f>AU11</f>
        <v>Crossfire 17 Power</v>
      </c>
      <c r="F182" s="325"/>
      <c r="G182" s="325"/>
      <c r="H182" s="325"/>
      <c r="I182" s="325"/>
      <c r="J182" s="325"/>
      <c r="K182" s="326"/>
      <c r="L182" s="327">
        <f>IF($AK180=0,AF236,AF218)</f>
        <v>0</v>
      </c>
      <c r="M182" s="328"/>
      <c r="N182" s="328"/>
      <c r="O182" s="328"/>
      <c r="P182" s="328"/>
      <c r="Q182" s="363"/>
      <c r="R182" s="327">
        <f>IF($AK180=0,AG236,AG218)</f>
        <v>3</v>
      </c>
      <c r="S182" s="328"/>
      <c r="T182" s="328"/>
      <c r="U182" s="328"/>
      <c r="V182" s="328"/>
      <c r="W182" s="327">
        <f>AQ196</f>
        <v>-42</v>
      </c>
      <c r="X182" s="328"/>
      <c r="Y182" s="328"/>
      <c r="Z182" s="300">
        <f>IF(AF230&gt;0,(AQ196/AF230),0)</f>
        <v>-0.23333333333333334</v>
      </c>
      <c r="AA182" s="301"/>
      <c r="AB182" s="301"/>
      <c r="AC182" s="304">
        <f>IF(AF244=0,0,(AF236/AF244))</f>
        <v>0.25</v>
      </c>
      <c r="AD182" s="305"/>
      <c r="AE182" s="306"/>
      <c r="AF182" s="310">
        <v>4</v>
      </c>
      <c r="AG182" s="310">
        <v>1</v>
      </c>
      <c r="AH182" s="312"/>
      <c r="AI182" s="313"/>
      <c r="AJ182" s="43"/>
      <c r="AK182" s="33">
        <v>3</v>
      </c>
      <c r="AL182" s="44" t="s">
        <v>57</v>
      </c>
      <c r="AM182" s="34"/>
      <c r="AN182" s="34"/>
      <c r="AO182" s="34"/>
      <c r="AP182" s="34"/>
      <c r="AQ182" s="34"/>
      <c r="AR182" s="35"/>
    </row>
    <row r="183" spans="1:44" ht="18.75" customHeight="1" thickBot="1" x14ac:dyDescent="0.25">
      <c r="A183" s="321"/>
      <c r="B183" s="339" t="s">
        <v>11</v>
      </c>
      <c r="C183" s="340"/>
      <c r="D183" s="340"/>
      <c r="E183" s="341" t="str">
        <f>AV11</f>
        <v>fj7crosf1pm</v>
      </c>
      <c r="F183" s="342"/>
      <c r="G183" s="342"/>
      <c r="H183" s="342"/>
      <c r="I183" s="342"/>
      <c r="J183" s="342"/>
      <c r="K183" s="342"/>
      <c r="L183" s="343"/>
      <c r="M183" s="344"/>
      <c r="N183" s="344"/>
      <c r="O183" s="344"/>
      <c r="P183" s="344"/>
      <c r="Q183" s="363"/>
      <c r="R183" s="343"/>
      <c r="S183" s="344"/>
      <c r="T183" s="344"/>
      <c r="U183" s="344"/>
      <c r="V183" s="344"/>
      <c r="W183" s="343"/>
      <c r="X183" s="344"/>
      <c r="Y183" s="344"/>
      <c r="Z183" s="331"/>
      <c r="AA183" s="332"/>
      <c r="AB183" s="332"/>
      <c r="AC183" s="333"/>
      <c r="AD183" s="334"/>
      <c r="AE183" s="335"/>
      <c r="AF183" s="336"/>
      <c r="AG183" s="336"/>
      <c r="AH183" s="337"/>
      <c r="AI183" s="338"/>
      <c r="AJ183" s="43"/>
      <c r="AK183" s="51"/>
      <c r="AL183" s="52"/>
      <c r="AM183" s="52"/>
      <c r="AN183" s="52"/>
      <c r="AO183" s="52"/>
      <c r="AP183" s="52"/>
      <c r="AQ183" s="32"/>
      <c r="AR183" s="3"/>
    </row>
    <row r="184" spans="1:44" ht="18.75" customHeight="1" x14ac:dyDescent="0.2">
      <c r="A184" s="320" t="str">
        <f>IF($AK179&gt;3,"4","")</f>
        <v>4</v>
      </c>
      <c r="B184" s="322" t="s">
        <v>10</v>
      </c>
      <c r="C184" s="323"/>
      <c r="D184" s="323"/>
      <c r="E184" s="324" t="str">
        <f>AU12</f>
        <v>Intense 16 Hyper Elite</v>
      </c>
      <c r="F184" s="325"/>
      <c r="G184" s="325"/>
      <c r="H184" s="325"/>
      <c r="I184" s="325"/>
      <c r="J184" s="325"/>
      <c r="K184" s="326"/>
      <c r="L184" s="327">
        <f>IF($AK180=0,AF237,AF219)</f>
        <v>2</v>
      </c>
      <c r="M184" s="328"/>
      <c r="N184" s="328"/>
      <c r="O184" s="328"/>
      <c r="P184" s="328"/>
      <c r="Q184" s="363"/>
      <c r="R184" s="327">
        <f>IF($AK180=0,AG237,AG219)</f>
        <v>1</v>
      </c>
      <c r="S184" s="328"/>
      <c r="T184" s="328"/>
      <c r="U184" s="328"/>
      <c r="V184" s="328"/>
      <c r="W184" s="327">
        <f>AQ197</f>
        <v>40</v>
      </c>
      <c r="X184" s="328"/>
      <c r="Y184" s="328"/>
      <c r="Z184" s="300">
        <f>IF(AF231&gt;0,(AQ197/AF231),0)</f>
        <v>0.22222222222222221</v>
      </c>
      <c r="AA184" s="301"/>
      <c r="AB184" s="301"/>
      <c r="AC184" s="304">
        <f>IF(AF245=0,0,(AF237/AF245))</f>
        <v>0.625</v>
      </c>
      <c r="AD184" s="305"/>
      <c r="AE184" s="306"/>
      <c r="AF184" s="310">
        <v>1</v>
      </c>
      <c r="AG184" s="310">
        <v>4</v>
      </c>
      <c r="AH184" s="312"/>
      <c r="AI184" s="313"/>
      <c r="AJ184" s="8"/>
      <c r="AK184" s="52"/>
      <c r="AL184" s="52"/>
      <c r="AM184" s="52"/>
      <c r="AN184" s="52"/>
      <c r="AO184" s="52"/>
      <c r="AP184" s="52"/>
      <c r="AQ184" s="34"/>
      <c r="AR184" s="35"/>
    </row>
    <row r="185" spans="1:44" ht="18.75" customHeight="1" thickBot="1" x14ac:dyDescent="0.25">
      <c r="A185" s="321"/>
      <c r="B185" s="339" t="s">
        <v>11</v>
      </c>
      <c r="C185" s="340"/>
      <c r="D185" s="340"/>
      <c r="E185" s="341" t="str">
        <f>AV12</f>
        <v>fj6inten1pm</v>
      </c>
      <c r="F185" s="342"/>
      <c r="G185" s="342"/>
      <c r="H185" s="342"/>
      <c r="I185" s="342"/>
      <c r="J185" s="342"/>
      <c r="K185" s="342"/>
      <c r="L185" s="343"/>
      <c r="M185" s="344"/>
      <c r="N185" s="344"/>
      <c r="O185" s="344"/>
      <c r="P185" s="344"/>
      <c r="Q185" s="363"/>
      <c r="R185" s="343"/>
      <c r="S185" s="344"/>
      <c r="T185" s="344"/>
      <c r="U185" s="344"/>
      <c r="V185" s="344"/>
      <c r="W185" s="343"/>
      <c r="X185" s="344"/>
      <c r="Y185" s="344"/>
      <c r="Z185" s="331"/>
      <c r="AA185" s="332"/>
      <c r="AB185" s="332"/>
      <c r="AC185" s="333"/>
      <c r="AD185" s="334"/>
      <c r="AE185" s="335"/>
      <c r="AF185" s="336"/>
      <c r="AG185" s="336"/>
      <c r="AH185" s="337"/>
      <c r="AI185" s="338"/>
      <c r="AJ185" s="8"/>
      <c r="AK185" s="52"/>
      <c r="AL185" s="52"/>
      <c r="AM185" s="52"/>
      <c r="AN185" s="52"/>
      <c r="AO185" s="52"/>
      <c r="AP185" s="52"/>
      <c r="AQ185" s="8"/>
      <c r="AR185" s="3"/>
    </row>
    <row r="186" spans="1:44" ht="18.75" customHeight="1" x14ac:dyDescent="0.2">
      <c r="A186" s="320" t="str">
        <f>IF($AK179&gt;4,"5","")</f>
        <v/>
      </c>
      <c r="B186" s="322" t="s">
        <v>10</v>
      </c>
      <c r="C186" s="323"/>
      <c r="D186" s="323"/>
      <c r="E186" s="427">
        <f>AU17</f>
        <v>0</v>
      </c>
      <c r="F186" s="428"/>
      <c r="G186" s="428"/>
      <c r="H186" s="428"/>
      <c r="I186" s="428"/>
      <c r="J186" s="428"/>
      <c r="K186" s="429"/>
      <c r="L186" s="327">
        <f>IF($AK180=0,AF238,AF220)</f>
        <v>0</v>
      </c>
      <c r="M186" s="328"/>
      <c r="N186" s="328"/>
      <c r="O186" s="328"/>
      <c r="P186" s="328"/>
      <c r="Q186" s="363"/>
      <c r="R186" s="327">
        <f>IF($AK180=0,AG238,AG220)</f>
        <v>0</v>
      </c>
      <c r="S186" s="328"/>
      <c r="T186" s="328"/>
      <c r="U186" s="328"/>
      <c r="V186" s="328"/>
      <c r="W186" s="327">
        <f>AQ198</f>
        <v>0</v>
      </c>
      <c r="X186" s="328"/>
      <c r="Y186" s="328"/>
      <c r="Z186" s="300">
        <f>IF(AF232&gt;0,(AQ198/AF232),0)</f>
        <v>0</v>
      </c>
      <c r="AA186" s="301"/>
      <c r="AB186" s="301"/>
      <c r="AC186" s="304">
        <f>IF(AF246=0,0,(AF238/AF246))</f>
        <v>0</v>
      </c>
      <c r="AD186" s="305"/>
      <c r="AE186" s="306"/>
      <c r="AF186" s="310"/>
      <c r="AG186" s="310"/>
      <c r="AH186" s="312"/>
      <c r="AI186" s="313"/>
      <c r="AJ186" s="8"/>
      <c r="AK186" s="52"/>
      <c r="AL186" s="52"/>
      <c r="AM186" s="52"/>
      <c r="AN186" s="52"/>
      <c r="AO186" s="52"/>
      <c r="AP186" s="52"/>
      <c r="AQ186" s="8"/>
      <c r="AR186" s="3"/>
    </row>
    <row r="187" spans="1:44" ht="18.75" customHeight="1" thickBot="1" x14ac:dyDescent="0.25">
      <c r="A187" s="321"/>
      <c r="B187" s="316" t="s">
        <v>11</v>
      </c>
      <c r="C187" s="317"/>
      <c r="D187" s="317"/>
      <c r="E187" s="430">
        <f>AV17</f>
        <v>0</v>
      </c>
      <c r="F187" s="431"/>
      <c r="G187" s="431"/>
      <c r="H187" s="431"/>
      <c r="I187" s="431"/>
      <c r="J187" s="431"/>
      <c r="K187" s="431"/>
      <c r="L187" s="329"/>
      <c r="M187" s="330"/>
      <c r="N187" s="330"/>
      <c r="O187" s="330"/>
      <c r="P187" s="330"/>
      <c r="Q187" s="363"/>
      <c r="R187" s="329"/>
      <c r="S187" s="330"/>
      <c r="T187" s="330"/>
      <c r="U187" s="330"/>
      <c r="V187" s="330"/>
      <c r="W187" s="329"/>
      <c r="X187" s="330"/>
      <c r="Y187" s="330"/>
      <c r="Z187" s="302"/>
      <c r="AA187" s="303"/>
      <c r="AB187" s="303"/>
      <c r="AC187" s="307"/>
      <c r="AD187" s="308"/>
      <c r="AE187" s="309"/>
      <c r="AF187" s="311"/>
      <c r="AG187" s="311"/>
      <c r="AH187" s="314"/>
      <c r="AI187" s="315"/>
      <c r="AJ187" s="8"/>
      <c r="AK187" s="52"/>
      <c r="AL187" s="52"/>
      <c r="AM187" s="52"/>
      <c r="AN187" s="52"/>
      <c r="AO187" s="52"/>
      <c r="AP187" s="52"/>
      <c r="AQ187" s="8"/>
      <c r="AR187" s="3"/>
    </row>
    <row r="188" spans="1:44" ht="21" customHeight="1" thickTop="1" thickBot="1" x14ac:dyDescent="0.25">
      <c r="A188" s="55"/>
      <c r="B188" s="297" t="s">
        <v>207</v>
      </c>
      <c r="C188" s="298"/>
      <c r="D188" s="298"/>
      <c r="E188" s="298"/>
      <c r="F188" s="298"/>
      <c r="G188" s="298"/>
      <c r="H188" s="298"/>
      <c r="I188" s="298"/>
      <c r="J188" s="298"/>
      <c r="K188" s="298"/>
      <c r="L188" s="298"/>
      <c r="M188" s="298"/>
      <c r="N188" s="298"/>
      <c r="O188" s="298"/>
      <c r="P188" s="298"/>
      <c r="Q188" s="298"/>
      <c r="R188" s="298"/>
      <c r="S188" s="298"/>
      <c r="T188" s="298"/>
      <c r="U188" s="298"/>
      <c r="V188" s="298"/>
      <c r="W188" s="298"/>
      <c r="X188" s="298"/>
      <c r="Y188" s="298"/>
      <c r="Z188" s="298"/>
      <c r="AA188" s="298"/>
      <c r="AB188" s="298"/>
      <c r="AC188" s="298"/>
      <c r="AD188" s="298"/>
      <c r="AE188" s="298"/>
      <c r="AF188" s="298"/>
      <c r="AG188" s="298"/>
      <c r="AH188" s="298"/>
      <c r="AI188" s="299"/>
      <c r="AJ188" s="8"/>
      <c r="AK188" s="52"/>
      <c r="AL188" s="52"/>
      <c r="AM188" s="52"/>
      <c r="AN188" s="52"/>
      <c r="AO188" s="52"/>
      <c r="AP188" s="52"/>
      <c r="AQ188" s="8"/>
      <c r="AR188" s="3"/>
    </row>
    <row r="189" spans="1:44" ht="13.5" thickTop="1" x14ac:dyDescent="0.2">
      <c r="A189" s="4" t="s">
        <v>60</v>
      </c>
      <c r="B189" s="286">
        <v>0.35416666666666669</v>
      </c>
      <c r="C189" s="287"/>
      <c r="D189" s="288"/>
      <c r="E189" s="286">
        <v>0.39583333333333331</v>
      </c>
      <c r="F189" s="287"/>
      <c r="G189" s="288"/>
      <c r="H189" s="286">
        <v>0.4375</v>
      </c>
      <c r="I189" s="287"/>
      <c r="J189" s="288"/>
      <c r="K189" s="286">
        <v>0.47916666666666669</v>
      </c>
      <c r="L189" s="287"/>
      <c r="M189" s="288"/>
      <c r="N189" s="286">
        <v>0.52083333333333337</v>
      </c>
      <c r="O189" s="287"/>
      <c r="P189" s="288"/>
      <c r="Q189" s="286">
        <v>6.25E-2</v>
      </c>
      <c r="R189" s="287"/>
      <c r="S189" s="288"/>
      <c r="T189" s="286"/>
      <c r="U189" s="287"/>
      <c r="V189" s="288"/>
      <c r="W189" s="286"/>
      <c r="X189" s="287"/>
      <c r="Y189" s="288"/>
      <c r="Z189" s="286"/>
      <c r="AA189" s="287"/>
      <c r="AB189" s="288"/>
      <c r="AC189" s="286"/>
      <c r="AD189" s="287"/>
      <c r="AE189" s="288"/>
      <c r="AF189" s="289" t="s">
        <v>61</v>
      </c>
      <c r="AG189" s="290"/>
      <c r="AH189" s="290"/>
      <c r="AI189" s="290"/>
      <c r="AJ189" s="291"/>
      <c r="AK189" s="291"/>
      <c r="AL189" s="291"/>
      <c r="AM189" s="291"/>
      <c r="AN189" s="291"/>
      <c r="AO189" s="291"/>
      <c r="AP189" s="291"/>
      <c r="AQ189" s="292"/>
    </row>
    <row r="190" spans="1:44" x14ac:dyDescent="0.2">
      <c r="A190" s="56" t="s">
        <v>62</v>
      </c>
      <c r="B190" s="283"/>
      <c r="C190" s="284"/>
      <c r="D190" s="285"/>
      <c r="E190" s="283"/>
      <c r="F190" s="284"/>
      <c r="G190" s="285"/>
      <c r="H190" s="283"/>
      <c r="I190" s="284"/>
      <c r="J190" s="285"/>
      <c r="K190" s="283"/>
      <c r="L190" s="284"/>
      <c r="M190" s="285"/>
      <c r="N190" s="283"/>
      <c r="O190" s="284"/>
      <c r="P190" s="285"/>
      <c r="Q190" s="283"/>
      <c r="R190" s="284"/>
      <c r="S190" s="285"/>
      <c r="T190" s="283"/>
      <c r="U190" s="284"/>
      <c r="V190" s="285"/>
      <c r="W190" s="283"/>
      <c r="X190" s="284"/>
      <c r="Y190" s="285"/>
      <c r="Z190" s="283"/>
      <c r="AA190" s="284"/>
      <c r="AB190" s="285"/>
      <c r="AC190" s="283"/>
      <c r="AD190" s="284"/>
      <c r="AE190" s="285"/>
      <c r="AF190" s="289"/>
      <c r="AG190" s="290"/>
      <c r="AH190" s="290"/>
      <c r="AI190" s="290"/>
      <c r="AJ190" s="290"/>
      <c r="AK190" s="290"/>
      <c r="AL190" s="290"/>
      <c r="AM190" s="290"/>
      <c r="AN190" s="290"/>
      <c r="AO190" s="290"/>
      <c r="AP190" s="290"/>
      <c r="AQ190" s="293"/>
    </row>
    <row r="191" spans="1:44" x14ac:dyDescent="0.2">
      <c r="A191" s="56" t="s">
        <v>63</v>
      </c>
      <c r="B191" s="283"/>
      <c r="C191" s="284"/>
      <c r="D191" s="285"/>
      <c r="E191" s="283"/>
      <c r="F191" s="284"/>
      <c r="G191" s="285"/>
      <c r="H191" s="283"/>
      <c r="I191" s="284"/>
      <c r="J191" s="285"/>
      <c r="K191" s="283"/>
      <c r="L191" s="284"/>
      <c r="M191" s="285"/>
      <c r="N191" s="283"/>
      <c r="O191" s="284"/>
      <c r="P191" s="285"/>
      <c r="Q191" s="283"/>
      <c r="R191" s="284"/>
      <c r="S191" s="285"/>
      <c r="T191" s="283"/>
      <c r="U191" s="284"/>
      <c r="V191" s="285"/>
      <c r="W191" s="283"/>
      <c r="X191" s="284"/>
      <c r="Y191" s="285"/>
      <c r="Z191" s="283"/>
      <c r="AA191" s="284"/>
      <c r="AB191" s="285"/>
      <c r="AC191" s="283"/>
      <c r="AD191" s="284"/>
      <c r="AE191" s="285"/>
      <c r="AF191" s="289"/>
      <c r="AG191" s="290"/>
      <c r="AH191" s="290"/>
      <c r="AI191" s="290"/>
      <c r="AJ191" s="290"/>
      <c r="AK191" s="290"/>
      <c r="AL191" s="290"/>
      <c r="AM191" s="290"/>
      <c r="AN191" s="290"/>
      <c r="AO191" s="290"/>
      <c r="AP191" s="290"/>
      <c r="AQ191" s="293"/>
    </row>
    <row r="192" spans="1:44" ht="13.5" thickBot="1" x14ac:dyDescent="0.25">
      <c r="A192" s="8"/>
      <c r="B192" s="173" t="s">
        <v>64</v>
      </c>
      <c r="C192" s="174"/>
      <c r="D192" s="180"/>
      <c r="E192" s="173" t="str">
        <f>IF(AK178&gt;1,"Match 2","")</f>
        <v>Match 2</v>
      </c>
      <c r="F192" s="174"/>
      <c r="G192" s="180"/>
      <c r="H192" s="173" t="str">
        <f>IF(AK178&gt;2,"Match 3","")</f>
        <v>Match 3</v>
      </c>
      <c r="I192" s="174"/>
      <c r="J192" s="180"/>
      <c r="K192" s="173" t="str">
        <f>IF(AK178&gt;3,"Match 4","")</f>
        <v>Match 4</v>
      </c>
      <c r="L192" s="174"/>
      <c r="M192" s="180"/>
      <c r="N192" s="173" t="str">
        <f>IF(AK178&gt;4,"Match 5","")</f>
        <v>Match 5</v>
      </c>
      <c r="O192" s="174"/>
      <c r="P192" s="180"/>
      <c r="Q192" s="173" t="str">
        <f>IF(AK178&gt;5,"Match 6","")</f>
        <v>Match 6</v>
      </c>
      <c r="R192" s="174"/>
      <c r="S192" s="180"/>
      <c r="T192" s="173" t="str">
        <f>IF(AK178&gt;6,"Match 7","")</f>
        <v/>
      </c>
      <c r="U192" s="174"/>
      <c r="V192" s="180"/>
      <c r="W192" s="173" t="str">
        <f>IF(AK178&gt;7,"Match 8","")</f>
        <v/>
      </c>
      <c r="X192" s="174"/>
      <c r="Y192" s="180"/>
      <c r="Z192" s="173" t="str">
        <f>IF(AK178&gt;8,"Match 9","")</f>
        <v/>
      </c>
      <c r="AA192" s="174"/>
      <c r="AB192" s="180"/>
      <c r="AC192" s="173" t="str">
        <f>IF(AK178&gt;9,"Match 10","")</f>
        <v/>
      </c>
      <c r="AD192" s="174"/>
      <c r="AE192" s="180"/>
      <c r="AF192" s="294"/>
      <c r="AG192" s="295"/>
      <c r="AH192" s="295"/>
      <c r="AI192" s="295"/>
      <c r="AJ192" s="295"/>
      <c r="AK192" s="295"/>
      <c r="AL192" s="295"/>
      <c r="AM192" s="295"/>
      <c r="AN192" s="295"/>
      <c r="AO192" s="295"/>
      <c r="AP192" s="295"/>
      <c r="AQ192" s="296"/>
    </row>
    <row r="193" spans="1:49" ht="15.75" x14ac:dyDescent="0.25">
      <c r="A193" s="8"/>
      <c r="B193" s="277" t="s">
        <v>65</v>
      </c>
      <c r="C193" s="278"/>
      <c r="D193" s="279"/>
      <c r="E193" s="277" t="s">
        <v>66</v>
      </c>
      <c r="F193" s="278"/>
      <c r="G193" s="279"/>
      <c r="H193" s="277" t="s">
        <v>67</v>
      </c>
      <c r="I193" s="278"/>
      <c r="J193" s="279"/>
      <c r="K193" s="277" t="s">
        <v>68</v>
      </c>
      <c r="L193" s="278"/>
      <c r="M193" s="279"/>
      <c r="N193" s="277" t="s">
        <v>66</v>
      </c>
      <c r="O193" s="278"/>
      <c r="P193" s="279"/>
      <c r="Q193" s="277" t="s">
        <v>67</v>
      </c>
      <c r="R193" s="278"/>
      <c r="S193" s="279"/>
      <c r="T193" s="277"/>
      <c r="U193" s="278"/>
      <c r="V193" s="279"/>
      <c r="W193" s="277"/>
      <c r="X193" s="278"/>
      <c r="Y193" s="279"/>
      <c r="Z193" s="277"/>
      <c r="AA193" s="278"/>
      <c r="AB193" s="279"/>
      <c r="AC193" s="277"/>
      <c r="AD193" s="278"/>
      <c r="AE193" s="279"/>
      <c r="AF193" s="57" t="s">
        <v>70</v>
      </c>
      <c r="AG193" s="58">
        <v>1</v>
      </c>
      <c r="AH193" s="58">
        <v>2</v>
      </c>
      <c r="AI193" s="58">
        <v>3</v>
      </c>
      <c r="AJ193" s="58">
        <v>4</v>
      </c>
      <c r="AK193" s="58">
        <v>5</v>
      </c>
      <c r="AL193" s="58">
        <v>6</v>
      </c>
      <c r="AM193" s="58">
        <v>7</v>
      </c>
      <c r="AN193" s="58">
        <v>8</v>
      </c>
      <c r="AO193" s="58">
        <v>9</v>
      </c>
      <c r="AP193" s="58">
        <v>10</v>
      </c>
      <c r="AQ193" s="59" t="s">
        <v>71</v>
      </c>
    </row>
    <row r="194" spans="1:49" ht="15.75" x14ac:dyDescent="0.25">
      <c r="A194" s="8"/>
      <c r="B194" s="61">
        <v>2</v>
      </c>
      <c r="C194" s="62" t="s">
        <v>72</v>
      </c>
      <c r="D194" s="63">
        <v>3</v>
      </c>
      <c r="E194" s="61">
        <v>1</v>
      </c>
      <c r="F194" s="62" t="str">
        <f>IF(AK178&gt;1,"v","")</f>
        <v>v</v>
      </c>
      <c r="G194" s="63">
        <v>4</v>
      </c>
      <c r="H194" s="61">
        <v>2</v>
      </c>
      <c r="I194" s="62" t="str">
        <f>IF(AK178&gt;2,"v","")</f>
        <v>v</v>
      </c>
      <c r="J194" s="63">
        <v>4</v>
      </c>
      <c r="K194" s="61">
        <v>1</v>
      </c>
      <c r="L194" s="62" t="str">
        <f>IF(AK178&gt;3,"v","")</f>
        <v>v</v>
      </c>
      <c r="M194" s="63">
        <v>3</v>
      </c>
      <c r="N194" s="61">
        <v>3</v>
      </c>
      <c r="O194" s="62" t="str">
        <f>IF(AK178&gt;4,"v","")</f>
        <v>v</v>
      </c>
      <c r="P194" s="63">
        <v>4</v>
      </c>
      <c r="Q194" s="61">
        <v>1</v>
      </c>
      <c r="R194" s="62" t="str">
        <f>IF(AK178&gt;5,"v","")</f>
        <v>v</v>
      </c>
      <c r="S194" s="63">
        <v>2</v>
      </c>
      <c r="T194" s="61"/>
      <c r="U194" s="62" t="str">
        <f>IF(AK178&gt;6,"v","")</f>
        <v/>
      </c>
      <c r="V194" s="63"/>
      <c r="W194" s="61"/>
      <c r="X194" s="62" t="str">
        <f>IF(AK178&gt;7,"v","")</f>
        <v/>
      </c>
      <c r="Y194" s="63"/>
      <c r="Z194" s="61"/>
      <c r="AA194" s="62" t="str">
        <f>IF(AK178&gt;8,"v","")</f>
        <v/>
      </c>
      <c r="AB194" s="63"/>
      <c r="AC194" s="61"/>
      <c r="AD194" s="62" t="str">
        <f>IF(AK178&gt;9,"v","")</f>
        <v/>
      </c>
      <c r="AE194" s="63"/>
      <c r="AF194" s="57" t="str">
        <f>IF(AK179&gt;0,"Team 1","")</f>
        <v>Team 1</v>
      </c>
      <c r="AG194" s="64" t="str">
        <f>IF(AK179&lt;1,"",IF(AK178&lt;1,"",IF(B194=1,B200-D200,IF(D194=1,D200-B200,""))))</f>
        <v/>
      </c>
      <c r="AH194" s="64">
        <f>IF(AK179&lt;1,"",IF(AK178&lt;2,"",IF(E194=1,E200-G200,IF(G194=1,G200-E200,""))))</f>
        <v>-5</v>
      </c>
      <c r="AI194" s="64" t="str">
        <f>IF(AK179&lt;1,"",IF(AK178&lt;3,"",IF(H194=1,H200-J200,IF(J194=1,J200-H200,""))))</f>
        <v/>
      </c>
      <c r="AJ194" s="64">
        <f>IF(AK179&lt;1,"",IF(AK178&lt;4,"",IF(K194=1,K200-M200,IF(M194=1,M200-K200,""))))</f>
        <v>13</v>
      </c>
      <c r="AK194" s="64" t="str">
        <f>IF(AK179&lt;1,"",IF(AK178&lt;5,"",IF(N194=1,N200-P200,IF(P194=1,P200-N200,""))))</f>
        <v/>
      </c>
      <c r="AL194" s="64">
        <f>IF(AK179&lt;1,"",IF(AK178&lt;6,"",IF(Q194=1,Q200-S200,IF(S194=1,S200-Q200,""))))</f>
        <v>-6</v>
      </c>
      <c r="AM194" s="64" t="str">
        <f>IF(AK179&lt;1,"",IF(AK178&lt;7,"",IF(T194=1,T200-V200,IF(V194=1,V200-T200,""))))</f>
        <v/>
      </c>
      <c r="AN194" s="64" t="str">
        <f>IF(AK179&lt;1,"",IF(AK178&lt;8,"",IF(W194=1,W200-Y200,IF(Y194=1,Y200-W200,""))))</f>
        <v/>
      </c>
      <c r="AO194" s="64" t="str">
        <f>IF(AK179&lt;1,"",IF(AK178&lt;9,"",IF(Z194=1,Z200-AB200,IF(AB194=1,AB200-Z200,""))))</f>
        <v/>
      </c>
      <c r="AP194" s="64" t="str">
        <f>IF(AK179&lt;1,"",IF(AK178&lt;10,"",IF(AC194=1,AC200-AE200,IF(AE194=1,AE200-AC200,""))))</f>
        <v/>
      </c>
      <c r="AQ194" s="59">
        <f>SUM(AG194:AP194)</f>
        <v>2</v>
      </c>
    </row>
    <row r="195" spans="1:49" ht="15" x14ac:dyDescent="0.2">
      <c r="A195" s="4" t="s">
        <v>73</v>
      </c>
      <c r="B195" s="65">
        <v>23</v>
      </c>
      <c r="C195" s="66" t="s">
        <v>74</v>
      </c>
      <c r="D195" s="67">
        <v>25</v>
      </c>
      <c r="E195" s="65">
        <v>25</v>
      </c>
      <c r="F195" s="66" t="str">
        <f>IF(AK178&gt;1,"/","")</f>
        <v>/</v>
      </c>
      <c r="G195" s="67">
        <v>20</v>
      </c>
      <c r="H195" s="65">
        <v>23</v>
      </c>
      <c r="I195" s="66" t="str">
        <f>IF(AK178&gt;2,"/","")</f>
        <v>/</v>
      </c>
      <c r="J195" s="67">
        <v>25</v>
      </c>
      <c r="K195" s="65">
        <v>25</v>
      </c>
      <c r="L195" s="66" t="str">
        <f>IF(AK178&gt;3,"/","")</f>
        <v>/</v>
      </c>
      <c r="M195" s="67">
        <v>20</v>
      </c>
      <c r="N195" s="65">
        <v>25</v>
      </c>
      <c r="O195" s="66" t="str">
        <f>IF(AK178&gt;4,"/","")</f>
        <v>/</v>
      </c>
      <c r="P195" s="67">
        <v>21</v>
      </c>
      <c r="Q195" s="65">
        <v>25</v>
      </c>
      <c r="R195" s="66" t="str">
        <f>IF(AK178&gt;5,"/","")</f>
        <v>/</v>
      </c>
      <c r="S195" s="67">
        <v>20</v>
      </c>
      <c r="T195" s="65"/>
      <c r="U195" s="66" t="str">
        <f>IF(AK178&gt;6,"/","")</f>
        <v/>
      </c>
      <c r="V195" s="67"/>
      <c r="W195" s="65"/>
      <c r="X195" s="66" t="str">
        <f>IF(AK178&gt;7,"/","")</f>
        <v/>
      </c>
      <c r="Y195" s="67"/>
      <c r="Z195" s="65"/>
      <c r="AA195" s="66" t="str">
        <f>IF(AK178&gt;8,"/","")</f>
        <v/>
      </c>
      <c r="AB195" s="67"/>
      <c r="AC195" s="65"/>
      <c r="AD195" s="66" t="str">
        <f>IF(AK178&gt;9,"/","")</f>
        <v/>
      </c>
      <c r="AE195" s="67"/>
      <c r="AF195" s="57" t="str">
        <f>IF(AK179&gt;1,"Team 2","")</f>
        <v>Team 2</v>
      </c>
      <c r="AG195" s="64">
        <f>IF(AK179&lt;2,"",IF(AK178&lt;1,"",IF(B194=2,B200-D200,IF(D194=2,D200-B200,""))))</f>
        <v>7</v>
      </c>
      <c r="AH195" s="64" t="str">
        <f>IF(AK179&lt;2,"",IF(AK178&lt;2,"",IF(E194=2,E200-G200,IF(G194=2,G200-E200,""))))</f>
        <v/>
      </c>
      <c r="AI195" s="64">
        <f>IF(AK179&lt;2,"",IF(AK178&lt;3,"",IF(H194=2,H200-J200,IF(J194=2,J200-H200,""))))</f>
        <v>-13</v>
      </c>
      <c r="AJ195" s="64" t="str">
        <f>IF(AK179&lt;2,"",IF(AK178&lt;4,"",IF(K194=2,K200-M200,IF(M194=2,M200-K200,""))))</f>
        <v/>
      </c>
      <c r="AK195" s="64" t="str">
        <f>IF(AK179&lt;2,"",IF(AK178&lt;5,"",IF(N194=2,N200-P200,IF(P194=2,P200-N200,""))))</f>
        <v/>
      </c>
      <c r="AL195" s="64">
        <f>IF(AK179&lt;2,"",IF(AK178&lt;6,"",IF(Q194=2,Q200-S200,IF(S194=2,S200-Q200,""))))</f>
        <v>6</v>
      </c>
      <c r="AM195" s="64" t="str">
        <f>IF(AK179&lt;2,"",IF(AK178&lt;7,"",IF(T194=2,T200-V200,IF(V194=2,V200-T200,""))))</f>
        <v/>
      </c>
      <c r="AN195" s="64" t="str">
        <f>IF(AK179&lt;2,"",IF(AK178&lt;8,"",IF(W194=2,W200-Y200,IF(Y194=2,Y200-W200,""))))</f>
        <v/>
      </c>
      <c r="AO195" s="64" t="str">
        <f>IF(AK179&lt;2,"",IF(AK178&lt;9,"",IF(Z194=2,Z200-AB200,IF(AB194=2,AB200-Z200,""))))</f>
        <v/>
      </c>
      <c r="AP195" s="64" t="str">
        <f>IF(AK179&lt;2,"",IF(AK178&lt;10,"",IF(AC194=2,AC200-AE200,IF(AE194=2,AE200-AC200,""))))</f>
        <v/>
      </c>
      <c r="AQ195" s="59">
        <f>SUM(AG195:AP195)</f>
        <v>0</v>
      </c>
    </row>
    <row r="196" spans="1:49" ht="15" x14ac:dyDescent="0.2">
      <c r="A196" s="3" t="str">
        <f>IF(AK177&gt;1,"Game 2","")</f>
        <v>Game 2</v>
      </c>
      <c r="B196" s="65">
        <v>25</v>
      </c>
      <c r="C196" s="66" t="s">
        <v>74</v>
      </c>
      <c r="D196" s="67">
        <v>19</v>
      </c>
      <c r="E196" s="65">
        <v>13</v>
      </c>
      <c r="F196" s="66" t="str">
        <f>IF(AK178&gt;1,IF(AK177&gt;1,"/",""),"")</f>
        <v>/</v>
      </c>
      <c r="G196" s="67">
        <v>25</v>
      </c>
      <c r="H196" s="65">
        <v>14</v>
      </c>
      <c r="I196" s="66" t="str">
        <f>IF(AK178&gt;2,IF(AK177&gt;1,"/",""),"")</f>
        <v>/</v>
      </c>
      <c r="J196" s="67">
        <v>25</v>
      </c>
      <c r="K196" s="65">
        <v>25</v>
      </c>
      <c r="L196" s="66" t="str">
        <f>IF(AK178&gt;3,IF(AK177&gt;1,"/",""),"")</f>
        <v>/</v>
      </c>
      <c r="M196" s="67">
        <v>17</v>
      </c>
      <c r="N196" s="65">
        <v>11</v>
      </c>
      <c r="O196" s="66" t="str">
        <f>IF(AK178&gt;4,IF(AK177&gt;1,"/",""),"")</f>
        <v>/</v>
      </c>
      <c r="P196" s="67">
        <v>25</v>
      </c>
      <c r="Q196" s="65">
        <v>21</v>
      </c>
      <c r="R196" s="66" t="str">
        <f>IF(AK178&gt;5,IF(AK177&gt;1,"/",""),"")</f>
        <v>/</v>
      </c>
      <c r="S196" s="67">
        <v>25</v>
      </c>
      <c r="T196" s="65"/>
      <c r="U196" s="66" t="str">
        <f>IF(AK178&gt;6,IF(AK177&gt;1,"/",""),"")</f>
        <v/>
      </c>
      <c r="V196" s="67"/>
      <c r="W196" s="65"/>
      <c r="X196" s="66" t="str">
        <f>IF(AK178&gt;7,IF(AK177&gt;1,"/",""),"")</f>
        <v/>
      </c>
      <c r="Y196" s="67"/>
      <c r="Z196" s="65"/>
      <c r="AA196" s="66" t="str">
        <f>IF(AK178&gt;8,IF(AK177&gt;1,"/",""),"")</f>
        <v/>
      </c>
      <c r="AB196" s="67"/>
      <c r="AC196" s="65"/>
      <c r="AD196" s="66" t="str">
        <f>IF(AK178&gt;9,IF(AK177&gt;1,"/",""),"")</f>
        <v/>
      </c>
      <c r="AE196" s="67"/>
      <c r="AF196" s="57" t="str">
        <f>IF(AK179&gt;2,"Team 3","")</f>
        <v>Team 3</v>
      </c>
      <c r="AG196" s="64">
        <f>IF(AK179&lt;3,"",IF(AK178&lt;1,"",IF(B194=3,B200-D200,IF(D194=3,D200-B200,""))))</f>
        <v>-7</v>
      </c>
      <c r="AH196" s="64" t="str">
        <f>IF(AK179&lt;3,"",IF(AK178&lt;2,"",IF(E194=3,E200-G200,IF(G194=3,G200-E200,""))))</f>
        <v/>
      </c>
      <c r="AI196" s="64" t="str">
        <f>IF(AK179&lt;3,"",IF(AK178&lt;3,"",IF(H194=3,H200-J200,IF(J194=3,J200-H200,""))))</f>
        <v/>
      </c>
      <c r="AJ196" s="64">
        <f>IF(AK179&lt;3,"",IF(AK178&lt;4,"",IF(K194=3,K200-M200,IF(M194=3,M200-K200,""))))</f>
        <v>-13</v>
      </c>
      <c r="AK196" s="64">
        <f>IF(AK179&lt;3,"",IF(AK178&lt;5,"",IF(N194=3,N200-P200,IF(P194=3,P200-N200,""))))</f>
        <v>-22</v>
      </c>
      <c r="AL196" s="64" t="str">
        <f>IF(AK179&lt;3,"",IF(AK178&lt;6,"",IF(Q194=3,Q200-S200,IF(S194=3,S200-Q200,""))))</f>
        <v/>
      </c>
      <c r="AM196" s="64" t="str">
        <f>IF(AK179&lt;3,"",IF(AK178&lt;7,"",IF(T194=3,T200-V200,IF(V194=3,V200-T200,""))))</f>
        <v/>
      </c>
      <c r="AN196" s="64" t="str">
        <f>IF(AK179&lt;3,"",IF(AK178&lt;8,"",IF(W194=3,W200-Y200,IF(Y194=3,Y200-W200,""))))</f>
        <v/>
      </c>
      <c r="AO196" s="64" t="str">
        <f>IF(AK179&lt;3,"",IF(AK178&lt;9,"",IF(Z194=3,Z200-AB200,IF(AB194=3,AB200-Z200,""))))</f>
        <v/>
      </c>
      <c r="AP196" s="64" t="str">
        <f>IF(AK179&lt;3,"",IF(AK178&lt;9,"",IF(AC194=3,AC200-AE200,IF(AE194=3,AE200-AC200,""))))</f>
        <v/>
      </c>
      <c r="AQ196" s="59">
        <f>SUM(AG196:AP196)</f>
        <v>-42</v>
      </c>
    </row>
    <row r="197" spans="1:49" ht="15" x14ac:dyDescent="0.2">
      <c r="A197" s="3" t="str">
        <f>IF(AK177&gt;2,"Game 3","")</f>
        <v>Game 3</v>
      </c>
      <c r="B197" s="65">
        <v>15</v>
      </c>
      <c r="C197" s="66" t="s">
        <v>74</v>
      </c>
      <c r="D197" s="67">
        <v>12</v>
      </c>
      <c r="E197" s="65">
        <v>15</v>
      </c>
      <c r="F197" s="66" t="str">
        <f>IF(AK178&gt;1,IF(AK177&gt;2,"/",""),"")</f>
        <v>/</v>
      </c>
      <c r="G197" s="67">
        <v>13</v>
      </c>
      <c r="H197" s="65"/>
      <c r="I197" s="66" t="str">
        <f>IF(AK178&gt;2,IF(AK177&gt;2,"/",""),"")</f>
        <v>/</v>
      </c>
      <c r="J197" s="67"/>
      <c r="K197" s="65"/>
      <c r="L197" s="66" t="str">
        <f>IF(AK178&gt;3,IF(AK177&gt;2,"/",""),"")</f>
        <v>/</v>
      </c>
      <c r="M197" s="67"/>
      <c r="N197" s="65">
        <v>3</v>
      </c>
      <c r="O197" s="66" t="str">
        <f>IF(AK178&gt;4,IF(AK177&gt;2,"/",""),"")</f>
        <v>/</v>
      </c>
      <c r="P197" s="67">
        <v>15</v>
      </c>
      <c r="Q197" s="65">
        <v>8</v>
      </c>
      <c r="R197" s="66" t="str">
        <f>IF(AK178&gt;5,IF(AK177&gt;2,"/",""),"")</f>
        <v>/</v>
      </c>
      <c r="S197" s="67">
        <v>15</v>
      </c>
      <c r="T197" s="65"/>
      <c r="U197" s="66" t="str">
        <f>IF(AK178&gt;6,IF(AK177&gt;2,"/",""),"")</f>
        <v/>
      </c>
      <c r="V197" s="67"/>
      <c r="W197" s="65"/>
      <c r="X197" s="66" t="str">
        <f>IF(AK178&gt;7,IF(AK177&gt;2,"/",""),"")</f>
        <v/>
      </c>
      <c r="Y197" s="67"/>
      <c r="Z197" s="65"/>
      <c r="AA197" s="66" t="str">
        <f>IF(AK178&gt;8,IF(AK177&gt;2,"/",""),"")</f>
        <v/>
      </c>
      <c r="AB197" s="67"/>
      <c r="AC197" s="65"/>
      <c r="AD197" s="66" t="str">
        <f>IF(AK178&gt;9,IF(AK177&gt;2,"/",""),"")</f>
        <v/>
      </c>
      <c r="AE197" s="67"/>
      <c r="AF197" s="57" t="str">
        <f>IF(AK179&gt;3,"Team 4","")</f>
        <v>Team 4</v>
      </c>
      <c r="AG197" s="64" t="str">
        <f>IF(AK179&lt;4,"",IF(AK178&lt;1,"",IF(B194=4,B200-D200,IF(D194=4,D200-B200,""))))</f>
        <v/>
      </c>
      <c r="AH197" s="64">
        <f>IF(AK179&lt;4,"",IF(AK178&lt;2,"",IF(E194=4,E200-G200,IF(G194=4,G200-E200,""))))</f>
        <v>5</v>
      </c>
      <c r="AI197" s="64">
        <f>IF(AK179&lt;4,"",IF(AK178&lt;3,"",IF(H194=4,H200-J200,IF(J194=4,J200-H200,""))))</f>
        <v>13</v>
      </c>
      <c r="AJ197" s="64" t="str">
        <f>IF(AK179&lt;4,"",IF(AK178&lt;4,"",IF(K194=4,K200-M200,IF(M194=4,M200-K200,""))))</f>
        <v/>
      </c>
      <c r="AK197" s="64">
        <f>IF(AK179&lt;4,"",IF(AK178&lt;5,"",IF(N194=4,N200-P200,IF(P194=4,P200-N200,""))))</f>
        <v>22</v>
      </c>
      <c r="AL197" s="64" t="str">
        <f>IF(AK179&lt;4,"",IF(AK178&lt;6,"",IF(Q194=4,Q200-S200,IF(S194=4,S200-Q200,""))))</f>
        <v/>
      </c>
      <c r="AM197" s="64" t="str">
        <f>IF(AK179&lt;4,"",IF(AK178&lt;7,"",IF(T194=4,T200-V200,IF(V194=4,V200-T200,""))))</f>
        <v/>
      </c>
      <c r="AN197" s="64" t="str">
        <f>IF(AK179&lt;4,"",IF(AK178&lt;8,"",IF(W194=4,W200-Y200,IF(Y194=4,Y200-W200,""))))</f>
        <v/>
      </c>
      <c r="AO197" s="64" t="str">
        <f>IF(AK179&lt;4,"",IF(AK178&lt;9,"",IF(Z194=4,Z200-AB200,IF(AB194=4,AB200-Z200,""))))</f>
        <v/>
      </c>
      <c r="AP197" s="64" t="str">
        <f>IF(AK179&lt;4,"",IF(AK178&lt;10,"",IF(AC194=4,AC200-AE200,IF(AE194=4,AE200-AC200,""))))</f>
        <v/>
      </c>
      <c r="AQ197" s="59">
        <f>SUM(AG197:AP197)</f>
        <v>40</v>
      </c>
    </row>
    <row r="198" spans="1:49" ht="15" x14ac:dyDescent="0.2">
      <c r="A198" s="3" t="str">
        <f>IF(AK177&gt;3,"Game 4","")</f>
        <v/>
      </c>
      <c r="B198" s="65"/>
      <c r="C198" s="66" t="s">
        <v>74</v>
      </c>
      <c r="D198" s="67"/>
      <c r="E198" s="65"/>
      <c r="F198" s="66" t="str">
        <f>IF(AK178&gt;1,IF(AK177&gt;3,"/",""),"")</f>
        <v/>
      </c>
      <c r="G198" s="67"/>
      <c r="H198" s="65"/>
      <c r="I198" s="66" t="str">
        <f>IF(AK178&gt;2,IF(AK177&gt;3,"/",""),"")</f>
        <v/>
      </c>
      <c r="J198" s="67"/>
      <c r="K198" s="65"/>
      <c r="L198" s="66" t="str">
        <f>IF(AK178&gt;3,IF(AK177&gt;3,"/",""),"")</f>
        <v/>
      </c>
      <c r="M198" s="67"/>
      <c r="N198" s="65"/>
      <c r="O198" s="66" t="str">
        <f>IF(AK178&gt;4,IF(AK177&gt;3,"/",""),"")</f>
        <v/>
      </c>
      <c r="P198" s="67"/>
      <c r="Q198" s="65"/>
      <c r="R198" s="66" t="str">
        <f>IF(AK178&gt;5,IF(AK177&gt;3,"/",""),"")</f>
        <v/>
      </c>
      <c r="S198" s="67"/>
      <c r="T198" s="65"/>
      <c r="U198" s="66" t="str">
        <f>IF(AK178&gt;6,IF(AK177&gt;3,"/",""),"")</f>
        <v/>
      </c>
      <c r="V198" s="67"/>
      <c r="W198" s="65"/>
      <c r="X198" s="66" t="str">
        <f>IF(AK178&gt;7,IF(AK177&gt;3,"/",""),"")</f>
        <v/>
      </c>
      <c r="Y198" s="67"/>
      <c r="Z198" s="65"/>
      <c r="AA198" s="66" t="str">
        <f>IF(AK178&gt;8,IF(AK177&gt;3,"/",""),"")</f>
        <v/>
      </c>
      <c r="AB198" s="67"/>
      <c r="AC198" s="65"/>
      <c r="AD198" s="66" t="str">
        <f>IF(AK178&gt;9,IF(AK177&gt;3,"/",""),"")</f>
        <v/>
      </c>
      <c r="AE198" s="67"/>
      <c r="AF198" s="57" t="str">
        <f>IF(AK179&gt;4,"Team 5","")</f>
        <v/>
      </c>
      <c r="AG198" s="68" t="str">
        <f>IF(AK179&lt;5,"",IF(AK178&lt;1,"",IF(B194=5,B200-D200,IF(D194=5,D200-B200,""))))</f>
        <v/>
      </c>
      <c r="AH198" s="64" t="str">
        <f>IF(AK179&lt;5,"",IF(AK178&lt;2,"",IF(E194=5,E200-G200,IF(G194=5,G200-E200,""))))</f>
        <v/>
      </c>
      <c r="AI198" s="64" t="str">
        <f>IF(AK179&lt;5,"",IF(AK178&lt;3,"",IF(H194=5,H200-J200,IF(J194=5,J200-H200,""))))</f>
        <v/>
      </c>
      <c r="AJ198" s="64" t="str">
        <f>IF(AK179&lt;5,"",IF(AK178&lt;4,"",IF(K194=5,K200-M200,IF(M194=5,M200-K200,""))))</f>
        <v/>
      </c>
      <c r="AK198" s="64" t="str">
        <f>IF(AK179&lt;5,"",IF(AK178&lt;5,"",IF(N194=5,N200-P200,IF(P194=5,P200-N200,""))))</f>
        <v/>
      </c>
      <c r="AL198" s="64" t="str">
        <f>IF(AK179&lt;5,"",IF(AK178&lt;6,"",IF(Q194=5,Q200-S200,IF(S194=5,S200-Q200,""))))</f>
        <v/>
      </c>
      <c r="AM198" s="64" t="str">
        <f>IF(AK179&lt;5,"",IF(AK178&lt;7,"",IF(T194=5,T200-V200,IF(V194=5,V200-T200,""))))</f>
        <v/>
      </c>
      <c r="AN198" s="64" t="str">
        <f>IF(AK179&lt;5,"",IF(AK178&lt;8,"",IF(W194=5,W200-Y200,IF(Y194=5,Y200-W200,""))))</f>
        <v/>
      </c>
      <c r="AO198" s="64" t="str">
        <f>IF(AK179&lt;5,"",IF(AK178&lt;9,"",IF(Z194=5,Z200-AB200,IF(AB194=5,AB200-Z200,""))))</f>
        <v/>
      </c>
      <c r="AP198" s="64" t="str">
        <f>IF(AK179&lt;5,"",IF(AK178&lt;10,"",IF(AC194=5,AC200-AE200,IF(AE194=5,AE200-AC200,""))))</f>
        <v/>
      </c>
      <c r="AQ198" s="59">
        <f>SUM(AG198:AP198)</f>
        <v>0</v>
      </c>
    </row>
    <row r="199" spans="1:49" ht="15" x14ac:dyDescent="0.2">
      <c r="A199" s="3" t="str">
        <f>IF(AK177&gt;4,"Game 5","")</f>
        <v/>
      </c>
      <c r="B199" s="65"/>
      <c r="C199" s="66" t="s">
        <v>74</v>
      </c>
      <c r="D199" s="67"/>
      <c r="E199" s="65"/>
      <c r="F199" s="66" t="str">
        <f>IF(AK178&gt;1,IF(AK177&gt;4,"/",""),"")</f>
        <v/>
      </c>
      <c r="G199" s="67"/>
      <c r="H199" s="65"/>
      <c r="I199" s="66" t="str">
        <f>IF(AK178&gt;2,IF(AK177&gt;4,"/",""),"")</f>
        <v/>
      </c>
      <c r="J199" s="67"/>
      <c r="K199" s="65"/>
      <c r="L199" s="66" t="str">
        <f>IF(AK178&gt;3,IF(AK177&gt;4,"/",""),"")</f>
        <v/>
      </c>
      <c r="M199" s="67"/>
      <c r="N199" s="65"/>
      <c r="O199" s="66" t="str">
        <f>IF(AK178&gt;4,IF(AK177&gt;4,"/",""),"")</f>
        <v/>
      </c>
      <c r="P199" s="67"/>
      <c r="Q199" s="65"/>
      <c r="R199" s="66" t="str">
        <f>IF(AK178&gt;5,IF(AK177&gt;4,"/",""),"")</f>
        <v/>
      </c>
      <c r="S199" s="67"/>
      <c r="T199" s="65"/>
      <c r="U199" s="66" t="str">
        <f>IF(AK178&gt;6,IF(AK177&gt;4,"/",""),"")</f>
        <v/>
      </c>
      <c r="V199" s="67"/>
      <c r="W199" s="65"/>
      <c r="X199" s="66" t="str">
        <f>IF(AK178&gt;7,IF(AK177&gt;4,"/",""),"")</f>
        <v/>
      </c>
      <c r="Y199" s="67"/>
      <c r="Z199" s="65"/>
      <c r="AA199" s="66" t="str">
        <f>IF(AK178&gt;8,IF(AK177&gt;4,"/",""),"")</f>
        <v/>
      </c>
      <c r="AB199" s="67"/>
      <c r="AC199" s="65"/>
      <c r="AD199" s="66" t="str">
        <f>IF(AK178&gt;9,IF(AK177&gt;4,"/",""),"")</f>
        <v/>
      </c>
      <c r="AE199" s="67"/>
      <c r="AF199" s="8"/>
      <c r="AG199" s="8"/>
      <c r="AH199" s="8"/>
      <c r="AI199" s="8"/>
      <c r="AJ199" s="8"/>
      <c r="AK199" s="8"/>
      <c r="AL199" s="8"/>
      <c r="AM199" s="8"/>
      <c r="AN199" s="8"/>
      <c r="AO199" s="8"/>
      <c r="AP199" s="8"/>
      <c r="AQ199" s="8"/>
    </row>
    <row r="200" spans="1:49" hidden="1" x14ac:dyDescent="0.2">
      <c r="A200" s="69"/>
      <c r="B200" s="69">
        <f>IF($AK177=5,SUM(B195:B199),IF($AK177=4,SUM(B195:B198),IF($AK177=3,SUM(B195:B197),IF($AK177=2,SUM(B195:B196),B195))))</f>
        <v>63</v>
      </c>
      <c r="C200" s="69"/>
      <c r="D200" s="69">
        <f>IF($AK177=5,SUM(D195:D199),IF($AK177=4,SUM(D195:D198),IF($AK177=3,SUM(D195:D197),IF($AK177=2,SUM(D195:D196),D195))))</f>
        <v>56</v>
      </c>
      <c r="E200" s="69">
        <f>IF($AK177=5,SUM(E195:E199),IF($AK177=4,SUM(E195:E198),IF($AK177=3,SUM(E195:E197),IF($AK177=2,SUM(E195:E196),E195))))</f>
        <v>53</v>
      </c>
      <c r="F200" s="69"/>
      <c r="G200" s="69">
        <f>IF($AK177=5,SUM(G195:G199),IF($AK177=4,SUM(G195:G198),IF($AK177=3,SUM(G195:G197),IF($AK177=2,SUM(G195:G196),G195))))</f>
        <v>58</v>
      </c>
      <c r="H200" s="69">
        <f>IF($AK177=5,SUM(H195:H199),IF($AK177=4,SUM(H195:H198),IF($AK177=3,SUM(H195:H197),IF($AK177=2,SUM(H195:H196),H195))))</f>
        <v>37</v>
      </c>
      <c r="I200" s="69"/>
      <c r="J200" s="69">
        <f>IF($AK177=5,SUM(J195:J199),IF($AK177=4,SUM(J195:J198),IF($AK177=3,SUM(J195:J197),IF($AK177=2,SUM(J195:J196),J195))))</f>
        <v>50</v>
      </c>
      <c r="K200" s="69">
        <f>IF($AK177=5,SUM(K195:K199),IF($AK177=4,SUM(K195:K198),IF($AK177=3,SUM(K195:K197),IF($AK177=2,SUM(K195:K196),K195))))</f>
        <v>50</v>
      </c>
      <c r="L200" s="69"/>
      <c r="M200" s="69">
        <f>IF($AK177=5,SUM(M195:M199),IF($AK177=4,SUM(M195:M198),IF($AK177=3,SUM(M195:M197),IF($AK177=2,SUM(M195:M196),M195))))</f>
        <v>37</v>
      </c>
      <c r="N200" s="69">
        <f>IF($AK177=5,SUM(N195:N199),IF($AK177=4,SUM(N195:N198),IF($AK177=3,SUM(N195:N197),IF($AK177=2,SUM(N195:N196),N195))))</f>
        <v>39</v>
      </c>
      <c r="O200" s="69"/>
      <c r="P200" s="69">
        <f>IF($AK177=5,SUM(P195:P199),IF($AK177=4,SUM(P195:P198),IF($AK177=3,SUM(P195:P197),IF($AK177=2,SUM(P195:P196),P195))))</f>
        <v>61</v>
      </c>
      <c r="Q200" s="69">
        <f>IF($AK177=5,SUM(Q195:Q199),IF($AK177=4,SUM(Q195:Q198),IF($AK177=3,SUM(Q195:Q197),IF($AK177=2,SUM(Q195:Q196),Q195))))</f>
        <v>54</v>
      </c>
      <c r="R200" s="69"/>
      <c r="S200" s="69">
        <f>IF($AK177=5,SUM(S195:S199),IF($AK177=4,SUM(S195:S198),IF($AK177=3,SUM(S195:S197),IF($AK177=2,SUM(S195:S196),S195))))</f>
        <v>60</v>
      </c>
      <c r="T200" s="69">
        <f>IF($AK177=5,SUM(T195:T199),IF($AK177=4,SUM(T195:T198),IF($AK177=3,SUM(T195:T197),IF($AK177=2,SUM(T195:T196),T195))))</f>
        <v>0</v>
      </c>
      <c r="U200" s="69"/>
      <c r="V200" s="69">
        <f>IF($AK177=5,SUM(V195:V199),IF($AK177=4,SUM(V195:V198),IF($AK177=3,SUM(V195:V197),IF($AK177=2,SUM(V195:V196),V195))))</f>
        <v>0</v>
      </c>
      <c r="W200" s="69">
        <f>IF($AK177=5,SUM(W195:W199),IF($AK177=4,SUM(W195:W198),IF($AK177=3,SUM(W195:W197),IF($AK177=2,SUM(W195:W196),W195))))</f>
        <v>0</v>
      </c>
      <c r="X200" s="69"/>
      <c r="Y200" s="69">
        <f>IF($AK177=5,SUM(Y195:Y199),IF($AK177=4,SUM(Y195:Y198),IF($AK177=3,SUM(Y195:Y197),IF($AK177=2,SUM(Y195:Y196),Y195))))</f>
        <v>0</v>
      </c>
      <c r="Z200" s="69">
        <f>IF($AK177=5,SUM(Z195:Z199),IF($AK177=4,SUM(Z195:Z198),IF($AK177=3,SUM(Z195:Z197),IF($AK177=2,SUM(Z195:Z196),Z195))))</f>
        <v>0</v>
      </c>
      <c r="AA200" s="69"/>
      <c r="AB200" s="69">
        <f>IF($AK177=5,SUM(AB195:AB199),IF($AK177=4,SUM(AB195:AB198),IF($AK177=3,SUM(AB195:AB197),IF($AK177=2,SUM(AB195:AB196),AB195))))</f>
        <v>0</v>
      </c>
      <c r="AC200" s="69">
        <f>IF($AK177=5,SUM(AC195:AC199),IF($AK177=4,SUM(AC195:AC198),IF($AK177=3,SUM(AC195:AC197),IF($AK177=2,SUM(AC195:AC196),AC195))))</f>
        <v>0</v>
      </c>
      <c r="AD200" s="69"/>
      <c r="AE200" s="69">
        <f>IF($AK177=5,SUM(AE195:AE199),IF($AK177=4,SUM(AE195:AE198),IF($AK177=3,SUM(AE195:AE197),IF($AK177=2,SUM(AE195:AE196),AE195))))</f>
        <v>0</v>
      </c>
      <c r="AF200" s="8"/>
      <c r="AG200" s="8"/>
      <c r="AH200" s="8"/>
      <c r="AI200" s="8"/>
      <c r="AJ200" s="8"/>
      <c r="AK200" s="8"/>
      <c r="AL200" s="8"/>
      <c r="AM200" s="8"/>
      <c r="AN200" s="8"/>
      <c r="AO200" s="8"/>
      <c r="AP200" s="8"/>
      <c r="AQ200" s="8"/>
    </row>
    <row r="201" spans="1:49" s="70" customFormat="1" ht="12.75" hidden="1" customHeight="1" x14ac:dyDescent="0.2">
      <c r="A201" s="70" t="s">
        <v>75</v>
      </c>
      <c r="B201" s="71">
        <f>IF(AND(B195&gt;D195,$AK178&gt;0,ISNUMBER(B195),ISNUMBER(D195)),1,0)</f>
        <v>0</v>
      </c>
      <c r="C201" s="71"/>
      <c r="D201" s="72">
        <f>IF(AND(D195&gt;B195,$AK178&gt;0,ISNUMBER(B195),ISNUMBER(D195)),1,0)</f>
        <v>1</v>
      </c>
      <c r="E201" s="71">
        <f>IF(AND(E195&gt;G195,$AK178&gt;1,ISNUMBER(E195),ISNUMBER(G195)),1,0)</f>
        <v>1</v>
      </c>
      <c r="F201" s="71"/>
      <c r="G201" s="72">
        <f>IF(AND(G195&gt;E195,$AK178&gt;1,ISNUMBER(E195),ISNUMBER(G195)),1,0)</f>
        <v>0</v>
      </c>
      <c r="H201" s="71">
        <f>IF(AND(H195&gt;J195,$AK178&gt;2,ISNUMBER(H195),ISNUMBER(J195)),1,0)</f>
        <v>0</v>
      </c>
      <c r="I201" s="71"/>
      <c r="J201" s="72">
        <f>IF(AND(J195&gt;H195,$AK178&gt;2,ISNUMBER(H195),ISNUMBER(J195)),1,0)</f>
        <v>1</v>
      </c>
      <c r="K201" s="71">
        <f>IF(AND(K195&gt;M195,$AK178&gt;3,ISNUMBER(K195),ISNUMBER(M195)),1,0)</f>
        <v>1</v>
      </c>
      <c r="L201" s="71"/>
      <c r="M201" s="72">
        <f>IF(AND(M195&gt;K195,$AK178&gt;3,ISNUMBER(K195),ISNUMBER(M195)),1,0)</f>
        <v>0</v>
      </c>
      <c r="N201" s="71">
        <f>IF(AND(N195&gt;P195,$AK178&gt;4,ISNUMBER(N195),ISNUMBER(P195)),1,0)</f>
        <v>1</v>
      </c>
      <c r="O201" s="71"/>
      <c r="P201" s="72">
        <f>IF(AND(P195&gt;N195,$AK178&gt;4,ISNUMBER(N195),ISNUMBER(P195)),1,0)</f>
        <v>0</v>
      </c>
      <c r="Q201" s="71">
        <f>IF(AND(Q195&gt;S195,$AK178&gt;5,ISNUMBER(Q195),ISNUMBER(S195)),1,0)</f>
        <v>1</v>
      </c>
      <c r="R201" s="71"/>
      <c r="S201" s="72">
        <f>IF(AND(S195&gt;Q195,$AK178&gt;5,ISNUMBER(Q195),ISNUMBER(S195)),1,0)</f>
        <v>0</v>
      </c>
      <c r="T201" s="71">
        <f>IF(AND(T195&gt;V195,$AK178&gt;6,ISNUMBER(T195),ISNUMBER(V195)),1,0)</f>
        <v>0</v>
      </c>
      <c r="U201" s="71"/>
      <c r="V201" s="72">
        <f>IF(AND(V195&gt;T195,$AK178&gt;6,ISNUMBER(T195),ISNUMBER(V195)),1,0)</f>
        <v>0</v>
      </c>
      <c r="W201" s="71">
        <f>IF(AND(W195&gt;Y195,$AK178&gt;7,ISNUMBER(W195),ISNUMBER(Y195)),1,0)</f>
        <v>0</v>
      </c>
      <c r="X201" s="71"/>
      <c r="Y201" s="72">
        <f>IF(AND(Y195&gt;W195,$AK178&gt;7,ISNUMBER(W195),ISNUMBER(Y195)),1,0)</f>
        <v>0</v>
      </c>
      <c r="Z201" s="71">
        <f>IF(AND(Z195&gt;AB195,$AK178&gt;8,ISNUMBER(Z195),ISNUMBER(AB195)),1,0)</f>
        <v>0</v>
      </c>
      <c r="AA201" s="71"/>
      <c r="AB201" s="72">
        <f>IF(AND(AB195&gt;Z195,$AK178&gt;8,ISNUMBER(Z195),ISNUMBER(AB195)),1,0)</f>
        <v>0</v>
      </c>
      <c r="AC201" s="71">
        <f>IF(AND(AC195&gt;AE195,$AK178&gt;9,ISNUMBER(AC195),ISNUMBER(AE195)),1,0)</f>
        <v>0</v>
      </c>
      <c r="AD201" s="71"/>
      <c r="AE201" s="72">
        <f>IF(AND(AE195&gt;AC195,$AK178&gt;9,ISNUMBER(AC195),ISNUMBER(AE195)),1,0)</f>
        <v>0</v>
      </c>
      <c r="AW201" s="154"/>
    </row>
    <row r="202" spans="1:49" s="70" customFormat="1" ht="12.75" hidden="1" customHeight="1" x14ac:dyDescent="0.2">
      <c r="A202" s="70" t="s">
        <v>76</v>
      </c>
      <c r="B202" s="71">
        <f>IF(AND(B196&gt;D196,$AK178&gt;0,$AK177&gt;1,ISNUMBER(B196),ISNUMBER(D196)),1,0)</f>
        <v>1</v>
      </c>
      <c r="C202" s="71"/>
      <c r="D202" s="72">
        <f>IF(AND(D196&gt;B196,$AK178&gt;0,$AK177&gt;1,ISNUMBER(B196),ISNUMBER(D196)),1,0)</f>
        <v>0</v>
      </c>
      <c r="E202" s="71">
        <f>IF(AND(E196&gt;G196,$AK178&gt;1,$AK177&gt;1,ISNUMBER(E196),ISNUMBER(G196)),1,0)</f>
        <v>0</v>
      </c>
      <c r="F202" s="71"/>
      <c r="G202" s="72">
        <f>IF(AND(G196&gt;E196,$AK178&gt;1,$AK177&gt;1,ISNUMBER(E196),ISNUMBER(G196)),1,0)</f>
        <v>1</v>
      </c>
      <c r="H202" s="71">
        <f>IF(AND(H196&gt;J196,$AK178&gt;2,$AK177&gt;1,ISNUMBER(H196),ISNUMBER(J196)),1,0)</f>
        <v>0</v>
      </c>
      <c r="I202" s="71"/>
      <c r="J202" s="72">
        <f>IF(AND(J196&gt;H196,$AK178&gt;2,$AK177&gt;1,ISNUMBER(H196),ISNUMBER(J196)),1,0)</f>
        <v>1</v>
      </c>
      <c r="K202" s="71">
        <f>IF(AND(K196&gt;M196,$AK178&gt;3,$AK177&gt;1,ISNUMBER(K196),ISNUMBER(M196)),1,0)</f>
        <v>1</v>
      </c>
      <c r="L202" s="71"/>
      <c r="M202" s="72">
        <f>IF(AND(M196&gt;K196,$AK178&gt;3,$AK177&gt;1,ISNUMBER(K196),ISNUMBER(M196)),1,0)</f>
        <v>0</v>
      </c>
      <c r="N202" s="71">
        <f>IF(AND(N196&gt;P196,$AK178&gt;4,$AK177&gt;1,ISNUMBER(N196),ISNUMBER(P196)),1,0)</f>
        <v>0</v>
      </c>
      <c r="O202" s="71"/>
      <c r="P202" s="72">
        <f>IF(AND(P196&gt;N196,$AK178&gt;4,$AK177&gt;1,ISNUMBER(N196),ISNUMBER(P196)),1,0)</f>
        <v>1</v>
      </c>
      <c r="Q202" s="71">
        <f>IF(AND(Q196&gt;S196,$AK178&gt;5,$AK177&gt;1,ISNUMBER(Q196),ISNUMBER(S196)),1,0)</f>
        <v>0</v>
      </c>
      <c r="R202" s="71"/>
      <c r="S202" s="72">
        <f>IF(AND(S196&gt;Q196,$AK178&gt;5,$AK177&gt;1,ISNUMBER(Q196),ISNUMBER(S196)),1,0)</f>
        <v>1</v>
      </c>
      <c r="T202" s="71">
        <f>IF(AND(T196&gt;V196,$AK178&gt;6,$AK177&gt;1,ISNUMBER(T196),ISNUMBER(V196)),1,0)</f>
        <v>0</v>
      </c>
      <c r="U202" s="71"/>
      <c r="V202" s="72">
        <f>IF(AND(V196&gt;T196,$AK178&gt;6,$AK177&gt;1,ISNUMBER(T196),ISNUMBER(V196)),1,0)</f>
        <v>0</v>
      </c>
      <c r="W202" s="71">
        <f>IF(AND(W196&gt;Y196,$AK178&gt;7,$AK177&gt;1,ISNUMBER(W196),ISNUMBER(Y196)),1,0)</f>
        <v>0</v>
      </c>
      <c r="X202" s="71"/>
      <c r="Y202" s="72">
        <f>IF(AND(Y196&gt;W196,$AK178&gt;7,$AK177&gt;1,ISNUMBER(W196),ISNUMBER(Y196)),1,0)</f>
        <v>0</v>
      </c>
      <c r="Z202" s="71">
        <f>IF(AND(Z196&gt;AB196,$AK178&gt;8,$AK177&gt;1,ISNUMBER(Z196),ISNUMBER(AB196)),1,0)</f>
        <v>0</v>
      </c>
      <c r="AA202" s="71"/>
      <c r="AB202" s="72">
        <f>IF(AND(AB196&gt;Z196,$AK178&gt;8,$AK177&gt;1,ISNUMBER(Z196),ISNUMBER(AB196)),1,0)</f>
        <v>0</v>
      </c>
      <c r="AC202" s="71">
        <f>IF(AND(AC196&gt;AE196,$AK178&gt;9,$AK177&gt;1,ISNUMBER(AC196),ISNUMBER(AE196)),1,0)</f>
        <v>0</v>
      </c>
      <c r="AD202" s="71"/>
      <c r="AE202" s="72">
        <f>IF(AND(AE196&gt;AC196,$AK178&gt;9,$AK177&gt;1,ISNUMBER(AC196),ISNUMBER(AE196)),1,0)</f>
        <v>0</v>
      </c>
      <c r="AW202" s="154"/>
    </row>
    <row r="203" spans="1:49" s="70" customFormat="1" ht="12.75" hidden="1" customHeight="1" x14ac:dyDescent="0.2">
      <c r="A203" s="70" t="s">
        <v>77</v>
      </c>
      <c r="B203" s="71">
        <f>IF(AND(B197&gt;D197,$AK178&gt;0,$AK177&gt;2,ISNUMBER(B197),ISNUMBER(D197)),1,0)</f>
        <v>1</v>
      </c>
      <c r="C203" s="71"/>
      <c r="D203" s="72">
        <f>IF(AND(D197&gt;B197,$AK178&gt;0,$AK177&gt;2,ISNUMBER(B197),ISNUMBER(D197)),1,0)</f>
        <v>0</v>
      </c>
      <c r="E203" s="71">
        <f>IF(AND(E197&gt;G197,$AK178&gt;1,$AK177&gt;2,ISNUMBER(E197),ISNUMBER(G197)),1,0)</f>
        <v>1</v>
      </c>
      <c r="F203" s="71"/>
      <c r="G203" s="72">
        <f>IF(AND(G197&gt;E197,$AK178&gt;1,$AK177&gt;2,ISNUMBER(E197),ISNUMBER(G197)),1,0)</f>
        <v>0</v>
      </c>
      <c r="H203" s="71">
        <f>IF(AND(H197&gt;J197,$AK178&gt;2,$AK177&gt;2,ISNUMBER(H197),ISNUMBER(J197)),1,0)</f>
        <v>0</v>
      </c>
      <c r="I203" s="71"/>
      <c r="J203" s="72">
        <f>IF(AND(J197&gt;H197,$AK178&gt;2,$AK177&gt;2,ISNUMBER(H197),ISNUMBER(J197)),1,0)</f>
        <v>0</v>
      </c>
      <c r="K203" s="71">
        <f>IF(AND(K197&gt;M197,$AK178&gt;3,$AK177&gt;2,ISNUMBER(K197),ISNUMBER(M197)),1,0)</f>
        <v>0</v>
      </c>
      <c r="L203" s="71"/>
      <c r="M203" s="72">
        <f>IF(AND(M197&gt;K197,$AK178&gt;3,$AK177&gt;2,ISNUMBER(K197),ISNUMBER(M197)),1,0)</f>
        <v>0</v>
      </c>
      <c r="N203" s="71">
        <f>IF(AND(N197&gt;P197,$AK178&gt;4,$AK177&gt;2,ISNUMBER(N197),ISNUMBER(P197)),1,0)</f>
        <v>0</v>
      </c>
      <c r="O203" s="71"/>
      <c r="P203" s="72">
        <f>IF(AND(P197&gt;N197,$AK178&gt;4,$AK177&gt;2,ISNUMBER(N197),ISNUMBER(P197)),1,0)</f>
        <v>1</v>
      </c>
      <c r="Q203" s="71">
        <f>IF(AND(Q197&gt;S197,$AK178&gt;5,$AK177&gt;2,ISNUMBER(Q197),ISNUMBER(S197)),1,0)</f>
        <v>0</v>
      </c>
      <c r="R203" s="71"/>
      <c r="S203" s="72">
        <f>IF(AND(S197&gt;Q197,$AK178&gt;5,$AK177&gt;2,ISNUMBER(Q197),ISNUMBER(S197)),1,0)</f>
        <v>1</v>
      </c>
      <c r="T203" s="71">
        <f>IF(AND(T197&gt;V197,$AK178&gt;6,$AK177&gt;2,ISNUMBER(T197),ISNUMBER(V197)),1,0)</f>
        <v>0</v>
      </c>
      <c r="U203" s="71"/>
      <c r="V203" s="72">
        <f>IF(AND(V197&gt;T197,$AK178&gt;6,$AK177&gt;2,ISNUMBER(T197),ISNUMBER(V197)),1,0)</f>
        <v>0</v>
      </c>
      <c r="W203" s="71">
        <f>IF(AND(W197&gt;Y197,$AK178&gt;7,$AK177&gt;2,ISNUMBER(W197),ISNUMBER(Y197)),1,0)</f>
        <v>0</v>
      </c>
      <c r="X203" s="71"/>
      <c r="Y203" s="72">
        <f>IF(AND(Y197&gt;W197,$AK178&gt;7,$AK177&gt;2,ISNUMBER(W197),ISNUMBER(Y197)),1,0)</f>
        <v>0</v>
      </c>
      <c r="Z203" s="71">
        <f>IF(AND(Z197&gt;AB197,$AK178&gt;8,$AK177&gt;2,ISNUMBER(Z197),ISNUMBER(AB197)),1,0)</f>
        <v>0</v>
      </c>
      <c r="AA203" s="71"/>
      <c r="AB203" s="72">
        <f>IF(AND(AB197&gt;Z197,$AK178&gt;8,$AK177&gt;2,ISNUMBER(Z197),ISNUMBER(AB197)),1,0)</f>
        <v>0</v>
      </c>
      <c r="AC203" s="71">
        <f>IF(AND(AC197&gt;AE197,$AK178&gt;9,$AK177&gt;2,ISNUMBER(AC197),ISNUMBER(AE197)),1,0)</f>
        <v>0</v>
      </c>
      <c r="AD203" s="71"/>
      <c r="AE203" s="72">
        <f>IF(AND(AE197&gt;AC197,$AK178&gt;9,$AK177&gt;2,ISNUMBER(AC197),ISNUMBER(AE197)),1,0)</f>
        <v>0</v>
      </c>
      <c r="AW203" s="154"/>
    </row>
    <row r="204" spans="1:49" s="70" customFormat="1" ht="12.75" hidden="1" customHeight="1" x14ac:dyDescent="0.2">
      <c r="A204" s="70" t="s">
        <v>78</v>
      </c>
      <c r="B204" s="71">
        <f>IF(AND(B198&gt;D198,$AK178&gt;0,$AK177&gt;3,ISNUMBER(B198),ISNUMBER(D198)),1,0)</f>
        <v>0</v>
      </c>
      <c r="C204" s="71"/>
      <c r="D204" s="72">
        <f>IF(AND(D198&gt;B198,$AK178&gt;0,$AK177&gt;3,ISNUMBER(B198),ISNUMBER(D198)),1,0)</f>
        <v>0</v>
      </c>
      <c r="E204" s="71">
        <f>IF(AND(E198&gt;G198,$AK178&gt;1,$AK177&gt;3,ISNUMBER(E198),ISNUMBER(G198)),1,0)</f>
        <v>0</v>
      </c>
      <c r="F204" s="71"/>
      <c r="G204" s="72">
        <f>IF(AND(G198&gt;E198,$AK178&gt;1,$AK177&gt;3,ISNUMBER(E198),ISNUMBER(G198)),1,0)</f>
        <v>0</v>
      </c>
      <c r="H204" s="71">
        <f>IF(AND(H198&gt;J198,$AK178&gt;2,$AK177&gt;3,ISNUMBER(H198),ISNUMBER(J198)),1,0)</f>
        <v>0</v>
      </c>
      <c r="I204" s="71"/>
      <c r="J204" s="72">
        <f>IF(AND(J198&gt;H198,$AK178&gt;2,$AK177&gt;3,ISNUMBER(H198),ISNUMBER(J198)),1,0)</f>
        <v>0</v>
      </c>
      <c r="K204" s="71">
        <f>IF(AND(K198&gt;M198,$AK178&gt;3,$AK177&gt;3,ISNUMBER(K198),ISNUMBER(M198)),1,0)</f>
        <v>0</v>
      </c>
      <c r="L204" s="71"/>
      <c r="M204" s="72">
        <f>IF(AND(M198&gt;K198,$AK178&gt;3,$AK177&gt;3,ISNUMBER(K198),ISNUMBER(M198)),1,0)</f>
        <v>0</v>
      </c>
      <c r="N204" s="71">
        <f>IF(AND(N198&gt;P198,$AK178&gt;4,$AK177&gt;3,ISNUMBER(N198),ISNUMBER(P198)),1,0)</f>
        <v>0</v>
      </c>
      <c r="O204" s="71"/>
      <c r="P204" s="72">
        <f>IF(AND(P198&gt;N198,$AK178&gt;4,$AK177&gt;3,ISNUMBER(N198),ISNUMBER(P198)),1,0)</f>
        <v>0</v>
      </c>
      <c r="Q204" s="71">
        <f>IF(AND(Q198&gt;S198,$AK178&gt;5,$AK177&gt;3,ISNUMBER(Q198),ISNUMBER(S198)),1,0)</f>
        <v>0</v>
      </c>
      <c r="R204" s="71"/>
      <c r="S204" s="72">
        <f>IF(AND(S198&gt;Q198,$AK178&gt;5,$AK177&gt;3,ISNUMBER(Q198),ISNUMBER(S198)),1,0)</f>
        <v>0</v>
      </c>
      <c r="T204" s="71">
        <f>IF(AND(T198&gt;V198,$AK178&gt;6,$AK177&gt;3,ISNUMBER(T198),ISNUMBER(V198)),1,0)</f>
        <v>0</v>
      </c>
      <c r="U204" s="71"/>
      <c r="V204" s="72">
        <f>IF(AND(V198&gt;T198,$AK178&gt;6,$AK177&gt;3,ISNUMBER(T198),ISNUMBER(V198)),1,0)</f>
        <v>0</v>
      </c>
      <c r="W204" s="71">
        <f>IF(AND(W198&gt;Y198,$AK178&gt;7,$AK177&gt;3,ISNUMBER(W198),ISNUMBER(Y198)),1,0)</f>
        <v>0</v>
      </c>
      <c r="X204" s="71"/>
      <c r="Y204" s="72">
        <f>IF(AND(Y198&gt;W198,$AK178&gt;7,$AK177&gt;3,ISNUMBER(W198),ISNUMBER(Y198)),1,0)</f>
        <v>0</v>
      </c>
      <c r="Z204" s="71">
        <f>IF(AND(Z198&gt;AB198,$AK178&gt;8,$AK177&gt;3,ISNUMBER(Z198),ISNUMBER(AB198)),1,0)</f>
        <v>0</v>
      </c>
      <c r="AA204" s="71"/>
      <c r="AB204" s="72">
        <f>IF(AND(AB198&gt;Z198,$AK178&gt;8,$AK177&gt;3,ISNUMBER(Z198),ISNUMBER(AB198)),1,0)</f>
        <v>0</v>
      </c>
      <c r="AC204" s="71">
        <f>IF(AND(AC198&gt;AE198,$AK178&gt;9,$AK177&gt;3,ISNUMBER(AC198),ISNUMBER(AE198)),1,0)</f>
        <v>0</v>
      </c>
      <c r="AD204" s="71"/>
      <c r="AE204" s="72">
        <f>IF(AND(AE198&gt;AC198,$AK178&gt;9,$AK177&gt;3,ISNUMBER(AC198),ISNUMBER(AE198)),1,0)</f>
        <v>0</v>
      </c>
      <c r="AW204" s="154"/>
    </row>
    <row r="205" spans="1:49" s="70" customFormat="1" ht="12.75" hidden="1" customHeight="1" x14ac:dyDescent="0.2">
      <c r="A205" s="70" t="s">
        <v>79</v>
      </c>
      <c r="B205" s="71">
        <f>IF(AND(B199&gt;D199,$AK178&gt;0,$AK177&gt;4,ISNUMBER(B199),ISNUMBER(D199)),1,0)</f>
        <v>0</v>
      </c>
      <c r="C205" s="71"/>
      <c r="D205" s="72">
        <f>IF(AND(D199&gt;B199,$AK178&gt;0,$AK177&gt;4,ISNUMBER(B199),ISNUMBER(D199)),1,0)</f>
        <v>0</v>
      </c>
      <c r="E205" s="71">
        <f>IF(AND(E199&gt;G199,$AK178&gt;1,$AK177&gt;4,ISNUMBER(E199),ISNUMBER(G199)),1,0)</f>
        <v>0</v>
      </c>
      <c r="F205" s="71"/>
      <c r="G205" s="72">
        <f>IF(AND(G199&gt;E199,$AK178&gt;1,$AK177&gt;4,ISNUMBER(E199),ISNUMBER(G199)),1,0)</f>
        <v>0</v>
      </c>
      <c r="H205" s="71">
        <f>IF(AND(H199&gt;J199,$AK178&gt;2,$AK177&gt;4,ISNUMBER(H199),ISNUMBER(J199)),1,0)</f>
        <v>0</v>
      </c>
      <c r="I205" s="71"/>
      <c r="J205" s="72">
        <f>IF(AND(J199&gt;H199,$AK178&gt;2,$AK177&gt;4,ISNUMBER(H199),ISNUMBER(J199)),1,0)</f>
        <v>0</v>
      </c>
      <c r="K205" s="71">
        <f>IF(AND(K199&gt;M199,$AK178&gt;3,$AK177&gt;4,ISNUMBER(K199),ISNUMBER(M199)),1,0)</f>
        <v>0</v>
      </c>
      <c r="L205" s="71"/>
      <c r="M205" s="72">
        <f>IF(AND(M199&gt;K199,$AK178&gt;3,$AK177&gt;4,ISNUMBER(K199),ISNUMBER(M199)),1,0)</f>
        <v>0</v>
      </c>
      <c r="N205" s="71">
        <f>IF(AND(N199&gt;P199,$AK178&gt;4,$AK177&gt;4,ISNUMBER(N199),ISNUMBER(P199)),1,0)</f>
        <v>0</v>
      </c>
      <c r="O205" s="71"/>
      <c r="P205" s="72">
        <f>IF(AND(P199&gt;N199,$AK178&gt;4,$AK177&gt;4,ISNUMBER(N199),ISNUMBER(P199)),1,0)</f>
        <v>0</v>
      </c>
      <c r="Q205" s="71">
        <f>IF(AND(Q199&gt;S199,$AK178&gt;5,$AK177&gt;4,ISNUMBER(Q199),ISNUMBER(S199)),1,0)</f>
        <v>0</v>
      </c>
      <c r="R205" s="71"/>
      <c r="S205" s="72">
        <f>IF(AND(S199&gt;Q199,$AK178&gt;5,$AK177&gt;4,ISNUMBER(Q199),ISNUMBER(S199)),1,0)</f>
        <v>0</v>
      </c>
      <c r="T205" s="71">
        <f>IF(AND(T199&gt;V199,$AK178&gt;6,$AK177&gt;4,ISNUMBER(T199),ISNUMBER(V199)),1,0)</f>
        <v>0</v>
      </c>
      <c r="U205" s="71"/>
      <c r="V205" s="72">
        <f>IF(AND(V199&gt;T199,$AK178&gt;6,$AK177&gt;4,ISNUMBER(T199),ISNUMBER(V199)),1,0)</f>
        <v>0</v>
      </c>
      <c r="W205" s="71">
        <f>IF(AND(W199&gt;Y199,$AK178&gt;7,$AK177&gt;4,ISNUMBER(W199),ISNUMBER(Y199)),1,0)</f>
        <v>0</v>
      </c>
      <c r="X205" s="71"/>
      <c r="Y205" s="72">
        <f>IF(AND(Y199&gt;W199,$AK178&gt;7,$AK177&gt;4,ISNUMBER(W199),ISNUMBER(Y199)),1,0)</f>
        <v>0</v>
      </c>
      <c r="Z205" s="71">
        <f>IF(AND(Z199&gt;AB199,$AK178&gt;8,$AK177&gt;4,ISNUMBER(Z199),ISNUMBER(AB199)),1,0)</f>
        <v>0</v>
      </c>
      <c r="AA205" s="71"/>
      <c r="AB205" s="72">
        <f>IF(AND(AB199&gt;Z199,$AK178&gt;8,$AK177&gt;4,ISNUMBER(Z199),ISNUMBER(AB199)),1,0)</f>
        <v>0</v>
      </c>
      <c r="AC205" s="71">
        <f>IF(AND(AC199&gt;AE199,$AK178&gt;9,$AK177&gt;4,ISNUMBER(AC199),ISNUMBER(AE199)),1,0)</f>
        <v>0</v>
      </c>
      <c r="AD205" s="71"/>
      <c r="AE205" s="72">
        <f>IF(AND(AE199&gt;AC199,$AK178&gt;9,$AK177&gt;4,ISNUMBER(AC199),ISNUMBER(AE199)),1,0)</f>
        <v>0</v>
      </c>
      <c r="AW205" s="154"/>
    </row>
    <row r="206" spans="1:49" s="70" customFormat="1" ht="38.25" hidden="1" customHeight="1" x14ac:dyDescent="0.2">
      <c r="A206" s="73" t="s">
        <v>80</v>
      </c>
      <c r="B206" s="70">
        <f>SUM(B201:B205)</f>
        <v>2</v>
      </c>
      <c r="D206" s="74">
        <f>SUM(D201:D205)</f>
        <v>1</v>
      </c>
      <c r="E206" s="70">
        <f>SUM(E201:E205)</f>
        <v>2</v>
      </c>
      <c r="G206" s="74">
        <f>SUM(G201:G205)</f>
        <v>1</v>
      </c>
      <c r="H206" s="70">
        <f>SUM(H201:H205)</f>
        <v>0</v>
      </c>
      <c r="J206" s="74">
        <f>SUM(J201:J205)</f>
        <v>2</v>
      </c>
      <c r="K206" s="70">
        <f>SUM(K201:K205)</f>
        <v>2</v>
      </c>
      <c r="M206" s="74">
        <f>SUM(M201:M205)</f>
        <v>0</v>
      </c>
      <c r="N206" s="70">
        <f>SUM(N201:N205)</f>
        <v>1</v>
      </c>
      <c r="P206" s="74">
        <f>SUM(P201:P205)</f>
        <v>2</v>
      </c>
      <c r="Q206" s="70">
        <f>SUM(Q201:Q205)</f>
        <v>1</v>
      </c>
      <c r="S206" s="74">
        <f>SUM(S201:S205)</f>
        <v>2</v>
      </c>
      <c r="T206" s="70">
        <f>SUM(T201:T205)</f>
        <v>0</v>
      </c>
      <c r="V206" s="74">
        <f>SUM(V201:V205)</f>
        <v>0</v>
      </c>
      <c r="W206" s="70">
        <f>SUM(W201:W205)</f>
        <v>0</v>
      </c>
      <c r="Y206" s="74">
        <f>SUM(Y201:Y205)</f>
        <v>0</v>
      </c>
      <c r="Z206" s="70">
        <f>SUM(Z201:Z205)</f>
        <v>0</v>
      </c>
      <c r="AB206" s="74">
        <f>SUM(AB201:AB205)</f>
        <v>0</v>
      </c>
      <c r="AC206" s="70">
        <f>SUM(AC201:AC205)</f>
        <v>0</v>
      </c>
      <c r="AE206" s="74">
        <f>SUM(AE201:AE205)</f>
        <v>0</v>
      </c>
      <c r="AW206" s="154"/>
    </row>
    <row r="207" spans="1:49" s="70" customFormat="1" ht="25.5" hidden="1" customHeight="1" x14ac:dyDescent="0.2">
      <c r="A207" s="73" t="s">
        <v>81</v>
      </c>
      <c r="B207" s="70">
        <f>IF(B206&gt;D206,IF(C241=AK177,1,IF(C241=AK177-1,1,0)),0)</f>
        <v>1</v>
      </c>
      <c r="C207" s="70">
        <f>B207+D207</f>
        <v>1</v>
      </c>
      <c r="D207" s="74">
        <f>IF(D206&gt;B206,IF(C241=AK177,1,IF(C241=AK177-1,1,0)),0)</f>
        <v>0</v>
      </c>
      <c r="E207" s="70">
        <f>IF(E206&gt;G206,IF(F241=AK177,1,IF(F241=AK177-1,1,0)),0)</f>
        <v>1</v>
      </c>
      <c r="F207" s="70">
        <f>E207+G207</f>
        <v>1</v>
      </c>
      <c r="G207" s="74">
        <f>IF(G206&gt;E206,IF(F241=AK177,1,IF(F241=AK177-1,1,0)),0)</f>
        <v>0</v>
      </c>
      <c r="H207" s="70">
        <f>IF(H206&gt;J206,IF(I241=AK177,1,IF(I241=AK177-1,1,0)),0)</f>
        <v>0</v>
      </c>
      <c r="I207" s="70">
        <f>H207+J207</f>
        <v>1</v>
      </c>
      <c r="J207" s="74">
        <f>IF(J206&gt;H206,IF(I241=AK177,1,IF(I241=AK177-1,1,0)),0)</f>
        <v>1</v>
      </c>
      <c r="K207" s="70">
        <f>IF(K206&gt;M206,IF(L241=AK177,1,IF(L241=AK177-1,1,0)),0)</f>
        <v>1</v>
      </c>
      <c r="L207" s="70">
        <f>K207+M207</f>
        <v>1</v>
      </c>
      <c r="M207" s="74">
        <f>IF(M206&gt;K206,IF(L241=AK177,1,IF(L241=AK177-1,1,0)),0)</f>
        <v>0</v>
      </c>
      <c r="N207" s="70">
        <f>IF(N206&gt;P206,IF(O241=AK177,1,IF(O241=AK177-1,1,0)),0)</f>
        <v>0</v>
      </c>
      <c r="O207" s="70">
        <f>N207+P207</f>
        <v>1</v>
      </c>
      <c r="P207" s="74">
        <f>IF(P206&gt;N206,IF(O241=AK177,1,IF(O241=AK177-1,1,0)),0)</f>
        <v>1</v>
      </c>
      <c r="Q207" s="70">
        <f>IF(Q206&gt;S206,IF(R241=AK177,1,IF(R241=AK177-1,1,0)),0)</f>
        <v>0</v>
      </c>
      <c r="R207" s="70">
        <f>Q207+S207</f>
        <v>1</v>
      </c>
      <c r="S207" s="74">
        <f>IF(S206&gt;Q206,IF(R241=AK177,1,IF(R241=AK177-1,1,0)),0)</f>
        <v>1</v>
      </c>
      <c r="T207" s="70">
        <f>IF(T206&gt;V206,IF(U241=AK177,1,IF(U241=AK177-1,1,0)),0)</f>
        <v>0</v>
      </c>
      <c r="U207" s="70">
        <f>T207+V207</f>
        <v>0</v>
      </c>
      <c r="V207" s="74">
        <f>IF(V206&gt;T206,IF(U241=AK177,1,IF(U241=AK177-1,1,0)),0)</f>
        <v>0</v>
      </c>
      <c r="W207" s="70">
        <f>IF(W206&gt;Y206,IF(X241=AK177,1,IF(X241=AK177-1,1,0)),0)</f>
        <v>0</v>
      </c>
      <c r="X207" s="70">
        <f>W207+Y207</f>
        <v>0</v>
      </c>
      <c r="Y207" s="74">
        <f>IF(Y206&gt;W206,IF(X241=AK177,1,IF(X241=AK177-1,1,0)),0)</f>
        <v>0</v>
      </c>
      <c r="Z207" s="70">
        <f>IF(Z206&gt;AB206,IF(AA241=AK177,1,IF(AA241=AK177-1,1,0)),0)</f>
        <v>0</v>
      </c>
      <c r="AA207" s="70">
        <f>Z207+AB207</f>
        <v>0</v>
      </c>
      <c r="AB207" s="74">
        <f>IF(AB206&gt;Z206,IF(AA241=AK177,1,IF(AA241=AK177-1,1,0)),0)</f>
        <v>0</v>
      </c>
      <c r="AC207" s="70">
        <f>IF(AC206&gt;AE206,IF(AD241=AK177,1,IF(AD241=AK177-1,1,0)),0)</f>
        <v>0</v>
      </c>
      <c r="AD207" s="70">
        <f>AC207+AE207</f>
        <v>0</v>
      </c>
      <c r="AE207" s="74">
        <f>IF(AE206&gt;AC206,IF(AD241=AK177,1,IF(AD241=AK177-1,1,0)),0)</f>
        <v>0</v>
      </c>
      <c r="AW207" s="154"/>
    </row>
    <row r="208" spans="1:49" s="70" customFormat="1" ht="25.5" hidden="1" customHeight="1" x14ac:dyDescent="0.2">
      <c r="A208" s="73"/>
      <c r="D208" s="74"/>
      <c r="G208" s="74"/>
      <c r="J208" s="74"/>
      <c r="M208" s="74"/>
      <c r="P208" s="74"/>
      <c r="S208" s="74"/>
      <c r="V208" s="74"/>
      <c r="Y208" s="74"/>
      <c r="AB208" s="74"/>
      <c r="AE208" s="74"/>
      <c r="AW208" s="154"/>
    </row>
    <row r="209" spans="1:49" s="70" customFormat="1" ht="12.75" hidden="1" customHeight="1" x14ac:dyDescent="0.2">
      <c r="A209" s="70" t="s">
        <v>82</v>
      </c>
      <c r="B209" s="70">
        <f>IF(B201=1,B195,0)</f>
        <v>0</v>
      </c>
      <c r="D209" s="74">
        <f t="shared" ref="D209:E213" si="20">IF(D201=1,D195,0)</f>
        <v>25</v>
      </c>
      <c r="E209" s="70">
        <f t="shared" si="20"/>
        <v>25</v>
      </c>
      <c r="G209" s="74">
        <f t="shared" ref="G209:H213" si="21">IF(G201=1,G195,0)</f>
        <v>0</v>
      </c>
      <c r="H209" s="70">
        <f t="shared" si="21"/>
        <v>0</v>
      </c>
      <c r="J209" s="74">
        <f t="shared" ref="J209:K213" si="22">IF(J201=1,J195,0)</f>
        <v>25</v>
      </c>
      <c r="K209" s="70">
        <f t="shared" si="22"/>
        <v>25</v>
      </c>
      <c r="M209" s="74">
        <f t="shared" ref="M209:N213" si="23">IF(M201=1,M195,0)</f>
        <v>0</v>
      </c>
      <c r="N209" s="70">
        <f t="shared" si="23"/>
        <v>25</v>
      </c>
      <c r="P209" s="74">
        <f t="shared" ref="P209:Q213" si="24">IF(P201=1,P195,0)</f>
        <v>0</v>
      </c>
      <c r="Q209" s="70">
        <f t="shared" si="24"/>
        <v>25</v>
      </c>
      <c r="S209" s="74">
        <f t="shared" ref="S209:T213" si="25">IF(S201=1,S195,0)</f>
        <v>0</v>
      </c>
      <c r="T209" s="70">
        <f t="shared" si="25"/>
        <v>0</v>
      </c>
      <c r="V209" s="74">
        <f t="shared" ref="V209:W213" si="26">IF(V201=1,V195,0)</f>
        <v>0</v>
      </c>
      <c r="W209" s="70">
        <f t="shared" si="26"/>
        <v>0</v>
      </c>
      <c r="Y209" s="74">
        <f t="shared" ref="Y209:Z213" si="27">IF(Y201=1,Y195,0)</f>
        <v>0</v>
      </c>
      <c r="Z209" s="70">
        <f t="shared" si="27"/>
        <v>0</v>
      </c>
      <c r="AB209" s="74">
        <f t="shared" ref="AB209:AC213" si="28">IF(AB201=1,AB195,0)</f>
        <v>0</v>
      </c>
      <c r="AC209" s="70">
        <f t="shared" si="28"/>
        <v>0</v>
      </c>
      <c r="AE209" s="74">
        <f>IF(AE201=1,AE195,0)</f>
        <v>0</v>
      </c>
      <c r="AW209" s="154"/>
    </row>
    <row r="210" spans="1:49" s="70" customFormat="1" ht="12.75" hidden="1" customHeight="1" x14ac:dyDescent="0.2">
      <c r="A210" s="70" t="s">
        <v>83</v>
      </c>
      <c r="B210" s="70">
        <f>IF(B202=1,B196,0)</f>
        <v>25</v>
      </c>
      <c r="D210" s="74">
        <f t="shared" si="20"/>
        <v>0</v>
      </c>
      <c r="E210" s="70">
        <f t="shared" si="20"/>
        <v>0</v>
      </c>
      <c r="G210" s="74">
        <f t="shared" si="21"/>
        <v>25</v>
      </c>
      <c r="H210" s="70">
        <f t="shared" si="21"/>
        <v>0</v>
      </c>
      <c r="J210" s="74">
        <f t="shared" si="22"/>
        <v>25</v>
      </c>
      <c r="K210" s="70">
        <f t="shared" si="22"/>
        <v>25</v>
      </c>
      <c r="M210" s="74">
        <f t="shared" si="23"/>
        <v>0</v>
      </c>
      <c r="N210" s="70">
        <f t="shared" si="23"/>
        <v>0</v>
      </c>
      <c r="P210" s="74">
        <f t="shared" si="24"/>
        <v>25</v>
      </c>
      <c r="Q210" s="70">
        <f t="shared" si="24"/>
        <v>0</v>
      </c>
      <c r="S210" s="74">
        <f t="shared" si="25"/>
        <v>25</v>
      </c>
      <c r="T210" s="70">
        <f t="shared" si="25"/>
        <v>0</v>
      </c>
      <c r="V210" s="74">
        <f t="shared" si="26"/>
        <v>0</v>
      </c>
      <c r="W210" s="70">
        <f t="shared" si="26"/>
        <v>0</v>
      </c>
      <c r="Y210" s="74">
        <f t="shared" si="27"/>
        <v>0</v>
      </c>
      <c r="Z210" s="70">
        <f t="shared" si="27"/>
        <v>0</v>
      </c>
      <c r="AB210" s="74">
        <f t="shared" si="28"/>
        <v>0</v>
      </c>
      <c r="AC210" s="70">
        <f t="shared" si="28"/>
        <v>0</v>
      </c>
      <c r="AE210" s="74">
        <f>IF(AE202=1,AE196,0)</f>
        <v>0</v>
      </c>
      <c r="AW210" s="154"/>
    </row>
    <row r="211" spans="1:49" s="70" customFormat="1" ht="12.75" hidden="1" customHeight="1" x14ac:dyDescent="0.2">
      <c r="A211" s="70" t="s">
        <v>84</v>
      </c>
      <c r="B211" s="70">
        <f>IF(B203=1,B197,0)</f>
        <v>15</v>
      </c>
      <c r="D211" s="74">
        <f t="shared" si="20"/>
        <v>0</v>
      </c>
      <c r="E211" s="70">
        <f t="shared" si="20"/>
        <v>15</v>
      </c>
      <c r="G211" s="74">
        <f t="shared" si="21"/>
        <v>0</v>
      </c>
      <c r="H211" s="70">
        <f t="shared" si="21"/>
        <v>0</v>
      </c>
      <c r="J211" s="74">
        <f t="shared" si="22"/>
        <v>0</v>
      </c>
      <c r="K211" s="70">
        <f t="shared" si="22"/>
        <v>0</v>
      </c>
      <c r="M211" s="74">
        <f t="shared" si="23"/>
        <v>0</v>
      </c>
      <c r="N211" s="70">
        <f t="shared" si="23"/>
        <v>0</v>
      </c>
      <c r="P211" s="74">
        <f t="shared" si="24"/>
        <v>15</v>
      </c>
      <c r="Q211" s="70">
        <f t="shared" si="24"/>
        <v>0</v>
      </c>
      <c r="S211" s="74">
        <f t="shared" si="25"/>
        <v>15</v>
      </c>
      <c r="T211" s="70">
        <f t="shared" si="25"/>
        <v>0</v>
      </c>
      <c r="V211" s="74">
        <f t="shared" si="26"/>
        <v>0</v>
      </c>
      <c r="W211" s="70">
        <f t="shared" si="26"/>
        <v>0</v>
      </c>
      <c r="Y211" s="74">
        <f t="shared" si="27"/>
        <v>0</v>
      </c>
      <c r="Z211" s="70">
        <f t="shared" si="27"/>
        <v>0</v>
      </c>
      <c r="AB211" s="74">
        <f t="shared" si="28"/>
        <v>0</v>
      </c>
      <c r="AC211" s="70">
        <f t="shared" si="28"/>
        <v>0</v>
      </c>
      <c r="AE211" s="74">
        <f>IF(AE203=1,AE197,0)</f>
        <v>0</v>
      </c>
      <c r="AW211" s="154"/>
    </row>
    <row r="212" spans="1:49" s="70" customFormat="1" ht="12.75" hidden="1" customHeight="1" x14ac:dyDescent="0.2">
      <c r="A212" s="70" t="s">
        <v>85</v>
      </c>
      <c r="B212" s="70">
        <f>IF(B204=1,B198,0)</f>
        <v>0</v>
      </c>
      <c r="D212" s="74">
        <f t="shared" si="20"/>
        <v>0</v>
      </c>
      <c r="E212" s="70">
        <f t="shared" si="20"/>
        <v>0</v>
      </c>
      <c r="G212" s="74">
        <f t="shared" si="21"/>
        <v>0</v>
      </c>
      <c r="H212" s="70">
        <f t="shared" si="21"/>
        <v>0</v>
      </c>
      <c r="J212" s="74">
        <f t="shared" si="22"/>
        <v>0</v>
      </c>
      <c r="K212" s="70">
        <f t="shared" si="22"/>
        <v>0</v>
      </c>
      <c r="M212" s="74">
        <f t="shared" si="23"/>
        <v>0</v>
      </c>
      <c r="N212" s="70">
        <f t="shared" si="23"/>
        <v>0</v>
      </c>
      <c r="P212" s="74">
        <f t="shared" si="24"/>
        <v>0</v>
      </c>
      <c r="Q212" s="70">
        <f t="shared" si="24"/>
        <v>0</v>
      </c>
      <c r="S212" s="74">
        <f t="shared" si="25"/>
        <v>0</v>
      </c>
      <c r="T212" s="70">
        <f t="shared" si="25"/>
        <v>0</v>
      </c>
      <c r="V212" s="74">
        <f t="shared" si="26"/>
        <v>0</v>
      </c>
      <c r="W212" s="70">
        <f t="shared" si="26"/>
        <v>0</v>
      </c>
      <c r="Y212" s="74">
        <f t="shared" si="27"/>
        <v>0</v>
      </c>
      <c r="Z212" s="70">
        <f t="shared" si="27"/>
        <v>0</v>
      </c>
      <c r="AB212" s="74">
        <f t="shared" si="28"/>
        <v>0</v>
      </c>
      <c r="AC212" s="70">
        <f t="shared" si="28"/>
        <v>0</v>
      </c>
      <c r="AE212" s="74">
        <f>IF(AE204=1,AE198,0)</f>
        <v>0</v>
      </c>
      <c r="AW212" s="154"/>
    </row>
    <row r="213" spans="1:49" s="70" customFormat="1" ht="12.75" hidden="1" customHeight="1" x14ac:dyDescent="0.2">
      <c r="A213" s="70" t="s">
        <v>86</v>
      </c>
      <c r="B213" s="70">
        <f>IF(B205=1,B199,0)</f>
        <v>0</v>
      </c>
      <c r="D213" s="74">
        <f t="shared" si="20"/>
        <v>0</v>
      </c>
      <c r="E213" s="70">
        <f t="shared" si="20"/>
        <v>0</v>
      </c>
      <c r="G213" s="74">
        <f t="shared" si="21"/>
        <v>0</v>
      </c>
      <c r="H213" s="70">
        <f t="shared" si="21"/>
        <v>0</v>
      </c>
      <c r="J213" s="74">
        <f t="shared" si="22"/>
        <v>0</v>
      </c>
      <c r="K213" s="70">
        <f t="shared" si="22"/>
        <v>0</v>
      </c>
      <c r="M213" s="74">
        <f t="shared" si="23"/>
        <v>0</v>
      </c>
      <c r="N213" s="70">
        <f t="shared" si="23"/>
        <v>0</v>
      </c>
      <c r="P213" s="74">
        <f t="shared" si="24"/>
        <v>0</v>
      </c>
      <c r="Q213" s="70">
        <f t="shared" si="24"/>
        <v>0</v>
      </c>
      <c r="S213" s="74">
        <f t="shared" si="25"/>
        <v>0</v>
      </c>
      <c r="T213" s="70">
        <f t="shared" si="25"/>
        <v>0</v>
      </c>
      <c r="V213" s="74">
        <f t="shared" si="26"/>
        <v>0</v>
      </c>
      <c r="W213" s="70">
        <f t="shared" si="26"/>
        <v>0</v>
      </c>
      <c r="Y213" s="74">
        <f t="shared" si="27"/>
        <v>0</v>
      </c>
      <c r="Z213" s="70">
        <f t="shared" si="27"/>
        <v>0</v>
      </c>
      <c r="AB213" s="74">
        <f t="shared" si="28"/>
        <v>0</v>
      </c>
      <c r="AC213" s="70">
        <f t="shared" si="28"/>
        <v>0</v>
      </c>
      <c r="AE213" s="74">
        <f>IF(AE205=1,AE199,0)</f>
        <v>0</v>
      </c>
      <c r="AW213" s="154"/>
    </row>
    <row r="214" spans="1:49" s="70" customFormat="1" ht="38.25" hidden="1" customHeight="1" x14ac:dyDescent="0.2">
      <c r="A214" s="73" t="s">
        <v>87</v>
      </c>
      <c r="B214" s="70">
        <f>SUM(B209:D213)</f>
        <v>65</v>
      </c>
      <c r="D214" s="74"/>
      <c r="E214" s="70">
        <f>SUM(E209:G213)</f>
        <v>65</v>
      </c>
      <c r="G214" s="74"/>
      <c r="H214" s="70">
        <f>SUM(H209:J213)</f>
        <v>50</v>
      </c>
      <c r="J214" s="74"/>
      <c r="K214" s="70">
        <f>SUM(K209:M213)</f>
        <v>50</v>
      </c>
      <c r="M214" s="74"/>
      <c r="N214" s="70">
        <f>SUM(N209:P213)</f>
        <v>65</v>
      </c>
      <c r="P214" s="74"/>
      <c r="Q214" s="70">
        <f>SUM(Q209:S213)</f>
        <v>65</v>
      </c>
      <c r="S214" s="74"/>
      <c r="T214" s="70">
        <f>SUM(T209:V213)</f>
        <v>0</v>
      </c>
      <c r="V214" s="74"/>
      <c r="W214" s="70">
        <f>SUM(W209:Y213)</f>
        <v>0</v>
      </c>
      <c r="Y214" s="74"/>
      <c r="Z214" s="70">
        <f>SUM(Z209:AB213)</f>
        <v>0</v>
      </c>
      <c r="AB214" s="74"/>
      <c r="AC214" s="70">
        <f>SUM(AC209:AE213)</f>
        <v>0</v>
      </c>
      <c r="AE214" s="74"/>
      <c r="AW214" s="154"/>
    </row>
    <row r="215" spans="1:49" s="70" customFormat="1" ht="38.25" hidden="1" customHeight="1" x14ac:dyDescent="0.2">
      <c r="A215" s="70" t="s">
        <v>88</v>
      </c>
      <c r="D215" s="74"/>
      <c r="G215" s="74"/>
      <c r="J215" s="74"/>
      <c r="M215" s="74"/>
      <c r="P215" s="74"/>
      <c r="S215" s="74"/>
      <c r="V215" s="74"/>
      <c r="Y215" s="74"/>
      <c r="AB215" s="74"/>
      <c r="AE215" s="74"/>
      <c r="AF215" s="73" t="s">
        <v>89</v>
      </c>
      <c r="AG215" s="70" t="s">
        <v>90</v>
      </c>
      <c r="AW215" s="154"/>
    </row>
    <row r="216" spans="1:49" s="70" customFormat="1" ht="12.75" hidden="1" customHeight="1" x14ac:dyDescent="0.2">
      <c r="A216" s="70" t="s">
        <v>91</v>
      </c>
      <c r="B216" s="70">
        <f>IF(B194=1,IF(B207=1,1,0),0)</f>
        <v>0</v>
      </c>
      <c r="D216" s="74">
        <f>IF(D194=1,IF(D207=1,1,0),0)</f>
        <v>0</v>
      </c>
      <c r="E216" s="70">
        <f>IF(E194=1,IF(E207=1,1,0),0)</f>
        <v>1</v>
      </c>
      <c r="G216" s="74">
        <f>IF(G194=1,IF(G207=1,1,0),0)</f>
        <v>0</v>
      </c>
      <c r="H216" s="70">
        <f>IF(H194=1,IF(H207=1,1,0),0)</f>
        <v>0</v>
      </c>
      <c r="J216" s="74">
        <f>IF(J194=1,IF(J207=1,1,0),0)</f>
        <v>0</v>
      </c>
      <c r="K216" s="70">
        <f>IF(K194=1,IF(K207=1,1,0),0)</f>
        <v>1</v>
      </c>
      <c r="M216" s="74">
        <f>IF(M194=1,IF(M207=1,1,0),0)</f>
        <v>0</v>
      </c>
      <c r="N216" s="70">
        <f>IF(N194=1,IF(N207=1,1,0),0)</f>
        <v>0</v>
      </c>
      <c r="P216" s="74">
        <f>IF(P194=1,IF(P207=1,1,0),0)</f>
        <v>0</v>
      </c>
      <c r="Q216" s="70">
        <f>IF(Q194=1,IF(Q207=1,1,0),0)</f>
        <v>0</v>
      </c>
      <c r="S216" s="74">
        <f>IF(S194=1,IF(S207=1,1,0),0)</f>
        <v>0</v>
      </c>
      <c r="T216" s="70">
        <f>IF(T194=1,IF(T207=1,1,0),0)</f>
        <v>0</v>
      </c>
      <c r="V216" s="74">
        <f>IF(V194=1,IF(V207=1,1,0),0)</f>
        <v>0</v>
      </c>
      <c r="W216" s="70">
        <f>IF(W194=1,IF(W207=1,1,0),0)</f>
        <v>0</v>
      </c>
      <c r="Y216" s="74">
        <f>IF(Y194=1,IF(Y207=1,1,0),0)</f>
        <v>0</v>
      </c>
      <c r="Z216" s="70">
        <f>IF(Z194=1,IF(Z207=1,1,0),0)</f>
        <v>0</v>
      </c>
      <c r="AB216" s="74">
        <f>IF(AB194=1,IF(AB207=1,1,0),0)</f>
        <v>0</v>
      </c>
      <c r="AC216" s="70">
        <f>IF(AC194=1,IF(AC207=1,1,0),0)</f>
        <v>0</v>
      </c>
      <c r="AE216" s="74">
        <f>IF(AE194=1,IF(AE207=1,1,0),0)</f>
        <v>0</v>
      </c>
      <c r="AF216" s="70">
        <f>SUM(B216:AE216)</f>
        <v>2</v>
      </c>
      <c r="AG216" s="70">
        <f>AF222-AF216</f>
        <v>1</v>
      </c>
      <c r="AW216" s="154"/>
    </row>
    <row r="217" spans="1:49" s="70" customFormat="1" ht="12.75" hidden="1" customHeight="1" x14ac:dyDescent="0.2">
      <c r="A217" s="70" t="s">
        <v>92</v>
      </c>
      <c r="B217" s="70">
        <f>IF(B194=2,IF(B207=1,1,0),0)</f>
        <v>1</v>
      </c>
      <c r="D217" s="74">
        <f>IF(D194=2,IF(D207=1,1,0),0)</f>
        <v>0</v>
      </c>
      <c r="E217" s="70">
        <f>IF(E194=2,IF(E207=1,1,0),0)</f>
        <v>0</v>
      </c>
      <c r="G217" s="74">
        <f>IF(G194=2,IF(G207=1,1,0),0)</f>
        <v>0</v>
      </c>
      <c r="H217" s="70">
        <f>IF(H194=2,IF(H207=1,1,0),0)</f>
        <v>0</v>
      </c>
      <c r="J217" s="74">
        <f>IF(J194=2,IF(J207=1,1,0),0)</f>
        <v>0</v>
      </c>
      <c r="K217" s="70">
        <f>IF(K194=2,IF(K207=1,1,0),0)</f>
        <v>0</v>
      </c>
      <c r="M217" s="74">
        <f>IF(M194=2,IF(M207=1,1,0),0)</f>
        <v>0</v>
      </c>
      <c r="N217" s="70">
        <f>IF(N194=2,IF(N207=1,1,0),0)</f>
        <v>0</v>
      </c>
      <c r="P217" s="74">
        <f>IF(P194=2,IF(P207=1,1,0),0)</f>
        <v>0</v>
      </c>
      <c r="Q217" s="70">
        <f>IF(Q194=2,IF(Q207=1,1,0),0)</f>
        <v>0</v>
      </c>
      <c r="S217" s="74">
        <f>IF(S194=2,IF(S207=1,1,0),0)</f>
        <v>1</v>
      </c>
      <c r="T217" s="70">
        <f>IF(T194=2,IF(T207=1,1,0),0)</f>
        <v>0</v>
      </c>
      <c r="V217" s="74">
        <f>IF(V194=2,IF(V207=1,1,0),0)</f>
        <v>0</v>
      </c>
      <c r="W217" s="70">
        <f>IF(W194=2,IF(W207=1,1,0),0)</f>
        <v>0</v>
      </c>
      <c r="Y217" s="74">
        <f>IF(Y194=2,IF(Y207=1,1,0),0)</f>
        <v>0</v>
      </c>
      <c r="Z217" s="70">
        <f>IF(Z194=2,IF(Z207=1,1,0),0)</f>
        <v>0</v>
      </c>
      <c r="AB217" s="74">
        <f>IF(AB194=2,IF(AB207=1,1,0),0)</f>
        <v>0</v>
      </c>
      <c r="AC217" s="70">
        <f>IF(AC194=2,IF(AC207=1,1,0),0)</f>
        <v>0</v>
      </c>
      <c r="AE217" s="74">
        <f>IF(AE194=2,IF(AE207=1,1,0),0)</f>
        <v>0</v>
      </c>
      <c r="AF217" s="70">
        <f>SUM(B217:AE217)</f>
        <v>2</v>
      </c>
      <c r="AG217" s="70">
        <f>AF223-AF217</f>
        <v>1</v>
      </c>
      <c r="AW217" s="154"/>
    </row>
    <row r="218" spans="1:49" s="70" customFormat="1" ht="12.75" hidden="1" customHeight="1" x14ac:dyDescent="0.2">
      <c r="A218" s="70" t="s">
        <v>93</v>
      </c>
      <c r="B218" s="70">
        <f>IF(B194=3,IF(B207=1,1,0),0)</f>
        <v>0</v>
      </c>
      <c r="D218" s="74">
        <f>IF(D194=3,IF(D207=1,1,0),0)</f>
        <v>0</v>
      </c>
      <c r="E218" s="70">
        <f>IF(E194=3,IF(E207=1,1,0),0)</f>
        <v>0</v>
      </c>
      <c r="G218" s="74">
        <f>IF(G194=3,IF(G207=1,1,0),0)</f>
        <v>0</v>
      </c>
      <c r="H218" s="70">
        <f>IF(H194=3,IF(H207=1,1,0),0)</f>
        <v>0</v>
      </c>
      <c r="J218" s="74">
        <f>IF(J194=3,IF(J207=1,1,0),0)</f>
        <v>0</v>
      </c>
      <c r="K218" s="70">
        <f>IF(K194=3,IF(K207=1,1,0),0)</f>
        <v>0</v>
      </c>
      <c r="M218" s="74">
        <f>IF(M194=3,IF(M207=1,1,0),0)</f>
        <v>0</v>
      </c>
      <c r="N218" s="70">
        <f>IF(N194=3,IF(N207=1,1,0),0)</f>
        <v>0</v>
      </c>
      <c r="P218" s="74">
        <f>IF(P194=3,IF(P207=1,1,0),0)</f>
        <v>0</v>
      </c>
      <c r="Q218" s="70">
        <f>IF(Q194=3,IF(Q207=1,1,0),0)</f>
        <v>0</v>
      </c>
      <c r="S218" s="74">
        <f>IF(S194=3,IF(S207=1,1,0),0)</f>
        <v>0</v>
      </c>
      <c r="T218" s="70">
        <f>IF(T194=3,IF(T207=1,1,0),0)</f>
        <v>0</v>
      </c>
      <c r="V218" s="74">
        <f>IF(V194=3,IF(V207=1,1,0),0)</f>
        <v>0</v>
      </c>
      <c r="W218" s="70">
        <f>IF(W194=3,IF(W207=1,1,0),0)</f>
        <v>0</v>
      </c>
      <c r="Y218" s="74">
        <f>IF(Y194=3,IF(Y207=1,1,0),0)</f>
        <v>0</v>
      </c>
      <c r="Z218" s="70">
        <f>IF(Z194=3,IF(Z207=1,1,0),0)</f>
        <v>0</v>
      </c>
      <c r="AB218" s="74">
        <f>IF(AB194=3,IF(AB207=1,1,0),0)</f>
        <v>0</v>
      </c>
      <c r="AC218" s="70">
        <f>IF(AC194=3,IF(AC207=1,1,0),0)</f>
        <v>0</v>
      </c>
      <c r="AE218" s="74">
        <f>IF(AE194=3,IF(AE207=1,1,0),0)</f>
        <v>0</v>
      </c>
      <c r="AF218" s="70">
        <f>SUM(B218:AE218)</f>
        <v>0</v>
      </c>
      <c r="AG218" s="70">
        <f>AF224-AF218</f>
        <v>3</v>
      </c>
      <c r="AW218" s="154"/>
    </row>
    <row r="219" spans="1:49" s="70" customFormat="1" ht="12.75" hidden="1" customHeight="1" x14ac:dyDescent="0.2">
      <c r="A219" s="70" t="s">
        <v>94</v>
      </c>
      <c r="B219" s="70">
        <f>IF(B194=4,IF(B207=1,1,0),0)</f>
        <v>0</v>
      </c>
      <c r="D219" s="74">
        <f>IF(D194=4,IF(D207=1,1,0),0)</f>
        <v>0</v>
      </c>
      <c r="E219" s="70">
        <f>IF(E194=4,IF(E207=1,1,0),0)</f>
        <v>0</v>
      </c>
      <c r="G219" s="74">
        <f>IF(G194=4,IF(G207=1,1,0),0)</f>
        <v>0</v>
      </c>
      <c r="H219" s="70">
        <f>IF(H194=4,IF(H207=1,1,0),0)</f>
        <v>0</v>
      </c>
      <c r="J219" s="74">
        <f>IF(J194=4,IF(J207=1,1,0),0)</f>
        <v>1</v>
      </c>
      <c r="K219" s="70">
        <f>IF(K194=4,IF(K207=1,1,0),0)</f>
        <v>0</v>
      </c>
      <c r="M219" s="74">
        <f>IF(M194=4,IF(M207=1,1,0),0)</f>
        <v>0</v>
      </c>
      <c r="N219" s="70">
        <f>IF(N194=4,IF(N207=1,1,0),0)</f>
        <v>0</v>
      </c>
      <c r="P219" s="74">
        <f>IF(P194=4,IF(P207=1,1,0),0)</f>
        <v>1</v>
      </c>
      <c r="Q219" s="70">
        <f>IF(Q194=4,IF(Q207=1,1,0),0)</f>
        <v>0</v>
      </c>
      <c r="S219" s="74">
        <f>IF(S194=4,IF(S207=1,1,0),0)</f>
        <v>0</v>
      </c>
      <c r="T219" s="70">
        <f>IF(T194=4,IF(T207=1,1,0),0)</f>
        <v>0</v>
      </c>
      <c r="V219" s="74">
        <f>IF(V194=4,IF(V207=1,1,0),0)</f>
        <v>0</v>
      </c>
      <c r="W219" s="70">
        <f>IF(W194=4,IF(W207=1,1,0),0)</f>
        <v>0</v>
      </c>
      <c r="Y219" s="74">
        <f>IF(Y194=4,IF(Y207=1,1,0),0)</f>
        <v>0</v>
      </c>
      <c r="Z219" s="70">
        <f>IF(Z194=4,IF(Z207=1,1,0),0)</f>
        <v>0</v>
      </c>
      <c r="AB219" s="74">
        <f>IF(AB194=4,IF(AB207=1,1,0),0)</f>
        <v>0</v>
      </c>
      <c r="AC219" s="70">
        <f>IF(AC194=4,IF(AC207=1,1,0),0)</f>
        <v>0</v>
      </c>
      <c r="AE219" s="74">
        <f>IF(AE194=4,IF(AE207=1,1,0),0)</f>
        <v>0</v>
      </c>
      <c r="AF219" s="70">
        <f>SUM(B219:AE219)</f>
        <v>2</v>
      </c>
      <c r="AG219" s="70">
        <f>AF225-AF219</f>
        <v>1</v>
      </c>
      <c r="AW219" s="154"/>
    </row>
    <row r="220" spans="1:49" s="70" customFormat="1" ht="12.75" hidden="1" customHeight="1" x14ac:dyDescent="0.2">
      <c r="A220" s="70" t="s">
        <v>95</v>
      </c>
      <c r="B220" s="70">
        <f>IF(B194=5,IF(B207=1,1,0),0)</f>
        <v>0</v>
      </c>
      <c r="D220" s="74">
        <f>IF(D194=5,IF(D207=1,1,0),0)</f>
        <v>0</v>
      </c>
      <c r="E220" s="70">
        <f>IF(E194=5,IF(E207=1,1,0),0)</f>
        <v>0</v>
      </c>
      <c r="G220" s="74">
        <f>IF(G194=5,IF(G207=1,1,0),0)</f>
        <v>0</v>
      </c>
      <c r="H220" s="70">
        <f>IF(H194=5,IF(H207=1,1,0),0)</f>
        <v>0</v>
      </c>
      <c r="J220" s="74">
        <f>IF(J194=5,IF(J207=1,1,0),0)</f>
        <v>0</v>
      </c>
      <c r="K220" s="70">
        <f>IF(K194=5,IF(K207=1,1,0),0)</f>
        <v>0</v>
      </c>
      <c r="M220" s="74">
        <f>IF(M194=5,IF(M207=1,1,0),0)</f>
        <v>0</v>
      </c>
      <c r="N220" s="70">
        <f>IF(N194=5,IF(N207=1,1,0),0)</f>
        <v>0</v>
      </c>
      <c r="P220" s="74">
        <f>IF(P194=5,IF(P207=1,1,0),0)</f>
        <v>0</v>
      </c>
      <c r="Q220" s="70">
        <f>IF(Q194=5,IF(Q207=1,1,0),0)</f>
        <v>0</v>
      </c>
      <c r="S220" s="74">
        <f>IF(S194=5,IF(S207=1,1,0),0)</f>
        <v>0</v>
      </c>
      <c r="T220" s="70">
        <f>IF(T194=5,IF(T207=1,1,0),0)</f>
        <v>0</v>
      </c>
      <c r="V220" s="74">
        <f>IF(V194=5,IF(V207=1,1,0),0)</f>
        <v>0</v>
      </c>
      <c r="W220" s="70">
        <f>IF(W194=5,IF(W207=1,1,0),0)</f>
        <v>0</v>
      </c>
      <c r="Y220" s="74">
        <f>IF(Y194=5,IF(Y207=1,1,0),0)</f>
        <v>0</v>
      </c>
      <c r="Z220" s="70">
        <f>IF(Z194=5,IF(Z207=1,1,0),0)</f>
        <v>0</v>
      </c>
      <c r="AB220" s="74">
        <f>IF(AB194=5,IF(AB207=1,1,0),0)</f>
        <v>0</v>
      </c>
      <c r="AC220" s="70">
        <f>IF(AC194=5,IF(AC207=1,1,0),0)</f>
        <v>0</v>
      </c>
      <c r="AE220" s="74">
        <f>IF(AE194=5,IF(AE207=1,1,0),0)</f>
        <v>0</v>
      </c>
      <c r="AF220" s="70">
        <f>SUM(B220:AE220)</f>
        <v>0</v>
      </c>
      <c r="AG220" s="70">
        <f>AF226-AF220</f>
        <v>0</v>
      </c>
      <c r="AW220" s="154"/>
    </row>
    <row r="221" spans="1:49" s="70" customFormat="1" ht="38.25" hidden="1" customHeight="1" x14ac:dyDescent="0.2">
      <c r="A221" s="73"/>
      <c r="D221" s="74"/>
      <c r="G221" s="74"/>
      <c r="J221" s="74"/>
      <c r="M221" s="74"/>
      <c r="P221" s="74"/>
      <c r="S221" s="74"/>
      <c r="V221" s="74"/>
      <c r="Y221" s="74"/>
      <c r="AB221" s="74"/>
      <c r="AE221" s="74"/>
      <c r="AF221" s="73" t="s">
        <v>96</v>
      </c>
      <c r="AW221" s="154"/>
    </row>
    <row r="222" spans="1:49" s="70" customFormat="1" ht="12.75" hidden="1" customHeight="1" x14ac:dyDescent="0.2">
      <c r="A222" s="70" t="s">
        <v>97</v>
      </c>
      <c r="B222" s="70">
        <f>IF(B194=1,IF(C207=1,1,0),0)</f>
        <v>0</v>
      </c>
      <c r="D222" s="74">
        <f>IF(D194=1,IF(C207=1,1,0),0)</f>
        <v>0</v>
      </c>
      <c r="E222" s="70">
        <f>IF(E194=1,IF(F207=1,1,0),0)</f>
        <v>1</v>
      </c>
      <c r="G222" s="74">
        <f>IF(G194=1,IF(F207=1,1,0),0)</f>
        <v>0</v>
      </c>
      <c r="H222" s="70">
        <f>IF(H194=1,IF(I207=1,1,0),0)</f>
        <v>0</v>
      </c>
      <c r="J222" s="74">
        <f>IF(J194=1,IF(I207=1,1,0),0)</f>
        <v>0</v>
      </c>
      <c r="K222" s="70">
        <f>IF(K194=1,IF(L207=1,1,0),0)</f>
        <v>1</v>
      </c>
      <c r="M222" s="74">
        <f>IF(M194=1,IF(L207=1,1,0),0)</f>
        <v>0</v>
      </c>
      <c r="N222" s="70">
        <f>IF(N194=1,IF(O207=1,1,0),0)</f>
        <v>0</v>
      </c>
      <c r="P222" s="74">
        <f>IF(P194=1,IF(O207=1,1,0),0)</f>
        <v>0</v>
      </c>
      <c r="Q222" s="70">
        <f>IF(Q194=1,IF(R207=1,1,0),0)</f>
        <v>1</v>
      </c>
      <c r="S222" s="74">
        <f>IF(S194=1,IF(R207=1,1,0),0)</f>
        <v>0</v>
      </c>
      <c r="T222" s="70">
        <f>IF(T194=1,IF(U207=1,1,0),0)</f>
        <v>0</v>
      </c>
      <c r="V222" s="74">
        <f>IF(V194=1,IF(U207=1,1,0),0)</f>
        <v>0</v>
      </c>
      <c r="W222" s="70">
        <f>IF(W194=1,IF(X207=1,1,0),0)</f>
        <v>0</v>
      </c>
      <c r="Y222" s="74">
        <f>IF(Y194=1,IF(X207=1,1,0),0)</f>
        <v>0</v>
      </c>
      <c r="Z222" s="70">
        <f>IF(Z194=1,IF(AA207=1,1,0),0)</f>
        <v>0</v>
      </c>
      <c r="AB222" s="74">
        <f>IF(AB194=1,IF(AA207=1,1,0),0)</f>
        <v>0</v>
      </c>
      <c r="AC222" s="70">
        <f>IF(AC194=1,IF(AD207=1,1,0),0)</f>
        <v>0</v>
      </c>
      <c r="AE222" s="74">
        <f>IF(AE194=1,IF(AD207=1,1,0),0)</f>
        <v>0</v>
      </c>
      <c r="AF222" s="70">
        <f>SUM(B222:AE222)</f>
        <v>3</v>
      </c>
      <c r="AW222" s="154"/>
    </row>
    <row r="223" spans="1:49" s="70" customFormat="1" ht="12.75" hidden="1" customHeight="1" x14ac:dyDescent="0.2">
      <c r="A223" s="70" t="s">
        <v>98</v>
      </c>
      <c r="B223" s="70">
        <f>IF(B194=2,IF(C207=1,1,0),0)</f>
        <v>1</v>
      </c>
      <c r="D223" s="74">
        <f>IF(D194=2,IF(C207=1,1,0),0)</f>
        <v>0</v>
      </c>
      <c r="E223" s="70">
        <f>IF(E194=2,IF(F207=1,1,0),0)</f>
        <v>0</v>
      </c>
      <c r="G223" s="74">
        <f>IF(G194=2,IF(F207=1,1,0),0)</f>
        <v>0</v>
      </c>
      <c r="H223" s="70">
        <f>IF(H194=2,IF(I207=1,1,0),0)</f>
        <v>1</v>
      </c>
      <c r="J223" s="74">
        <f>IF(J194=2,IF(I207=1,1,0),0)</f>
        <v>0</v>
      </c>
      <c r="K223" s="70">
        <f>IF(K194=2,IF(L207=1,1,0),0)</f>
        <v>0</v>
      </c>
      <c r="M223" s="74">
        <f>IF(M194=2,IF(L207=1,1,0),0)</f>
        <v>0</v>
      </c>
      <c r="N223" s="70">
        <f>IF(N194=2,IF(O207=1,1,0),0)</f>
        <v>0</v>
      </c>
      <c r="P223" s="74">
        <f>IF(P194=2,IF(O207=1,1,0),0)</f>
        <v>0</v>
      </c>
      <c r="Q223" s="70">
        <f>IF(Q194=2,IF(R207=1,1,0),0)</f>
        <v>0</v>
      </c>
      <c r="S223" s="74">
        <f>IF(S194=2,IF(R207=1,1,0),0)</f>
        <v>1</v>
      </c>
      <c r="T223" s="70">
        <f>IF(T194=2,IF(U207=1,1,0),0)</f>
        <v>0</v>
      </c>
      <c r="V223" s="74">
        <f>IF(V194=2,IF(U207=1,1,0),0)</f>
        <v>0</v>
      </c>
      <c r="W223" s="70">
        <f>IF(W194=2,IF(X207=1,1,0),0)</f>
        <v>0</v>
      </c>
      <c r="Y223" s="74">
        <f>IF(Y194=2,IF(X207=1,1,0),0)</f>
        <v>0</v>
      </c>
      <c r="Z223" s="70">
        <f>IF(Z194=2,IF(AA207=1,1,0),0)</f>
        <v>0</v>
      </c>
      <c r="AB223" s="74">
        <f>IF(AB194=2,IF(AA207=1,1,0),0)</f>
        <v>0</v>
      </c>
      <c r="AC223" s="70">
        <f>IF(AC194=2,IF(AD207=1,1,0),0)</f>
        <v>0</v>
      </c>
      <c r="AE223" s="74">
        <f>IF(AE194=2,IF(AD207=1,1,0),0)</f>
        <v>0</v>
      </c>
      <c r="AF223" s="70">
        <f>SUM(B223:AE223)</f>
        <v>3</v>
      </c>
      <c r="AW223" s="154"/>
    </row>
    <row r="224" spans="1:49" s="70" customFormat="1" ht="12.75" hidden="1" customHeight="1" x14ac:dyDescent="0.2">
      <c r="A224" s="70" t="s">
        <v>99</v>
      </c>
      <c r="B224" s="70">
        <f>IF(B194=3,IF(C207=1,1,0),0)</f>
        <v>0</v>
      </c>
      <c r="D224" s="74">
        <f>IF(D194=3,IF(C207=1,1,0),0)</f>
        <v>1</v>
      </c>
      <c r="E224" s="70">
        <f>IF(E194=3,IF(F207=1,1,0),0)</f>
        <v>0</v>
      </c>
      <c r="G224" s="74">
        <f>IF(G194=3,IF(F207=1,1,0),0)</f>
        <v>0</v>
      </c>
      <c r="H224" s="70">
        <f>IF(H194=3,IF(I207=1,1,0),0)</f>
        <v>0</v>
      </c>
      <c r="J224" s="74">
        <f>IF(J194=3,IF(I207=1,1,0),0)</f>
        <v>0</v>
      </c>
      <c r="K224" s="70">
        <f>IF(K194=3,IF(L207=1,1,0),0)</f>
        <v>0</v>
      </c>
      <c r="M224" s="74">
        <f>IF(M194=3,IF(L207=1,1,0),0)</f>
        <v>1</v>
      </c>
      <c r="N224" s="70">
        <f>IF(N194=3,IF(O207=1,1,0),0)</f>
        <v>1</v>
      </c>
      <c r="P224" s="74">
        <f>IF(P194=3,IF(O207=1,1,0),0)</f>
        <v>0</v>
      </c>
      <c r="Q224" s="70">
        <f>IF(Q194=3,IF(R207=1,1,0),0)</f>
        <v>0</v>
      </c>
      <c r="S224" s="74">
        <f>IF(S194=3,IF(R207=1,1,0),0)</f>
        <v>0</v>
      </c>
      <c r="T224" s="70">
        <f>IF(T194=3,IF(U207=1,1,0),0)</f>
        <v>0</v>
      </c>
      <c r="V224" s="74">
        <f>IF(V194=3,IF(U207=1,1,0),0)</f>
        <v>0</v>
      </c>
      <c r="W224" s="70">
        <f>IF(W194=3,IF(X207=1,1,0),0)</f>
        <v>0</v>
      </c>
      <c r="Y224" s="74">
        <f>IF(Y194=3,IF(X207=1,1,0),0)</f>
        <v>0</v>
      </c>
      <c r="Z224" s="70">
        <f>IF(Z194=3,IF(AA207=1,1,0),0)</f>
        <v>0</v>
      </c>
      <c r="AB224" s="74">
        <f>IF(AB194=3,IF(AA207=1,1,0),0)</f>
        <v>0</v>
      </c>
      <c r="AC224" s="70">
        <f>IF(AC194=3,IF(AD207=1,1,0),0)</f>
        <v>0</v>
      </c>
      <c r="AE224" s="74">
        <f>IF(AE194=3,IF(AD207=1,1,0),0)</f>
        <v>0</v>
      </c>
      <c r="AF224" s="70">
        <f>SUM(B224:AE224)</f>
        <v>3</v>
      </c>
      <c r="AW224" s="154"/>
    </row>
    <row r="225" spans="1:49" s="70" customFormat="1" ht="12.75" hidden="1" customHeight="1" x14ac:dyDescent="0.2">
      <c r="A225" s="70" t="s">
        <v>100</v>
      </c>
      <c r="B225" s="70">
        <f>IF(B194=4,IF(C207=1,1,0),0)</f>
        <v>0</v>
      </c>
      <c r="D225" s="74">
        <f>IF(D194=4,IF(C207=1,1,0),0)</f>
        <v>0</v>
      </c>
      <c r="E225" s="70">
        <f>IF(E194=4,IF(F207=1,1,0),0)</f>
        <v>0</v>
      </c>
      <c r="G225" s="74">
        <f>IF(G194=4,IF(F207=1,1,0),0)</f>
        <v>1</v>
      </c>
      <c r="H225" s="70">
        <f>IF(H194=4,IF(I207=1,1,0),0)</f>
        <v>0</v>
      </c>
      <c r="J225" s="74">
        <f>IF(J194=4,IF(I207=1,1,0),0)</f>
        <v>1</v>
      </c>
      <c r="K225" s="70">
        <f>IF(K194=4,IF(L207=1,1,0),0)</f>
        <v>0</v>
      </c>
      <c r="M225" s="74">
        <f>IF(M194=4,IF(L207=1,1,0),0)</f>
        <v>0</v>
      </c>
      <c r="N225" s="70">
        <f>IF(N194=4,IF(O207=1,1,0),0)</f>
        <v>0</v>
      </c>
      <c r="P225" s="74">
        <f>IF(P194=4,IF(O207=1,1,0),0)</f>
        <v>1</v>
      </c>
      <c r="Q225" s="70">
        <f>IF(Q194=4,IF(R207=1,1,0),0)</f>
        <v>0</v>
      </c>
      <c r="S225" s="74">
        <f>IF(S194=4,IF(R207=1,1,0),0)</f>
        <v>0</v>
      </c>
      <c r="T225" s="70">
        <f>IF(T194=4,IF(U207=1,1,0),0)</f>
        <v>0</v>
      </c>
      <c r="V225" s="74">
        <f>IF(V194=4,IF(U207=1,1,0),0)</f>
        <v>0</v>
      </c>
      <c r="W225" s="70">
        <f>IF(W194=4,IF(X207=1,1,0),0)</f>
        <v>0</v>
      </c>
      <c r="Y225" s="74">
        <f>IF(Y194=4,IF(X207=1,1,0),0)</f>
        <v>0</v>
      </c>
      <c r="Z225" s="70">
        <f>IF(Z194=4,IF(AA207=1,1,0),0)</f>
        <v>0</v>
      </c>
      <c r="AB225" s="74">
        <f>IF(AB194=4,IF(AA207=1,1,0),0)</f>
        <v>0</v>
      </c>
      <c r="AC225" s="70">
        <f>IF(AC194=4,IF(AD207=1,1,0),0)</f>
        <v>0</v>
      </c>
      <c r="AE225" s="74">
        <f>IF(AE194=4,IF(AD207=1,1,0),0)</f>
        <v>0</v>
      </c>
      <c r="AF225" s="70">
        <f>SUM(B225:AE225)</f>
        <v>3</v>
      </c>
      <c r="AW225" s="154"/>
    </row>
    <row r="226" spans="1:49" s="70" customFormat="1" ht="12.75" hidden="1" customHeight="1" x14ac:dyDescent="0.2">
      <c r="A226" s="70" t="s">
        <v>101</v>
      </c>
      <c r="B226" s="70">
        <f>IF(B194=5,IF(C207=1,1,0),0)</f>
        <v>0</v>
      </c>
      <c r="D226" s="74">
        <f>IF(D194=5,IF(C207=1,1,0),0)</f>
        <v>0</v>
      </c>
      <c r="E226" s="70">
        <f>IF(E194=5,IF(F207=1,1,0),0)</f>
        <v>0</v>
      </c>
      <c r="G226" s="74">
        <f>IF(G194=5,IF(F207=1,1,0),0)</f>
        <v>0</v>
      </c>
      <c r="H226" s="70">
        <f>IF(H194=5,IF(I207=1,1,0),0)</f>
        <v>0</v>
      </c>
      <c r="J226" s="74">
        <f>IF(J194=5,IF(I207=1,1,0),0)</f>
        <v>0</v>
      </c>
      <c r="K226" s="70">
        <f>IF(K194=5,IF(L207=1,1,0),0)</f>
        <v>0</v>
      </c>
      <c r="M226" s="74">
        <f>IF(M194=5,IF(L207=1,1,0),0)</f>
        <v>0</v>
      </c>
      <c r="N226" s="70">
        <f>IF(N194=5,IF(O207=1,1,0),0)</f>
        <v>0</v>
      </c>
      <c r="P226" s="74">
        <f>IF(P194=5,IF(O207=1,1,0),0)</f>
        <v>0</v>
      </c>
      <c r="Q226" s="70">
        <f>IF(Q194=5,IF(R207=1,1,0),0)</f>
        <v>0</v>
      </c>
      <c r="S226" s="74">
        <f>IF(S194=5,IF(R207=1,1,0),0)</f>
        <v>0</v>
      </c>
      <c r="T226" s="70">
        <f>IF(T194=5,IF(U207=1,1,0),0)</f>
        <v>0</v>
      </c>
      <c r="V226" s="74">
        <f>IF(V194=5,IF(U207=1,1,0),0)</f>
        <v>0</v>
      </c>
      <c r="W226" s="70">
        <f>IF(W194=5,IF(X207=1,1,0),0)</f>
        <v>0</v>
      </c>
      <c r="Y226" s="74">
        <f>IF(Y194=5,IF(X207=1,1,0),0)</f>
        <v>0</v>
      </c>
      <c r="Z226" s="70">
        <f>IF(Z194=5,IF(AA207=1,1,0),0)</f>
        <v>0</v>
      </c>
      <c r="AB226" s="74">
        <f>IF(AB194=5,IF(AA207=1,1,0),0)</f>
        <v>0</v>
      </c>
      <c r="AC226" s="70">
        <f>IF(AC194=5,IF(AD207=1,1,0),0)</f>
        <v>0</v>
      </c>
      <c r="AE226" s="74">
        <f>IF(AE194=5,IF(AD207=1,1,0),0)</f>
        <v>0</v>
      </c>
      <c r="AF226" s="70">
        <f>SUM(B226:AE226)</f>
        <v>0</v>
      </c>
      <c r="AW226" s="154"/>
    </row>
    <row r="227" spans="1:49" s="70" customFormat="1" ht="38.25" hidden="1" customHeight="1" x14ac:dyDescent="0.2">
      <c r="A227" s="73"/>
      <c r="D227" s="74"/>
      <c r="G227" s="74"/>
      <c r="J227" s="74"/>
      <c r="M227" s="74"/>
      <c r="P227" s="74"/>
      <c r="S227" s="74"/>
      <c r="V227" s="74"/>
      <c r="Y227" s="74"/>
      <c r="AB227" s="74"/>
      <c r="AE227" s="74"/>
      <c r="AF227" s="73" t="s">
        <v>102</v>
      </c>
      <c r="AG227" s="280"/>
      <c r="AH227" s="280"/>
      <c r="AI227" s="280"/>
      <c r="AJ227" s="280"/>
      <c r="AK227" s="280"/>
      <c r="AW227" s="154"/>
    </row>
    <row r="228" spans="1:49" s="70" customFormat="1" ht="12.75" hidden="1" customHeight="1" x14ac:dyDescent="0.2">
      <c r="A228" s="70" t="s">
        <v>97</v>
      </c>
      <c r="B228" s="70">
        <f>IF(B194=1,B214,0)</f>
        <v>0</v>
      </c>
      <c r="D228" s="74">
        <f>IF(D194=1,B214,0)</f>
        <v>0</v>
      </c>
      <c r="E228" s="70">
        <f>IF(E194=1,E214,0)</f>
        <v>65</v>
      </c>
      <c r="G228" s="74">
        <f>IF(G194=1,E214,0)</f>
        <v>0</v>
      </c>
      <c r="H228" s="70">
        <f>IF(H194=1,H214,0)</f>
        <v>0</v>
      </c>
      <c r="J228" s="74">
        <f>IF(J194=1,H214,0)</f>
        <v>0</v>
      </c>
      <c r="K228" s="70">
        <f>IF(K194=1,K214,0)</f>
        <v>50</v>
      </c>
      <c r="M228" s="74">
        <f>IF(M194=1,K214,0)</f>
        <v>0</v>
      </c>
      <c r="N228" s="70">
        <f>IF(N194=1,N214,0)</f>
        <v>0</v>
      </c>
      <c r="P228" s="74">
        <f>IF(P194=1,N214,0)</f>
        <v>0</v>
      </c>
      <c r="Q228" s="70">
        <f>IF(Q194=1,Q214,0)</f>
        <v>65</v>
      </c>
      <c r="S228" s="74">
        <f>IF(S194=1,Q214,0)</f>
        <v>0</v>
      </c>
      <c r="T228" s="70">
        <f>IF(T194=1,T214,0)</f>
        <v>0</v>
      </c>
      <c r="V228" s="74">
        <f>IF(V194=1,T214,0)</f>
        <v>0</v>
      </c>
      <c r="W228" s="70">
        <f>IF(W194=1,W214,0)</f>
        <v>0</v>
      </c>
      <c r="Y228" s="74">
        <f>IF(Y194=1,W214,0)</f>
        <v>0</v>
      </c>
      <c r="Z228" s="70">
        <f>IF(Z194=1,Z214,0)</f>
        <v>0</v>
      </c>
      <c r="AB228" s="74">
        <f>IF(AB194=1,Z214,0)</f>
        <v>0</v>
      </c>
      <c r="AC228" s="70">
        <f>IF(AC194=1,AC214,0)</f>
        <v>0</v>
      </c>
      <c r="AE228" s="74">
        <f>IF(AE194=1,AC214,0)</f>
        <v>0</v>
      </c>
      <c r="AF228" s="70">
        <f>SUM(B228:AE228)</f>
        <v>180</v>
      </c>
      <c r="AW228" s="154"/>
    </row>
    <row r="229" spans="1:49" s="70" customFormat="1" ht="12.75" hidden="1" customHeight="1" x14ac:dyDescent="0.2">
      <c r="A229" s="70" t="s">
        <v>98</v>
      </c>
      <c r="B229" s="70">
        <f>IF(B194=2,B214,0)</f>
        <v>65</v>
      </c>
      <c r="D229" s="74">
        <f>IF(D194=2,B214,0)</f>
        <v>0</v>
      </c>
      <c r="E229" s="70">
        <f>IF(E194=2,E214,0)</f>
        <v>0</v>
      </c>
      <c r="G229" s="74">
        <f>IF(G194=2,E214,0)</f>
        <v>0</v>
      </c>
      <c r="H229" s="70">
        <f>IF(H194=2,H214,0)</f>
        <v>50</v>
      </c>
      <c r="J229" s="74">
        <f>IF(J194=2,H214,0)</f>
        <v>0</v>
      </c>
      <c r="K229" s="70">
        <f>IF(K194=2,K214,0)</f>
        <v>0</v>
      </c>
      <c r="M229" s="74">
        <f>IF(M194=2,K214,0)</f>
        <v>0</v>
      </c>
      <c r="N229" s="70">
        <f>IF(N194=2,N214,0)</f>
        <v>0</v>
      </c>
      <c r="P229" s="74">
        <f>IF(P194=2,N214,0)</f>
        <v>0</v>
      </c>
      <c r="Q229" s="70">
        <f>IF(Q194=2,Q214,0)</f>
        <v>0</v>
      </c>
      <c r="S229" s="74">
        <f>IF(S194=2,Q214,0)</f>
        <v>65</v>
      </c>
      <c r="T229" s="70">
        <f>IF(T194=2,T214,0)</f>
        <v>0</v>
      </c>
      <c r="V229" s="74">
        <f>IF(V194=2,T214,0)</f>
        <v>0</v>
      </c>
      <c r="W229" s="70">
        <f>IF(W194=2,W214,0)</f>
        <v>0</v>
      </c>
      <c r="Y229" s="74">
        <f>IF(Y194=2,W214,0)</f>
        <v>0</v>
      </c>
      <c r="Z229" s="70">
        <f>IF(Z194=2,Z214,0)</f>
        <v>0</v>
      </c>
      <c r="AB229" s="74">
        <f>IF(AB194=2,Z214,0)</f>
        <v>0</v>
      </c>
      <c r="AC229" s="70">
        <f>IF(AC194=2,AC214,0)</f>
        <v>0</v>
      </c>
      <c r="AE229" s="74">
        <f>IF(AE194=2,AC214,0)</f>
        <v>0</v>
      </c>
      <c r="AF229" s="70">
        <f>SUM(B229:AE229)</f>
        <v>180</v>
      </c>
      <c r="AW229" s="154"/>
    </row>
    <row r="230" spans="1:49" s="70" customFormat="1" ht="12.75" hidden="1" customHeight="1" x14ac:dyDescent="0.2">
      <c r="A230" s="70" t="s">
        <v>99</v>
      </c>
      <c r="B230" s="70">
        <f>IF(B194=3,B214,0)</f>
        <v>0</v>
      </c>
      <c r="D230" s="74">
        <f>IF(D194=3,B214,0)</f>
        <v>65</v>
      </c>
      <c r="E230" s="70">
        <f>IF(E194=3,E214,0)</f>
        <v>0</v>
      </c>
      <c r="G230" s="74">
        <f>IF(G194=3,E214,0)</f>
        <v>0</v>
      </c>
      <c r="H230" s="70">
        <f>IF(H194=3,H214,0)</f>
        <v>0</v>
      </c>
      <c r="J230" s="74">
        <f>IF(J194=3,H214,0)</f>
        <v>0</v>
      </c>
      <c r="K230" s="70">
        <f>IF(K194=3,K214,0)</f>
        <v>0</v>
      </c>
      <c r="M230" s="74">
        <f>IF(M194=3,K214,0)</f>
        <v>50</v>
      </c>
      <c r="N230" s="70">
        <f>IF(N194=3,N214,0)</f>
        <v>65</v>
      </c>
      <c r="P230" s="74">
        <f>IF(P194=3,N214,0)</f>
        <v>0</v>
      </c>
      <c r="Q230" s="70">
        <f>IF(Q194=3,Q214,0)</f>
        <v>0</v>
      </c>
      <c r="S230" s="74">
        <f>IF(S194=3,Q214,0)</f>
        <v>0</v>
      </c>
      <c r="T230" s="70">
        <f>IF(T194=3,T214,0)</f>
        <v>0</v>
      </c>
      <c r="V230" s="74">
        <f>IF(V194=3,T214,0)</f>
        <v>0</v>
      </c>
      <c r="W230" s="70">
        <f>IF(W194=3,W214,0)</f>
        <v>0</v>
      </c>
      <c r="Y230" s="74">
        <f>IF(Y194=3,W214,0)</f>
        <v>0</v>
      </c>
      <c r="Z230" s="70">
        <f>IF(Z194=3,Z214,0)</f>
        <v>0</v>
      </c>
      <c r="AB230" s="74">
        <f>IF(AB194=3,Z214,0)</f>
        <v>0</v>
      </c>
      <c r="AC230" s="70">
        <f>IF(AC194=3,AC214,0)</f>
        <v>0</v>
      </c>
      <c r="AE230" s="74">
        <f>IF(AE194=3,AC214,0)</f>
        <v>0</v>
      </c>
      <c r="AF230" s="70">
        <f>SUM(B230:AE230)</f>
        <v>180</v>
      </c>
      <c r="AW230" s="154"/>
    </row>
    <row r="231" spans="1:49" s="70" customFormat="1" ht="12.75" hidden="1" customHeight="1" x14ac:dyDescent="0.2">
      <c r="A231" s="70" t="s">
        <v>100</v>
      </c>
      <c r="B231" s="70">
        <f>IF(B194=4,B214,0)</f>
        <v>0</v>
      </c>
      <c r="D231" s="74">
        <f>IF(D194=4,B214,0)</f>
        <v>0</v>
      </c>
      <c r="E231" s="70">
        <f>IF(E194=4,E214,0)</f>
        <v>0</v>
      </c>
      <c r="G231" s="74">
        <f>IF(G194=4,E214,0)</f>
        <v>65</v>
      </c>
      <c r="H231" s="70">
        <f>IF(H194=4,H214,0)</f>
        <v>0</v>
      </c>
      <c r="J231" s="74">
        <f>IF(J194=4,H214,0)</f>
        <v>50</v>
      </c>
      <c r="K231" s="70">
        <f>IF(K194=4,K214,0)</f>
        <v>0</v>
      </c>
      <c r="M231" s="74">
        <f>IF(M194=4,K214,0)</f>
        <v>0</v>
      </c>
      <c r="N231" s="70">
        <f>IF(N194=4,N214,0)</f>
        <v>0</v>
      </c>
      <c r="P231" s="74">
        <f>IF(P194=4,N214,0)</f>
        <v>65</v>
      </c>
      <c r="Q231" s="70">
        <f>IF(Q194=4,Q214,0)</f>
        <v>0</v>
      </c>
      <c r="S231" s="74">
        <f>IF(S194=4,Q214,0)</f>
        <v>0</v>
      </c>
      <c r="T231" s="70">
        <f>IF(T194=4,T214,0)</f>
        <v>0</v>
      </c>
      <c r="V231" s="74">
        <f>IF(V194=4,T214,0)</f>
        <v>0</v>
      </c>
      <c r="W231" s="70">
        <f>IF(W194=4,W214,0)</f>
        <v>0</v>
      </c>
      <c r="Y231" s="74">
        <f>IF(Y194=4,W214,0)</f>
        <v>0</v>
      </c>
      <c r="Z231" s="70">
        <f>IF(Z194=4,Z214,0)</f>
        <v>0</v>
      </c>
      <c r="AB231" s="74">
        <f>IF(AB194=4,Z214,0)</f>
        <v>0</v>
      </c>
      <c r="AC231" s="70">
        <f>IF(AC194=4,AC214,0)</f>
        <v>0</v>
      </c>
      <c r="AE231" s="74">
        <f>IF(AE194=4,AC214,0)</f>
        <v>0</v>
      </c>
      <c r="AF231" s="70">
        <f>SUM(B231:AE231)</f>
        <v>180</v>
      </c>
      <c r="AW231" s="154"/>
    </row>
    <row r="232" spans="1:49" s="70" customFormat="1" ht="12.75" hidden="1" customHeight="1" x14ac:dyDescent="0.2">
      <c r="A232" s="70" t="s">
        <v>101</v>
      </c>
      <c r="B232" s="70">
        <f>IF(B194=5,B214,0)</f>
        <v>0</v>
      </c>
      <c r="D232" s="74">
        <f>IF(D194=5,B214,0)</f>
        <v>0</v>
      </c>
      <c r="E232" s="70">
        <f>IF(E194=5,E214,0)</f>
        <v>0</v>
      </c>
      <c r="G232" s="74">
        <f>IF(G194=5,E214,0)</f>
        <v>0</v>
      </c>
      <c r="H232" s="70">
        <f>IF(H194=5,H214,0)</f>
        <v>0</v>
      </c>
      <c r="J232" s="74">
        <f>IF(J194=5,H214,0)</f>
        <v>0</v>
      </c>
      <c r="K232" s="70">
        <f>IF(K194=5,K214,0)</f>
        <v>0</v>
      </c>
      <c r="M232" s="74">
        <f>IF(M194=5,K214,0)</f>
        <v>0</v>
      </c>
      <c r="N232" s="70">
        <f>IF(N194=5,N214,0)</f>
        <v>0</v>
      </c>
      <c r="P232" s="74">
        <f>IF(P194=5,N214,0)</f>
        <v>0</v>
      </c>
      <c r="Q232" s="70">
        <f>IF(Q194=5,Q214,0)</f>
        <v>0</v>
      </c>
      <c r="S232" s="74">
        <f>IF(S194=5,Q214,0)</f>
        <v>0</v>
      </c>
      <c r="T232" s="70">
        <f>IF(T194=5,T214,0)</f>
        <v>0</v>
      </c>
      <c r="V232" s="74">
        <f>IF(V194=5,T214,0)</f>
        <v>0</v>
      </c>
      <c r="W232" s="70">
        <f>IF(W194=5,W214,0)</f>
        <v>0</v>
      </c>
      <c r="Y232" s="74">
        <f>IF(Y194=5,W214,0)</f>
        <v>0</v>
      </c>
      <c r="Z232" s="70">
        <f>IF(Z194=5,Z214,0)</f>
        <v>0</v>
      </c>
      <c r="AB232" s="74">
        <f>IF(AB194=5,Z214,0)</f>
        <v>0</v>
      </c>
      <c r="AC232" s="70">
        <f>IF(AC194=5,AC214,0)</f>
        <v>0</v>
      </c>
      <c r="AE232" s="74">
        <f>IF(AE194=5,AC214,0)</f>
        <v>0</v>
      </c>
      <c r="AF232" s="70">
        <f>SUM(B232:AE232)</f>
        <v>0</v>
      </c>
      <c r="AW232" s="154"/>
    </row>
    <row r="233" spans="1:49" s="70" customFormat="1" ht="38.25" hidden="1" customHeight="1" x14ac:dyDescent="0.2">
      <c r="A233" s="70" t="s">
        <v>103</v>
      </c>
      <c r="D233" s="74"/>
      <c r="G233" s="74"/>
      <c r="J233" s="74"/>
      <c r="M233" s="74"/>
      <c r="P233" s="74"/>
      <c r="S233" s="74"/>
      <c r="V233" s="74"/>
      <c r="Y233" s="74"/>
      <c r="AB233" s="74"/>
      <c r="AE233" s="74"/>
      <c r="AF233" s="73" t="s">
        <v>104</v>
      </c>
      <c r="AG233" s="70" t="s">
        <v>105</v>
      </c>
      <c r="AW233" s="154"/>
    </row>
    <row r="234" spans="1:49" s="70" customFormat="1" ht="12.75" hidden="1" customHeight="1" x14ac:dyDescent="0.2">
      <c r="A234" s="70" t="s">
        <v>91</v>
      </c>
      <c r="B234" s="70">
        <f>IF(B194=1,SUMIF(B201:B205,"&gt;0"),0)</f>
        <v>0</v>
      </c>
      <c r="D234" s="74">
        <f>IF(D194=1,SUMIF(D201:D205,"&gt;0"),0)</f>
        <v>0</v>
      </c>
      <c r="E234" s="70">
        <f>IF(E194=1,SUMIF(E201:E205,"&gt;0"),0)</f>
        <v>2</v>
      </c>
      <c r="G234" s="74">
        <f>IF(G194=1,SUMIF(G201:G205,"&gt;0"),0)</f>
        <v>0</v>
      </c>
      <c r="H234" s="70">
        <f>IF(H194=1,SUMIF(H201:H205,"&gt;0"),0)</f>
        <v>0</v>
      </c>
      <c r="J234" s="74">
        <f>IF(J194=1,SUMIF(J201:J205,"&gt;0"),0)</f>
        <v>0</v>
      </c>
      <c r="K234" s="70">
        <f>IF(K194=1,SUMIF(K201:K205,"&gt;0"),0)</f>
        <v>2</v>
      </c>
      <c r="M234" s="74">
        <f>IF(M194=1,SUMIF(M201:M205,"&gt;0"),0)</f>
        <v>0</v>
      </c>
      <c r="N234" s="70">
        <f>IF(N194=1,SUMIF(N201:N205,"&gt;0"),0)</f>
        <v>0</v>
      </c>
      <c r="P234" s="74">
        <f>IF(P194=1,SUMIF(P201:P205,"&gt;0"),0)</f>
        <v>0</v>
      </c>
      <c r="Q234" s="70">
        <f>IF(Q194=1,SUMIF(Q201:Q205,"&gt;0"),0)</f>
        <v>1</v>
      </c>
      <c r="S234" s="74">
        <f>IF(S194=1,SUMIF(S201:S205,"&gt;0"),0)</f>
        <v>0</v>
      </c>
      <c r="T234" s="70">
        <f>IF(T194=1,SUMIF(T201:T205,"&gt;0"),0)</f>
        <v>0</v>
      </c>
      <c r="V234" s="74">
        <f>IF(V194=1,SUMIF(V201:V205,"&gt;0"),0)</f>
        <v>0</v>
      </c>
      <c r="W234" s="70">
        <f>IF(W194=1,SUMIF(W201:W205,"&gt;0"),0)</f>
        <v>0</v>
      </c>
      <c r="Y234" s="74">
        <f>IF(Y194=1,SUMIF(Y201:Y205,"&gt;0"),0)</f>
        <v>0</v>
      </c>
      <c r="Z234" s="70">
        <f>IF(Z194=1,SUMIF(Z201:Z205,"&gt;0"),0)</f>
        <v>0</v>
      </c>
      <c r="AB234" s="74">
        <f>IF(AB194=1,SUMIF(AB201:AB205,"&gt;0"),0)</f>
        <v>0</v>
      </c>
      <c r="AC234" s="70">
        <f>IF(AC194=1,SUMIF(AC201:AC205,"&gt;0"),0)</f>
        <v>0</v>
      </c>
      <c r="AE234" s="74">
        <f>IF(AE194=1,SUMIF(AE201:AE205,"&gt;0"),0)</f>
        <v>0</v>
      </c>
      <c r="AF234" s="70">
        <f>SUM(B234:AE234)</f>
        <v>5</v>
      </c>
      <c r="AG234" s="70">
        <f>AF242-AF234</f>
        <v>3</v>
      </c>
      <c r="AW234" s="154"/>
    </row>
    <row r="235" spans="1:49" s="70" customFormat="1" ht="12.75" hidden="1" customHeight="1" x14ac:dyDescent="0.2">
      <c r="A235" s="70" t="s">
        <v>92</v>
      </c>
      <c r="B235" s="70">
        <f>IF(B194=2,SUMIF(B201:B205,"&gt;0"),0)</f>
        <v>2</v>
      </c>
      <c r="D235" s="74">
        <f>IF(D194=2,SUMIF(D201:D205,"&gt;0"),0)</f>
        <v>0</v>
      </c>
      <c r="E235" s="70">
        <f>IF(E194=2,SUMIF(E201:E205,"&gt;0"),0)</f>
        <v>0</v>
      </c>
      <c r="G235" s="74">
        <f>IF(G194=2,SUMIF(G201:G205,"&gt;0"),0)</f>
        <v>0</v>
      </c>
      <c r="H235" s="70">
        <f>IF(H194=2,SUMIF(H201:H205,"&gt;0"),0)</f>
        <v>0</v>
      </c>
      <c r="J235" s="74">
        <f>IF(J194=2,SUMIF(J201:J205,"&gt;0"),0)</f>
        <v>0</v>
      </c>
      <c r="K235" s="70">
        <f>IF(K194=2,SUMIF(K201:K205,"&gt;0"),0)</f>
        <v>0</v>
      </c>
      <c r="M235" s="74">
        <f>IF(M194=2,SUMIF(M201:M205,"&gt;0"),0)</f>
        <v>0</v>
      </c>
      <c r="N235" s="70">
        <f>IF(N194=2,SUMIF(N201:N205,"&gt;0"),0)</f>
        <v>0</v>
      </c>
      <c r="P235" s="74">
        <f>IF(P194=2,SUMIF(P201:P205,"&gt;0"),0)</f>
        <v>0</v>
      </c>
      <c r="Q235" s="70">
        <f>IF(Q194=2,SUMIF(Q201:Q205,"&gt;0"),0)</f>
        <v>0</v>
      </c>
      <c r="S235" s="74">
        <f>IF(S194=2,SUMIF(S201:S205,"&gt;0"),0)</f>
        <v>2</v>
      </c>
      <c r="T235" s="70">
        <f>IF(T194=2,SUMIF(T201:T205,"&gt;0"),0)</f>
        <v>0</v>
      </c>
      <c r="V235" s="74">
        <f>IF(V194=2,SUMIF(V201:V205,"&gt;0"),0)</f>
        <v>0</v>
      </c>
      <c r="W235" s="70">
        <f>IF(W194=2,SUMIF(W201:W205,"&gt;0"),0)</f>
        <v>0</v>
      </c>
      <c r="Y235" s="74">
        <f>IF(Y194=2,SUMIF(Y201:Y205,"&gt;0"),0)</f>
        <v>0</v>
      </c>
      <c r="Z235" s="70">
        <f>IF(Z194=2,SUMIF(Z201:Z205,"&gt;0"),0)</f>
        <v>0</v>
      </c>
      <c r="AB235" s="74">
        <f>IF(AB194=2,SUMIF(AB201:AB205,"&gt;0"),0)</f>
        <v>0</v>
      </c>
      <c r="AC235" s="70">
        <f>IF(AC194=2,SUMIF(AC201:AC205,"&gt;0"),0)</f>
        <v>0</v>
      </c>
      <c r="AE235" s="74">
        <f>IF(AE194=2,SUMIF(AE201:AE205,"&gt;0"),0)</f>
        <v>0</v>
      </c>
      <c r="AF235" s="70">
        <f>SUM(B235:AE235)</f>
        <v>4</v>
      </c>
      <c r="AG235" s="70">
        <f>AF243-AF235</f>
        <v>4</v>
      </c>
      <c r="AW235" s="154"/>
    </row>
    <row r="236" spans="1:49" s="70" customFormat="1" ht="12.75" hidden="1" customHeight="1" x14ac:dyDescent="0.2">
      <c r="A236" s="70" t="s">
        <v>93</v>
      </c>
      <c r="B236" s="70">
        <f>IF(B194=3,SUMIF(B201:B205,"&gt;0"),0)</f>
        <v>0</v>
      </c>
      <c r="D236" s="74">
        <f>IF(D194=3,SUMIF(D201:D205,"&gt;0"),0)</f>
        <v>1</v>
      </c>
      <c r="E236" s="70">
        <f>IF(E194=3,SUMIF(E201:E205,"&gt;0"),0)</f>
        <v>0</v>
      </c>
      <c r="G236" s="74">
        <f>IF(G194=3,SUMIF(G201:G205,"&gt;0"),0)</f>
        <v>0</v>
      </c>
      <c r="H236" s="70">
        <f>IF(H194=3,SUMIF(H201:H205,"&gt;0"),0)</f>
        <v>0</v>
      </c>
      <c r="J236" s="74">
        <f>IF(J194=3,SUMIF(J201:J205,"&gt;0"),0)</f>
        <v>0</v>
      </c>
      <c r="K236" s="70">
        <f>IF(K194=3,SUMIF(K201:K205,"&gt;0"),0)</f>
        <v>0</v>
      </c>
      <c r="M236" s="74">
        <f>IF(M194=3,SUMIF(M201:M205,"&gt;0"),0)</f>
        <v>0</v>
      </c>
      <c r="N236" s="70">
        <f>IF(N194=3,SUMIF(N201:N205,"&gt;0"),0)</f>
        <v>1</v>
      </c>
      <c r="P236" s="74">
        <f>IF(P194=3,SUMIF(P201:P205,"&gt;0"),0)</f>
        <v>0</v>
      </c>
      <c r="Q236" s="70">
        <f>IF(Q194=3,SUMIF(Q201:Q205,"&gt;0"),0)</f>
        <v>0</v>
      </c>
      <c r="S236" s="74">
        <f>IF(S194=3,SUMIF(S201:S205,"&gt;0"),0)</f>
        <v>0</v>
      </c>
      <c r="T236" s="70">
        <f>IF(T194=3,SUMIF(T201:T205,"&gt;0"),0)</f>
        <v>0</v>
      </c>
      <c r="V236" s="74">
        <f>IF(V194=3,SUMIF(V201:V205,"&gt;0"),0)</f>
        <v>0</v>
      </c>
      <c r="W236" s="70">
        <f>IF(W194=3,SUMIF(W201:W205,"&gt;0"),0)</f>
        <v>0</v>
      </c>
      <c r="Y236" s="74">
        <f>IF(Y194=3,SUMIF(Y201:Y205,"&gt;0"),0)</f>
        <v>0</v>
      </c>
      <c r="Z236" s="70">
        <f>IF(Z194=3,SUMIF(Z201:Z205,"&gt;0"),0)</f>
        <v>0</v>
      </c>
      <c r="AB236" s="74">
        <f>IF(AB194=3,SUMIF(AB201:AB205,"&gt;0"),0)</f>
        <v>0</v>
      </c>
      <c r="AC236" s="70">
        <f>IF(AC194=3,SUMIF(AC201:AC205,"&gt;0"),0)</f>
        <v>0</v>
      </c>
      <c r="AE236" s="74">
        <f>IF(AE194=3,SUMIF(AE201:AE205,"&gt;0"),0)</f>
        <v>0</v>
      </c>
      <c r="AF236" s="70">
        <f>SUM(B236:AE236)</f>
        <v>2</v>
      </c>
      <c r="AG236" s="70">
        <f>AF244-AF236</f>
        <v>6</v>
      </c>
      <c r="AW236" s="154"/>
    </row>
    <row r="237" spans="1:49" s="70" customFormat="1" ht="12.75" hidden="1" customHeight="1" x14ac:dyDescent="0.2">
      <c r="A237" s="70" t="s">
        <v>94</v>
      </c>
      <c r="B237" s="70">
        <f>IF(B194=4,SUMIF(B201:B205,"&gt;0"),0)</f>
        <v>0</v>
      </c>
      <c r="D237" s="74">
        <f>IF(D194=4,SUMIF(D201:D205,"&gt;0"),0)</f>
        <v>0</v>
      </c>
      <c r="E237" s="70">
        <f>IF(E194=4,SUMIF(E201:E205,"&gt;0"),0)</f>
        <v>0</v>
      </c>
      <c r="G237" s="74">
        <f>IF(G194=4,SUMIF(G201:G205,"&gt;0"),0)</f>
        <v>1</v>
      </c>
      <c r="H237" s="70">
        <f>IF(H194=4,SUMIF(H201:H205,"&gt;0"),0)</f>
        <v>0</v>
      </c>
      <c r="J237" s="74">
        <f>IF(J194=4,SUMIF(J201:J205,"&gt;0"),0)</f>
        <v>2</v>
      </c>
      <c r="K237" s="70">
        <f>IF(K194=4,SUMIF(K201:K205,"&gt;0"),0)</f>
        <v>0</v>
      </c>
      <c r="M237" s="74">
        <f>IF(M194=4,SUMIF(M201:M205,"&gt;0"),0)</f>
        <v>0</v>
      </c>
      <c r="N237" s="70">
        <f>IF(N194=4,SUMIF(N201:N205,"&gt;0"),0)</f>
        <v>0</v>
      </c>
      <c r="P237" s="74">
        <f>IF(P194=4,SUMIF(P201:P205,"&gt;0"),0)</f>
        <v>2</v>
      </c>
      <c r="Q237" s="70">
        <f>IF(Q194=4,SUMIF(Q201:Q205,"&gt;0"),0)</f>
        <v>0</v>
      </c>
      <c r="S237" s="74">
        <f>IF(S194=4,SUMIF(S201:S205,"&gt;0"),0)</f>
        <v>0</v>
      </c>
      <c r="T237" s="70">
        <f>IF(T194=4,SUMIF(T201:T205,"&gt;0"),0)</f>
        <v>0</v>
      </c>
      <c r="V237" s="74">
        <f>IF(V194=4,SUMIF(V201:V205,"&gt;0"),0)</f>
        <v>0</v>
      </c>
      <c r="W237" s="70">
        <f>IF(W194=4,SUMIF(W201:W205,"&gt;0"),0)</f>
        <v>0</v>
      </c>
      <c r="Y237" s="74">
        <f>IF(Y194=4,SUMIF(Y201:Y205,"&gt;0"),0)</f>
        <v>0</v>
      </c>
      <c r="Z237" s="70">
        <f>IF(Z194=4,SUMIF(Z201:Z205,"&gt;0"),0)</f>
        <v>0</v>
      </c>
      <c r="AB237" s="74">
        <f>IF(AB194=4,SUMIF(AB201:AB205,"&gt;0"),0)</f>
        <v>0</v>
      </c>
      <c r="AC237" s="70">
        <f>IF(AC194=4,SUMIF(AC201:AC205,"&gt;0"),0)</f>
        <v>0</v>
      </c>
      <c r="AE237" s="74">
        <f>IF(AE194=4,SUMIF(AE201:AE205,"&gt;0"),0)</f>
        <v>0</v>
      </c>
      <c r="AF237" s="70">
        <f>SUM(B237:AE237)</f>
        <v>5</v>
      </c>
      <c r="AG237" s="70">
        <f>AF245-AF237</f>
        <v>3</v>
      </c>
      <c r="AW237" s="154"/>
    </row>
    <row r="238" spans="1:49" s="70" customFormat="1" ht="12.75" hidden="1" customHeight="1" x14ac:dyDescent="0.2">
      <c r="A238" s="70" t="s">
        <v>95</v>
      </c>
      <c r="B238" s="70">
        <f>IF(B194=5,SUMIF(B201:B205,"&gt;0"),0)</f>
        <v>0</v>
      </c>
      <c r="D238" s="74">
        <f>IF(D194=5,SUMIF(D201:D205,"&gt;0"),0)</f>
        <v>0</v>
      </c>
      <c r="E238" s="70">
        <f>IF(E194=5,SUMIF(E201:E205,"&gt;0"),0)</f>
        <v>0</v>
      </c>
      <c r="G238" s="74">
        <f>IF(G194=5,SUMIF(G201:G205,"&gt;0"),0)</f>
        <v>0</v>
      </c>
      <c r="H238" s="70">
        <f>IF(H194=5,SUMIF(H201:H205,"&gt;0"),0)</f>
        <v>0</v>
      </c>
      <c r="J238" s="74">
        <f>IF(J194=5,SUMIF(J201:J205,"&gt;0"),0)</f>
        <v>0</v>
      </c>
      <c r="K238" s="70">
        <f>IF(K194=5,SUMIF(K201:K205,"&gt;0"),0)</f>
        <v>0</v>
      </c>
      <c r="M238" s="74">
        <f>IF(M194=5,SUMIF(M201:M205,"&gt;0"),0)</f>
        <v>0</v>
      </c>
      <c r="N238" s="70">
        <f>IF(N194=5,SUMIF(N201:N205,"&gt;0"),0)</f>
        <v>0</v>
      </c>
      <c r="P238" s="74">
        <f>IF(P194=5,SUMIF(P201:P205,"&gt;0"),0)</f>
        <v>0</v>
      </c>
      <c r="Q238" s="70">
        <f>IF(Q194=5,SUMIF(Q201:Q205,"&gt;0"),0)</f>
        <v>0</v>
      </c>
      <c r="S238" s="74">
        <f>IF(S194=5,SUMIF(S201:S205,"&gt;0"),0)</f>
        <v>0</v>
      </c>
      <c r="T238" s="70">
        <f>IF(T194=5,SUMIF(T201:T205,"&gt;0"),0)</f>
        <v>0</v>
      </c>
      <c r="V238" s="74">
        <f>IF(V194=5,SUMIF(V201:V205,"&gt;0"),0)</f>
        <v>0</v>
      </c>
      <c r="W238" s="70">
        <f>IF(W194=5,SUMIF(W201:W205,"&gt;0"),0)</f>
        <v>0</v>
      </c>
      <c r="Y238" s="74">
        <f>IF(Y194=5,SUMIF(Y201:Y205,"&gt;0"),0)</f>
        <v>0</v>
      </c>
      <c r="Z238" s="70">
        <f>IF(Z194=5,SUMIF(Z201:Z205,"&gt;0"),0)</f>
        <v>0</v>
      </c>
      <c r="AB238" s="74">
        <f>IF(AB194=5,SUMIF(AB201:AB205,"&gt;0"),0)</f>
        <v>0</v>
      </c>
      <c r="AC238" s="70">
        <f>IF(AC194=5,SUMIF(AC201:AC205,"&gt;0"),0)</f>
        <v>0</v>
      </c>
      <c r="AE238" s="74">
        <f>IF(AE194=5,SUMIF(AE201:AE205,"&gt;0"),0)</f>
        <v>0</v>
      </c>
      <c r="AF238" s="70">
        <f>SUM(B238:AE238)</f>
        <v>0</v>
      </c>
      <c r="AG238" s="70">
        <f>AF246-AF238</f>
        <v>0</v>
      </c>
      <c r="AW238" s="154"/>
    </row>
    <row r="239" spans="1:49" s="70" customFormat="1" ht="12.75" hidden="1" customHeight="1" x14ac:dyDescent="0.2">
      <c r="D239" s="74"/>
      <c r="G239" s="74"/>
      <c r="J239" s="74"/>
      <c r="M239" s="74"/>
      <c r="P239" s="74"/>
      <c r="S239" s="74"/>
      <c r="V239" s="74"/>
      <c r="Y239" s="74"/>
      <c r="AB239" s="74"/>
      <c r="AE239" s="74"/>
      <c r="AW239" s="154"/>
    </row>
    <row r="240" spans="1:49" s="70" customFormat="1" ht="12.75" hidden="1" customHeight="1" x14ac:dyDescent="0.2">
      <c r="D240" s="74"/>
      <c r="G240" s="74"/>
      <c r="J240" s="74"/>
      <c r="M240" s="74"/>
      <c r="P240" s="74"/>
      <c r="S240" s="74"/>
      <c r="V240" s="74"/>
      <c r="Y240" s="74"/>
      <c r="AB240" s="74"/>
      <c r="AE240" s="74"/>
      <c r="AW240" s="154"/>
    </row>
    <row r="241" spans="1:54" s="70" customFormat="1" ht="51" hidden="1" customHeight="1" x14ac:dyDescent="0.2">
      <c r="A241" s="73" t="s">
        <v>106</v>
      </c>
      <c r="C241" s="70">
        <f>SUMIF(B234:D238,"&gt;0")</f>
        <v>3</v>
      </c>
      <c r="D241" s="74"/>
      <c r="F241" s="70">
        <f>SUMIF(E234:G238,"&gt;0")</f>
        <v>3</v>
      </c>
      <c r="G241" s="74"/>
      <c r="I241" s="70">
        <f>SUMIF(H234:J238,"&gt;0")</f>
        <v>2</v>
      </c>
      <c r="J241" s="74"/>
      <c r="L241" s="70">
        <f>SUMIF(K234:M238,"&gt;0")</f>
        <v>2</v>
      </c>
      <c r="M241" s="74"/>
      <c r="O241" s="70">
        <f>SUMIF(N234:P238,"&gt;0")</f>
        <v>3</v>
      </c>
      <c r="P241" s="74"/>
      <c r="R241" s="70">
        <f>SUMIF(Q234:S238,"&gt;0")</f>
        <v>3</v>
      </c>
      <c r="S241" s="74"/>
      <c r="U241" s="70">
        <f>SUMIF(T234:V238,"&gt;0")</f>
        <v>0</v>
      </c>
      <c r="V241" s="74"/>
      <c r="X241" s="70">
        <f>SUMIF(W234:Y238,"&gt;0")</f>
        <v>0</v>
      </c>
      <c r="Y241" s="74"/>
      <c r="AA241" s="70">
        <f>SUMIF(Z234:AB238,"&gt;0")</f>
        <v>0</v>
      </c>
      <c r="AB241" s="74"/>
      <c r="AD241" s="70">
        <f>SUMIF(AC234:AE238,"&gt;0")</f>
        <v>0</v>
      </c>
      <c r="AE241" s="74"/>
      <c r="AF241" s="73" t="s">
        <v>107</v>
      </c>
      <c r="AW241" s="154"/>
    </row>
    <row r="242" spans="1:54" s="70" customFormat="1" ht="12.75" hidden="1" customHeight="1" x14ac:dyDescent="0.2">
      <c r="A242" s="70" t="s">
        <v>97</v>
      </c>
      <c r="B242" s="70">
        <f>IF(B194=1,C241,0)</f>
        <v>0</v>
      </c>
      <c r="D242" s="74">
        <f>IF(D194=1,C241,0)</f>
        <v>0</v>
      </c>
      <c r="E242" s="70">
        <f>IF(E194=1,F241,0)</f>
        <v>3</v>
      </c>
      <c r="G242" s="74">
        <f>IF(G194=1,F241,0)</f>
        <v>0</v>
      </c>
      <c r="H242" s="70">
        <f>IF(H194=1,I241,0)</f>
        <v>0</v>
      </c>
      <c r="J242" s="74">
        <f>IF(J194=1,I241,0)</f>
        <v>0</v>
      </c>
      <c r="K242" s="70">
        <f>IF(K194=1,L241,0)</f>
        <v>2</v>
      </c>
      <c r="M242" s="74">
        <f>IF(M194=1,L241,0)</f>
        <v>0</v>
      </c>
      <c r="N242" s="70">
        <f>IF(N194=1,O241,0)</f>
        <v>0</v>
      </c>
      <c r="P242" s="74">
        <f>IF(P194=1,O241,0)</f>
        <v>0</v>
      </c>
      <c r="Q242" s="70">
        <f>IF(Q194=1,R241,0)</f>
        <v>3</v>
      </c>
      <c r="S242" s="74">
        <f>IF(S194=1,R241,0)</f>
        <v>0</v>
      </c>
      <c r="T242" s="70">
        <f>IF(T194=1,U241,0)</f>
        <v>0</v>
      </c>
      <c r="V242" s="74">
        <f>IF(V194=1,U241,0)</f>
        <v>0</v>
      </c>
      <c r="W242" s="70">
        <f>IF(W194=1,X241,0)</f>
        <v>0</v>
      </c>
      <c r="Y242" s="74">
        <f>IF(Y194=1,X241,0)</f>
        <v>0</v>
      </c>
      <c r="Z242" s="70">
        <f>IF(Z194=1,AA241,0)</f>
        <v>0</v>
      </c>
      <c r="AB242" s="74">
        <f>IF(AB194=1,AA241,0)</f>
        <v>0</v>
      </c>
      <c r="AC242" s="70">
        <f>IF(AC194=1,AD241,0)</f>
        <v>0</v>
      </c>
      <c r="AE242" s="74">
        <f>IF(AE194=1,AD241,0)</f>
        <v>0</v>
      </c>
      <c r="AF242" s="70">
        <f>SUM(B242:AE242)</f>
        <v>8</v>
      </c>
      <c r="AW242" s="154"/>
    </row>
    <row r="243" spans="1:54" s="70" customFormat="1" ht="12.75" hidden="1" customHeight="1" x14ac:dyDescent="0.2">
      <c r="A243" s="70" t="s">
        <v>98</v>
      </c>
      <c r="B243" s="70">
        <f>IF(B194=2,C241,0)</f>
        <v>3</v>
      </c>
      <c r="D243" s="74">
        <f>IF(D194=2,C241,0)</f>
        <v>0</v>
      </c>
      <c r="E243" s="70">
        <f>IF(E194=2,F241,0)</f>
        <v>0</v>
      </c>
      <c r="G243" s="74">
        <f>IF(G194=2,F241,0)</f>
        <v>0</v>
      </c>
      <c r="H243" s="70">
        <f>IF(H194=2,I241,0)</f>
        <v>2</v>
      </c>
      <c r="J243" s="74">
        <f>IF(J194=2,I241,0)</f>
        <v>0</v>
      </c>
      <c r="K243" s="70">
        <f>IF(K194=2,L241,0)</f>
        <v>0</v>
      </c>
      <c r="M243" s="74">
        <f>IF(M194=2,L241,0)</f>
        <v>0</v>
      </c>
      <c r="N243" s="70">
        <f>IF(N194=2,O241,0)</f>
        <v>0</v>
      </c>
      <c r="P243" s="74">
        <f>IF(P194=2,O241,0)</f>
        <v>0</v>
      </c>
      <c r="Q243" s="70">
        <f>IF(Q194=2,R241,0)</f>
        <v>0</v>
      </c>
      <c r="S243" s="74">
        <f>IF(S194=2,R241,0)</f>
        <v>3</v>
      </c>
      <c r="T243" s="70">
        <f>IF(T194=2,U241,0)</f>
        <v>0</v>
      </c>
      <c r="V243" s="74">
        <f>IF(V194=2,U241,0)</f>
        <v>0</v>
      </c>
      <c r="W243" s="70">
        <f>IF(W194=2,X241,0)</f>
        <v>0</v>
      </c>
      <c r="Y243" s="74">
        <f>IF(Y194=2,X241,0)</f>
        <v>0</v>
      </c>
      <c r="Z243" s="70">
        <f>IF(Z194=2,AA241,0)</f>
        <v>0</v>
      </c>
      <c r="AB243" s="74">
        <f>IF(AB194=2,AA241,0)</f>
        <v>0</v>
      </c>
      <c r="AC243" s="70">
        <f>IF(AC194=2,AD241,0)</f>
        <v>0</v>
      </c>
      <c r="AE243" s="74">
        <f>IF(AE194=2,AD241,0)</f>
        <v>0</v>
      </c>
      <c r="AF243" s="70">
        <f>SUM(B243:AE243)</f>
        <v>8</v>
      </c>
      <c r="AW243" s="154"/>
    </row>
    <row r="244" spans="1:54" s="70" customFormat="1" ht="12.75" hidden="1" customHeight="1" x14ac:dyDescent="0.2">
      <c r="A244" s="70" t="s">
        <v>99</v>
      </c>
      <c r="B244" s="70">
        <f>IF(B194=3,C241,0)</f>
        <v>0</v>
      </c>
      <c r="D244" s="74">
        <f>IF(D194=3,C241,0)</f>
        <v>3</v>
      </c>
      <c r="E244" s="70">
        <f>IF(E194=3,F241,0)</f>
        <v>0</v>
      </c>
      <c r="G244" s="74">
        <f>IF(G194=3,F241,0)</f>
        <v>0</v>
      </c>
      <c r="H244" s="70">
        <f>IF(H194=3,I241,0)</f>
        <v>0</v>
      </c>
      <c r="J244" s="74">
        <f>IF(J194=3,I241,0)</f>
        <v>0</v>
      </c>
      <c r="K244" s="70">
        <f>IF(K194=3,L241,0)</f>
        <v>0</v>
      </c>
      <c r="M244" s="74">
        <f>IF(M194=3,L241,0)</f>
        <v>2</v>
      </c>
      <c r="N244" s="70">
        <f>IF(N194=3,O241,0)</f>
        <v>3</v>
      </c>
      <c r="P244" s="74">
        <f>IF(P194=3,O241,0)</f>
        <v>0</v>
      </c>
      <c r="Q244" s="70">
        <f>IF(Q194=3,R241,0)</f>
        <v>0</v>
      </c>
      <c r="S244" s="74">
        <f>IF(S194=3,R241,0)</f>
        <v>0</v>
      </c>
      <c r="T244" s="70">
        <f>IF(T194=3,U241,0)</f>
        <v>0</v>
      </c>
      <c r="V244" s="74">
        <f>IF(V194=3,U241,0)</f>
        <v>0</v>
      </c>
      <c r="W244" s="70">
        <f>IF(W194=3,X241,0)</f>
        <v>0</v>
      </c>
      <c r="Y244" s="74">
        <f>IF(Y194=3,X241,0)</f>
        <v>0</v>
      </c>
      <c r="Z244" s="70">
        <f>IF(Z194=3,AA241,0)</f>
        <v>0</v>
      </c>
      <c r="AB244" s="74">
        <f>IF(AB194=3,AA241,0)</f>
        <v>0</v>
      </c>
      <c r="AC244" s="70">
        <f>IF(AC194=3,AD241,0)</f>
        <v>0</v>
      </c>
      <c r="AE244" s="74">
        <f>IF(AE194=3,AD241,0)</f>
        <v>0</v>
      </c>
      <c r="AF244" s="70">
        <f>SUM(B244:AE244)</f>
        <v>8</v>
      </c>
      <c r="AW244" s="154"/>
    </row>
    <row r="245" spans="1:54" s="70" customFormat="1" ht="12.75" hidden="1" customHeight="1" x14ac:dyDescent="0.2">
      <c r="A245" s="70" t="s">
        <v>100</v>
      </c>
      <c r="B245" s="70">
        <f>IF(B194=4,C241,0)</f>
        <v>0</v>
      </c>
      <c r="D245" s="74">
        <f>IF(D194=4,C241,0)</f>
        <v>0</v>
      </c>
      <c r="E245" s="70">
        <f>IF(E194=4,F241,0)</f>
        <v>0</v>
      </c>
      <c r="G245" s="74">
        <f>IF(G194=4,F241,0)</f>
        <v>3</v>
      </c>
      <c r="H245" s="70">
        <f>IF(H194=4,I241,0)</f>
        <v>0</v>
      </c>
      <c r="J245" s="74">
        <f>IF(J194=4,I241,0)</f>
        <v>2</v>
      </c>
      <c r="K245" s="70">
        <f>IF(K194=4,L241,0)</f>
        <v>0</v>
      </c>
      <c r="M245" s="74">
        <f>IF(M194=4,L241,0)</f>
        <v>0</v>
      </c>
      <c r="N245" s="70">
        <f>IF(N194=4,O241,0)</f>
        <v>0</v>
      </c>
      <c r="P245" s="74">
        <f>IF(P194=4,O241,0)</f>
        <v>3</v>
      </c>
      <c r="Q245" s="70">
        <f>IF(Q194=4,R241,0)</f>
        <v>0</v>
      </c>
      <c r="S245" s="74">
        <f>IF(S194=4,R241,0)</f>
        <v>0</v>
      </c>
      <c r="T245" s="70">
        <f>IF(T194=4,U241,0)</f>
        <v>0</v>
      </c>
      <c r="V245" s="74">
        <f>IF(V194=4,U241,0)</f>
        <v>0</v>
      </c>
      <c r="W245" s="70">
        <f>IF(W194=4,X241,0)</f>
        <v>0</v>
      </c>
      <c r="Y245" s="74">
        <f>IF(Y194=4,X241,0)</f>
        <v>0</v>
      </c>
      <c r="Z245" s="70">
        <f>IF(Z194=4,AA241,0)</f>
        <v>0</v>
      </c>
      <c r="AB245" s="74">
        <f>IF(AB194=4,AA241,0)</f>
        <v>0</v>
      </c>
      <c r="AC245" s="70">
        <f>IF(AC194=4,AD241,0)</f>
        <v>0</v>
      </c>
      <c r="AE245" s="74">
        <f>IF(AE194=4,AD241,0)</f>
        <v>0</v>
      </c>
      <c r="AF245" s="70">
        <f>SUM(B245:AE245)</f>
        <v>8</v>
      </c>
      <c r="AW245" s="154"/>
    </row>
    <row r="246" spans="1:54" s="70" customFormat="1" ht="12.75" hidden="1" customHeight="1" x14ac:dyDescent="0.2">
      <c r="A246" s="70" t="s">
        <v>101</v>
      </c>
      <c r="B246" s="70">
        <f>IF(B194=5,C241,0)</f>
        <v>0</v>
      </c>
      <c r="D246" s="74">
        <f>IF(D194=5,C241,0)</f>
        <v>0</v>
      </c>
      <c r="E246" s="70">
        <f>IF(E194=5,F241,0)</f>
        <v>0</v>
      </c>
      <c r="G246" s="74">
        <f>IF(G194=5,F241,0)</f>
        <v>0</v>
      </c>
      <c r="H246" s="70">
        <f>IF(H194=5,I241,0)</f>
        <v>0</v>
      </c>
      <c r="J246" s="74">
        <f>IF(J194=5,I241,0)</f>
        <v>0</v>
      </c>
      <c r="K246" s="70">
        <f>IF(K194=5,L241,0)</f>
        <v>0</v>
      </c>
      <c r="M246" s="74">
        <f>IF(M194=5,L241,0)</f>
        <v>0</v>
      </c>
      <c r="N246" s="70">
        <f>IF(N194=5,O241,0)</f>
        <v>0</v>
      </c>
      <c r="P246" s="74">
        <f>IF(P194=5,O241,0)</f>
        <v>0</v>
      </c>
      <c r="Q246" s="70">
        <f>IF(Q194=5,R241,0)</f>
        <v>0</v>
      </c>
      <c r="S246" s="74">
        <f>IF(S194=5,R241,0)</f>
        <v>0</v>
      </c>
      <c r="T246" s="70">
        <f>IF(T194=5,U241,0)</f>
        <v>0</v>
      </c>
      <c r="V246" s="74">
        <f>IF(V194=5,U241,0)</f>
        <v>0</v>
      </c>
      <c r="W246" s="70">
        <f>IF(W194=5,X241,0)</f>
        <v>0</v>
      </c>
      <c r="Y246" s="74">
        <f>IF(Y194=5,X241,0)</f>
        <v>0</v>
      </c>
      <c r="Z246" s="70">
        <f>IF(Z194=5,AA241,0)</f>
        <v>0</v>
      </c>
      <c r="AB246" s="74">
        <f>IF(AB194=5,AA241,0)</f>
        <v>0</v>
      </c>
      <c r="AC246" s="70">
        <f>IF(AC194=5,AD241,0)</f>
        <v>0</v>
      </c>
      <c r="AE246" s="74">
        <f>IF(AE194=5,AD241,0)</f>
        <v>0</v>
      </c>
      <c r="AF246" s="70">
        <f>SUM(B246:AE246)</f>
        <v>0</v>
      </c>
      <c r="AW246" s="154"/>
    </row>
    <row r="247" spans="1:54" hidden="1" x14ac:dyDescent="0.2">
      <c r="A247" s="95"/>
      <c r="B247" s="95"/>
      <c r="C247" s="95"/>
      <c r="D247" s="95"/>
      <c r="E247" s="95"/>
      <c r="F247" s="95"/>
      <c r="G247" s="95"/>
      <c r="H247" s="95"/>
      <c r="I247" s="95"/>
      <c r="J247" s="95"/>
      <c r="K247" s="95"/>
      <c r="L247" s="95"/>
      <c r="M247" s="95"/>
      <c r="N247" s="95"/>
      <c r="O247" s="95"/>
      <c r="P247" s="95"/>
      <c r="Q247" s="95"/>
      <c r="R247" s="95"/>
      <c r="S247" s="95"/>
      <c r="T247" s="95"/>
      <c r="U247" s="95"/>
      <c r="V247" s="95"/>
      <c r="W247" s="95"/>
      <c r="X247" s="95"/>
      <c r="Y247" s="95"/>
      <c r="Z247" s="95"/>
      <c r="AA247" s="95"/>
      <c r="AB247" s="95"/>
      <c r="AC247" s="95"/>
      <c r="AD247" s="95"/>
      <c r="AE247" s="95"/>
      <c r="AF247" s="95"/>
      <c r="AG247" s="95"/>
      <c r="AH247" s="95"/>
      <c r="AI247" s="95"/>
      <c r="AJ247" s="95"/>
      <c r="AK247" s="95"/>
      <c r="AL247" s="95"/>
      <c r="AM247" s="95"/>
      <c r="AN247" s="96"/>
      <c r="AO247" s="96"/>
      <c r="AP247" s="96"/>
      <c r="AQ247" s="96"/>
      <c r="AR247" s="77"/>
      <c r="AS247" s="77"/>
      <c r="AT247" s="77"/>
      <c r="AU247" s="77"/>
      <c r="AV247" s="77"/>
      <c r="BB247" s="156"/>
    </row>
    <row r="248" spans="1:54" s="77" customFormat="1" hidden="1" x14ac:dyDescent="0.2">
      <c r="A248" s="79"/>
      <c r="B248" s="79"/>
      <c r="C248" s="79" t="s">
        <v>108</v>
      </c>
      <c r="D248" s="79">
        <v>1</v>
      </c>
      <c r="E248" s="79"/>
      <c r="F248" s="79"/>
      <c r="G248" s="79">
        <v>2</v>
      </c>
      <c r="H248" s="79"/>
      <c r="I248" s="79"/>
      <c r="J248" s="79">
        <v>3</v>
      </c>
      <c r="K248" s="79"/>
      <c r="L248" s="79"/>
      <c r="M248" s="79">
        <v>4</v>
      </c>
      <c r="N248" s="79"/>
      <c r="O248" s="79"/>
      <c r="P248" s="79">
        <v>5</v>
      </c>
      <c r="Q248" s="79"/>
      <c r="R248" s="79"/>
      <c r="S248" s="79">
        <v>6</v>
      </c>
      <c r="T248" s="79"/>
      <c r="U248" s="79"/>
      <c r="V248" s="79">
        <v>7</v>
      </c>
      <c r="W248" s="79"/>
      <c r="X248" s="79"/>
      <c r="Y248" s="79">
        <v>8</v>
      </c>
      <c r="Z248" s="79"/>
      <c r="AA248" s="79"/>
      <c r="AB248" s="79">
        <v>9</v>
      </c>
      <c r="AC248" s="79"/>
      <c r="AD248" s="79"/>
      <c r="AE248" s="79">
        <v>10</v>
      </c>
      <c r="AF248" s="4"/>
      <c r="AG248" s="79"/>
      <c r="AI248" s="80"/>
      <c r="AJ248" s="4"/>
      <c r="AK248" s="4"/>
      <c r="AL248" s="4"/>
      <c r="AM248" s="4"/>
      <c r="AN248" s="4"/>
      <c r="AO248" s="4"/>
      <c r="AT248" s="80" t="s">
        <v>109</v>
      </c>
      <c r="AW248" s="81"/>
      <c r="BB248" s="81"/>
    </row>
    <row r="249" spans="1:54" s="77" customFormat="1" hidden="1" x14ac:dyDescent="0.2">
      <c r="A249" s="82">
        <v>1</v>
      </c>
      <c r="B249" s="82" t="str">
        <f>E178</f>
        <v>CSRA Heat 17 National</v>
      </c>
      <c r="C249" s="82">
        <f>VLOOKUP(B249,AU$3:BB$33,3,FALSE)</f>
        <v>2802.8310835691345</v>
      </c>
      <c r="D249" s="82">
        <f>IF(B242,B257,IF(D242,D257,C249))</f>
        <v>2802.8310835691345</v>
      </c>
      <c r="E249" s="82"/>
      <c r="F249" s="82"/>
      <c r="G249" s="82">
        <f>IF(E242,E257,IF(G242,G257,D249))</f>
        <v>2796.5565822286294</v>
      </c>
      <c r="H249" s="82"/>
      <c r="I249" s="82"/>
      <c r="J249" s="82">
        <f>IF(H242,H257,IF(J242,J257,G249))</f>
        <v>2796.5565822286294</v>
      </c>
      <c r="K249" s="82"/>
      <c r="L249" s="82"/>
      <c r="M249" s="82">
        <f>IF(K242,K257,IF(M242,M257,J249))</f>
        <v>2819.7245935228716</v>
      </c>
      <c r="N249" s="82"/>
      <c r="O249" s="82"/>
      <c r="P249" s="82">
        <f>IF(N242,N257,IF(P242,P257,M249))</f>
        <v>2819.7245935228716</v>
      </c>
      <c r="Q249" s="82"/>
      <c r="R249" s="82"/>
      <c r="S249" s="82">
        <f>IF(Q242,Q257,IF(S242,S257,P249))</f>
        <v>2797.1956520699605</v>
      </c>
      <c r="T249" s="82"/>
      <c r="U249" s="82"/>
      <c r="V249" s="82">
        <f>IF(T242,T257,IF(V242,V257,S249))</f>
        <v>2797.1956520699605</v>
      </c>
      <c r="W249" s="82"/>
      <c r="X249" s="82"/>
      <c r="Y249" s="82">
        <f>IF(W242,W257,IF(Y242,Y257,V249))</f>
        <v>2797.1956520699605</v>
      </c>
      <c r="Z249" s="82"/>
      <c r="AA249" s="82"/>
      <c r="AB249" s="82">
        <f>IF(Z242,Z257,IF(AB242,AB257,Y249))</f>
        <v>2797.1956520699605</v>
      </c>
      <c r="AC249" s="82"/>
      <c r="AD249" s="82"/>
      <c r="AE249" s="82">
        <f>IF(AC242,AC257,IF(AE242,AE257,AB249))</f>
        <v>2797.1956520699605</v>
      </c>
      <c r="AF249" s="4"/>
      <c r="AG249" s="4"/>
      <c r="AJ249" s="4"/>
      <c r="AK249" s="4"/>
      <c r="AL249" s="4"/>
      <c r="AM249" s="4"/>
      <c r="AN249" s="4"/>
      <c r="AO249" s="4"/>
      <c r="AT249" s="77" t="str">
        <f>B249</f>
        <v>CSRA Heat 17 National</v>
      </c>
      <c r="AU249" s="77">
        <f>AE249</f>
        <v>2797.1956520699605</v>
      </c>
      <c r="AW249" s="81"/>
      <c r="BB249" s="81"/>
    </row>
    <row r="250" spans="1:54" s="77" customFormat="1" hidden="1" x14ac:dyDescent="0.2">
      <c r="A250" s="82">
        <v>2</v>
      </c>
      <c r="B250" s="82" t="str">
        <f>E180</f>
        <v>METRO-ATL 17 BLACK</v>
      </c>
      <c r="C250" s="82">
        <f>VLOOKUP(B250,AU$3:BB$33,3,FALSE)</f>
        <v>2819.9863427632545</v>
      </c>
      <c r="D250" s="82">
        <f>IF(B243,B257,IF(D243,D257,C250))</f>
        <v>2819.781975644195</v>
      </c>
      <c r="E250" s="82"/>
      <c r="F250" s="82"/>
      <c r="G250" s="82">
        <f>IF(E243,E257,IF(G243,G257,D250))</f>
        <v>2819.781975644195</v>
      </c>
      <c r="H250" s="82"/>
      <c r="I250" s="82"/>
      <c r="J250" s="82">
        <f>IF(H243,H257,IF(J243,J257,G250))</f>
        <v>2772.1718150666666</v>
      </c>
      <c r="K250" s="82"/>
      <c r="L250" s="82"/>
      <c r="M250" s="82">
        <f>IF(K243,K257,IF(M243,M257,J250))</f>
        <v>2772.1718150666666</v>
      </c>
      <c r="N250" s="82"/>
      <c r="O250" s="82"/>
      <c r="P250" s="82">
        <f>IF(N243,N257,IF(P243,P257,M250))</f>
        <v>2772.1718150666666</v>
      </c>
      <c r="Q250" s="82"/>
      <c r="R250" s="82"/>
      <c r="S250" s="82">
        <f>IF(Q243,Q257,IF(S243,S257,P250))</f>
        <v>2794.7007565195777</v>
      </c>
      <c r="T250" s="82"/>
      <c r="U250" s="82"/>
      <c r="V250" s="82">
        <f>IF(T243,T257,IF(V243,V257,S250))</f>
        <v>2794.7007565195777</v>
      </c>
      <c r="W250" s="82"/>
      <c r="X250" s="82"/>
      <c r="Y250" s="82">
        <f>IF(W243,W257,IF(Y243,Y257,V250))</f>
        <v>2794.7007565195777</v>
      </c>
      <c r="Z250" s="82"/>
      <c r="AA250" s="82"/>
      <c r="AB250" s="82">
        <f>IF(Z243,Z257,IF(AB243,AB257,Y250))</f>
        <v>2794.7007565195777</v>
      </c>
      <c r="AC250" s="82"/>
      <c r="AD250" s="82"/>
      <c r="AE250" s="82">
        <f>IF(AC243,AC257,IF(AE243,AE257,AB250))</f>
        <v>2794.7007565195777</v>
      </c>
      <c r="AF250" s="4"/>
      <c r="AG250" s="4"/>
      <c r="AJ250" s="4"/>
      <c r="AL250" s="4"/>
      <c r="AM250" s="4"/>
      <c r="AN250" s="4"/>
      <c r="AO250" s="4"/>
      <c r="AT250" s="77" t="str">
        <f>B250</f>
        <v>METRO-ATL 17 BLACK</v>
      </c>
      <c r="AU250" s="77">
        <f>AE250</f>
        <v>2794.7007565195777</v>
      </c>
      <c r="AW250" s="81"/>
      <c r="BB250" s="81"/>
    </row>
    <row r="251" spans="1:54" s="77" customFormat="1" hidden="1" x14ac:dyDescent="0.2">
      <c r="A251" s="82">
        <v>3</v>
      </c>
      <c r="B251" s="82" t="str">
        <f>E182</f>
        <v>Crossfire 17 Power</v>
      </c>
      <c r="C251" s="82">
        <f>VLOOKUP(B251,AU$3:BB$33,3,FALSE)</f>
        <v>2697.9075045714135</v>
      </c>
      <c r="D251" s="82">
        <f>IF(B244,B257,IF(D244,D257,C251))</f>
        <v>2698.111871690473</v>
      </c>
      <c r="E251" s="82"/>
      <c r="F251" s="82"/>
      <c r="G251" s="82">
        <f>IF(E244,E257,IF(G244,G257,D251))</f>
        <v>2698.111871690473</v>
      </c>
      <c r="H251" s="82"/>
      <c r="I251" s="82"/>
      <c r="J251" s="82">
        <f>IF(H244,H257,IF(J244,J257,G251))</f>
        <v>2698.111871690473</v>
      </c>
      <c r="K251" s="82"/>
      <c r="L251" s="82"/>
      <c r="M251" s="82">
        <f>IF(K244,K257,IF(M244,M257,J251))</f>
        <v>2674.9438603962308</v>
      </c>
      <c r="N251" s="82"/>
      <c r="O251" s="82"/>
      <c r="P251" s="82">
        <f>IF(N244,N257,IF(P244,P257,M251))</f>
        <v>2659.9381995788667</v>
      </c>
      <c r="Q251" s="82"/>
      <c r="R251" s="82"/>
      <c r="S251" s="82">
        <f>IF(Q244,Q257,IF(S244,S257,P251))</f>
        <v>2659.9381995788667</v>
      </c>
      <c r="T251" s="82"/>
      <c r="U251" s="82"/>
      <c r="V251" s="82">
        <f>IF(T244,T257,IF(V244,V257,S251))</f>
        <v>2659.9381995788667</v>
      </c>
      <c r="W251" s="82"/>
      <c r="X251" s="82"/>
      <c r="Y251" s="82">
        <f>IF(W244,W257,IF(Y244,Y257,V251))</f>
        <v>2659.9381995788667</v>
      </c>
      <c r="Z251" s="82"/>
      <c r="AA251" s="82"/>
      <c r="AB251" s="82">
        <f>IF(Z244,Z257,IF(AB244,AB257,Y251))</f>
        <v>2659.9381995788667</v>
      </c>
      <c r="AC251" s="82"/>
      <c r="AD251" s="82"/>
      <c r="AE251" s="82">
        <f>IF(AC244,AC257,IF(AE244,AE257,AB251))</f>
        <v>2659.9381995788667</v>
      </c>
      <c r="AF251" s="4"/>
      <c r="AG251" s="4"/>
      <c r="AJ251" s="4"/>
      <c r="AL251" s="4"/>
      <c r="AM251" s="4"/>
      <c r="AN251" s="4"/>
      <c r="AO251" s="4"/>
      <c r="AT251" s="77" t="str">
        <f>B251</f>
        <v>Crossfire 17 Power</v>
      </c>
      <c r="AU251" s="77">
        <f>AE251</f>
        <v>2659.9381995788667</v>
      </c>
      <c r="AW251" s="81"/>
      <c r="BB251" s="81"/>
    </row>
    <row r="252" spans="1:54" s="77" customFormat="1" hidden="1" x14ac:dyDescent="0.2">
      <c r="A252" s="82">
        <v>4</v>
      </c>
      <c r="B252" s="82" t="str">
        <f>E184</f>
        <v>Intense 16 Hyper Elite</v>
      </c>
      <c r="C252" s="82">
        <f>VLOOKUP(B252,AU$3:BB$33,3,FALSE)</f>
        <v>2628.2574952617479</v>
      </c>
      <c r="D252" s="82">
        <f>IF(B245,B257,IF(D245,D257,C252))</f>
        <v>2628.2574952617479</v>
      </c>
      <c r="E252" s="82"/>
      <c r="F252" s="82"/>
      <c r="G252" s="82">
        <f>IF(E245,E257,IF(G245,G257,D252))</f>
        <v>2634.531996602253</v>
      </c>
      <c r="H252" s="82"/>
      <c r="I252" s="82"/>
      <c r="J252" s="82">
        <f>IF(H245,H257,IF(J245,J257,G252))</f>
        <v>2682.1421571797814</v>
      </c>
      <c r="K252" s="82"/>
      <c r="L252" s="82"/>
      <c r="M252" s="82">
        <f>IF(K245,K257,IF(M245,M257,J252))</f>
        <v>2682.1421571797814</v>
      </c>
      <c r="N252" s="82"/>
      <c r="O252" s="82"/>
      <c r="P252" s="82">
        <f>IF(N245,N257,IF(P245,P257,M252))</f>
        <v>2697.1478179971455</v>
      </c>
      <c r="Q252" s="82"/>
      <c r="R252" s="82"/>
      <c r="S252" s="82">
        <f>IF(Q245,Q257,IF(S245,S257,P252))</f>
        <v>2697.1478179971455</v>
      </c>
      <c r="T252" s="82"/>
      <c r="U252" s="82"/>
      <c r="V252" s="82">
        <f>IF(T245,T257,IF(V245,V257,S252))</f>
        <v>2697.1478179971455</v>
      </c>
      <c r="W252" s="82"/>
      <c r="X252" s="82"/>
      <c r="Y252" s="82">
        <f>IF(W245,W257,IF(Y245,Y257,V252))</f>
        <v>2697.1478179971455</v>
      </c>
      <c r="Z252" s="82"/>
      <c r="AA252" s="82"/>
      <c r="AB252" s="82">
        <f>IF(Z245,Z257,IF(AB245,AB257,Y252))</f>
        <v>2697.1478179971455</v>
      </c>
      <c r="AC252" s="82"/>
      <c r="AD252" s="82"/>
      <c r="AE252" s="82">
        <f>IF(AC245,AC257,IF(AE245,AE257,AB252))</f>
        <v>2697.1478179971455</v>
      </c>
      <c r="AF252" s="4"/>
      <c r="AG252" s="4"/>
      <c r="AJ252" s="4"/>
      <c r="AL252" s="4"/>
      <c r="AM252" s="4"/>
      <c r="AN252" s="4"/>
      <c r="AO252" s="4"/>
      <c r="AT252" s="77" t="str">
        <f>B252</f>
        <v>Intense 16 Hyper Elite</v>
      </c>
      <c r="AU252" s="77">
        <f>AE252</f>
        <v>2697.1478179971455</v>
      </c>
      <c r="AW252" s="81"/>
      <c r="BB252" s="81"/>
    </row>
    <row r="253" spans="1:54" s="77" customFormat="1" hidden="1" x14ac:dyDescent="0.2">
      <c r="A253" s="82">
        <v>5</v>
      </c>
      <c r="B253" s="82">
        <f>E186</f>
        <v>0</v>
      </c>
      <c r="C253" s="82" t="e">
        <f>VLOOKUP(B253,AU$3:BB$33,3,FALSE)</f>
        <v>#N/A</v>
      </c>
      <c r="D253" s="82" t="e">
        <f>IF(B246,B257,IF(D246,D257,C253))</f>
        <v>#N/A</v>
      </c>
      <c r="E253" s="82"/>
      <c r="F253" s="82"/>
      <c r="G253" s="82" t="e">
        <f>IF(E246,E257,IF(G246,G257,D253))</f>
        <v>#N/A</v>
      </c>
      <c r="H253" s="82"/>
      <c r="I253" s="82"/>
      <c r="J253" s="82" t="e">
        <f>IF(H246,H257,IF(J246,J257,G253))</f>
        <v>#N/A</v>
      </c>
      <c r="K253" s="82"/>
      <c r="L253" s="82"/>
      <c r="M253" s="82" t="e">
        <f>IF(K246,K257,IF(M246,M257,J253))</f>
        <v>#N/A</v>
      </c>
      <c r="N253" s="82"/>
      <c r="O253" s="82"/>
      <c r="P253" s="82" t="e">
        <f>IF(N246,N257,IF(P246,P257,M253))</f>
        <v>#N/A</v>
      </c>
      <c r="Q253" s="82"/>
      <c r="R253" s="82"/>
      <c r="S253" s="82" t="e">
        <f>IF(Q246,Q257,IF(S246,S257,P253))</f>
        <v>#N/A</v>
      </c>
      <c r="T253" s="82"/>
      <c r="U253" s="82"/>
      <c r="V253" s="82" t="e">
        <f>IF(T246,T257,IF(V246,V257,S253))</f>
        <v>#N/A</v>
      </c>
      <c r="W253" s="82"/>
      <c r="X253" s="82"/>
      <c r="Y253" s="82" t="e">
        <f>IF(W246,W257,IF(Y246,Y257,V253))</f>
        <v>#N/A</v>
      </c>
      <c r="Z253" s="82"/>
      <c r="AA253" s="82"/>
      <c r="AB253" s="82" t="e">
        <f>IF(Z246,Z257,IF(AB246,AB257,Y253))</f>
        <v>#N/A</v>
      </c>
      <c r="AC253" s="82"/>
      <c r="AD253" s="82"/>
      <c r="AE253" s="82" t="e">
        <f>IF(AC246,AC257,IF(AE246,AE257,AB253))</f>
        <v>#N/A</v>
      </c>
      <c r="AF253" s="4"/>
      <c r="AG253" s="4"/>
      <c r="AJ253" s="4"/>
      <c r="AL253" s="4"/>
      <c r="AM253" s="4"/>
      <c r="AN253" s="4"/>
      <c r="AO253" s="4"/>
      <c r="AT253" s="77">
        <f>B253</f>
        <v>0</v>
      </c>
      <c r="AU253" s="77" t="e">
        <f>AE253</f>
        <v>#N/A</v>
      </c>
      <c r="AW253" s="81"/>
      <c r="BB253" s="81"/>
    </row>
    <row r="254" spans="1:54" s="77" customFormat="1" hidden="1" x14ac:dyDescent="0.2">
      <c r="A254" s="82"/>
      <c r="B254" s="82"/>
      <c r="C254" s="82"/>
      <c r="D254" s="82"/>
      <c r="E254" s="82"/>
      <c r="F254" s="82"/>
      <c r="G254" s="82"/>
      <c r="H254" s="82"/>
      <c r="I254" s="82"/>
      <c r="J254" s="82"/>
      <c r="K254" s="82"/>
      <c r="L254" s="82"/>
      <c r="M254" s="82"/>
      <c r="N254" s="82"/>
      <c r="O254" s="82"/>
      <c r="P254" s="82"/>
      <c r="Q254" s="82"/>
      <c r="R254" s="82"/>
      <c r="S254" s="82"/>
      <c r="T254" s="82"/>
      <c r="U254" s="82"/>
      <c r="V254" s="82"/>
      <c r="W254" s="82"/>
      <c r="X254" s="82"/>
      <c r="Y254" s="82"/>
      <c r="Z254" s="82"/>
      <c r="AA254" s="82"/>
      <c r="AB254" s="82"/>
      <c r="AC254" s="82"/>
      <c r="AD254" s="82"/>
      <c r="AE254" s="82"/>
      <c r="AF254" s="4"/>
      <c r="AG254" s="4"/>
      <c r="AJ254" s="4"/>
      <c r="AL254" s="4"/>
      <c r="AM254" s="4"/>
      <c r="AN254" s="4"/>
      <c r="AO254" s="4"/>
      <c r="AW254" s="81"/>
      <c r="BB254" s="81"/>
    </row>
    <row r="255" spans="1:54" s="77" customFormat="1" hidden="1" x14ac:dyDescent="0.2">
      <c r="A255" s="82" t="s">
        <v>110</v>
      </c>
      <c r="B255" s="82">
        <f>VLOOKUP(B194,$A249:$AE253,3,FALSE)</f>
        <v>2819.9863427632545</v>
      </c>
      <c r="C255" s="82">
        <v>1</v>
      </c>
      <c r="D255" s="82">
        <f>VLOOKUP(D194,$A249:$AE253,3,FALSE)</f>
        <v>2697.9075045714135</v>
      </c>
      <c r="E255" s="82">
        <f>VLOOKUP(E194,$A249:$AE253,4,FALSE)</f>
        <v>2802.8310835691345</v>
      </c>
      <c r="F255" s="82">
        <v>2</v>
      </c>
      <c r="G255" s="82">
        <f>VLOOKUP(G194,$A249:$AE253,4,FALSE)</f>
        <v>2628.2574952617479</v>
      </c>
      <c r="H255" s="82">
        <f>VLOOKUP(H194,$A249:$AE253,7,FALSE)</f>
        <v>2819.781975644195</v>
      </c>
      <c r="I255" s="82">
        <v>3</v>
      </c>
      <c r="J255" s="82">
        <f>VLOOKUP(J194,$A249:$AE253,7,FALSE)</f>
        <v>2634.531996602253</v>
      </c>
      <c r="K255" s="82">
        <f>VLOOKUP(K194,$A249:$AE253,10,FALSE)</f>
        <v>2796.5565822286294</v>
      </c>
      <c r="L255" s="82">
        <v>4</v>
      </c>
      <c r="M255" s="82">
        <f>VLOOKUP(M194,$A249:$AE253,10,FALSE)</f>
        <v>2698.111871690473</v>
      </c>
      <c r="N255" s="82">
        <f>VLOOKUP(N194,$A249:$AE253,13,FALSE)</f>
        <v>2674.9438603962308</v>
      </c>
      <c r="O255" s="82">
        <v>5</v>
      </c>
      <c r="P255" s="82">
        <f>VLOOKUP(P194,$A249:$AE253,13,FALSE)</f>
        <v>2682.1421571797814</v>
      </c>
      <c r="Q255" s="82">
        <f>VLOOKUP(Q194,$A249:$AE253,16,FALSE)</f>
        <v>2819.7245935228716</v>
      </c>
      <c r="R255" s="82">
        <v>6</v>
      </c>
      <c r="S255" s="82">
        <f>VLOOKUP(S194,$A249:$AE253,16,FALSE)</f>
        <v>2772.1718150666666</v>
      </c>
      <c r="T255" s="82" t="e">
        <f>VLOOKUP(T194,$A249:$AE253,19,FALSE)</f>
        <v>#N/A</v>
      </c>
      <c r="U255" s="82">
        <v>7</v>
      </c>
      <c r="V255" s="82" t="e">
        <f>VLOOKUP(V194,$A249:$AE253,19,FALSE)</f>
        <v>#N/A</v>
      </c>
      <c r="W255" s="82" t="e">
        <f>VLOOKUP(W194,$A249:$AE253,22,FALSE)</f>
        <v>#N/A</v>
      </c>
      <c r="X255" s="82">
        <v>8</v>
      </c>
      <c r="Y255" s="82" t="e">
        <f>VLOOKUP(Y194,$A249:$AE253,22,FALSE)</f>
        <v>#N/A</v>
      </c>
      <c r="Z255" s="82" t="e">
        <f>VLOOKUP(Z194,$A249:$AE253,25,FALSE)</f>
        <v>#N/A</v>
      </c>
      <c r="AA255" s="82">
        <v>9</v>
      </c>
      <c r="AB255" s="82" t="e">
        <f>VLOOKUP(AB194,$A249:$AE253,25,FALSE)</f>
        <v>#N/A</v>
      </c>
      <c r="AC255" s="82" t="e">
        <f>VLOOKUP(AC194,$A249:$AE253,28,FALSE)</f>
        <v>#N/A</v>
      </c>
      <c r="AD255" s="82">
        <v>10</v>
      </c>
      <c r="AE255" s="82" t="e">
        <f>VLOOKUP(AE194,$A249:$AE253,28,FALSE)</f>
        <v>#N/A</v>
      </c>
      <c r="AF255" s="4"/>
      <c r="AG255" s="95"/>
      <c r="AH255" s="95"/>
      <c r="AI255" s="95"/>
      <c r="AJ255" s="95"/>
      <c r="AK255" s="95"/>
      <c r="AL255" s="95"/>
      <c r="AM255" s="95"/>
      <c r="AN255" s="96"/>
      <c r="AO255" s="96"/>
      <c r="AP255" s="96"/>
      <c r="AQ255" s="96"/>
      <c r="AW255" s="81"/>
      <c r="BB255" s="81"/>
    </row>
    <row r="256" spans="1:54" s="87" customFormat="1" hidden="1" x14ac:dyDescent="0.2">
      <c r="A256" s="83" t="s">
        <v>111</v>
      </c>
      <c r="B256" s="83">
        <f>1/(1+(10^-((B255-D255)/400)))*(B206+D206)</f>
        <v>2.0063864724706093</v>
      </c>
      <c r="C256" s="83"/>
      <c r="D256" s="83">
        <f>1/(1+(10^-((D255-B255)/400)))*(B206+D206)</f>
        <v>0.99361352752939092</v>
      </c>
      <c r="E256" s="83">
        <f>1/(1+(10^-((E255-G255)/400)))*(E206+G206)</f>
        <v>2.1960781668907905</v>
      </c>
      <c r="F256" s="83"/>
      <c r="G256" s="83">
        <f>1/(1+(10^-((G255-E255)/400)))*(E206+G206)</f>
        <v>0.80392183310920973</v>
      </c>
      <c r="H256" s="83">
        <f>1/(1+(10^-((H255-J255)/400)))*(H206+J206)</f>
        <v>1.4878175180477651</v>
      </c>
      <c r="I256" s="83"/>
      <c r="J256" s="83">
        <f>1/(1+(10^-((J255-H255)/400)))*(H206+J206)</f>
        <v>0.5121824819522347</v>
      </c>
      <c r="K256" s="83">
        <f>1/(1+(10^-((K255-M255)/400)))*(K206+M206)</f>
        <v>1.2759996470549266</v>
      </c>
      <c r="L256" s="83"/>
      <c r="M256" s="83">
        <f>1/(1+(10^-((M255-K255)/400)))*(K206+M206)</f>
        <v>0.72400035294507337</v>
      </c>
      <c r="N256" s="83">
        <f>1/(1+(10^-((N255-P255)/400)))*(N206+P206)</f>
        <v>1.4689269005426215</v>
      </c>
      <c r="O256" s="83"/>
      <c r="P256" s="83">
        <f>1/(1+(10^-((P255-N255)/400)))*(N206+P206)</f>
        <v>1.5310730994573785</v>
      </c>
      <c r="Q256" s="83">
        <f>1/(1+(10^-((Q255-S255)/400)))*(Q206+S206)</f>
        <v>1.7040294204034727</v>
      </c>
      <c r="R256" s="83"/>
      <c r="S256" s="83">
        <f>1/(1+(10^-((S255-Q255)/400)))*(Q206+S206)</f>
        <v>1.2959705795965273</v>
      </c>
      <c r="T256" s="83" t="e">
        <f>1/(1+(10^-((T255-V255)/400)))*(T206+V206)</f>
        <v>#N/A</v>
      </c>
      <c r="U256" s="83"/>
      <c r="V256" s="83" t="e">
        <f>1/(1+(10^-((V255-T255)/400)))*(T206+V206)</f>
        <v>#N/A</v>
      </c>
      <c r="W256" s="83" t="e">
        <f>1/(1+(10^-((W255-Y255)/400)))*(W206+Y206)</f>
        <v>#N/A</v>
      </c>
      <c r="X256" s="83"/>
      <c r="Y256" s="83" t="e">
        <f>1/(1+(10^-((Y255-W255)/400)))*(W206+Y206)</f>
        <v>#N/A</v>
      </c>
      <c r="Z256" s="83" t="e">
        <f>1/(1+(10^-((Z255-AB255)/400)))*(Z206+AB206)</f>
        <v>#N/A</v>
      </c>
      <c r="AA256" s="83"/>
      <c r="AB256" s="83" t="e">
        <f>1/(1+(10^-((AB255-Z255)/400)))*(Z206+AB206)</f>
        <v>#N/A</v>
      </c>
      <c r="AC256" s="83" t="e">
        <f>1/(1+(10^-((AC255-AE255)/400)))*(AC206+AE206)</f>
        <v>#N/A</v>
      </c>
      <c r="AD256" s="83"/>
      <c r="AE256" s="83" t="e">
        <f>1/(1+(10^-((AE255-AC255)/400)))*(AC206+AE206)</f>
        <v>#N/A</v>
      </c>
      <c r="AF256" s="84"/>
      <c r="AG256" s="85"/>
      <c r="AH256" s="85"/>
      <c r="AI256" s="85"/>
      <c r="AJ256" s="85"/>
      <c r="AK256" s="85"/>
      <c r="AL256" s="85"/>
      <c r="AM256" s="85"/>
      <c r="AN256" s="86"/>
      <c r="AO256" s="86"/>
      <c r="AP256" s="86"/>
      <c r="AQ256" s="86"/>
      <c r="AW256" s="88"/>
      <c r="BB256" s="88"/>
    </row>
    <row r="257" spans="1:54" s="93" customFormat="1" hidden="1" x14ac:dyDescent="0.2">
      <c r="A257" s="89" t="s">
        <v>112</v>
      </c>
      <c r="B257" s="89">
        <f>B255+(B206-B256)*$BA$1</f>
        <v>2819.781975644195</v>
      </c>
      <c r="C257" s="89"/>
      <c r="D257" s="89">
        <f>D255+(D206-D256)*$BA$1</f>
        <v>2698.111871690473</v>
      </c>
      <c r="E257" s="89">
        <f>E255+(E206-E256)*$BA$1</f>
        <v>2796.5565822286294</v>
      </c>
      <c r="F257" s="89"/>
      <c r="G257" s="89">
        <f>G255+(G206-G256)*$BA$1</f>
        <v>2634.531996602253</v>
      </c>
      <c r="H257" s="89">
        <f>H255+(H206-H256)*$BA$1</f>
        <v>2772.1718150666666</v>
      </c>
      <c r="I257" s="89"/>
      <c r="J257" s="89">
        <f>J255+(J206-J256)*$BA$1</f>
        <v>2682.1421571797814</v>
      </c>
      <c r="K257" s="89">
        <f>K255+(K206-K256)*$BA$1</f>
        <v>2819.7245935228716</v>
      </c>
      <c r="L257" s="89"/>
      <c r="M257" s="89">
        <f>M255+(M206-M256)*$BA$1</f>
        <v>2674.9438603962308</v>
      </c>
      <c r="N257" s="89">
        <f>N255+(N206-N256)*$BA$1</f>
        <v>2659.9381995788667</v>
      </c>
      <c r="O257" s="89"/>
      <c r="P257" s="89">
        <f>P255+(P206-P256)*$BA$1</f>
        <v>2697.1478179971455</v>
      </c>
      <c r="Q257" s="89">
        <f>Q255+(Q206-Q256)*$BA$1</f>
        <v>2797.1956520699605</v>
      </c>
      <c r="R257" s="89"/>
      <c r="S257" s="89">
        <f>S255+(S206-S256)*$BA$1</f>
        <v>2794.7007565195777</v>
      </c>
      <c r="T257" s="89" t="e">
        <f>T255+(T206-T256)*$BA$1</f>
        <v>#N/A</v>
      </c>
      <c r="U257" s="89"/>
      <c r="V257" s="89" t="e">
        <f>V255+(V206-V256)*$BA$1</f>
        <v>#N/A</v>
      </c>
      <c r="W257" s="89" t="e">
        <f>W255+(W206-W256)*$BA$1</f>
        <v>#N/A</v>
      </c>
      <c r="X257" s="89"/>
      <c r="Y257" s="89" t="e">
        <f>Y255+(Y206-Y256)*$BA$1</f>
        <v>#N/A</v>
      </c>
      <c r="Z257" s="89" t="e">
        <f>Z255+(Z206-Z256)*$BA$1</f>
        <v>#N/A</v>
      </c>
      <c r="AA257" s="89"/>
      <c r="AB257" s="89" t="e">
        <f>AB255+(AB206-AB256)*$BA$1</f>
        <v>#N/A</v>
      </c>
      <c r="AC257" s="89" t="e">
        <f>AC255+(AC206-AC256)*$BA$1</f>
        <v>#N/A</v>
      </c>
      <c r="AD257" s="89"/>
      <c r="AE257" s="89" t="e">
        <f>AE255+(AE206-AE256)*$BA$1</f>
        <v>#N/A</v>
      </c>
      <c r="AF257" s="90"/>
      <c r="AG257" s="91"/>
      <c r="AH257" s="91"/>
      <c r="AI257" s="91"/>
      <c r="AJ257" s="91"/>
      <c r="AK257" s="91"/>
      <c r="AL257" s="91"/>
      <c r="AM257" s="91"/>
      <c r="AN257" s="92"/>
      <c r="AO257" s="92"/>
      <c r="AP257" s="92"/>
      <c r="AQ257" s="92"/>
      <c r="AW257" s="94"/>
      <c r="BB257" s="94"/>
    </row>
    <row r="258" spans="1:54" s="93" customFormat="1" hidden="1" x14ac:dyDescent="0.2">
      <c r="A258" s="89"/>
      <c r="B258" s="89"/>
      <c r="C258" s="89"/>
      <c r="D258" s="89"/>
      <c r="E258" s="89"/>
      <c r="F258" s="89"/>
      <c r="G258" s="89"/>
      <c r="H258" s="89"/>
      <c r="I258" s="89"/>
      <c r="J258" s="89"/>
      <c r="K258" s="89"/>
      <c r="L258" s="89"/>
      <c r="M258" s="89"/>
      <c r="N258" s="89"/>
      <c r="O258" s="89"/>
      <c r="P258" s="89"/>
      <c r="Q258" s="89"/>
      <c r="R258" s="89"/>
      <c r="S258" s="89"/>
      <c r="T258" s="89"/>
      <c r="U258" s="89"/>
      <c r="V258" s="89"/>
      <c r="W258" s="89"/>
      <c r="X258" s="89"/>
      <c r="Y258" s="89"/>
      <c r="Z258" s="89"/>
      <c r="AA258" s="89"/>
      <c r="AB258" s="89"/>
      <c r="AC258" s="89"/>
      <c r="AD258" s="89"/>
      <c r="AE258" s="89"/>
      <c r="AF258" s="90"/>
      <c r="AG258" s="91"/>
      <c r="AH258" s="91"/>
      <c r="AI258" s="91"/>
      <c r="AJ258" s="91"/>
      <c r="AK258" s="91"/>
      <c r="AL258" s="91"/>
      <c r="AM258" s="91"/>
      <c r="AN258" s="92"/>
      <c r="AO258" s="92"/>
      <c r="AP258" s="92"/>
      <c r="AQ258" s="92"/>
      <c r="AW258" s="94"/>
      <c r="BB258" s="94"/>
    </row>
    <row r="259" spans="1:54" s="77" customFormat="1" x14ac:dyDescent="0.2">
      <c r="A259" s="281" t="str">
        <f>IF($AK180=1,"Pool Tiereaker : 1) Matches Won vs Lost (if 3 way tie then #4)  2) Head to Head  3) Game Win %  4) Total Pool Net Points  5) Flip a Coin","Pool Tiebreaker : 1) Games Won vs Lost (if 3 way tie then #5)  2) Head to Head  3) Head to Head Net Points  4) Game Win %  5) Total Pool Net Points  6) Flip a Coin")</f>
        <v>Pool Tiereaker : 1) Matches Won vs Lost (if 3 way tie then #4)  2) Head to Head  3) Game Win %  4) Total Pool Net Points  5) Flip a Coin</v>
      </c>
      <c r="B259" s="281"/>
      <c r="C259" s="281"/>
      <c r="D259" s="281"/>
      <c r="E259" s="281"/>
      <c r="F259" s="281"/>
      <c r="G259" s="281"/>
      <c r="H259" s="281"/>
      <c r="I259" s="281"/>
      <c r="J259" s="281"/>
      <c r="K259" s="281"/>
      <c r="L259" s="281"/>
      <c r="M259" s="281"/>
      <c r="N259" s="281"/>
      <c r="O259" s="281"/>
      <c r="P259" s="281"/>
      <c r="Q259" s="281"/>
      <c r="R259" s="281"/>
      <c r="S259" s="281"/>
      <c r="T259" s="281"/>
      <c r="U259" s="281"/>
      <c r="V259" s="281"/>
      <c r="W259" s="281"/>
      <c r="X259" s="281"/>
      <c r="Y259" s="281"/>
      <c r="Z259" s="281"/>
      <c r="AA259" s="281"/>
      <c r="AB259" s="281"/>
      <c r="AC259" s="281"/>
      <c r="AD259" s="281"/>
      <c r="AE259" s="281"/>
      <c r="AF259" s="281"/>
      <c r="AG259" s="281"/>
      <c r="AH259" s="281"/>
      <c r="AI259" s="281"/>
      <c r="AJ259" s="281"/>
      <c r="AK259" s="281"/>
      <c r="AL259" s="281"/>
      <c r="AM259" s="281"/>
      <c r="AN259" s="259"/>
      <c r="AO259" s="259"/>
      <c r="AP259" s="259"/>
      <c r="AQ259" s="259"/>
      <c r="AW259" s="81"/>
    </row>
    <row r="260" spans="1:54" s="77" customFormat="1" x14ac:dyDescent="0.2">
      <c r="A260" s="282"/>
      <c r="B260" s="282"/>
      <c r="C260" s="282"/>
      <c r="D260" s="282"/>
      <c r="E260" s="282"/>
      <c r="F260" s="282"/>
      <c r="G260" s="282"/>
      <c r="H260" s="282"/>
      <c r="I260" s="282"/>
      <c r="J260" s="282"/>
      <c r="K260" s="282"/>
      <c r="L260" s="282"/>
      <c r="M260" s="282"/>
      <c r="N260" s="282"/>
      <c r="O260" s="282"/>
      <c r="P260" s="282"/>
      <c r="Q260" s="282"/>
      <c r="R260" s="282"/>
      <c r="S260" s="282"/>
      <c r="T260" s="282"/>
      <c r="U260" s="282"/>
      <c r="V260" s="282"/>
      <c r="W260" s="282"/>
      <c r="X260" s="282"/>
      <c r="Y260" s="282"/>
      <c r="Z260" s="282"/>
      <c r="AA260" s="282"/>
      <c r="AB260" s="282"/>
      <c r="AC260" s="282"/>
      <c r="AD260" s="282"/>
      <c r="AE260" s="282"/>
      <c r="AF260" s="282"/>
      <c r="AG260" s="282"/>
      <c r="AH260" s="282"/>
      <c r="AI260" s="282"/>
      <c r="AJ260" s="282"/>
      <c r="AK260" s="282"/>
      <c r="AL260" s="282"/>
      <c r="AM260" s="282"/>
      <c r="AN260" s="282"/>
      <c r="AO260" s="282"/>
      <c r="AP260" s="282"/>
      <c r="AQ260" s="282"/>
      <c r="AW260" s="81"/>
    </row>
    <row r="261" spans="1:54" ht="21" thickBot="1" x14ac:dyDescent="0.35">
      <c r="A261" s="271" t="s">
        <v>114</v>
      </c>
      <c r="B261" s="271"/>
      <c r="C261" s="271"/>
      <c r="D261" s="271"/>
      <c r="E261" s="271"/>
      <c r="F261" s="271"/>
      <c r="G261" s="271"/>
      <c r="H261" s="271"/>
      <c r="I261" s="271"/>
      <c r="J261" s="271"/>
      <c r="K261" s="271"/>
      <c r="L261" s="271"/>
      <c r="M261" s="271"/>
      <c r="N261" s="271"/>
      <c r="O261" s="271"/>
      <c r="P261" s="271"/>
      <c r="Q261" s="271"/>
      <c r="R261" s="271"/>
      <c r="S261" s="271"/>
      <c r="T261" s="271"/>
      <c r="U261" s="271"/>
      <c r="V261" s="271"/>
      <c r="W261" s="271"/>
      <c r="X261" s="271"/>
      <c r="Y261" s="271"/>
      <c r="Z261" s="271"/>
      <c r="AA261" s="271"/>
      <c r="AB261" s="271"/>
      <c r="AC261" s="271"/>
      <c r="AD261" s="271"/>
      <c r="AE261" s="271"/>
      <c r="AF261" s="271"/>
      <c r="AG261" s="271"/>
      <c r="AH261" s="271"/>
      <c r="AI261" s="271"/>
      <c r="AJ261" s="271"/>
      <c r="AK261" s="271"/>
      <c r="AL261" s="271"/>
      <c r="AM261" s="271"/>
      <c r="AN261" s="271"/>
      <c r="AO261" s="271"/>
      <c r="AP261" s="271"/>
      <c r="AQ261" s="271"/>
    </row>
    <row r="262" spans="1:54" ht="13.5" thickBot="1" x14ac:dyDescent="0.25">
      <c r="A262" s="272" t="s">
        <v>115</v>
      </c>
      <c r="B262" s="496" t="s">
        <v>116</v>
      </c>
      <c r="C262" s="497"/>
      <c r="D262" s="497"/>
      <c r="E262" s="497"/>
      <c r="F262" s="497"/>
      <c r="G262" s="497"/>
      <c r="H262" s="497"/>
      <c r="I262" s="497"/>
      <c r="J262" s="497"/>
      <c r="K262" s="497"/>
      <c r="L262" s="498"/>
      <c r="M262" s="496" t="s">
        <v>117</v>
      </c>
      <c r="N262" s="497"/>
      <c r="O262" s="497"/>
      <c r="P262" s="497"/>
      <c r="Q262" s="497"/>
      <c r="R262" s="497"/>
      <c r="S262" s="497"/>
      <c r="T262" s="497"/>
      <c r="U262" s="497"/>
      <c r="V262" s="497"/>
      <c r="W262" s="498"/>
      <c r="X262" s="274" t="s">
        <v>118</v>
      </c>
      <c r="Y262" s="275"/>
      <c r="Z262" s="275"/>
      <c r="AA262" s="275"/>
      <c r="AB262" s="275"/>
      <c r="AC262" s="275"/>
      <c r="AD262" s="275"/>
      <c r="AE262" s="275"/>
      <c r="AF262" s="275"/>
      <c r="AG262" s="276"/>
      <c r="AH262" s="274" t="s">
        <v>119</v>
      </c>
      <c r="AI262" s="275"/>
      <c r="AJ262" s="275"/>
      <c r="AK262" s="275"/>
      <c r="AL262" s="275"/>
      <c r="AM262" s="275"/>
      <c r="AN262" s="275"/>
      <c r="AO262" s="275"/>
      <c r="AP262" s="276"/>
    </row>
    <row r="263" spans="1:54" ht="13.5" thickBot="1" x14ac:dyDescent="0.25">
      <c r="A263" s="499"/>
      <c r="B263" s="500" t="s">
        <v>10</v>
      </c>
      <c r="C263" s="501"/>
      <c r="D263" s="501"/>
      <c r="E263" s="501"/>
      <c r="F263" s="501" t="s">
        <v>120</v>
      </c>
      <c r="G263" s="501"/>
      <c r="H263" s="501"/>
      <c r="I263" s="501"/>
      <c r="J263" s="501" t="s">
        <v>1048</v>
      </c>
      <c r="K263" s="501"/>
      <c r="L263" s="502" t="s">
        <v>9</v>
      </c>
      <c r="M263" s="500" t="s">
        <v>10</v>
      </c>
      <c r="N263" s="501"/>
      <c r="O263" s="501"/>
      <c r="P263" s="501"/>
      <c r="Q263" s="501"/>
      <c r="R263" s="501" t="s">
        <v>120</v>
      </c>
      <c r="S263" s="501"/>
      <c r="T263" s="501"/>
      <c r="U263" s="501" t="s">
        <v>1048</v>
      </c>
      <c r="V263" s="501"/>
      <c r="W263" s="503" t="s">
        <v>9</v>
      </c>
      <c r="X263" s="500" t="s">
        <v>10</v>
      </c>
      <c r="Y263" s="501"/>
      <c r="Z263" s="501"/>
      <c r="AA263" s="501"/>
      <c r="AB263" s="501"/>
      <c r="AC263" s="501" t="s">
        <v>120</v>
      </c>
      <c r="AD263" s="501"/>
      <c r="AE263" s="501"/>
      <c r="AF263" s="504" t="s">
        <v>1048</v>
      </c>
      <c r="AG263" s="503" t="s">
        <v>9</v>
      </c>
      <c r="AH263" s="500" t="s">
        <v>10</v>
      </c>
      <c r="AI263" s="501"/>
      <c r="AJ263" s="501"/>
      <c r="AK263" s="501" t="s">
        <v>120</v>
      </c>
      <c r="AL263" s="501"/>
      <c r="AM263" s="501"/>
      <c r="AN263" s="501" t="s">
        <v>1048</v>
      </c>
      <c r="AO263" s="501"/>
      <c r="AP263" s="503" t="s">
        <v>9</v>
      </c>
    </row>
    <row r="264" spans="1:54" x14ac:dyDescent="0.2">
      <c r="A264" s="97" t="s">
        <v>121</v>
      </c>
      <c r="B264" s="505" t="str">
        <f>IF($AF$8=1,$E$8,IF($AF$10=1,$E$10,IF($AF$12=1,$E$12,IF($AF$14=1,$E$14,IF($AF$16=1,$E$16,"1st Place "&amp;$A264)))))</f>
        <v>Sumter 17 Heath</v>
      </c>
      <c r="C264" s="506"/>
      <c r="D264" s="506"/>
      <c r="E264" s="506"/>
      <c r="F264" s="507" t="str">
        <f>IF($AF$8=1,$E$9,IF($AF$10=1,$E$11,IF($AF$12=1,$E$13,IF($AF$14=1,$E$15,IF($AF$16=1,$E$17,"1st Place "&amp;$A264)))))</f>
        <v>fj7sumtr1pm</v>
      </c>
      <c r="G264" s="507"/>
      <c r="H264" s="507"/>
      <c r="I264" s="507"/>
      <c r="J264" s="508">
        <f>IF($AF$8=1,$Z$8,IF($AF$10=1,$Z$10,IF($AF$12=1,$Z$12,IF($AF$14=1,$Z$14,IF($AF$16=1,$Z$16,0)))))</f>
        <v>0.21674876847290642</v>
      </c>
      <c r="K264" s="508"/>
      <c r="L264" s="509">
        <f>IF(AND(J264=0,J265=0,J266=0),0,IF(OR(AND(J264&gt;J265,J264&gt;J266),AND(J264=J265,J264=J266),AND(J264=J265,J264&gt;J266),AND(J264=J266,J264&gt;J265)),1,IF(OR(J264&gt;J265,J264&gt;J266,J264=J265,J264=J266),2,3)))</f>
        <v>3</v>
      </c>
      <c r="M264" s="505" t="str">
        <f>IF($AF$8=2,$E$8,IF($AF$10=2,$E$10,IF($AF$12=2,$E$12,IF($AF$14=2,$E$14,IF($AF$16=2,$E$16,"2nd Place "&amp;$A264)))))</f>
        <v>Hurricane VBC 17 Typhoon</v>
      </c>
      <c r="N264" s="506"/>
      <c r="O264" s="506"/>
      <c r="P264" s="506"/>
      <c r="Q264" s="506"/>
      <c r="R264" s="507" t="str">
        <f>IF($AF$8=2,$E$9,IF($AF$10=2,$E$11,IF($AF$12=2,$E$13,IF($AF$14=2,$E$15,IF($AF$16=2,$E$17,"2nd Place "&amp;$A264)))))</f>
        <v>fj7hurrc2pm</v>
      </c>
      <c r="S264" s="507"/>
      <c r="T264" s="507"/>
      <c r="U264" s="508">
        <f>IF($AF$8=2,$Z$8,IF($AF$10=2,$Z$10,IF($AF$12=2,$Z$12,IF($AF$14=2,$Z$14,IF($AF$16=2,$Z$16,0)))))</f>
        <v>0.12871287128712872</v>
      </c>
      <c r="V264" s="508"/>
      <c r="W264" s="510">
        <f>IF(AND(J264=0,J265=0,J266=0),0,IF(OR(AND(U264&gt;U265,U264&gt;U266),AND(U264=U265,U264=U266),AND(U264=U265,U264&gt;U266),AND(U264=U266,U264&gt;U265)),1,IF(OR(U264&gt;U265,U264&gt;U266,U264=U265,U264=U266),2,3)))</f>
        <v>2</v>
      </c>
      <c r="X264" s="511" t="str">
        <f>IF($AF$8=3,$E$8,IF($AF$10=3,$E$10,IF($AF$12=3,$E$12,IF($AF$14=3,$E$14,IF($AF$16=3,$E$16,"3rd Place "&amp;$A264)))))</f>
        <v>MOTO 17 IGNITE</v>
      </c>
      <c r="Y264" s="512"/>
      <c r="Z264" s="512"/>
      <c r="AA264" s="512"/>
      <c r="AB264" s="512"/>
      <c r="AC264" s="513" t="str">
        <f>IF($AF$8=3,$E$9,IF($AF$10=3,$E$11,IF($AF$12=3,$E$13,IF($AF$14=3,$E$15,IF($AF$16=3,$E$17,"3rd Place "&amp;$A264)))))</f>
        <v>fj7motoj1pm</v>
      </c>
      <c r="AD264" s="513"/>
      <c r="AE264" s="513"/>
      <c r="AF264" s="514">
        <f>IF($AF$8=3,$Z$8,IF($AF$10=3,$Z$10,IF($AF$12=3,$Z$12,IF($AF$14=3,$Z$14,IF($AF$16=3,$Z$16,0)))))</f>
        <v>-5.9405940594059403E-2</v>
      </c>
      <c r="AG264" s="510">
        <f>IF(AND(J264=0,J265=0,J266=0),0,IF(OR(AND(AF264&gt;AF265,AF264&gt;AF266),AND(AF264=AF265,AF264=AF266),AND(AF264=AF265,AF264&gt;AF266),AND(AF264=AF266,AF264&gt;AF265)),1,IF(OR(AF264&gt;AF265,AF264&gt;AF266,AF264=AF265,AF264=AF266),2,3)))</f>
        <v>3</v>
      </c>
      <c r="AH264" s="505" t="str">
        <f>IF($AF$8=4,$E$8,IF($AF$10=4,$E$10,IF($AF$12=4,$E$12,IF($AF$14=4,$E$14,IF($AF$16=4,$E$16,"4th Place "&amp;$A264)))))</f>
        <v>METRO-ATL 16 BLACK</v>
      </c>
      <c r="AI264" s="506"/>
      <c r="AJ264" s="506"/>
      <c r="AK264" s="507" t="str">
        <f>IF($AF$8=4,$E$9,IF($AF$10=4,$E$11,IF($AF$12=4,$E$13,IF($AF$14=4,$E$15,IF($AF$16=4,$E$17,"4th Place "&amp;$A264)))))</f>
        <v>fj6metro1so</v>
      </c>
      <c r="AL264" s="507"/>
      <c r="AM264" s="507"/>
      <c r="AN264" s="508">
        <f>IF($AF$8=4,$Z$8,IF($AF$10=4,$Z$10,IF($AF$12=4,$Z$12,IF($AF$14=4,$Z$14,IF($AF$16=4,$Z$16,0)))))</f>
        <v>-3.9800995024875621E-2</v>
      </c>
      <c r="AO264" s="508"/>
      <c r="AP264" s="510">
        <f>IF(AND(J264=0,J265=0,J266=0),0,IF(OR(AND(AN264&gt;AN265,AN264&gt;AN266),AND(AN264=AN265,AN264=AN266),AND(AN264=AN265,AN264&gt;AN266),AND(AN264=AN266,AN264&gt;AN265)),1,IF(OR(AN264&gt;AN265,AN264&gt;AN266,AN264=AN265,AN264=AN266),2,3)))</f>
        <v>1</v>
      </c>
    </row>
    <row r="265" spans="1:54" x14ac:dyDescent="0.2">
      <c r="A265" s="97" t="s">
        <v>122</v>
      </c>
      <c r="B265" s="515" t="str">
        <f>IF($AF$93=1,$E$93,IF($AF$95=1,$E$95,IF($AF$97=1,$E$97,IF($AF$99=1,$E$99,IF($AF$101=1,$E$101,"1st Place "&amp;$A265)))))</f>
        <v>PRV 17U Alicia</v>
      </c>
      <c r="C265" s="516"/>
      <c r="D265" s="516"/>
      <c r="E265" s="516"/>
      <c r="F265" s="517" t="str">
        <f>IF($AF$93=1,$E$94,IF($AF$95=1,$E$96,IF($AF$97=1,$E$98,IF($AF$99=1,$E$100,IF($AF$101=1,$E$102,"1st Place "&amp;$A265)))))</f>
        <v>fj7prage1pm</v>
      </c>
      <c r="G265" s="517"/>
      <c r="H265" s="517"/>
      <c r="I265" s="517"/>
      <c r="J265" s="518">
        <f>IF($AF$93=1,$Z$93,IF($AF$95=1,$Z$95,IF($AF$97=1,$Z$97,IF($AF$99=1,$Z$99,IF($AF$101=1,$Z$101,0)))))</f>
        <v>0.32</v>
      </c>
      <c r="K265" s="518"/>
      <c r="L265" s="519">
        <f>IF(AND(J264=0,J265=0,J266=0),0,IF(OR(AND(J265&gt;J264,J265&gt;J266),AND(J265=J266,J265&gt;J264)),1,IF(OR(J265&gt;J264,J265&gt;J266,AND(J265=J264,J265=J266),J265=J266),2,3)))</f>
        <v>1</v>
      </c>
      <c r="M265" s="515" t="str">
        <f>IF($AF$93=2,$E$93,IF($AF$95=2,$E$95,IF($AF$97=2,$E$97,IF($AF$99=2,$E$99,IF($AF$101=2,$E$101,"2nd Place "&amp;$A265)))))</f>
        <v>Magnum 16 Mizuno</v>
      </c>
      <c r="N265" s="516"/>
      <c r="O265" s="516"/>
      <c r="P265" s="516"/>
      <c r="Q265" s="516"/>
      <c r="R265" s="517" t="str">
        <f>IF($AF$93=2,$E$94,IF($AF$95=2,$E$96,IF($AF$97=2,$E$98,IF($AF$99=2,$E$100,IF($AF$101=2,$E$102,"2nd Place "&amp;$A265)))))</f>
        <v>fj6magnm1pm</v>
      </c>
      <c r="S265" s="517"/>
      <c r="T265" s="517"/>
      <c r="U265" s="518">
        <f>IF($AF$93=2,$Z$93,IF($AF$95=2,$Z$95,IF($AF$97=2,$Z$97,IF($AF$99=2,$Z$99,IF($AF$101=2,$Z$101,0)))))</f>
        <v>0.18316831683168316</v>
      </c>
      <c r="V265" s="518"/>
      <c r="W265" s="520">
        <f>IF(AND(J264=0,J265=0,J266=0),0,IF(OR(AND(U265&gt;U264,U265&gt;U266),AND(U265=U266,U265&gt;U264)),1,IF(OR(U265&gt;U264,U265&gt;U266,AND(U265=U264,U265=U266),U265=U266),2,3)))</f>
        <v>1</v>
      </c>
      <c r="X265" s="515" t="str">
        <f>IF($AF$93=3,$E$93,IF($AF$95=3,$E$95,IF($AF$97=3,$E$97,IF($AF$99=3,$E$99,IF($AF$101=3,$E$101,"3rd Place "&amp;$A265)))))</f>
        <v>Lake Murray 17 Red</v>
      </c>
      <c r="Y265" s="516"/>
      <c r="Z265" s="516"/>
      <c r="AA265" s="516"/>
      <c r="AB265" s="516"/>
      <c r="AC265" s="517" t="str">
        <f>IF($AF$93=3,$E$94,IF($AF$95=3,$E$96,IF($AF$97=3,$E$98,IF($AF$99=3,$E$100,IF($AF$101=3,$E$102,"3rd Place "&amp;$A265)))))</f>
        <v>fj7lakem1pm</v>
      </c>
      <c r="AD265" s="517"/>
      <c r="AE265" s="517"/>
      <c r="AF265" s="521">
        <f>IF($AF$93=3,$Z$93,IF($AF$95=3,$Z$95,IF($AF$97=3,$Z$97,IF($AF$99=3,$Z$99,IF($AF$101=3,$Z$101,0)))))</f>
        <v>0.02</v>
      </c>
      <c r="AG265" s="520">
        <f>IF(AND(J264=0,J265=0,J266=0),0,IF(OR(AND(AF265&gt;AF264,AF265&gt;AF266),AND(AF265=AF266,AF265&gt;AF264)),1,IF(OR(AF265&gt;AF264,AF265&gt;AF266,AND(AF265=AF264,AF265=AF266),AF265=AF266),2,3)))</f>
        <v>1</v>
      </c>
      <c r="AH265" s="515" t="str">
        <f>IF($AF$93=4,$E$93,IF($AF$95=4,$E$95,IF($AF$97=4,$E$97,IF($AF$99=4,$E$99,IF($AF$101=4,$E$101,"4th Place "&amp;$A265)))))</f>
        <v>Intense 17 Perf RH</v>
      </c>
      <c r="AI265" s="516"/>
      <c r="AJ265" s="516"/>
      <c r="AK265" s="517" t="str">
        <f>IF($AF$93=4,$E$94,IF($AF$95=4,$E$96,IF($AF$97=4,$E$98,IF($AF$99=4,$E$100,IF($AF$101=4,$E$102,"4th Place "&amp;$A265)))))</f>
        <v>fj7inten1pm</v>
      </c>
      <c r="AL265" s="517"/>
      <c r="AM265" s="517"/>
      <c r="AN265" s="518">
        <f>IF($AF$93=4,$Z$93,IF($AF$95=4,$Z$95,IF($AF$97=4,$Z$97,IF($AF$99=4,$Z$99,IF($AF$101=4,$Z$101,0)))))</f>
        <v>-0.22500000000000001</v>
      </c>
      <c r="AO265" s="518"/>
      <c r="AP265" s="520">
        <f>IF(AND(J264=0,J265=0,J266=0),0,IF(OR(AND(AN265&gt;AN264,AN265&gt;AN266),AND(AN265=AN266,AN265&gt;AN264)),1,IF(OR(AN265&gt;AN264,AN265&gt;AN266,AND(AN265=AN264,AN265=AN266),AN265=AN266),2,3)))</f>
        <v>2</v>
      </c>
    </row>
    <row r="266" spans="1:54" ht="13.5" thickBot="1" x14ac:dyDescent="0.25">
      <c r="A266" s="98" t="s">
        <v>208</v>
      </c>
      <c r="B266" s="522" t="str">
        <f>IF($AF$178=1,$E$178,IF($AF$180=1,$E$180,IF($AF$182=1,$E$182,IF($AF$184=1,$E$184,IF($AF$186=1,$E$186,"1st Place "&amp;$A266)))))</f>
        <v>Intense 16 Hyper Elite</v>
      </c>
      <c r="C266" s="523"/>
      <c r="D266" s="523"/>
      <c r="E266" s="523"/>
      <c r="F266" s="524" t="str">
        <f>IF($AF$178=1,$E$179,IF($AF$180=1,$E$181,IF($AF$182=1,$E$183,IF($AF$184=1,$E$185,IF($AF$186=1,$E$187,"1st Place "&amp;$A266)))))</f>
        <v>fj6inten1pm</v>
      </c>
      <c r="G266" s="524"/>
      <c r="H266" s="524"/>
      <c r="I266" s="524"/>
      <c r="J266" s="525">
        <f>IF($AF$178=1,$Z$178,IF($AF$180=1,$Z$180,IF($AF$182=1,$Z$182,IF($AF$184=1,$Z$184,IF($AF$186=1,$Z$186,0)))))</f>
        <v>0.22222222222222221</v>
      </c>
      <c r="K266" s="525"/>
      <c r="L266" s="526">
        <f>IF(AND(J264=0,J265=0,J266=0),0,IF(AND(J266&gt;J264,J266&gt;J265),1,IF(OR(J266&gt;J264,J266&gt;J265),2,3)))</f>
        <v>2</v>
      </c>
      <c r="M266" s="522" t="str">
        <f>IF($AF$178=2,$E$178,IF($AF$180=2,$E$180,IF($AF$182=2,$E$182,IF($AF$184=2,$E$184,IF($AF$186=2,$E$186,"2nd Place "&amp;$A266)))))</f>
        <v>CSRA Heat 17 National</v>
      </c>
      <c r="N266" s="523"/>
      <c r="O266" s="523"/>
      <c r="P266" s="523"/>
      <c r="Q266" s="523"/>
      <c r="R266" s="524" t="str">
        <f>IF($AF$178=2,$E$179,IF($AF$180=2,$E$181,IF($AF$182=2,$E$183,IF($AF$184=2,$E$185,IF($AF$186=2,$E$187,"2nd Place "&amp;$A266)))))</f>
        <v>fj7csrah1pm</v>
      </c>
      <c r="S266" s="524"/>
      <c r="T266" s="524"/>
      <c r="U266" s="525">
        <f>IF($AF$178=2,$Z$178,IF($AF$180=2,$Z$180,IF($AF$182=2,$Z$182,IF($AF$184=2,$Z$184,IF($AF$186=2,$Z$186,0)))))</f>
        <v>1.1111111111111112E-2</v>
      </c>
      <c r="V266" s="525"/>
      <c r="W266" s="527">
        <f>IF(AND(J264=0,J265=0,J266=0),0,IF(AND(U266&gt;U264,U266&gt;U265),1,IF(OR(U266&gt;U264,U266&gt;U265),2,3)))</f>
        <v>3</v>
      </c>
      <c r="X266" s="522" t="str">
        <f>IF($AF$178=3,$E$178,IF($AF$180=3,$E$180,IF($AF$182=3,$E$182,IF($AF$184=3,$E$184,IF($AF$186=3,$E$186,"3rd Place "&amp;$A266)))))</f>
        <v>METRO-ATL 17 BLACK</v>
      </c>
      <c r="Y266" s="523"/>
      <c r="Z266" s="523"/>
      <c r="AA266" s="523"/>
      <c r="AB266" s="523"/>
      <c r="AC266" s="524" t="str">
        <f>IF($AF$178=3,$E$179,IF($AF$180=3,$E$181,IF($AF$182=3,$E$183,IF($AF$184=3,$E$185,IF($AF$186=3,$E$187,"3rd Place "&amp;$A266)))))</f>
        <v>fj7metro1so</v>
      </c>
      <c r="AD266" s="524"/>
      <c r="AE266" s="524"/>
      <c r="AF266" s="528">
        <f>IF($AF$178=3,$Z$178,IF($AF$180=3,$Z$180,IF($AF$182=3,$Z$182,IF($AF$184=3,$Z$184,IF($AF$186=3,$Z$186,0)))))</f>
        <v>0</v>
      </c>
      <c r="AG266" s="527">
        <f>IF(AND(J264=0,J265=0,J266=0),0,IF(AND(AF266&gt;AF264,AF266&gt;AF265),1,IF(OR(AF266&gt;AF264,AF266&gt;AF265),2,3)))</f>
        <v>2</v>
      </c>
      <c r="AH266" s="522" t="str">
        <f>IF($AF$178=4,$E$178,IF($AF$180=4,$E$180,IF($AF$182=4,$E$182,IF($AF$184=4,$E$184,IF($AF$186=4,$E$186,"4th Place "&amp;$A266)))))</f>
        <v>Crossfire 17 Power</v>
      </c>
      <c r="AI266" s="523"/>
      <c r="AJ266" s="523"/>
      <c r="AK266" s="524" t="str">
        <f>IF($AF$178=4,$E$179,IF($AF$180=4,$E$181,IF($AF$182=4,$E$183,IF($AF$184=4,$E$185,IF($AF$186=4,$E$187,"4th Place "&amp;$A266)))))</f>
        <v>fj7crosf1pm</v>
      </c>
      <c r="AL266" s="524"/>
      <c r="AM266" s="524"/>
      <c r="AN266" s="525">
        <f>IF($AF$178=4,$Z$178,IF($AF$180=4,$Z$180,IF($AF$182=4,$Z$182,IF($AF$184=4,$Z$184,IF($AF$186=4,$Z$186,0)))))</f>
        <v>-0.23333333333333334</v>
      </c>
      <c r="AO266" s="525"/>
      <c r="AP266" s="527">
        <f>IF(AND(J264=0,J265=0,J266=0),0,IF(AND(AN266&gt;AN264,AN266&gt;AN265),1,IF(OR(AN266&gt;AN264,AN266&gt;AN265),2,3)))</f>
        <v>3</v>
      </c>
    </row>
    <row r="267" spans="1:54" ht="13.5" thickBot="1" x14ac:dyDescent="0.25">
      <c r="A267" s="529" t="s">
        <v>284</v>
      </c>
      <c r="B267" s="530" t="s">
        <v>1049</v>
      </c>
      <c r="C267" s="531"/>
      <c r="D267" s="531"/>
      <c r="E267" s="531"/>
      <c r="F267" s="531"/>
      <c r="G267" s="531"/>
      <c r="H267" s="531"/>
      <c r="I267" s="531"/>
      <c r="J267" s="531"/>
      <c r="K267" s="531"/>
      <c r="L267" s="532"/>
      <c r="M267" s="274" t="s">
        <v>1050</v>
      </c>
      <c r="N267" s="275"/>
      <c r="O267" s="275"/>
      <c r="P267" s="275"/>
      <c r="Q267" s="275"/>
      <c r="R267" s="275"/>
      <c r="S267" s="275"/>
      <c r="T267" s="275"/>
      <c r="U267" s="275"/>
      <c r="V267" s="275"/>
      <c r="W267" s="276"/>
      <c r="X267" s="274" t="s">
        <v>1051</v>
      </c>
      <c r="Y267" s="275"/>
      <c r="Z267" s="275"/>
      <c r="AA267" s="275"/>
      <c r="AB267" s="275"/>
      <c r="AC267" s="275"/>
      <c r="AD267" s="275"/>
      <c r="AE267" s="275"/>
      <c r="AF267" s="275"/>
      <c r="AG267" s="276"/>
      <c r="AH267" s="274" t="s">
        <v>1052</v>
      </c>
      <c r="AI267" s="275"/>
      <c r="AJ267" s="275"/>
      <c r="AK267" s="275"/>
      <c r="AL267" s="275"/>
      <c r="AM267" s="275"/>
      <c r="AN267" s="275"/>
      <c r="AO267" s="275"/>
      <c r="AP267" s="276"/>
    </row>
    <row r="268" spans="1:54" ht="13.5" thickBot="1" x14ac:dyDescent="0.25">
      <c r="A268" s="533"/>
      <c r="B268" s="534" t="s">
        <v>10</v>
      </c>
      <c r="C268" s="535"/>
      <c r="D268" s="535"/>
      <c r="E268" s="535"/>
      <c r="F268" s="535"/>
      <c r="G268" s="535"/>
      <c r="H268" s="536"/>
      <c r="I268" s="534" t="s">
        <v>11</v>
      </c>
      <c r="J268" s="535"/>
      <c r="K268" s="535"/>
      <c r="L268" s="536"/>
      <c r="M268" s="268" t="s">
        <v>10</v>
      </c>
      <c r="N268" s="269"/>
      <c r="O268" s="269"/>
      <c r="P268" s="269"/>
      <c r="Q268" s="269"/>
      <c r="R268" s="269"/>
      <c r="S268" s="270"/>
      <c r="T268" s="268" t="s">
        <v>11</v>
      </c>
      <c r="U268" s="269"/>
      <c r="V268" s="269"/>
      <c r="W268" s="270"/>
      <c r="X268" s="268" t="s">
        <v>10</v>
      </c>
      <c r="Y268" s="269"/>
      <c r="Z268" s="269"/>
      <c r="AA268" s="269"/>
      <c r="AB268" s="269"/>
      <c r="AC268" s="269"/>
      <c r="AD268" s="269"/>
      <c r="AE268" s="270"/>
      <c r="AF268" s="268" t="s">
        <v>11</v>
      </c>
      <c r="AG268" s="270"/>
      <c r="AH268" s="537" t="s">
        <v>10</v>
      </c>
      <c r="AI268" s="537"/>
      <c r="AJ268" s="537"/>
      <c r="AK268" s="537"/>
      <c r="AL268" s="537"/>
      <c r="AM268" s="538"/>
      <c r="AN268" s="268" t="s">
        <v>11</v>
      </c>
      <c r="AO268" s="269"/>
      <c r="AP268" s="270"/>
    </row>
    <row r="269" spans="1:54" x14ac:dyDescent="0.2">
      <c r="A269" s="120" t="s">
        <v>1053</v>
      </c>
      <c r="B269" s="539" t="str">
        <f>IF(L264=1,B264,IF(L265=1,B265,IF(L266=1,B266,"#1 1st Place")))</f>
        <v>PRV 17U Alicia</v>
      </c>
      <c r="C269" s="540"/>
      <c r="D269" s="540"/>
      <c r="E269" s="540"/>
      <c r="F269" s="540"/>
      <c r="G269" s="540"/>
      <c r="H269" s="540"/>
      <c r="I269" s="541" t="str">
        <f>IF(L264=1,F264,IF(L265=1,F265,IF(L266=1,F266,"#1 1st Place")))</f>
        <v>fj7prage1pm</v>
      </c>
      <c r="J269" s="541"/>
      <c r="K269" s="541"/>
      <c r="L269" s="542"/>
      <c r="M269" s="543" t="str">
        <f>IF(W264=1,M264,IF(W265=1,M265,IF(W266=1,M266,"#1 2nd Place")))</f>
        <v>Magnum 16 Mizuno</v>
      </c>
      <c r="N269" s="544"/>
      <c r="O269" s="544"/>
      <c r="P269" s="544"/>
      <c r="Q269" s="544"/>
      <c r="R269" s="544"/>
      <c r="S269" s="544"/>
      <c r="T269" s="545" t="str">
        <f>IF(W264=1,R264,IF(W265=1,R265,IF(W266=1,R266,"#1 2nd Place")))</f>
        <v>fj6magnm1pm</v>
      </c>
      <c r="U269" s="545"/>
      <c r="V269" s="545"/>
      <c r="W269" s="546"/>
      <c r="X269" s="543" t="str">
        <f>IF(AG264=1,X264,IF(AG265=1,X265,IF(AG266=1,X266,"#1 3rd Place")))</f>
        <v>Lake Murray 17 Red</v>
      </c>
      <c r="Y269" s="544"/>
      <c r="Z269" s="544"/>
      <c r="AA269" s="544"/>
      <c r="AB269" s="544"/>
      <c r="AC269" s="544"/>
      <c r="AD269" s="544"/>
      <c r="AE269" s="544"/>
      <c r="AF269" s="545" t="str">
        <f>IF(AG264=1,AC264,IF(AG265=1,AC265,IF(AG266=1,AC266,"#1 3rd Place")))</f>
        <v>fj7lakem1pm</v>
      </c>
      <c r="AG269" s="546"/>
      <c r="AH269" s="547" t="str">
        <f>IF(AP264=1,AH264,IF(AP265=1,AH265,IF(AP266=1,AH266,"#1 4th Place")))</f>
        <v>METRO-ATL 16 BLACK</v>
      </c>
      <c r="AI269" s="544"/>
      <c r="AJ269" s="544"/>
      <c r="AK269" s="544"/>
      <c r="AL269" s="544"/>
      <c r="AM269" s="544"/>
      <c r="AN269" s="545" t="str">
        <f>IF(AP264=1,AK264,IF(AP265=1,AK265,IF(AP266=1,AK266,"#1 4th Place")))</f>
        <v>fj6metro1so</v>
      </c>
      <c r="AO269" s="545"/>
      <c r="AP269" s="546"/>
    </row>
    <row r="270" spans="1:54" x14ac:dyDescent="0.2">
      <c r="A270" s="120" t="s">
        <v>1054</v>
      </c>
      <c r="B270" s="432" t="str">
        <f>IF(L264=2,B264,IF(L265=2,B265,IF(L266=2,B266,"#2 1st Place")))</f>
        <v>Intense 16 Hyper Elite</v>
      </c>
      <c r="C270" s="433"/>
      <c r="D270" s="433"/>
      <c r="E270" s="433"/>
      <c r="F270" s="433"/>
      <c r="G270" s="433"/>
      <c r="H270" s="433"/>
      <c r="I270" s="434" t="str">
        <f>IF(L264=2,F264,IF(L265=2,F265,IF(L266=2,F266,"#2 1st Place")))</f>
        <v>fj6inten1pm</v>
      </c>
      <c r="J270" s="434"/>
      <c r="K270" s="434"/>
      <c r="L270" s="435"/>
      <c r="M270" s="548" t="str">
        <f>IF(W264=2,M264,IF(W265=2,M265,IF(W266=2,M266,"#2 2nd Place")))</f>
        <v>Hurricane VBC 17 Typhoon</v>
      </c>
      <c r="N270" s="549"/>
      <c r="O270" s="549"/>
      <c r="P270" s="549"/>
      <c r="Q270" s="549"/>
      <c r="R270" s="549"/>
      <c r="S270" s="549"/>
      <c r="T270" s="550" t="str">
        <f>IF(W264=2,R264,IF(W265=2,R265,IF(W266=2,R266,"#2 2nd Place")))</f>
        <v>fj7hurrc2pm</v>
      </c>
      <c r="U270" s="550"/>
      <c r="V270" s="550"/>
      <c r="W270" s="551"/>
      <c r="X270" s="548" t="str">
        <f>IF(AG264=2,X264,IF(AG265=2,X265,IF(AG266=2,X266,"#2 3rd Place")))</f>
        <v>METRO-ATL 17 BLACK</v>
      </c>
      <c r="Y270" s="549"/>
      <c r="Z270" s="549"/>
      <c r="AA270" s="549"/>
      <c r="AB270" s="549"/>
      <c r="AC270" s="549"/>
      <c r="AD270" s="549"/>
      <c r="AE270" s="549"/>
      <c r="AF270" s="550" t="str">
        <f>IF(AG264=2,AC264,IF(AG265=2,AC265,IF(AG266=2,AC266,"#2 3rd Place")))</f>
        <v>fj7metro1so</v>
      </c>
      <c r="AG270" s="551"/>
      <c r="AH270" s="552" t="str">
        <f>IF(AP264=2,AH264,IF(AP265=2,AH265,IF(AP266=2,AH266,"#2 4th Place")))</f>
        <v>Intense 17 Perf RH</v>
      </c>
      <c r="AI270" s="549"/>
      <c r="AJ270" s="549"/>
      <c r="AK270" s="549"/>
      <c r="AL270" s="549"/>
      <c r="AM270" s="549"/>
      <c r="AN270" s="550" t="str">
        <f>IF(AP264=2,AK264,IF(AP265=2,AK265,IF(AP266=2,AK266,"#2 4th Place")))</f>
        <v>fj7inten1pm</v>
      </c>
      <c r="AO270" s="550"/>
      <c r="AP270" s="551"/>
    </row>
    <row r="271" spans="1:54" s="3" customFormat="1" ht="13.5" thickBot="1" x14ac:dyDescent="0.25">
      <c r="A271" s="15" t="s">
        <v>1055</v>
      </c>
      <c r="B271" s="264" t="str">
        <f>IF(L264=3,B264,IF(L265=3,B265,IF(L266=3,B266,"#3 1st Place")))</f>
        <v>Sumter 17 Heath</v>
      </c>
      <c r="C271" s="265"/>
      <c r="D271" s="265"/>
      <c r="E271" s="265"/>
      <c r="F271" s="265"/>
      <c r="G271" s="265"/>
      <c r="H271" s="265"/>
      <c r="I271" s="266" t="str">
        <f>IF(L264=3,F264,IF(L265=3,F265,IF(L266=3,F266,"#3 1st Place")))</f>
        <v>fj7sumtr1pm</v>
      </c>
      <c r="J271" s="266"/>
      <c r="K271" s="266"/>
      <c r="L271" s="267"/>
      <c r="M271" s="264" t="str">
        <f>IF(W264=3,M264,IF(W265=3,M265,IF(W266=3,M266,"#3 2nd Place")))</f>
        <v>CSRA Heat 17 National</v>
      </c>
      <c r="N271" s="265"/>
      <c r="O271" s="265"/>
      <c r="P271" s="265"/>
      <c r="Q271" s="265"/>
      <c r="R271" s="265"/>
      <c r="S271" s="265"/>
      <c r="T271" s="266" t="str">
        <f>IF(W264=3,R264,IF(W265=3,R265,IF(W266=3,R266,"#3 2nd Place")))</f>
        <v>fj7csrah1pm</v>
      </c>
      <c r="U271" s="266"/>
      <c r="V271" s="266"/>
      <c r="W271" s="267"/>
      <c r="X271" s="264" t="str">
        <f>IF(AG264=3,X264,IF(AG265=3,X265,IF(AG266=3,X266,"#3 3rd Place")))</f>
        <v>MOTO 17 IGNITE</v>
      </c>
      <c r="Y271" s="265"/>
      <c r="Z271" s="265"/>
      <c r="AA271" s="265"/>
      <c r="AB271" s="265"/>
      <c r="AC271" s="265"/>
      <c r="AD271" s="265"/>
      <c r="AE271" s="265"/>
      <c r="AF271" s="266" t="str">
        <f>IF(AG264=3,AC264,IF(AG265=3,AC265,IF(AG266=3,AC266,"#3 3rd Place")))</f>
        <v>fj7motoj1pm</v>
      </c>
      <c r="AG271" s="267"/>
      <c r="AH271" s="553" t="str">
        <f>IF(AP264=3,AH264,IF(AP265=3,AH265,IF(AP266=3,AH266,"#3 4th Place")))</f>
        <v>Crossfire 17 Power</v>
      </c>
      <c r="AI271" s="265"/>
      <c r="AJ271" s="265"/>
      <c r="AK271" s="265"/>
      <c r="AL271" s="265"/>
      <c r="AM271" s="265"/>
      <c r="AN271" s="266" t="str">
        <f>IF(AP264=3,AK264,IF(AP265=3,AK265,IF(AP266=3,AK266,"#3 4th Place")))</f>
        <v>fj7crosf1pm</v>
      </c>
      <c r="AO271" s="266"/>
      <c r="AP271" s="267"/>
      <c r="AW271" s="156"/>
      <c r="AX271" s="4"/>
      <c r="AY271" s="4"/>
      <c r="AZ271" s="4"/>
      <c r="BA271" s="4"/>
    </row>
    <row r="272" spans="1:54" s="3" customFormat="1" x14ac:dyDescent="0.2">
      <c r="A272" s="117"/>
      <c r="B272" s="100"/>
      <c r="C272" s="100"/>
      <c r="D272" s="100"/>
      <c r="E272" s="100"/>
      <c r="F272" s="100"/>
      <c r="G272" s="100"/>
      <c r="H272" s="100"/>
      <c r="I272" s="100"/>
      <c r="J272" s="100"/>
      <c r="K272" s="100"/>
      <c r="L272" s="100"/>
      <c r="M272" s="554"/>
      <c r="N272" s="554"/>
      <c r="O272" s="554"/>
      <c r="P272" s="554"/>
      <c r="Q272" s="554"/>
      <c r="R272" s="554"/>
      <c r="S272" s="554"/>
      <c r="T272" s="554"/>
      <c r="U272" s="554"/>
      <c r="V272" s="554"/>
      <c r="W272" s="554"/>
      <c r="AW272" s="156"/>
      <c r="AX272" s="4"/>
      <c r="AY272" s="4"/>
      <c r="AZ272" s="4"/>
      <c r="BA272" s="4"/>
    </row>
    <row r="273" spans="1:56" ht="15.75" x14ac:dyDescent="0.25">
      <c r="A273" s="255" t="s">
        <v>123</v>
      </c>
      <c r="B273" s="255"/>
      <c r="C273" s="255"/>
      <c r="D273" s="255"/>
      <c r="E273" s="255"/>
      <c r="F273" s="255"/>
      <c r="G273" s="255"/>
      <c r="H273" s="255"/>
      <c r="I273" s="255"/>
      <c r="J273" s="255"/>
      <c r="K273" s="255"/>
      <c r="L273" s="255"/>
      <c r="M273" s="255"/>
      <c r="N273" s="255"/>
      <c r="O273" s="255"/>
      <c r="P273" s="255"/>
      <c r="Q273" s="255"/>
      <c r="R273" s="255"/>
      <c r="S273" s="255"/>
      <c r="T273" s="255"/>
      <c r="U273" s="255"/>
      <c r="V273" s="255"/>
      <c r="W273" s="255"/>
      <c r="X273" s="255"/>
      <c r="Y273" s="255"/>
      <c r="Z273" s="255"/>
      <c r="AA273" s="255"/>
      <c r="AB273" s="255"/>
      <c r="AC273" s="255"/>
      <c r="AD273" s="255"/>
      <c r="AE273" s="255"/>
      <c r="AF273" s="255"/>
      <c r="AG273" s="255"/>
      <c r="AH273" s="255"/>
      <c r="AI273" s="255"/>
      <c r="AJ273" s="255"/>
      <c r="AK273" s="255"/>
      <c r="AL273" s="255"/>
      <c r="AM273" s="255"/>
      <c r="AN273" s="255"/>
      <c r="AO273" s="255"/>
      <c r="AP273" s="255"/>
      <c r="AQ273" s="255"/>
      <c r="AT273" s="101"/>
      <c r="AU273" s="101"/>
      <c r="AV273" s="101"/>
    </row>
    <row r="274" spans="1:56" ht="18" x14ac:dyDescent="0.25">
      <c r="A274" s="256" t="s">
        <v>124</v>
      </c>
      <c r="B274" s="256"/>
      <c r="C274" s="256"/>
      <c r="D274" s="256"/>
      <c r="E274" s="256"/>
      <c r="F274" s="256"/>
      <c r="G274" s="256"/>
      <c r="H274" s="256"/>
      <c r="I274" s="256"/>
      <c r="J274" s="256"/>
      <c r="K274" s="256"/>
      <c r="L274" s="256"/>
      <c r="M274" s="256"/>
      <c r="N274" s="256"/>
      <c r="O274" s="256"/>
      <c r="P274" s="256"/>
      <c r="Q274" s="256"/>
      <c r="R274" s="256"/>
      <c r="S274" s="256"/>
      <c r="T274" s="256"/>
      <c r="U274" s="256"/>
      <c r="V274" s="256"/>
      <c r="W274" s="256"/>
      <c r="X274" s="256"/>
      <c r="Y274" s="256"/>
      <c r="Z274" s="256"/>
      <c r="AA274" s="256"/>
      <c r="AB274" s="256"/>
      <c r="AC274" s="256"/>
      <c r="AD274" s="256"/>
      <c r="AE274" s="256"/>
      <c r="AF274" s="256"/>
      <c r="AG274" s="256"/>
      <c r="AH274" s="256"/>
      <c r="AI274" s="256"/>
      <c r="AJ274" s="256"/>
      <c r="AK274" s="256"/>
      <c r="AL274" s="256"/>
      <c r="AM274" s="256"/>
      <c r="AN274" s="256"/>
      <c r="AO274" s="256"/>
      <c r="AP274" s="256"/>
      <c r="AQ274" s="256"/>
    </row>
    <row r="275" spans="1:56" x14ac:dyDescent="0.2">
      <c r="A275" s="257" t="s">
        <v>1056</v>
      </c>
      <c r="B275" s="257"/>
      <c r="C275" s="257"/>
      <c r="D275" s="257"/>
      <c r="E275" s="257"/>
      <c r="F275" s="257"/>
      <c r="G275" s="257"/>
      <c r="H275" s="257"/>
      <c r="I275" s="257"/>
      <c r="J275" s="257"/>
      <c r="K275" s="257"/>
      <c r="L275" s="257"/>
      <c r="M275" s="257"/>
      <c r="N275" s="257"/>
      <c r="O275" s="257"/>
      <c r="P275" s="257"/>
      <c r="Q275" s="257"/>
      <c r="R275" s="257"/>
      <c r="S275" s="257"/>
      <c r="T275" s="257"/>
      <c r="U275" s="257"/>
      <c r="V275" s="257"/>
      <c r="W275" s="257"/>
      <c r="X275" s="257"/>
      <c r="Y275" s="257"/>
      <c r="Z275" s="257"/>
      <c r="AA275" s="257"/>
      <c r="AB275" s="257"/>
      <c r="AC275" s="257"/>
      <c r="AD275" s="257"/>
      <c r="AE275" s="257"/>
      <c r="AF275" s="257"/>
      <c r="AG275" s="257"/>
      <c r="AH275" s="257"/>
      <c r="AI275" s="257"/>
      <c r="AJ275" s="257"/>
      <c r="AK275" s="257"/>
      <c r="AL275" s="257"/>
      <c r="AM275" s="257"/>
      <c r="AN275" s="257"/>
      <c r="AO275" s="257"/>
      <c r="AP275" s="257"/>
      <c r="AQ275" s="257"/>
    </row>
    <row r="276" spans="1:56" x14ac:dyDescent="0.2">
      <c r="A276" s="257" t="s">
        <v>1057</v>
      </c>
      <c r="B276" s="257"/>
      <c r="C276" s="257"/>
      <c r="D276" s="257"/>
      <c r="E276" s="257"/>
      <c r="F276" s="257"/>
      <c r="G276" s="257"/>
      <c r="H276" s="257"/>
      <c r="I276" s="257"/>
      <c r="J276" s="257"/>
      <c r="K276" s="257"/>
      <c r="L276" s="257"/>
      <c r="M276" s="257"/>
      <c r="N276" s="257"/>
      <c r="O276" s="257"/>
      <c r="P276" s="257"/>
      <c r="Q276" s="257"/>
      <c r="R276" s="257"/>
      <c r="S276" s="257"/>
      <c r="T276" s="257"/>
      <c r="U276" s="257"/>
      <c r="V276" s="257"/>
      <c r="W276" s="257"/>
      <c r="X276" s="257"/>
      <c r="Y276" s="257"/>
      <c r="Z276" s="257"/>
      <c r="AA276" s="257"/>
      <c r="AB276" s="257"/>
      <c r="AC276" s="257"/>
      <c r="AD276" s="257"/>
      <c r="AE276" s="257"/>
      <c r="AF276" s="257"/>
      <c r="AG276" s="257"/>
      <c r="AH276" s="257"/>
      <c r="AI276" s="257"/>
      <c r="AJ276" s="257"/>
      <c r="AK276" s="257"/>
      <c r="AL276" s="257"/>
      <c r="AM276" s="257"/>
      <c r="AN276" s="257"/>
      <c r="AO276" s="257"/>
      <c r="AP276" s="257"/>
      <c r="AQ276" s="257"/>
    </row>
    <row r="277" spans="1:56" x14ac:dyDescent="0.2">
      <c r="A277" s="258" t="s">
        <v>126</v>
      </c>
      <c r="B277" s="258"/>
      <c r="C277" s="258"/>
      <c r="D277" s="258"/>
      <c r="E277" s="258"/>
      <c r="F277" s="258"/>
      <c r="G277" s="258"/>
      <c r="H277" s="258"/>
      <c r="I277" s="258"/>
      <c r="J277" s="258"/>
      <c r="K277" s="258"/>
      <c r="L277" s="102"/>
    </row>
    <row r="278" spans="1:56" x14ac:dyDescent="0.2">
      <c r="C278" s="3"/>
      <c r="D278" s="3"/>
      <c r="E278" s="3"/>
      <c r="L278" s="102"/>
    </row>
    <row r="279" spans="1:56" x14ac:dyDescent="0.2">
      <c r="A279" s="259" t="s">
        <v>127</v>
      </c>
      <c r="B279" s="259"/>
      <c r="C279" s="259"/>
      <c r="D279" s="259"/>
      <c r="E279" s="259"/>
      <c r="F279" s="259"/>
      <c r="G279" s="259"/>
      <c r="H279" s="259"/>
      <c r="I279" s="259"/>
      <c r="J279" s="259"/>
      <c r="K279" s="259"/>
      <c r="L279" s="259"/>
      <c r="M279" s="259"/>
      <c r="N279" s="259"/>
      <c r="O279" s="259"/>
      <c r="P279" s="259"/>
      <c r="Q279" s="156"/>
      <c r="S279" s="259" t="s">
        <v>128</v>
      </c>
      <c r="T279" s="259"/>
      <c r="U279" s="259"/>
      <c r="V279" s="259"/>
      <c r="W279" s="259"/>
      <c r="X279" s="259"/>
      <c r="Y279" s="259"/>
      <c r="Z279" s="259"/>
      <c r="AA279" s="259"/>
      <c r="AB279" s="259"/>
      <c r="AC279" s="259"/>
      <c r="AD279" s="259"/>
      <c r="AE279" s="259"/>
      <c r="AF279" s="259"/>
      <c r="AG279" s="259"/>
    </row>
    <row r="281" spans="1:56" ht="13.5" thickBot="1" x14ac:dyDescent="0.25">
      <c r="A281" s="225" t="str">
        <f>IF(B309=1,B301,IF(B309=2,B302,IF(B309=3,B303,IF(B309=4,B304,IF(OR(B309="B",B309="b"),"BYE","invalid")))))</f>
        <v>Sumter 17 Heath</v>
      </c>
      <c r="B281" s="225"/>
      <c r="C281" s="225"/>
      <c r="D281" s="225"/>
      <c r="E281" s="225"/>
      <c r="F281" s="103"/>
      <c r="G281" s="103"/>
      <c r="H281" s="103"/>
      <c r="I281" s="103"/>
      <c r="J281" s="103"/>
      <c r="K281" s="103"/>
      <c r="L281" s="103"/>
      <c r="M281" s="103"/>
      <c r="N281" s="103"/>
      <c r="O281" s="103"/>
      <c r="T281" s="157"/>
      <c r="U281" s="157"/>
      <c r="V281" s="225" t="str">
        <f>IF(W309=1,X301,IF(W309=2,X302,IF(W309=3,X303,IF(W309=4,X304,IF(OR(W309="B",W309="b"),"BYE","invalid")))))</f>
        <v>Hurricane VBC 17 Typhoon</v>
      </c>
      <c r="W281" s="225"/>
      <c r="X281" s="225"/>
      <c r="Y281" s="225"/>
      <c r="Z281" s="225"/>
      <c r="AA281" s="225"/>
      <c r="AB281" s="225"/>
      <c r="AC281" s="103"/>
      <c r="AD281" s="103"/>
      <c r="AE281" s="103"/>
      <c r="AF281" s="103"/>
    </row>
    <row r="282" spans="1:56" x14ac:dyDescent="0.2">
      <c r="A282" s="227" t="s">
        <v>129</v>
      </c>
      <c r="B282" s="227"/>
      <c r="C282" s="227"/>
      <c r="D282" s="227"/>
      <c r="E282" s="227"/>
      <c r="F282" s="105"/>
      <c r="G282" s="103"/>
      <c r="H282" s="103"/>
      <c r="I282" s="103"/>
      <c r="J282" s="103"/>
      <c r="K282" s="103"/>
      <c r="L282" s="103"/>
      <c r="M282" s="103"/>
      <c r="N282" s="103"/>
      <c r="O282" s="103"/>
      <c r="T282" s="106"/>
      <c r="U282" s="106"/>
      <c r="V282" s="228" t="s">
        <v>1058</v>
      </c>
      <c r="W282" s="228"/>
      <c r="X282" s="228"/>
      <c r="Y282" s="228"/>
      <c r="Z282" s="228"/>
      <c r="AA282" s="228"/>
      <c r="AB282" s="242"/>
      <c r="AC282" s="103"/>
      <c r="AD282" s="103"/>
      <c r="AE282" s="103"/>
      <c r="AF282" s="103"/>
    </row>
    <row r="283" spans="1:56" x14ac:dyDescent="0.2">
      <c r="A283" s="103"/>
      <c r="B283" s="103"/>
      <c r="C283" s="103"/>
      <c r="D283" s="103"/>
      <c r="E283" s="103"/>
      <c r="F283" s="105"/>
      <c r="G283" s="103"/>
      <c r="H283" s="103"/>
      <c r="I283" s="103"/>
      <c r="J283" s="103"/>
      <c r="K283" s="103"/>
      <c r="L283" s="103"/>
      <c r="M283" s="103"/>
      <c r="N283" s="103"/>
      <c r="O283" s="103"/>
      <c r="S283" s="103"/>
      <c r="T283" s="103"/>
      <c r="U283" s="103"/>
      <c r="V283" s="103"/>
      <c r="W283" s="103"/>
      <c r="X283" s="103"/>
      <c r="Y283" s="103"/>
      <c r="Z283" s="103"/>
      <c r="AA283" s="103"/>
      <c r="AB283" s="107"/>
      <c r="AC283" s="103"/>
      <c r="AD283" s="103"/>
      <c r="AE283" s="103"/>
      <c r="AF283" s="103"/>
    </row>
    <row r="284" spans="1:56" ht="13.5" thickBot="1" x14ac:dyDescent="0.25">
      <c r="A284" s="228" t="str">
        <f>B303&amp;" ref"</f>
        <v>Intense 16 Hyper Elite ref</v>
      </c>
      <c r="B284" s="228"/>
      <c r="C284" s="228"/>
      <c r="D284" s="228"/>
      <c r="E284" s="242"/>
      <c r="F284" s="237" t="str">
        <f>IF(H309=1,B301,IF(H309=2,B302,IF(H309=3,B303,IF(H309=4,B304,"Winner Match 1"))))</f>
        <v>Sumter 17 Heath</v>
      </c>
      <c r="G284" s="238"/>
      <c r="H284" s="238"/>
      <c r="I284" s="238"/>
      <c r="J284" s="238"/>
      <c r="K284" s="238"/>
      <c r="L284" s="238"/>
      <c r="M284" s="238"/>
      <c r="N284" s="238"/>
      <c r="O284" s="103"/>
      <c r="Q284" s="108"/>
      <c r="R284" s="108"/>
      <c r="S284" s="108"/>
      <c r="T284" s="108"/>
      <c r="U284" s="228" t="str">
        <f>X303&amp;" ref"</f>
        <v>Lake Murray 17 Red ref</v>
      </c>
      <c r="V284" s="228"/>
      <c r="W284" s="228"/>
      <c r="X284" s="228"/>
      <c r="Y284" s="228"/>
      <c r="Z284" s="228"/>
      <c r="AA284" s="228"/>
      <c r="AB284" s="242"/>
      <c r="AC284" s="237" t="str">
        <f>IF(AC309=1,X301,IF(AC309=2,X302,IF(AC309=3,X303,IF(AC309=4,X304,"Winner Match 1"))))</f>
        <v>METRO-ATL 17 BLACK</v>
      </c>
      <c r="AD284" s="238"/>
      <c r="AE284" s="238"/>
      <c r="AF284" s="238"/>
      <c r="AG284" s="238"/>
      <c r="AH284" s="238"/>
      <c r="AI284" s="238"/>
    </row>
    <row r="285" spans="1:56" x14ac:dyDescent="0.2">
      <c r="A285" s="239" t="s">
        <v>131</v>
      </c>
      <c r="B285" s="239"/>
      <c r="C285" s="239"/>
      <c r="D285" s="239"/>
      <c r="E285" s="239"/>
      <c r="F285" s="251"/>
      <c r="G285" s="252"/>
      <c r="H285" s="252"/>
      <c r="I285" s="253"/>
      <c r="J285" s="233"/>
      <c r="K285" s="234"/>
      <c r="L285" s="234"/>
      <c r="M285" s="234"/>
      <c r="N285" s="234"/>
      <c r="O285" s="103"/>
      <c r="P285" s="103"/>
      <c r="Q285" s="114"/>
      <c r="R285" s="7"/>
      <c r="S285" s="115"/>
      <c r="T285" s="115"/>
      <c r="U285" s="254" t="s">
        <v>132</v>
      </c>
      <c r="V285" s="254"/>
      <c r="W285" s="254"/>
      <c r="X285" s="254"/>
      <c r="Y285" s="254"/>
      <c r="Z285" s="254"/>
      <c r="AA285" s="254"/>
      <c r="AB285" s="107"/>
      <c r="AC285" s="251"/>
      <c r="AD285" s="252"/>
      <c r="AE285" s="252"/>
      <c r="AF285" s="253"/>
      <c r="AG285" s="233"/>
      <c r="AH285" s="234"/>
      <c r="AI285" s="234"/>
    </row>
    <row r="286" spans="1:56" ht="13.5" thickBot="1" x14ac:dyDescent="0.25">
      <c r="A286" s="225" t="str">
        <f>IF(D309=1,B301,IF(D309=2,B302,IF(D309=3,B303,IF(D309=4,B304,IF(OR(D309="B",D309="b"),"BYE","invalid")))))</f>
        <v>Magnum 16 Mizuno</v>
      </c>
      <c r="B286" s="225"/>
      <c r="C286" s="225"/>
      <c r="D286" s="225"/>
      <c r="E286" s="226"/>
      <c r="F286" s="105"/>
      <c r="G286" s="103"/>
      <c r="H286" s="103"/>
      <c r="I286" s="103"/>
      <c r="J286" s="105"/>
      <c r="K286" s="103"/>
      <c r="L286" s="103"/>
      <c r="M286" s="103"/>
      <c r="N286" s="103"/>
      <c r="O286" s="103"/>
      <c r="P286" s="103"/>
      <c r="Q286" s="103"/>
      <c r="U286" s="103"/>
      <c r="V286" s="225" t="str">
        <f>IF(Y309=1,X301,IF(Y309=2,X302,IF(Y309=3,X303,IF(Y309=4,X304,IF(OR(Y309="B",Y309="b"),"BYE","invalid")))))</f>
        <v>METRO-ATL 17 BLACK</v>
      </c>
      <c r="W286" s="225"/>
      <c r="X286" s="225"/>
      <c r="Y286" s="225"/>
      <c r="Z286" s="225"/>
      <c r="AA286" s="225"/>
      <c r="AB286" s="226"/>
      <c r="AC286" s="103"/>
      <c r="AD286" s="103"/>
      <c r="AE286" s="103"/>
      <c r="AF286" s="107"/>
      <c r="AG286" s="103"/>
      <c r="AH286" s="103"/>
      <c r="AW286" s="154"/>
      <c r="AX286" s="70"/>
      <c r="AY286" s="70"/>
      <c r="AZ286" s="70"/>
      <c r="BA286" s="70"/>
    </row>
    <row r="287" spans="1:56" x14ac:dyDescent="0.2">
      <c r="A287" s="227" t="s">
        <v>1059</v>
      </c>
      <c r="B287" s="227"/>
      <c r="C287" s="227"/>
      <c r="D287" s="227"/>
      <c r="E287" s="227"/>
      <c r="F287" s="103"/>
      <c r="G287" s="103"/>
      <c r="H287" s="103"/>
      <c r="I287" s="103"/>
      <c r="J287" s="105"/>
      <c r="K287" s="103"/>
      <c r="L287" s="103"/>
      <c r="M287" s="103"/>
      <c r="N287" s="103"/>
      <c r="O287" s="103"/>
      <c r="P287" s="103"/>
      <c r="Q287" s="103"/>
      <c r="V287" s="249" t="s">
        <v>1060</v>
      </c>
      <c r="W287" s="249"/>
      <c r="X287" s="249"/>
      <c r="Y287" s="249"/>
      <c r="Z287" s="249"/>
      <c r="AA287" s="249"/>
      <c r="AB287" s="249"/>
      <c r="AC287" s="103"/>
      <c r="AD287" s="103"/>
      <c r="AE287" s="103"/>
      <c r="AF287" s="107"/>
      <c r="AG287" s="103"/>
      <c r="AH287" s="103"/>
      <c r="AR287" s="116"/>
      <c r="AS287" s="116"/>
      <c r="AW287" s="154"/>
      <c r="AX287" s="70"/>
      <c r="AY287" s="70"/>
      <c r="AZ287" s="70"/>
      <c r="BA287" s="70"/>
      <c r="BB287" s="116"/>
      <c r="BC287" s="116"/>
      <c r="BD287" s="116"/>
    </row>
    <row r="288" spans="1:56" x14ac:dyDescent="0.2">
      <c r="A288" s="103"/>
      <c r="B288" s="103"/>
      <c r="C288" s="103"/>
      <c r="D288" s="103"/>
      <c r="E288" s="103"/>
      <c r="F288" s="241" t="s">
        <v>135</v>
      </c>
      <c r="G288" s="241"/>
      <c r="H288" s="241"/>
      <c r="I288" s="250"/>
      <c r="J288" s="105"/>
      <c r="K288" s="103"/>
      <c r="L288" s="103"/>
      <c r="M288" s="103"/>
      <c r="N288" s="103"/>
      <c r="O288" s="103"/>
      <c r="P288" s="103"/>
      <c r="Q288" s="103"/>
      <c r="S288" s="103"/>
      <c r="T288" s="103"/>
      <c r="U288" s="103"/>
      <c r="V288" s="103"/>
      <c r="W288" s="103"/>
      <c r="X288" s="108"/>
      <c r="Y288" s="108"/>
      <c r="Z288" s="108"/>
      <c r="AB288" s="108"/>
      <c r="AC288" s="241" t="s">
        <v>135</v>
      </c>
      <c r="AD288" s="241"/>
      <c r="AE288" s="241"/>
      <c r="AF288" s="250"/>
      <c r="AG288" s="103"/>
      <c r="AH288" s="103"/>
      <c r="AW288" s="154"/>
      <c r="AX288" s="70"/>
      <c r="AY288" s="70"/>
      <c r="AZ288" s="70"/>
      <c r="BA288" s="70"/>
    </row>
    <row r="289" spans="1:53" ht="13.5" thickBot="1" x14ac:dyDescent="0.25">
      <c r="A289" s="103"/>
      <c r="B289" s="103"/>
      <c r="C289" s="103"/>
      <c r="D289" s="103"/>
      <c r="E289" s="103"/>
      <c r="F289" s="103"/>
      <c r="G289" s="103"/>
      <c r="H289" s="103"/>
      <c r="I289" s="103"/>
      <c r="J289" s="244" t="str">
        <f>IF(K314=1,B301,IF(K314=2,B302,IF(K314=3,B303,IF(K314=4,B304,"Division Winner"))))</f>
        <v>PRV 17U Alicia</v>
      </c>
      <c r="K289" s="245"/>
      <c r="L289" s="245"/>
      <c r="M289" s="245"/>
      <c r="N289" s="245"/>
      <c r="O289" s="245"/>
      <c r="P289" s="245"/>
      <c r="Q289" s="245"/>
      <c r="R289" s="157"/>
      <c r="S289" s="103"/>
      <c r="T289" s="103"/>
      <c r="U289" s="103"/>
      <c r="V289" s="103"/>
      <c r="W289" s="103"/>
      <c r="X289" s="103"/>
      <c r="Y289" s="103"/>
      <c r="Z289" s="103"/>
      <c r="AA289" s="103"/>
      <c r="AB289" s="118"/>
      <c r="AC289" s="118"/>
      <c r="AD289" s="118"/>
      <c r="AE289" s="118"/>
      <c r="AF289" s="119"/>
      <c r="AG289" s="244" t="str">
        <f>IF(AF314=1,X301,IF(AF314=2,X302,IF(AF314=3,X303,IF(AF314=4,X304,"Division Winner"))))</f>
        <v>METRO-ATL 17 BLACK</v>
      </c>
      <c r="AH289" s="245"/>
      <c r="AI289" s="245"/>
      <c r="AJ289" s="245"/>
      <c r="AK289" s="245"/>
      <c r="AL289" s="245"/>
      <c r="AW289" s="154"/>
      <c r="AX289" s="70"/>
      <c r="AY289" s="70"/>
      <c r="AZ289" s="70"/>
      <c r="BA289" s="70"/>
    </row>
    <row r="290" spans="1:53" ht="13.5" thickBot="1" x14ac:dyDescent="0.25">
      <c r="A290" s="225" t="str">
        <f>IF(E309=1,B301,IF(E309=2,B302,IF(E309=3,B303,IF(E309=4,B304,IF(OR(E309="B",E309="b"),"BYE","invalid")))))</f>
        <v>PRV 17U Alicia</v>
      </c>
      <c r="B290" s="225"/>
      <c r="C290" s="225"/>
      <c r="D290" s="225"/>
      <c r="E290" s="225"/>
      <c r="F290" s="239" t="s">
        <v>136</v>
      </c>
      <c r="G290" s="239"/>
      <c r="H290" s="239"/>
      <c r="I290" s="239"/>
      <c r="J290" s="240" t="s">
        <v>137</v>
      </c>
      <c r="K290" s="241"/>
      <c r="L290" s="241"/>
      <c r="M290" s="241"/>
      <c r="N290" s="241"/>
      <c r="O290" s="241"/>
      <c r="P290" s="241"/>
      <c r="Q290" s="241"/>
      <c r="S290" s="118"/>
      <c r="T290" s="118"/>
      <c r="U290" s="118"/>
      <c r="V290" s="225" t="str">
        <f>IF(Z309=1,X301,IF(Z309=2,X302,IF(Z309=3,X303,IF(Z309=4,X304,IF(OR(Z309="B",Z309="b"),"BYE","invalid")))))</f>
        <v>CSRA Heat 17 National</v>
      </c>
      <c r="W290" s="225"/>
      <c r="X290" s="225"/>
      <c r="Y290" s="225"/>
      <c r="Z290" s="225"/>
      <c r="AA290" s="225"/>
      <c r="AB290" s="225"/>
      <c r="AC290" s="239" t="s">
        <v>138</v>
      </c>
      <c r="AD290" s="239"/>
      <c r="AE290" s="239"/>
      <c r="AF290" s="246"/>
      <c r="AG290" s="240" t="s">
        <v>139</v>
      </c>
      <c r="AH290" s="241"/>
      <c r="AI290" s="241"/>
      <c r="AJ290" s="241"/>
      <c r="AK290" s="241"/>
      <c r="AL290" s="241"/>
      <c r="AW290" s="154"/>
      <c r="AX290" s="70"/>
      <c r="AY290" s="70"/>
      <c r="AZ290" s="70"/>
      <c r="BA290" s="70"/>
    </row>
    <row r="291" spans="1:53" x14ac:dyDescent="0.2">
      <c r="A291" s="227" t="s">
        <v>140</v>
      </c>
      <c r="B291" s="227"/>
      <c r="C291" s="227"/>
      <c r="D291" s="227"/>
      <c r="E291" s="227"/>
      <c r="F291" s="105"/>
      <c r="G291" s="103"/>
      <c r="H291" s="103"/>
      <c r="I291" s="103"/>
      <c r="J291" s="240"/>
      <c r="K291" s="241"/>
      <c r="L291" s="241"/>
      <c r="M291" s="241"/>
      <c r="N291" s="241"/>
      <c r="O291" s="241"/>
      <c r="P291" s="241"/>
      <c r="Q291" s="241"/>
      <c r="R291" s="103"/>
      <c r="S291" s="116"/>
      <c r="T291" s="116"/>
      <c r="U291" s="116"/>
      <c r="V291" s="228" t="s">
        <v>1061</v>
      </c>
      <c r="W291" s="228"/>
      <c r="X291" s="228"/>
      <c r="Y291" s="228"/>
      <c r="Z291" s="228"/>
      <c r="AA291" s="228"/>
      <c r="AB291" s="242"/>
      <c r="AC291" s="103"/>
      <c r="AD291" s="103"/>
      <c r="AE291" s="103"/>
      <c r="AF291" s="107"/>
      <c r="AG291" s="103"/>
      <c r="AH291" s="103"/>
      <c r="AW291" s="154"/>
      <c r="AX291" s="70"/>
      <c r="AY291" s="70"/>
      <c r="AZ291" s="70"/>
      <c r="BA291" s="70"/>
    </row>
    <row r="292" spans="1:53" x14ac:dyDescent="0.2">
      <c r="A292" s="103"/>
      <c r="B292" s="103"/>
      <c r="C292" s="103"/>
      <c r="D292" s="103"/>
      <c r="E292" s="103"/>
      <c r="F292" s="105"/>
      <c r="G292" s="103"/>
      <c r="H292" s="103"/>
      <c r="I292" s="103"/>
      <c r="J292" s="105"/>
      <c r="K292" s="103"/>
      <c r="L292" s="103"/>
      <c r="M292" s="103"/>
      <c r="N292" s="103"/>
      <c r="O292" s="103"/>
      <c r="Q292" s="103"/>
      <c r="R292" s="103"/>
      <c r="S292" s="103"/>
      <c r="T292" s="103"/>
      <c r="U292" s="103"/>
      <c r="V292" s="103"/>
      <c r="W292" s="103"/>
      <c r="X292" s="103"/>
      <c r="Y292" s="103"/>
      <c r="Z292" s="103"/>
      <c r="AA292" s="103"/>
      <c r="AB292" s="107"/>
      <c r="AC292" s="105"/>
      <c r="AD292" s="103"/>
      <c r="AE292" s="103"/>
      <c r="AF292" s="107"/>
      <c r="AG292" s="103"/>
      <c r="AH292" s="103"/>
      <c r="AW292" s="154"/>
      <c r="AX292" s="70"/>
      <c r="AY292" s="70"/>
      <c r="AZ292" s="70"/>
      <c r="BA292" s="70"/>
    </row>
    <row r="293" spans="1:53" ht="13.5" thickBot="1" x14ac:dyDescent="0.25">
      <c r="A293" s="241" t="s">
        <v>142</v>
      </c>
      <c r="B293" s="241"/>
      <c r="C293" s="241"/>
      <c r="D293" s="241"/>
      <c r="E293" s="114"/>
      <c r="F293" s="230"/>
      <c r="G293" s="231"/>
      <c r="H293" s="231"/>
      <c r="I293" s="232"/>
      <c r="J293" s="233"/>
      <c r="K293" s="234"/>
      <c r="L293" s="234"/>
      <c r="M293" s="234"/>
      <c r="N293" s="234"/>
      <c r="O293" s="103"/>
      <c r="R293" s="108"/>
      <c r="S293" s="108"/>
      <c r="T293" s="108"/>
      <c r="U293" s="241" t="s">
        <v>142</v>
      </c>
      <c r="V293" s="241"/>
      <c r="W293" s="241"/>
      <c r="X293" s="241"/>
      <c r="Y293" s="241"/>
      <c r="Z293" s="241"/>
      <c r="AA293" s="241"/>
      <c r="AB293" s="103"/>
      <c r="AC293" s="230"/>
      <c r="AD293" s="231"/>
      <c r="AE293" s="231"/>
      <c r="AF293" s="232"/>
      <c r="AG293" s="233"/>
      <c r="AH293" s="234"/>
      <c r="AI293" s="234"/>
      <c r="AW293" s="154"/>
      <c r="AX293" s="70"/>
      <c r="AY293" s="70"/>
      <c r="AZ293" s="70"/>
      <c r="BA293" s="70"/>
    </row>
    <row r="294" spans="1:53" x14ac:dyDescent="0.2">
      <c r="A294" s="239" t="s">
        <v>131</v>
      </c>
      <c r="B294" s="239"/>
      <c r="C294" s="239"/>
      <c r="D294" s="239"/>
      <c r="E294" s="246"/>
      <c r="F294" s="237" t="str">
        <f>IF(J309=1,B301,IF(J309=2,B302,IF(J309=3,B303,IF(J309=4,B304,"Winner Match 2"))))</f>
        <v>PRV 17U Alicia</v>
      </c>
      <c r="G294" s="238"/>
      <c r="H294" s="238"/>
      <c r="I294" s="238"/>
      <c r="J294" s="238"/>
      <c r="K294" s="238"/>
      <c r="L294" s="238"/>
      <c r="M294" s="238"/>
      <c r="N294" s="238"/>
      <c r="O294" s="103"/>
      <c r="Q294" s="114"/>
      <c r="R294" s="114"/>
      <c r="T294" s="115"/>
      <c r="U294" s="239" t="s">
        <v>132</v>
      </c>
      <c r="V294" s="239"/>
      <c r="W294" s="239"/>
      <c r="X294" s="239"/>
      <c r="Y294" s="239"/>
      <c r="Z294" s="239"/>
      <c r="AA294" s="239"/>
      <c r="AB294" s="107"/>
      <c r="AC294" s="237" t="str">
        <f>IF(AE309=1,X301,IF(AE309=2,X302,IF(AE309=3,X303,IF(AE309=4,X304,"Winner Match 2"))))</f>
        <v>CSRA Heat 17 National</v>
      </c>
      <c r="AD294" s="238"/>
      <c r="AE294" s="238"/>
      <c r="AF294" s="238"/>
      <c r="AG294" s="238"/>
      <c r="AH294" s="238"/>
      <c r="AI294" s="238"/>
      <c r="AW294" s="154"/>
      <c r="AX294" s="70"/>
      <c r="AY294" s="70"/>
      <c r="AZ294" s="70"/>
      <c r="BA294" s="70"/>
    </row>
    <row r="295" spans="1:53" ht="13.5" thickBot="1" x14ac:dyDescent="0.25">
      <c r="A295" s="225" t="str">
        <f>IF(G309=1,B301,IF(G309=2,B302,IF(G309=3,B303,IF(G309=4,B304,IF(OR(G309="B",G309="b"),"BYE","invalid")))))</f>
        <v>Intense 16 Hyper Elite</v>
      </c>
      <c r="B295" s="225"/>
      <c r="C295" s="225"/>
      <c r="D295" s="225"/>
      <c r="E295" s="226"/>
      <c r="F295" s="105"/>
      <c r="G295" s="103"/>
      <c r="H295" s="103"/>
      <c r="I295" s="103"/>
      <c r="J295" s="103"/>
      <c r="K295" s="103"/>
      <c r="L295" s="103"/>
      <c r="M295" s="103"/>
      <c r="N295" s="103"/>
      <c r="O295" s="103"/>
      <c r="Q295" s="103"/>
      <c r="R295" s="103"/>
      <c r="S295" s="103"/>
      <c r="T295" s="118"/>
      <c r="U295" s="118"/>
      <c r="V295" s="225" t="str">
        <f>IF(AB309=1,X301,IF(AB309=2,X302,IF(AB309=3,X303,IF(AB309=4,X304,IF(OR(AB309="B",AB309="b"),"BYE","invalid")))))</f>
        <v>Lake Murray 17 Red</v>
      </c>
      <c r="W295" s="225"/>
      <c r="X295" s="225"/>
      <c r="Y295" s="225"/>
      <c r="Z295" s="225"/>
      <c r="AA295" s="225"/>
      <c r="AB295" s="226"/>
      <c r="AC295" s="103"/>
      <c r="AD295" s="103"/>
      <c r="AE295" s="103"/>
      <c r="AF295" s="103"/>
      <c r="AW295" s="154"/>
      <c r="AX295" s="70"/>
      <c r="AY295" s="70"/>
      <c r="AZ295" s="70"/>
      <c r="BA295" s="70"/>
    </row>
    <row r="296" spans="1:53" x14ac:dyDescent="0.2">
      <c r="A296" s="227" t="s">
        <v>1062</v>
      </c>
      <c r="B296" s="227"/>
      <c r="C296" s="227"/>
      <c r="D296" s="227"/>
      <c r="E296" s="227"/>
      <c r="T296" s="116"/>
      <c r="U296" s="116"/>
      <c r="V296" s="228" t="s">
        <v>1063</v>
      </c>
      <c r="W296" s="228"/>
      <c r="X296" s="228"/>
      <c r="Y296" s="228"/>
      <c r="Z296" s="228"/>
      <c r="AA296" s="228"/>
      <c r="AB296" s="228"/>
      <c r="AW296" s="154"/>
      <c r="AX296" s="70"/>
      <c r="AY296" s="70"/>
      <c r="AZ296" s="70"/>
      <c r="BA296" s="70"/>
    </row>
    <row r="297" spans="1:53" x14ac:dyDescent="0.2">
      <c r="AT297" s="70"/>
      <c r="AU297" s="70"/>
      <c r="AV297" s="70"/>
      <c r="AW297" s="154"/>
      <c r="AX297" s="70"/>
      <c r="AY297" s="70"/>
      <c r="AZ297" s="70"/>
      <c r="BA297" s="70"/>
    </row>
    <row r="298" spans="1:53" x14ac:dyDescent="0.2">
      <c r="AT298" s="70"/>
      <c r="AU298" s="70"/>
      <c r="AV298" s="70"/>
      <c r="AW298" s="154"/>
      <c r="AX298" s="70"/>
      <c r="AY298" s="70"/>
      <c r="AZ298" s="70"/>
      <c r="BA298" s="70"/>
    </row>
    <row r="299" spans="1:53" ht="16.5" thickBot="1" x14ac:dyDescent="0.3">
      <c r="A299" s="229" t="s">
        <v>145</v>
      </c>
      <c r="B299" s="229"/>
      <c r="C299" s="229"/>
      <c r="D299" s="229"/>
      <c r="E299" s="229"/>
      <c r="F299" s="229"/>
      <c r="G299" s="229"/>
      <c r="H299" s="229"/>
      <c r="I299" s="229"/>
      <c r="J299" s="229"/>
      <c r="K299" s="124"/>
      <c r="R299" s="125"/>
      <c r="S299" s="125"/>
      <c r="T299" s="125"/>
      <c r="U299" s="229" t="s">
        <v>146</v>
      </c>
      <c r="V299" s="229"/>
      <c r="W299" s="229"/>
      <c r="X299" s="229"/>
      <c r="Y299" s="229"/>
      <c r="Z299" s="229"/>
      <c r="AA299" s="229"/>
      <c r="AB299" s="229"/>
      <c r="AC299" s="229"/>
      <c r="AD299" s="229"/>
      <c r="AE299" s="229"/>
      <c r="AF299" s="229"/>
      <c r="AT299" s="70"/>
      <c r="AU299" s="70"/>
      <c r="AV299" s="70"/>
      <c r="AW299" s="154"/>
      <c r="AX299" s="70"/>
      <c r="AY299" s="70"/>
      <c r="AZ299" s="70"/>
      <c r="BA299" s="70"/>
    </row>
    <row r="300" spans="1:53" ht="13.5" thickBot="1" x14ac:dyDescent="0.25">
      <c r="A300" s="126" t="s">
        <v>147</v>
      </c>
      <c r="B300" s="219" t="s">
        <v>148</v>
      </c>
      <c r="C300" s="220"/>
      <c r="D300" s="220"/>
      <c r="E300" s="220"/>
      <c r="F300" s="220"/>
      <c r="G300" s="220"/>
      <c r="H300" s="220"/>
      <c r="I300" s="220"/>
      <c r="J300" s="221"/>
      <c r="K300" s="222" t="s">
        <v>149</v>
      </c>
      <c r="L300" s="223"/>
      <c r="M300" s="223"/>
      <c r="N300" s="223"/>
      <c r="O300" s="223"/>
      <c r="P300" s="223"/>
      <c r="Q300" s="224"/>
      <c r="R300" s="103"/>
      <c r="U300" s="207" t="s">
        <v>147</v>
      </c>
      <c r="V300" s="208"/>
      <c r="W300" s="209"/>
      <c r="X300" s="219" t="s">
        <v>148</v>
      </c>
      <c r="Y300" s="220"/>
      <c r="Z300" s="220"/>
      <c r="AA300" s="220"/>
      <c r="AB300" s="220"/>
      <c r="AC300" s="220"/>
      <c r="AD300" s="220"/>
      <c r="AE300" s="220"/>
      <c r="AF300" s="221"/>
      <c r="AG300" s="222" t="s">
        <v>149</v>
      </c>
      <c r="AH300" s="223"/>
      <c r="AI300" s="223"/>
      <c r="AJ300" s="223"/>
      <c r="AK300" s="223"/>
      <c r="AL300" s="223"/>
      <c r="AM300" s="224"/>
      <c r="AT300" s="70"/>
      <c r="AU300" s="70"/>
      <c r="AV300" s="70"/>
      <c r="AW300" s="154"/>
      <c r="AX300" s="70"/>
      <c r="AY300" s="70"/>
      <c r="AZ300" s="70"/>
      <c r="BA300" s="70"/>
    </row>
    <row r="301" spans="1:53" ht="13.5" thickBot="1" x14ac:dyDescent="0.25">
      <c r="A301" s="126">
        <v>1</v>
      </c>
      <c r="B301" s="201" t="str">
        <f>B264</f>
        <v>Sumter 17 Heath</v>
      </c>
      <c r="C301" s="202"/>
      <c r="D301" s="202"/>
      <c r="E301" s="202"/>
      <c r="F301" s="202"/>
      <c r="G301" s="202"/>
      <c r="H301" s="202"/>
      <c r="I301" s="202"/>
      <c r="J301" s="203"/>
      <c r="K301" s="204" t="str">
        <f>F264</f>
        <v>fj7sumtr1pm</v>
      </c>
      <c r="L301" s="205"/>
      <c r="M301" s="205"/>
      <c r="N301" s="205"/>
      <c r="O301" s="205"/>
      <c r="P301" s="205"/>
      <c r="Q301" s="206"/>
      <c r="R301" s="103"/>
      <c r="U301" s="207">
        <v>1</v>
      </c>
      <c r="V301" s="208"/>
      <c r="W301" s="209"/>
      <c r="X301" s="201" t="str">
        <f>M270</f>
        <v>Hurricane VBC 17 Typhoon</v>
      </c>
      <c r="Y301" s="202"/>
      <c r="Z301" s="202"/>
      <c r="AA301" s="202"/>
      <c r="AB301" s="202"/>
      <c r="AC301" s="202"/>
      <c r="AD301" s="202"/>
      <c r="AE301" s="202"/>
      <c r="AF301" s="203"/>
      <c r="AG301" s="204" t="str">
        <f>T270</f>
        <v>fj7hurrc2pm</v>
      </c>
      <c r="AH301" s="205"/>
      <c r="AI301" s="205"/>
      <c r="AJ301" s="205"/>
      <c r="AK301" s="205"/>
      <c r="AL301" s="205"/>
      <c r="AM301" s="206"/>
      <c r="AT301" s="70"/>
      <c r="AU301" s="70"/>
      <c r="AV301" s="70"/>
      <c r="AW301" s="154"/>
      <c r="AX301" s="70"/>
      <c r="AY301" s="70"/>
      <c r="AZ301" s="70"/>
      <c r="BA301" s="70"/>
    </row>
    <row r="302" spans="1:53" ht="13.5" thickBot="1" x14ac:dyDescent="0.25">
      <c r="A302" s="126">
        <v>2</v>
      </c>
      <c r="B302" s="201" t="str">
        <f>B265</f>
        <v>PRV 17U Alicia</v>
      </c>
      <c r="C302" s="202"/>
      <c r="D302" s="202"/>
      <c r="E302" s="202"/>
      <c r="F302" s="202"/>
      <c r="G302" s="202"/>
      <c r="H302" s="202"/>
      <c r="I302" s="202"/>
      <c r="J302" s="203"/>
      <c r="K302" s="204" t="str">
        <f>F265</f>
        <v>fj7prage1pm</v>
      </c>
      <c r="L302" s="205"/>
      <c r="M302" s="205"/>
      <c r="N302" s="205"/>
      <c r="O302" s="205"/>
      <c r="P302" s="205"/>
      <c r="Q302" s="206"/>
      <c r="R302" s="103"/>
      <c r="U302" s="207">
        <v>2</v>
      </c>
      <c r="V302" s="208"/>
      <c r="W302" s="209"/>
      <c r="X302" s="201" t="str">
        <f>M271</f>
        <v>CSRA Heat 17 National</v>
      </c>
      <c r="Y302" s="202"/>
      <c r="Z302" s="202"/>
      <c r="AA302" s="202"/>
      <c r="AB302" s="202"/>
      <c r="AC302" s="202"/>
      <c r="AD302" s="202"/>
      <c r="AE302" s="202"/>
      <c r="AF302" s="203"/>
      <c r="AG302" s="204" t="str">
        <f>T271</f>
        <v>fj7csrah1pm</v>
      </c>
      <c r="AH302" s="205"/>
      <c r="AI302" s="205"/>
      <c r="AJ302" s="205"/>
      <c r="AK302" s="205"/>
      <c r="AL302" s="205"/>
      <c r="AM302" s="206"/>
      <c r="AT302" s="70"/>
      <c r="AU302" s="70"/>
      <c r="AV302" s="70"/>
      <c r="AW302" s="154"/>
      <c r="AX302" s="70"/>
      <c r="AY302" s="70"/>
      <c r="AZ302" s="70"/>
      <c r="BA302" s="70"/>
    </row>
    <row r="303" spans="1:53" ht="13.5" thickBot="1" x14ac:dyDescent="0.25">
      <c r="A303" s="126">
        <v>3</v>
      </c>
      <c r="B303" s="201" t="str">
        <f>B266</f>
        <v>Intense 16 Hyper Elite</v>
      </c>
      <c r="C303" s="202"/>
      <c r="D303" s="202"/>
      <c r="E303" s="202"/>
      <c r="F303" s="202"/>
      <c r="G303" s="202"/>
      <c r="H303" s="202"/>
      <c r="I303" s="202"/>
      <c r="J303" s="203"/>
      <c r="K303" s="204" t="str">
        <f>F266</f>
        <v>fj6inten1pm</v>
      </c>
      <c r="L303" s="205"/>
      <c r="M303" s="205"/>
      <c r="N303" s="205"/>
      <c r="O303" s="205"/>
      <c r="P303" s="205"/>
      <c r="Q303" s="206"/>
      <c r="R303" s="103"/>
      <c r="U303" s="207">
        <v>3</v>
      </c>
      <c r="V303" s="208"/>
      <c r="W303" s="209"/>
      <c r="X303" s="201" t="str">
        <f>X269</f>
        <v>Lake Murray 17 Red</v>
      </c>
      <c r="Y303" s="202"/>
      <c r="Z303" s="202"/>
      <c r="AA303" s="202"/>
      <c r="AB303" s="202"/>
      <c r="AC303" s="202"/>
      <c r="AD303" s="202"/>
      <c r="AE303" s="202"/>
      <c r="AF303" s="203"/>
      <c r="AG303" s="204" t="str">
        <f>AF269</f>
        <v>fj7lakem1pm</v>
      </c>
      <c r="AH303" s="205"/>
      <c r="AI303" s="205"/>
      <c r="AJ303" s="205"/>
      <c r="AK303" s="205"/>
      <c r="AL303" s="205"/>
      <c r="AM303" s="206"/>
      <c r="AT303" s="70"/>
      <c r="AU303" s="70"/>
      <c r="AV303" s="70"/>
      <c r="AW303" s="154"/>
      <c r="AX303" s="70"/>
      <c r="AY303" s="70"/>
      <c r="AZ303" s="70"/>
      <c r="BA303" s="70"/>
    </row>
    <row r="304" spans="1:53" ht="13.5" thickBot="1" x14ac:dyDescent="0.25">
      <c r="A304" s="126">
        <v>4</v>
      </c>
      <c r="B304" s="476" t="str">
        <f>M269</f>
        <v>Magnum 16 Mizuno</v>
      </c>
      <c r="C304" s="477"/>
      <c r="D304" s="477"/>
      <c r="E304" s="477"/>
      <c r="F304" s="477"/>
      <c r="G304" s="477"/>
      <c r="H304" s="477"/>
      <c r="I304" s="477"/>
      <c r="J304" s="478"/>
      <c r="K304" s="204" t="str">
        <f>T269</f>
        <v>fj6magnm1pm</v>
      </c>
      <c r="L304" s="205"/>
      <c r="M304" s="205"/>
      <c r="N304" s="205"/>
      <c r="O304" s="205"/>
      <c r="P304" s="205"/>
      <c r="Q304" s="206"/>
      <c r="R304" s="103"/>
      <c r="U304" s="207">
        <v>4</v>
      </c>
      <c r="V304" s="208"/>
      <c r="W304" s="209"/>
      <c r="X304" s="201" t="str">
        <f>X270</f>
        <v>METRO-ATL 17 BLACK</v>
      </c>
      <c r="Y304" s="202"/>
      <c r="Z304" s="202"/>
      <c r="AA304" s="202"/>
      <c r="AB304" s="202"/>
      <c r="AC304" s="202"/>
      <c r="AD304" s="202"/>
      <c r="AE304" s="202"/>
      <c r="AF304" s="203"/>
      <c r="AG304" s="204" t="str">
        <f>AF270</f>
        <v>fj7metro1so</v>
      </c>
      <c r="AH304" s="205"/>
      <c r="AI304" s="205"/>
      <c r="AJ304" s="205"/>
      <c r="AK304" s="205"/>
      <c r="AL304" s="205"/>
      <c r="AM304" s="206"/>
      <c r="AT304" s="70"/>
      <c r="AU304" s="70"/>
      <c r="AV304" s="70"/>
      <c r="AW304" s="154"/>
      <c r="AX304" s="70"/>
      <c r="AY304" s="70"/>
      <c r="AZ304" s="70"/>
      <c r="BA304" s="70"/>
    </row>
    <row r="305" spans="1:71" ht="13.5" thickBot="1" x14ac:dyDescent="0.25">
      <c r="AT305" s="70"/>
      <c r="AU305" s="70"/>
      <c r="AV305" s="70"/>
      <c r="AW305" s="154"/>
      <c r="AX305" s="70"/>
      <c r="AY305" s="70"/>
      <c r="AZ305" s="70"/>
      <c r="BA305" s="70"/>
    </row>
    <row r="306" spans="1:71" x14ac:dyDescent="0.2">
      <c r="B306" s="210" t="s">
        <v>150</v>
      </c>
      <c r="C306" s="182"/>
      <c r="D306" s="183"/>
      <c r="E306" s="181" t="s">
        <v>150</v>
      </c>
      <c r="F306" s="182"/>
      <c r="G306" s="183"/>
      <c r="H306" s="181" t="s">
        <v>14</v>
      </c>
      <c r="I306" s="182"/>
      <c r="J306" s="184"/>
      <c r="K306" s="185" t="s">
        <v>151</v>
      </c>
      <c r="L306" s="211"/>
      <c r="M306" s="211"/>
      <c r="N306" s="211"/>
      <c r="O306" s="211"/>
      <c r="P306" s="211"/>
      <c r="Q306" s="212"/>
      <c r="R306" s="127"/>
      <c r="S306" s="127"/>
      <c r="T306" s="127"/>
      <c r="U306" s="127"/>
      <c r="W306" s="210" t="s">
        <v>150</v>
      </c>
      <c r="X306" s="182"/>
      <c r="Y306" s="183"/>
      <c r="Z306" s="181" t="s">
        <v>150</v>
      </c>
      <c r="AA306" s="182"/>
      <c r="AB306" s="183"/>
      <c r="AC306" s="181" t="s">
        <v>14</v>
      </c>
      <c r="AD306" s="182"/>
      <c r="AE306" s="184"/>
      <c r="AF306" s="185" t="s">
        <v>151</v>
      </c>
      <c r="AG306" s="186"/>
      <c r="AH306" s="186"/>
      <c r="AI306" s="186"/>
      <c r="AJ306" s="187"/>
      <c r="AW306" s="154"/>
      <c r="AX306" s="70"/>
      <c r="AY306" s="70"/>
      <c r="AZ306" s="70"/>
      <c r="BA306" s="70"/>
    </row>
    <row r="307" spans="1:71" x14ac:dyDescent="0.2">
      <c r="A307" s="56" t="s">
        <v>152</v>
      </c>
      <c r="B307" s="194">
        <v>3</v>
      </c>
      <c r="C307" s="195"/>
      <c r="D307" s="196"/>
      <c r="E307" s="197" t="s">
        <v>153</v>
      </c>
      <c r="F307" s="195"/>
      <c r="G307" s="196"/>
      <c r="H307" s="197" t="s">
        <v>154</v>
      </c>
      <c r="I307" s="195"/>
      <c r="J307" s="198"/>
      <c r="K307" s="213"/>
      <c r="L307" s="214"/>
      <c r="M307" s="214"/>
      <c r="N307" s="214"/>
      <c r="O307" s="214"/>
      <c r="P307" s="214"/>
      <c r="Q307" s="215"/>
      <c r="R307" s="127"/>
      <c r="S307" s="127"/>
      <c r="T307" s="199" t="s">
        <v>152</v>
      </c>
      <c r="U307" s="199"/>
      <c r="V307" s="200"/>
      <c r="W307" s="194">
        <v>3</v>
      </c>
      <c r="X307" s="195"/>
      <c r="Y307" s="196"/>
      <c r="Z307" s="197" t="s">
        <v>153</v>
      </c>
      <c r="AA307" s="195"/>
      <c r="AB307" s="196"/>
      <c r="AC307" s="197" t="s">
        <v>154</v>
      </c>
      <c r="AD307" s="195"/>
      <c r="AE307" s="198"/>
      <c r="AF307" s="188"/>
      <c r="AG307" s="189"/>
      <c r="AH307" s="189"/>
      <c r="AI307" s="189"/>
      <c r="AJ307" s="190"/>
      <c r="AW307" s="154"/>
      <c r="AX307" s="70"/>
      <c r="AY307" s="70"/>
      <c r="AZ307" s="70"/>
      <c r="BA307" s="70"/>
    </row>
    <row r="308" spans="1:71" ht="13.5" thickBot="1" x14ac:dyDescent="0.25">
      <c r="A308" s="8"/>
      <c r="B308" s="179" t="s">
        <v>64</v>
      </c>
      <c r="C308" s="174"/>
      <c r="D308" s="180"/>
      <c r="E308" s="173" t="s">
        <v>155</v>
      </c>
      <c r="F308" s="174"/>
      <c r="G308" s="180"/>
      <c r="H308" s="173" t="s">
        <v>156</v>
      </c>
      <c r="I308" s="174"/>
      <c r="J308" s="175"/>
      <c r="K308" s="216"/>
      <c r="L308" s="217"/>
      <c r="M308" s="217"/>
      <c r="N308" s="217"/>
      <c r="O308" s="217"/>
      <c r="P308" s="217"/>
      <c r="Q308" s="218"/>
      <c r="R308" s="127"/>
      <c r="S308" s="127"/>
      <c r="T308" s="160"/>
      <c r="U308" s="160"/>
      <c r="V308" s="161"/>
      <c r="W308" s="179" t="s">
        <v>64</v>
      </c>
      <c r="X308" s="174"/>
      <c r="Y308" s="180"/>
      <c r="Z308" s="173" t="s">
        <v>155</v>
      </c>
      <c r="AA308" s="174"/>
      <c r="AB308" s="180"/>
      <c r="AC308" s="173" t="s">
        <v>156</v>
      </c>
      <c r="AD308" s="174"/>
      <c r="AE308" s="175"/>
      <c r="AF308" s="191"/>
      <c r="AG308" s="192"/>
      <c r="AH308" s="192"/>
      <c r="AI308" s="192"/>
      <c r="AJ308" s="193"/>
      <c r="AW308" s="154"/>
      <c r="AX308" s="70"/>
      <c r="AY308" s="70"/>
      <c r="AZ308" s="70"/>
      <c r="BA308" s="70"/>
    </row>
    <row r="309" spans="1:71" ht="13.5" thickBot="1" x14ac:dyDescent="0.25">
      <c r="A309" s="8"/>
      <c r="B309" s="128">
        <v>1</v>
      </c>
      <c r="C309" s="129" t="s">
        <v>72</v>
      </c>
      <c r="D309" s="130">
        <v>4</v>
      </c>
      <c r="E309" s="131">
        <v>2</v>
      </c>
      <c r="F309" s="129" t="s">
        <v>72</v>
      </c>
      <c r="G309" s="130">
        <v>3</v>
      </c>
      <c r="H309" s="132">
        <f>IF(OR(AND(OR(B313&gt;0,D313&gt;0),B313&gt;D313),OR(D309="b",D309="B")),B309,IF(OR(AND(OR(B313&gt;0,D313&gt;0),D313&gt;B313),OR(B309="b",B309="B")),D309,"W1"))</f>
        <v>1</v>
      </c>
      <c r="I309" s="133" t="s">
        <v>72</v>
      </c>
      <c r="J309" s="134">
        <f>IF(OR(AND(OR(E313&gt;0,G313&gt;0),E313&gt;G313),OR(G309="b",G309="B")),E309,IF(OR(AND(OR(E313&gt;0,G313&gt;0),G313&gt;E313),OR(E309="b",E309="B")),G309,"W2"))</f>
        <v>2</v>
      </c>
      <c r="K309" s="176" t="s">
        <v>157</v>
      </c>
      <c r="L309" s="177"/>
      <c r="M309" s="177"/>
      <c r="N309" s="178"/>
      <c r="R309" s="127"/>
      <c r="S309" s="127"/>
      <c r="T309" s="160"/>
      <c r="U309" s="160"/>
      <c r="V309" s="161"/>
      <c r="W309" s="128">
        <v>1</v>
      </c>
      <c r="X309" s="129" t="s">
        <v>72</v>
      </c>
      <c r="Y309" s="130">
        <v>4</v>
      </c>
      <c r="Z309" s="131">
        <v>2</v>
      </c>
      <c r="AA309" s="129" t="s">
        <v>72</v>
      </c>
      <c r="AB309" s="130">
        <v>3</v>
      </c>
      <c r="AC309" s="132">
        <f>IF(OR(AND(OR(W313&gt;0,Y313&gt;0),W313&gt;Y313),OR(Y309="b",Y309="B")),W309,IF(OR(AND(OR(W313&gt;0,Y313&gt;0),Y313&gt;W313),OR(W309="b",W309="B")),Y309,"W1"))</f>
        <v>4</v>
      </c>
      <c r="AD309" s="133" t="s">
        <v>72</v>
      </c>
      <c r="AE309" s="134">
        <f>IF(OR(AND(OR(Z313&gt;0,AB313&gt;0),Z313&gt;AB313),OR(AB313="b",AB313="B")),Z309,IF(OR(AND(OR(Z313&gt;0,AB313&gt;0),AB313&gt;Z313),OR(Z313="b",Z313="B")),AB309,"W2"))</f>
        <v>2</v>
      </c>
      <c r="AF309" s="176" t="s">
        <v>157</v>
      </c>
      <c r="AG309" s="178"/>
      <c r="AH309" s="127"/>
      <c r="AI309" s="127"/>
      <c r="AJ309" s="127"/>
      <c r="AW309" s="154"/>
      <c r="AX309" s="70"/>
      <c r="AY309" s="70"/>
      <c r="AZ309" s="70"/>
      <c r="BA309" s="70"/>
    </row>
    <row r="310" spans="1:71" ht="13.5" hidden="1" customHeight="1" x14ac:dyDescent="0.2">
      <c r="A310" s="8"/>
      <c r="B310" s="135">
        <f>IF(B314&gt;D314,1,0)</f>
        <v>1</v>
      </c>
      <c r="C310" s="136"/>
      <c r="D310" s="137">
        <f>IF(D314&gt;B314,1,0)</f>
        <v>0</v>
      </c>
      <c r="E310" s="135">
        <f>IF(E314&gt;G314,1,0)</f>
        <v>1</v>
      </c>
      <c r="F310" s="136"/>
      <c r="G310" s="137">
        <f>IF(G314&gt;E314,1,0)</f>
        <v>0</v>
      </c>
      <c r="H310" s="135">
        <f>IF(H314&gt;J314,1,0)</f>
        <v>0</v>
      </c>
      <c r="I310" s="136"/>
      <c r="J310" s="137">
        <f>IF(J314&gt;H314,1,0)</f>
        <v>1</v>
      </c>
      <c r="K310" s="138"/>
      <c r="L310" s="139"/>
      <c r="M310" s="139"/>
      <c r="N310" s="140"/>
      <c r="R310" s="127"/>
      <c r="S310" s="127"/>
      <c r="T310" s="160"/>
      <c r="U310" s="160"/>
      <c r="V310" s="161"/>
      <c r="W310" s="135">
        <f>IF(W314&gt;Y314,1,0)</f>
        <v>0</v>
      </c>
      <c r="X310" s="136"/>
      <c r="Y310" s="137">
        <f>IF(Y314&gt;W314,1,0)</f>
        <v>1</v>
      </c>
      <c r="Z310" s="135">
        <f>IF(Z314&gt;AB314,1,0)</f>
        <v>1</v>
      </c>
      <c r="AA310" s="136"/>
      <c r="AB310" s="137">
        <f>IF(AB314&gt;Z314,1,0)</f>
        <v>0</v>
      </c>
      <c r="AC310" s="135">
        <f>IF(AC314&gt;AE314,1,0)</f>
        <v>1</v>
      </c>
      <c r="AD310" s="136"/>
      <c r="AE310" s="137">
        <f>IF(AE314&gt;AC314,1,0)</f>
        <v>0</v>
      </c>
      <c r="AF310" s="141"/>
      <c r="AG310" s="142"/>
      <c r="AH310" s="127"/>
      <c r="AI310" s="127"/>
      <c r="AJ310" s="127"/>
      <c r="AW310" s="154"/>
      <c r="AX310" s="70"/>
      <c r="AY310" s="70"/>
      <c r="AZ310" s="70"/>
      <c r="BA310" s="70"/>
    </row>
    <row r="311" spans="1:71" ht="13.5" hidden="1" customHeight="1" x14ac:dyDescent="0.2">
      <c r="A311" s="8"/>
      <c r="B311" s="135">
        <f>IF(B315&gt;D315,1,0)</f>
        <v>0</v>
      </c>
      <c r="C311" s="136"/>
      <c r="D311" s="137">
        <f>IF(D315&gt;B315,1,0)</f>
        <v>0</v>
      </c>
      <c r="E311" s="135">
        <f>IF(E315&gt;G315,1,0)</f>
        <v>0</v>
      </c>
      <c r="F311" s="136"/>
      <c r="G311" s="137">
        <f>IF(G315&gt;E315,1,0)</f>
        <v>0</v>
      </c>
      <c r="H311" s="135">
        <f>IF(H315&gt;J315,1,0)</f>
        <v>0</v>
      </c>
      <c r="I311" s="136"/>
      <c r="J311" s="137">
        <f>IF(J315&gt;H315,1,0)</f>
        <v>1</v>
      </c>
      <c r="K311" s="138"/>
      <c r="L311" s="139"/>
      <c r="M311" s="139"/>
      <c r="N311" s="140"/>
      <c r="R311" s="127"/>
      <c r="S311" s="127"/>
      <c r="T311" s="160"/>
      <c r="U311" s="160"/>
      <c r="V311" s="161"/>
      <c r="W311" s="135">
        <f>IF(W315&gt;Y315,1,0)</f>
        <v>0</v>
      </c>
      <c r="X311" s="136"/>
      <c r="Y311" s="137">
        <f>IF(Y315&gt;W315,1,0)</f>
        <v>0</v>
      </c>
      <c r="Z311" s="135">
        <f>IF(Z315&gt;AB315,1,0)</f>
        <v>0</v>
      </c>
      <c r="AA311" s="136"/>
      <c r="AB311" s="137">
        <f>IF(AB315&gt;Z315,1,0)</f>
        <v>0</v>
      </c>
      <c r="AC311" s="135">
        <f>IF(AC315&gt;AE315,1,0)</f>
        <v>1</v>
      </c>
      <c r="AD311" s="136"/>
      <c r="AE311" s="137">
        <f>IF(AE315&gt;AC315,1,0)</f>
        <v>0</v>
      </c>
      <c r="AF311" s="141"/>
      <c r="AG311" s="142"/>
      <c r="AH311" s="127"/>
      <c r="AI311" s="127"/>
      <c r="AJ311" s="127"/>
      <c r="AW311" s="154"/>
      <c r="AX311" s="70"/>
      <c r="AY311" s="70"/>
      <c r="AZ311" s="70"/>
      <c r="BA311" s="70"/>
    </row>
    <row r="312" spans="1:71" ht="13.5" hidden="1" customHeight="1" thickBot="1" x14ac:dyDescent="0.25">
      <c r="A312" s="8"/>
      <c r="B312" s="135">
        <f>IF(B316&gt;D316,1,0)</f>
        <v>0</v>
      </c>
      <c r="C312" s="136"/>
      <c r="D312" s="137">
        <f>IF(D316&gt;B316,1,0)</f>
        <v>0</v>
      </c>
      <c r="E312" s="135">
        <f>IF(E316&gt;G316,1,0)</f>
        <v>0</v>
      </c>
      <c r="F312" s="136"/>
      <c r="G312" s="137">
        <f>IF(G316&gt;E316,1,0)</f>
        <v>0</v>
      </c>
      <c r="H312" s="135">
        <f>IF(H316&gt;J316,1,0)</f>
        <v>0</v>
      </c>
      <c r="I312" s="136"/>
      <c r="J312" s="137">
        <f>IF(J316&gt;H316,1,0)</f>
        <v>0</v>
      </c>
      <c r="K312" s="138"/>
      <c r="L312" s="139"/>
      <c r="M312" s="139"/>
      <c r="N312" s="140"/>
      <c r="R312" s="127"/>
      <c r="S312" s="127"/>
      <c r="T312" s="160"/>
      <c r="U312" s="160"/>
      <c r="V312" s="161"/>
      <c r="W312" s="135">
        <f>IF(W316&gt;Y316,1,0)</f>
        <v>0</v>
      </c>
      <c r="X312" s="136"/>
      <c r="Y312" s="137">
        <f>IF(Y316&gt;W316,1,0)</f>
        <v>0</v>
      </c>
      <c r="Z312" s="135">
        <f>IF(Z316&gt;AB316,1,0)</f>
        <v>0</v>
      </c>
      <c r="AA312" s="136"/>
      <c r="AB312" s="137">
        <f>IF(AB316&gt;Z316,1,0)</f>
        <v>0</v>
      </c>
      <c r="AC312" s="135">
        <f>IF(AC316&gt;AE316,1,0)</f>
        <v>0</v>
      </c>
      <c r="AD312" s="136"/>
      <c r="AE312" s="137">
        <f>IF(AE316&gt;AC316,1,0)</f>
        <v>0</v>
      </c>
      <c r="AF312" s="141"/>
      <c r="AG312" s="142"/>
      <c r="AH312" s="127"/>
      <c r="AI312" s="127"/>
      <c r="AJ312" s="127"/>
      <c r="AW312" s="154"/>
      <c r="AX312" s="70"/>
      <c r="AY312" s="70"/>
      <c r="AZ312" s="70"/>
      <c r="BA312" s="70"/>
    </row>
    <row r="313" spans="1:71" ht="13.5" hidden="1" customHeight="1" x14ac:dyDescent="0.2">
      <c r="A313" s="8"/>
      <c r="B313" s="135">
        <f>SUM(B310:B312)</f>
        <v>1</v>
      </c>
      <c r="C313" s="136"/>
      <c r="D313" s="135">
        <f>SUM(D310:D312)</f>
        <v>0</v>
      </c>
      <c r="E313" s="135">
        <f>SUM(E310:E312)</f>
        <v>1</v>
      </c>
      <c r="F313" s="136"/>
      <c r="G313" s="135">
        <f>SUM(G310:G312)</f>
        <v>0</v>
      </c>
      <c r="H313" s="135">
        <f>SUM(H310:H312)</f>
        <v>0</v>
      </c>
      <c r="I313" s="136"/>
      <c r="J313" s="135">
        <f>SUM(J310:J312)</f>
        <v>2</v>
      </c>
      <c r="K313" s="138"/>
      <c r="L313" s="139"/>
      <c r="M313" s="139"/>
      <c r="N313" s="140"/>
      <c r="R313" s="127"/>
      <c r="S313" s="127"/>
      <c r="T313" s="160"/>
      <c r="U313" s="160"/>
      <c r="V313" s="161"/>
      <c r="W313" s="135">
        <f>SUM(W310:W312)</f>
        <v>0</v>
      </c>
      <c r="X313" s="136"/>
      <c r="Y313" s="135">
        <f>SUM(Y310:Y312)</f>
        <v>1</v>
      </c>
      <c r="Z313" s="135">
        <f>SUM(Z310:Z312)</f>
        <v>1</v>
      </c>
      <c r="AA313" s="136"/>
      <c r="AB313" s="135">
        <f>SUM(AB310:AB312)</f>
        <v>0</v>
      </c>
      <c r="AC313" s="135">
        <f>SUM(AC310:AC312)</f>
        <v>2</v>
      </c>
      <c r="AD313" s="136"/>
      <c r="AE313" s="135">
        <f>SUM(AE310:AE312)</f>
        <v>0</v>
      </c>
      <c r="AF313" s="141"/>
      <c r="AG313" s="142"/>
      <c r="AH313" s="127"/>
      <c r="AI313" s="127"/>
      <c r="AJ313" s="127"/>
      <c r="AW313" s="154"/>
      <c r="AX313" s="70"/>
      <c r="AY313" s="70"/>
      <c r="AZ313" s="70"/>
      <c r="BA313" s="70"/>
    </row>
    <row r="314" spans="1:71" ht="12.75" customHeight="1" x14ac:dyDescent="0.2">
      <c r="A314" s="6" t="s">
        <v>73</v>
      </c>
      <c r="B314" s="143">
        <v>25</v>
      </c>
      <c r="C314" s="66" t="s">
        <v>74</v>
      </c>
      <c r="D314" s="144">
        <v>18</v>
      </c>
      <c r="E314" s="145">
        <v>25</v>
      </c>
      <c r="F314" s="66" t="s">
        <v>74</v>
      </c>
      <c r="G314" s="144">
        <v>12</v>
      </c>
      <c r="H314" s="145">
        <v>17</v>
      </c>
      <c r="I314" s="66" t="s">
        <v>74</v>
      </c>
      <c r="J314" s="146">
        <v>25</v>
      </c>
      <c r="K314" s="162">
        <f>IF(AND(OR(H313&gt;0,J313&gt;0),AND(1&lt;=H309,H309&lt;=4),AND(1&lt;=J309,J309&lt;=4)),IF(H313&gt;J313,H309,IF(J313&gt;H313,J309,"")),"")</f>
        <v>2</v>
      </c>
      <c r="L314" s="163"/>
      <c r="M314" s="163"/>
      <c r="N314" s="164"/>
      <c r="R314" s="127"/>
      <c r="S314" s="127"/>
      <c r="T314" s="147"/>
      <c r="U314" s="147"/>
      <c r="V314" s="6" t="s">
        <v>73</v>
      </c>
      <c r="W314" s="143">
        <v>26</v>
      </c>
      <c r="X314" s="66" t="s">
        <v>74</v>
      </c>
      <c r="Y314" s="144">
        <v>28</v>
      </c>
      <c r="Z314" s="145">
        <v>25</v>
      </c>
      <c r="AA314" s="66" t="s">
        <v>74</v>
      </c>
      <c r="AB314" s="144">
        <v>15</v>
      </c>
      <c r="AC314" s="145">
        <v>25</v>
      </c>
      <c r="AD314" s="66" t="s">
        <v>74</v>
      </c>
      <c r="AE314" s="146">
        <v>23</v>
      </c>
      <c r="AF314" s="162">
        <f>IF(AND(OR(AC313&gt;0,AE313&gt;0),AND(1&lt;=AC309,AC309&lt;=4),AND(1&lt;=AE309,AE309&lt;=4)),IF(AC313&gt;AE313,AC309,IF(AE313&gt;AC313,AE309,"")),"")</f>
        <v>4</v>
      </c>
      <c r="AG314" s="164"/>
      <c r="AH314" s="127"/>
      <c r="AI314" s="127"/>
      <c r="AJ314" s="127"/>
      <c r="AW314" s="154"/>
      <c r="AX314" s="70"/>
      <c r="AY314" s="70"/>
      <c r="AZ314" s="70"/>
      <c r="BA314" s="70"/>
    </row>
    <row r="315" spans="1:71" ht="12.75" customHeight="1" x14ac:dyDescent="0.2">
      <c r="A315" s="6" t="s">
        <v>158</v>
      </c>
      <c r="B315" s="143"/>
      <c r="C315" s="66" t="s">
        <v>74</v>
      </c>
      <c r="D315" s="144"/>
      <c r="E315" s="145"/>
      <c r="F315" s="66" t="s">
        <v>74</v>
      </c>
      <c r="G315" s="144"/>
      <c r="H315" s="145">
        <v>25</v>
      </c>
      <c r="I315" s="66" t="s">
        <v>74</v>
      </c>
      <c r="J315" s="146">
        <v>27</v>
      </c>
      <c r="K315" s="165"/>
      <c r="L315" s="166"/>
      <c r="M315" s="166"/>
      <c r="N315" s="167"/>
      <c r="R315" s="127"/>
      <c r="S315" s="127"/>
      <c r="T315" s="147"/>
      <c r="U315" s="147"/>
      <c r="V315" s="6" t="s">
        <v>158</v>
      </c>
      <c r="W315" s="143"/>
      <c r="X315" s="66" t="s">
        <v>74</v>
      </c>
      <c r="Y315" s="144"/>
      <c r="Z315" s="145"/>
      <c r="AA315" s="66" t="s">
        <v>74</v>
      </c>
      <c r="AB315" s="144"/>
      <c r="AC315" s="145">
        <v>25</v>
      </c>
      <c r="AD315" s="66" t="s">
        <v>74</v>
      </c>
      <c r="AE315" s="146">
        <v>17</v>
      </c>
      <c r="AF315" s="165"/>
      <c r="AG315" s="167"/>
      <c r="AH315" s="127"/>
      <c r="AI315" s="127"/>
      <c r="AJ315" s="127"/>
      <c r="AW315" s="154"/>
      <c r="AX315" s="70"/>
      <c r="AY315" s="70"/>
      <c r="AZ315" s="70"/>
      <c r="BA315" s="70"/>
    </row>
    <row r="316" spans="1:71" ht="13.5" customHeight="1" thickBot="1" x14ac:dyDescent="0.25">
      <c r="A316" s="6" t="s">
        <v>159</v>
      </c>
      <c r="B316" s="148"/>
      <c r="C316" s="149" t="s">
        <v>74</v>
      </c>
      <c r="D316" s="150"/>
      <c r="E316" s="151"/>
      <c r="F316" s="149" t="s">
        <v>74</v>
      </c>
      <c r="G316" s="150"/>
      <c r="H316" s="151"/>
      <c r="I316" s="149" t="s">
        <v>74</v>
      </c>
      <c r="J316" s="152"/>
      <c r="K316" s="168"/>
      <c r="L316" s="169"/>
      <c r="M316" s="169"/>
      <c r="N316" s="170"/>
      <c r="R316" s="127"/>
      <c r="S316" s="127"/>
      <c r="T316" s="147"/>
      <c r="U316" s="147"/>
      <c r="V316" s="6" t="s">
        <v>159</v>
      </c>
      <c r="W316" s="148"/>
      <c r="X316" s="149" t="s">
        <v>74</v>
      </c>
      <c r="Y316" s="150"/>
      <c r="Z316" s="151"/>
      <c r="AA316" s="149" t="s">
        <v>74</v>
      </c>
      <c r="AB316" s="150"/>
      <c r="AC316" s="151"/>
      <c r="AD316" s="149" t="s">
        <v>74</v>
      </c>
      <c r="AE316" s="152"/>
      <c r="AF316" s="168"/>
      <c r="AG316" s="170"/>
      <c r="AH316" s="127"/>
      <c r="AI316" s="127"/>
      <c r="AJ316" s="127"/>
      <c r="AW316" s="154"/>
      <c r="AX316" s="70"/>
      <c r="AY316" s="70"/>
      <c r="AZ316" s="70"/>
      <c r="BA316" s="70"/>
    </row>
    <row r="317" spans="1:71" hidden="1" x14ac:dyDescent="0.2">
      <c r="B317" s="3"/>
      <c r="C317" s="153" t="s">
        <v>108</v>
      </c>
      <c r="D317" s="3" t="s">
        <v>160</v>
      </c>
      <c r="E317" s="3"/>
      <c r="F317" s="153"/>
      <c r="G317" s="4" t="s">
        <v>161</v>
      </c>
      <c r="J317" s="4" t="s">
        <v>162</v>
      </c>
      <c r="W317" s="3"/>
      <c r="X317" s="153" t="s">
        <v>108</v>
      </c>
      <c r="Y317" s="3" t="s">
        <v>160</v>
      </c>
      <c r="Z317" s="3"/>
      <c r="AA317" s="153"/>
      <c r="AB317" s="4" t="s">
        <v>161</v>
      </c>
      <c r="AE317" s="4" t="s">
        <v>162</v>
      </c>
      <c r="AT317" s="4" t="str">
        <f>B318</f>
        <v>Sumter 17 Heath</v>
      </c>
      <c r="AU317" s="4">
        <f>J318</f>
        <v>2840.9090810092252</v>
      </c>
      <c r="AW317" s="154"/>
      <c r="AX317" s="70"/>
      <c r="AY317" s="70"/>
      <c r="AZ317" s="70"/>
      <c r="BA317" s="70"/>
      <c r="BB317" s="154"/>
      <c r="BC317" s="70"/>
      <c r="BD317" s="70"/>
      <c r="BE317" s="154"/>
      <c r="BF317" s="70"/>
      <c r="BG317" s="70"/>
      <c r="BH317" s="154"/>
      <c r="BI317" s="70"/>
      <c r="BJ317" s="70"/>
      <c r="BK317" s="154"/>
      <c r="BL317" s="70"/>
      <c r="BM317" s="70"/>
      <c r="BN317" s="154"/>
      <c r="BO317" s="70"/>
      <c r="BP317" s="70"/>
      <c r="BQ317" s="154"/>
      <c r="BR317" s="70"/>
      <c r="BS317" s="70"/>
    </row>
    <row r="318" spans="1:71" hidden="1" x14ac:dyDescent="0.2">
      <c r="A318" s="4">
        <v>1</v>
      </c>
      <c r="B318" s="4" t="str">
        <f>B301</f>
        <v>Sumter 17 Heath</v>
      </c>
      <c r="C318" s="4">
        <f>VLOOKUP(B318,AU$2:AY$22,4,FALSE)</f>
        <v>2851.7523628360227</v>
      </c>
      <c r="D318" s="4">
        <f>IF(A318=B309,B324,IF(A318=D309,D324,C318))</f>
        <v>2856.0747475024796</v>
      </c>
      <c r="G318" s="4">
        <f>IF(A318=E309,E324,IF(A318=G309,G324,D318))</f>
        <v>2856.0747475024796</v>
      </c>
      <c r="J318" s="4">
        <f>IF(A318=H309,H324,IF(A318=J309,J324,G318))</f>
        <v>2840.9090810092252</v>
      </c>
      <c r="U318" s="155"/>
      <c r="V318" s="155">
        <v>1</v>
      </c>
      <c r="W318" s="4" t="str">
        <f>X301</f>
        <v>Hurricane VBC 17 Typhoon</v>
      </c>
      <c r="X318" s="4">
        <f>VLOOKUP(W318,AU$2:AY$22,4,FALSE)</f>
        <v>2854.7054565454782</v>
      </c>
      <c r="Y318" s="4">
        <f>IF(V318=W309,W324,IF(V318=Y309,Y324,X318))</f>
        <v>2845.3373726293012</v>
      </c>
      <c r="AB318" s="4">
        <f>IF(V318=Z309,Z324,IF(V318=AB309,AB324,Y318))</f>
        <v>2845.3373726293012</v>
      </c>
      <c r="AE318" s="4">
        <f>IF(V318=AC309,AC324,IF(V318=AE309,AE324,AB318))</f>
        <v>2845.3373726293012</v>
      </c>
      <c r="AT318" s="4" t="str">
        <f>B319</f>
        <v>PRV 17U Alicia</v>
      </c>
      <c r="AU318" s="4">
        <f>J319</f>
        <v>2889.3741842165973</v>
      </c>
      <c r="AW318" s="154"/>
      <c r="AX318" s="70"/>
      <c r="AY318" s="70"/>
      <c r="AZ318" s="70"/>
      <c r="BA318" s="70"/>
      <c r="BB318" s="154"/>
      <c r="BC318" s="70"/>
      <c r="BD318" s="70"/>
      <c r="BE318" s="154"/>
      <c r="BF318" s="70"/>
      <c r="BG318" s="70"/>
      <c r="BH318" s="154"/>
      <c r="BI318" s="70"/>
      <c r="BJ318" s="70"/>
      <c r="BK318" s="154"/>
      <c r="BL318" s="70"/>
      <c r="BM318" s="70"/>
      <c r="BN318" s="154"/>
      <c r="BO318" s="70"/>
      <c r="BP318" s="70"/>
      <c r="BQ318" s="154"/>
      <c r="BR318" s="70"/>
      <c r="BS318" s="70"/>
    </row>
    <row r="319" spans="1:71" hidden="1" x14ac:dyDescent="0.2">
      <c r="A319" s="4">
        <v>2</v>
      </c>
      <c r="B319" s="4" t="str">
        <f>B302</f>
        <v>PRV 17U Alicia</v>
      </c>
      <c r="C319" s="4">
        <f>VLOOKUP(B319,AU$2:AY$22,4,FALSE)</f>
        <v>2869.8877237739443</v>
      </c>
      <c r="D319" s="4">
        <f>IF(A319=B309,B324,IF(A319=D309,D324,C319))</f>
        <v>2869.8877237739443</v>
      </c>
      <c r="G319" s="4">
        <f>IF(A319=E309,E324,IF(A319=G309,G324,D319))</f>
        <v>2874.208517723343</v>
      </c>
      <c r="J319" s="4">
        <f>IF(A319=H309,H324,IF(A319=J309,J324,G319))</f>
        <v>2889.3741842165973</v>
      </c>
      <c r="U319" s="155"/>
      <c r="V319" s="155">
        <v>2</v>
      </c>
      <c r="W319" s="4" t="str">
        <f>X302</f>
        <v>CSRA Heat 17 National</v>
      </c>
      <c r="X319" s="4">
        <f>VLOOKUP(W319,AU$2:AY$22,4,FALSE)</f>
        <v>2797.1956520699605</v>
      </c>
      <c r="Y319" s="4">
        <f>IF(V319=W309,W324,IF(V319=Y309,Y324,X319))</f>
        <v>2797.1956520699605</v>
      </c>
      <c r="AB319" s="4">
        <f>IF(V319=Z309,Z324,IF(V319=AB309,AB324,Y319))</f>
        <v>2802.274463163621</v>
      </c>
      <c r="AE319" s="4">
        <f>IF(V319=AC309,AC324,IF(V319=AE309,AE324,AB319))</f>
        <v>2786.3570965560775</v>
      </c>
      <c r="AT319" s="4" t="str">
        <f>B320</f>
        <v>Intense 16 Hyper Elite</v>
      </c>
      <c r="AU319" s="4">
        <f>J320</f>
        <v>2692.8270240477468</v>
      </c>
      <c r="AW319" s="154"/>
      <c r="AX319" s="70"/>
      <c r="AY319" s="70"/>
      <c r="AZ319" s="70"/>
      <c r="BA319" s="70"/>
      <c r="BB319" s="154"/>
      <c r="BC319" s="70"/>
      <c r="BD319" s="70"/>
      <c r="BE319" s="154"/>
      <c r="BF319" s="70"/>
      <c r="BG319" s="70"/>
      <c r="BH319" s="154"/>
      <c r="BI319" s="70"/>
      <c r="BJ319" s="70"/>
      <c r="BK319" s="154"/>
      <c r="BL319" s="70"/>
      <c r="BM319" s="70"/>
      <c r="BN319" s="154"/>
      <c r="BO319" s="70"/>
      <c r="BP319" s="70"/>
      <c r="BQ319" s="154"/>
      <c r="BR319" s="70"/>
      <c r="BS319" s="70"/>
    </row>
    <row r="320" spans="1:71" hidden="1" x14ac:dyDescent="0.2">
      <c r="A320" s="4">
        <v>3</v>
      </c>
      <c r="B320" s="4" t="str">
        <f>B303</f>
        <v>Intense 16 Hyper Elite</v>
      </c>
      <c r="C320" s="4">
        <f>VLOOKUP(B320,AU$2:AY$22,4,FALSE)</f>
        <v>2697.1478179971455</v>
      </c>
      <c r="D320" s="4">
        <f>IF(A320=B309,B324,IF(A320=D309,D324,C320))</f>
        <v>2697.1478179971455</v>
      </c>
      <c r="G320" s="4">
        <f>IF(A320=E309,E324,IF(A320=G309,G324,D320))</f>
        <v>2692.8270240477468</v>
      </c>
      <c r="J320" s="4">
        <f>IF(A320=H309,H324,IF(A320=J309,J324,G320))</f>
        <v>2692.8270240477468</v>
      </c>
      <c r="U320" s="155"/>
      <c r="V320" s="155">
        <v>3</v>
      </c>
      <c r="W320" s="4" t="str">
        <f>X303</f>
        <v>Lake Murray 17 Red</v>
      </c>
      <c r="X320" s="4">
        <f>VLOOKUP(W320,AU$2:AY$22,4,FALSE)</f>
        <v>2664.1925081847262</v>
      </c>
      <c r="Y320" s="4">
        <f>IF(V320=W309,W324,IF(V320=Y309,Y324,X320))</f>
        <v>2664.1925081847262</v>
      </c>
      <c r="AB320" s="4">
        <f>IF(V320=Z309,Z324,IF(V320=AB309,AB324,Y320))</f>
        <v>2659.1136970910657</v>
      </c>
      <c r="AE320" s="4">
        <f>IF(V320=AC309,AC324,IF(V320=AE309,AE324,AB320))</f>
        <v>2659.1136970910657</v>
      </c>
      <c r="AT320" s="4" t="str">
        <f>B321</f>
        <v>Magnum 16 Mizuno</v>
      </c>
      <c r="AU320" s="4">
        <f>J321</f>
        <v>2674.777677614064</v>
      </c>
      <c r="AW320" s="154"/>
      <c r="AX320" s="70"/>
      <c r="AY320" s="70"/>
      <c r="AZ320" s="70"/>
      <c r="BA320" s="70"/>
      <c r="BB320" s="154"/>
      <c r="BC320" s="70"/>
      <c r="BD320" s="70"/>
      <c r="BE320" s="154"/>
      <c r="BF320" s="70"/>
      <c r="BG320" s="70"/>
      <c r="BH320" s="154"/>
      <c r="BI320" s="70"/>
      <c r="BJ320" s="70"/>
      <c r="BK320" s="154"/>
      <c r="BL320" s="70"/>
      <c r="BM320" s="70"/>
      <c r="BN320" s="154"/>
      <c r="BO320" s="70"/>
      <c r="BP320" s="70"/>
      <c r="BQ320" s="154"/>
      <c r="BR320" s="70"/>
      <c r="BS320" s="70"/>
    </row>
    <row r="321" spans="1:71" hidden="1" x14ac:dyDescent="0.2">
      <c r="A321" s="4">
        <v>4</v>
      </c>
      <c r="B321" s="4" t="str">
        <f>B304</f>
        <v>Magnum 16 Mizuno</v>
      </c>
      <c r="C321" s="4">
        <f>VLOOKUP(B321,AU$2:AY$22,4,FALSE)</f>
        <v>2679.1000622805209</v>
      </c>
      <c r="D321" s="4">
        <f>IF(A321=B309,B324,IF(A321=D309,D324,C321))</f>
        <v>2674.777677614064</v>
      </c>
      <c r="G321" s="4">
        <f>IF(A321=E309,E324,IF(A321=G309,G324,D321))</f>
        <v>2674.777677614064</v>
      </c>
      <c r="J321" s="4">
        <f>IF(A321=H309,H324,IF(A321=J309,J324,G321))</f>
        <v>2674.777677614064</v>
      </c>
      <c r="U321" s="155"/>
      <c r="V321" s="155">
        <v>4</v>
      </c>
      <c r="W321" s="4" t="str">
        <f>X304</f>
        <v>METRO-ATL 17 BLACK</v>
      </c>
      <c r="X321" s="4">
        <f>VLOOKUP(W321,AU$2:AY$22,4,FALSE)</f>
        <v>2794.7007565195777</v>
      </c>
      <c r="Y321" s="4">
        <f>IF(V321=W309,W324,IF(V321=Y309,Y324,X321))</f>
        <v>2804.0688404357547</v>
      </c>
      <c r="AB321" s="4">
        <f>IF(V321=Z309,Z324,IF(V321=AB309,AB324,Y321))</f>
        <v>2804.0688404357547</v>
      </c>
      <c r="AE321" s="4">
        <f>IF(V321=AC309,AC324,IF(V321=AE309,AE324,AB321))</f>
        <v>2819.9862070432982</v>
      </c>
      <c r="AT321" s="4" t="str">
        <f>W318</f>
        <v>Hurricane VBC 17 Typhoon</v>
      </c>
      <c r="AU321" s="4">
        <f>AE318</f>
        <v>2845.3373726293012</v>
      </c>
      <c r="AW321" s="154"/>
      <c r="AX321" s="70"/>
      <c r="AY321" s="70"/>
      <c r="AZ321" s="70"/>
      <c r="BA321" s="70"/>
      <c r="BB321" s="154"/>
      <c r="BC321" s="70"/>
      <c r="BD321" s="70"/>
      <c r="BE321" s="154"/>
      <c r="BF321" s="70"/>
      <c r="BG321" s="70"/>
      <c r="BH321" s="154"/>
      <c r="BI321" s="70"/>
      <c r="BJ321" s="70"/>
      <c r="BK321" s="154"/>
      <c r="BL321" s="70"/>
      <c r="BM321" s="70"/>
      <c r="BN321" s="154"/>
      <c r="BO321" s="70"/>
      <c r="BP321" s="70"/>
      <c r="BQ321" s="154"/>
      <c r="BR321" s="70"/>
      <c r="BS321" s="70"/>
    </row>
    <row r="322" spans="1:71" hidden="1" x14ac:dyDescent="0.2">
      <c r="A322" s="4" t="s">
        <v>110</v>
      </c>
      <c r="B322" s="4">
        <f>VLOOKUP(B309,$A318:$J321,3,FALSE)</f>
        <v>2851.7523628360227</v>
      </c>
      <c r="D322" s="4">
        <f>VLOOKUP(D309,$A318:$J321,3,FALSE)</f>
        <v>2679.1000622805209</v>
      </c>
      <c r="E322" s="4">
        <f>VLOOKUP(E309,$A318:$J321,4,FALSE)</f>
        <v>2869.8877237739443</v>
      </c>
      <c r="G322" s="4">
        <f>VLOOKUP(G309,$A318:$J321,4,FALSE)</f>
        <v>2697.1478179971455</v>
      </c>
      <c r="H322" s="4">
        <f>VLOOKUP(H309,$A318:$J321,7,FALSE)</f>
        <v>2856.0747475024796</v>
      </c>
      <c r="J322" s="4">
        <f>VLOOKUP(J309,$A318:$J321,7,FALSE)</f>
        <v>2874.208517723343</v>
      </c>
      <c r="T322" s="171" t="s">
        <v>110</v>
      </c>
      <c r="U322" s="171"/>
      <c r="V322" s="171"/>
      <c r="W322" s="4">
        <f>VLOOKUP(W309,$V318:$AE321,3,FALSE)</f>
        <v>2854.7054565454782</v>
      </c>
      <c r="Y322" s="4">
        <f>VLOOKUP(Y309,$V318:$AE321,3,FALSE)</f>
        <v>2794.7007565195777</v>
      </c>
      <c r="Z322" s="4">
        <f>VLOOKUP(Z309,$V318:$AE321,4,FALSE)</f>
        <v>2797.1956520699605</v>
      </c>
      <c r="AB322" s="4">
        <f>VLOOKUP(AB309,$V318:$AE321,4,FALSE)</f>
        <v>2664.1925081847262</v>
      </c>
      <c r="AC322" s="4">
        <f>VLOOKUP(AC309,$V318:$AE321,7,FALSE)</f>
        <v>2804.0688404357547</v>
      </c>
      <c r="AE322" s="4">
        <f>VLOOKUP(AE309,$V318:$AE321,7,FALSE)</f>
        <v>2802.274463163621</v>
      </c>
      <c r="AT322" s="4" t="str">
        <f>W319</f>
        <v>CSRA Heat 17 National</v>
      </c>
      <c r="AU322" s="4">
        <f>AE319</f>
        <v>2786.3570965560775</v>
      </c>
      <c r="AW322" s="154"/>
      <c r="AX322" s="70"/>
      <c r="AY322" s="70"/>
      <c r="AZ322" s="70"/>
      <c r="BA322" s="70"/>
      <c r="BB322" s="154"/>
      <c r="BC322" s="70"/>
      <c r="BD322" s="70"/>
      <c r="BE322" s="154"/>
      <c r="BF322" s="70"/>
      <c r="BG322" s="70"/>
      <c r="BH322" s="154"/>
      <c r="BI322" s="70"/>
      <c r="BJ322" s="70"/>
      <c r="BK322" s="154"/>
      <c r="BL322" s="70"/>
      <c r="BM322" s="70"/>
      <c r="BN322" s="154"/>
      <c r="BO322" s="70"/>
      <c r="BP322" s="70"/>
      <c r="BQ322" s="154"/>
      <c r="BR322" s="70"/>
      <c r="BS322" s="70"/>
    </row>
    <row r="323" spans="1:71" hidden="1" x14ac:dyDescent="0.2">
      <c r="A323" s="84" t="s">
        <v>111</v>
      </c>
      <c r="B323" s="84">
        <f>1/(1+(10^-((B322-D322)/400)))*(B313+D313)</f>
        <v>0.72985095834644442</v>
      </c>
      <c r="C323" s="84"/>
      <c r="D323" s="84">
        <f>1/(1+(10^-((D322-B322)/400)))*(B313+D313)</f>
        <v>0.27014904165355547</v>
      </c>
      <c r="E323" s="84">
        <f>1/(1+(10^-((E322-G322)/400)))*(E313+G313)</f>
        <v>0.72995037816257147</v>
      </c>
      <c r="G323" s="84">
        <f>1/(1+(10^-((G322-E322)/400)))*(E313+G313)</f>
        <v>0.27004962183742848</v>
      </c>
      <c r="H323" s="84">
        <f>1/(1+(10^-((H322-J322)/400)))*(H313+J313)</f>
        <v>0.94785415582840438</v>
      </c>
      <c r="J323" s="84">
        <f>1/(1+(10^-((J322-H322)/400)))*(H313+J313)</f>
        <v>1.0521458441715958</v>
      </c>
      <c r="T323" s="172" t="s">
        <v>111</v>
      </c>
      <c r="U323" s="172"/>
      <c r="V323" s="172"/>
      <c r="W323" s="84">
        <f>1/(1+(10^-((W322-Y322)/400)))*(W313+Y313)</f>
        <v>0.58550524476107413</v>
      </c>
      <c r="X323" s="84"/>
      <c r="Y323" s="84">
        <f>1/(1+(10^-((Y322-W322)/400)))*(W313+Y313)</f>
        <v>0.41449475523892587</v>
      </c>
      <c r="Z323" s="84">
        <f>1/(1+(10^-((Z322-AB322)/400)))*(Z313+AB313)</f>
        <v>0.68257430664620333</v>
      </c>
      <c r="AB323" s="84">
        <f>1/(1+(10^-((AB322-Z322)/400)))*(Z313+AB313)</f>
        <v>0.31742569335379667</v>
      </c>
      <c r="AC323" s="84">
        <f>1/(1+(10^-((AC322-AE322)/400)))*(AC313+AE313)</f>
        <v>1.0051645870285202</v>
      </c>
      <c r="AE323" s="84">
        <f>1/(1+(10^-((AE322-AC322)/400)))*(AC313+AE313)</f>
        <v>0.99483541297147993</v>
      </c>
      <c r="AT323" s="4" t="str">
        <f>W320</f>
        <v>Lake Murray 17 Red</v>
      </c>
      <c r="AU323" s="4">
        <f>AE320</f>
        <v>2659.1136970910657</v>
      </c>
      <c r="AW323" s="154"/>
      <c r="AX323" s="70"/>
      <c r="AY323" s="70"/>
      <c r="AZ323" s="70"/>
      <c r="BA323" s="70"/>
      <c r="BB323" s="154"/>
      <c r="BC323" s="70"/>
      <c r="BD323" s="70"/>
      <c r="BE323" s="154"/>
      <c r="BF323" s="70"/>
      <c r="BG323" s="70"/>
      <c r="BH323" s="154"/>
      <c r="BI323" s="70"/>
      <c r="BJ323" s="70"/>
      <c r="BK323" s="154"/>
      <c r="BL323" s="70"/>
      <c r="BM323" s="70"/>
      <c r="BN323" s="154"/>
      <c r="BO323" s="70"/>
      <c r="BP323" s="70"/>
      <c r="BQ323" s="154"/>
      <c r="BR323" s="70"/>
      <c r="BS323" s="70"/>
    </row>
    <row r="324" spans="1:71" hidden="1" x14ac:dyDescent="0.2">
      <c r="A324" s="90" t="s">
        <v>112</v>
      </c>
      <c r="B324" s="90">
        <f>B322+(B313-B323)*$BA$2</f>
        <v>2856.0747475024796</v>
      </c>
      <c r="C324" s="90"/>
      <c r="D324" s="90">
        <f>D322+(D313-D323)*$BA$2</f>
        <v>2674.777677614064</v>
      </c>
      <c r="E324" s="90">
        <f>E322+(E313-E323)*$BA$2</f>
        <v>2874.208517723343</v>
      </c>
      <c r="G324" s="90">
        <f>G322+(G313-G323)*$BA$2</f>
        <v>2692.8270240477468</v>
      </c>
      <c r="H324" s="90">
        <f>H322+(H313-H323)*$BA$2</f>
        <v>2840.9090810092252</v>
      </c>
      <c r="J324" s="90">
        <f>J322+(J313-J323)*$BA$2</f>
        <v>2889.3741842165973</v>
      </c>
      <c r="T324" s="158" t="s">
        <v>112</v>
      </c>
      <c r="U324" s="158"/>
      <c r="V324" s="158"/>
      <c r="W324" s="90">
        <f>W322+(W313-W323)*$BA$2</f>
        <v>2845.3373726293012</v>
      </c>
      <c r="X324" s="90"/>
      <c r="Y324" s="90">
        <f>Y322+(Y313-Y323)*$BA$2</f>
        <v>2804.0688404357547</v>
      </c>
      <c r="Z324" s="90">
        <f>Z322+(Z313-Z323)*$BA$2</f>
        <v>2802.274463163621</v>
      </c>
      <c r="AB324" s="90">
        <f>AB322+(AB313-AB323)*$BA$2</f>
        <v>2659.1136970910657</v>
      </c>
      <c r="AC324" s="90">
        <f>AC322+(AC313-AC323)*$BA$2</f>
        <v>2819.9862070432982</v>
      </c>
      <c r="AE324" s="90">
        <f>AE322+(AE313-AE323)*$BA$2</f>
        <v>2786.3570965560775</v>
      </c>
      <c r="AT324" s="4" t="str">
        <f>W321</f>
        <v>METRO-ATL 17 BLACK</v>
      </c>
      <c r="AU324" s="4">
        <f>AE321</f>
        <v>2819.9862070432982</v>
      </c>
      <c r="AW324" s="154"/>
      <c r="AX324" s="70"/>
      <c r="AY324" s="70"/>
      <c r="AZ324" s="70"/>
      <c r="BA324" s="70"/>
      <c r="BB324" s="154"/>
      <c r="BC324" s="70"/>
      <c r="BD324" s="70"/>
      <c r="BE324" s="154"/>
      <c r="BF324" s="70"/>
      <c r="BG324" s="70"/>
      <c r="BH324" s="154"/>
      <c r="BI324" s="70"/>
      <c r="BJ324" s="70"/>
      <c r="BK324" s="154"/>
      <c r="BL324" s="70"/>
      <c r="BM324" s="70"/>
      <c r="BN324" s="154"/>
      <c r="BO324" s="70"/>
      <c r="BP324" s="70"/>
      <c r="BQ324" s="154"/>
      <c r="BR324" s="70"/>
      <c r="BS324" s="70"/>
    </row>
    <row r="325" spans="1:71" x14ac:dyDescent="0.2">
      <c r="A325" s="159" t="s">
        <v>163</v>
      </c>
      <c r="B325" s="159"/>
      <c r="C325" s="159"/>
      <c r="D325" s="159"/>
      <c r="E325" s="159"/>
      <c r="F325" s="159"/>
      <c r="G325" s="159"/>
      <c r="H325" s="159"/>
      <c r="I325" s="159"/>
      <c r="J325" s="159"/>
      <c r="K325" s="159"/>
      <c r="L325" s="159"/>
      <c r="M325" s="159"/>
      <c r="R325" s="127"/>
      <c r="S325" s="127"/>
      <c r="T325" s="147"/>
      <c r="U325" s="147"/>
      <c r="V325" s="159" t="s">
        <v>163</v>
      </c>
      <c r="W325" s="159"/>
      <c r="X325" s="159"/>
      <c r="Y325" s="159"/>
      <c r="Z325" s="159"/>
      <c r="AA325" s="159"/>
      <c r="AB325" s="159"/>
      <c r="AC325" s="159"/>
      <c r="AD325" s="159"/>
      <c r="AE325" s="159"/>
      <c r="AF325" s="159"/>
      <c r="AG325" s="159"/>
      <c r="AH325" s="127"/>
      <c r="AI325" s="127"/>
      <c r="AJ325" s="127"/>
      <c r="AW325" s="154"/>
      <c r="AX325" s="70"/>
      <c r="AY325" s="70"/>
      <c r="AZ325" s="70"/>
      <c r="BA325" s="70"/>
    </row>
    <row r="326" spans="1:71" x14ac:dyDescent="0.2">
      <c r="AT326" s="70"/>
      <c r="AU326" s="70"/>
      <c r="AV326" s="70"/>
      <c r="AW326" s="154"/>
      <c r="AX326" s="70"/>
      <c r="AY326" s="70"/>
      <c r="AZ326" s="70"/>
      <c r="BA326" s="70"/>
    </row>
    <row r="327" spans="1:71" x14ac:dyDescent="0.2">
      <c r="A327" s="259" t="s">
        <v>218</v>
      </c>
      <c r="B327" s="259"/>
      <c r="C327" s="259"/>
      <c r="D327" s="259"/>
      <c r="E327" s="259"/>
      <c r="F327" s="259"/>
      <c r="G327" s="259"/>
      <c r="H327" s="259"/>
      <c r="I327" s="259"/>
      <c r="J327" s="259"/>
      <c r="K327" s="259"/>
      <c r="L327" s="259"/>
      <c r="M327" s="259"/>
      <c r="N327" s="259"/>
      <c r="O327" s="259"/>
      <c r="P327" s="259"/>
      <c r="Q327" s="156"/>
      <c r="S327" s="463"/>
      <c r="T327" s="463"/>
      <c r="U327" s="463"/>
      <c r="V327" s="463"/>
      <c r="W327" s="463"/>
      <c r="X327" s="463"/>
      <c r="Y327" s="463"/>
      <c r="Z327" s="463"/>
      <c r="AA327" s="463"/>
      <c r="AB327" s="463"/>
      <c r="AC327" s="463"/>
      <c r="AD327" s="463"/>
      <c r="AE327" s="463"/>
      <c r="AF327" s="463"/>
      <c r="AG327" s="463"/>
      <c r="AH327" s="127"/>
      <c r="AI327" s="127"/>
      <c r="AJ327" s="127"/>
      <c r="AK327" s="127"/>
      <c r="AL327" s="127"/>
      <c r="AM327" s="127"/>
      <c r="AT327" s="70"/>
      <c r="AU327" s="70"/>
      <c r="AV327" s="70"/>
      <c r="AW327" s="154"/>
      <c r="AX327" s="70"/>
      <c r="AY327" s="70"/>
      <c r="AZ327" s="70"/>
      <c r="BA327" s="70"/>
    </row>
    <row r="328" spans="1:71" x14ac:dyDescent="0.2">
      <c r="S328" s="127"/>
      <c r="T328" s="127"/>
      <c r="U328" s="127"/>
      <c r="V328" s="127"/>
      <c r="W328" s="127"/>
      <c r="X328" s="127"/>
      <c r="Y328" s="127"/>
      <c r="Z328" s="127"/>
      <c r="AA328" s="127"/>
      <c r="AB328" s="127"/>
      <c r="AC328" s="127"/>
      <c r="AD328" s="127"/>
      <c r="AE328" s="127"/>
      <c r="AF328" s="127"/>
      <c r="AG328" s="127"/>
      <c r="AH328" s="127"/>
      <c r="AI328" s="127"/>
      <c r="AJ328" s="127"/>
      <c r="AK328" s="127"/>
      <c r="AL328" s="127"/>
      <c r="AM328" s="127"/>
      <c r="AT328" s="70"/>
      <c r="AU328" s="70"/>
      <c r="AV328" s="70"/>
      <c r="AW328" s="154"/>
      <c r="AX328" s="70"/>
      <c r="AY328" s="70"/>
      <c r="AZ328" s="70"/>
      <c r="BA328" s="70"/>
    </row>
    <row r="329" spans="1:71" ht="13.5" thickBot="1" x14ac:dyDescent="0.25">
      <c r="A329" s="225" t="str">
        <f>IF(B357=1,B349,IF(B357=2,B350,IF(B357=3,B351,IF(B357=4,B352,IF(OR(B357="B",B357="b"),"BYE","invalid")))))</f>
        <v>MOTO 17 IGNITE</v>
      </c>
      <c r="B329" s="225"/>
      <c r="C329" s="225"/>
      <c r="D329" s="225"/>
      <c r="E329" s="225"/>
      <c r="F329" s="103"/>
      <c r="G329" s="103"/>
      <c r="H329" s="103"/>
      <c r="I329" s="103"/>
      <c r="J329" s="103"/>
      <c r="K329" s="103"/>
      <c r="L329" s="103"/>
      <c r="M329" s="103"/>
      <c r="N329" s="103"/>
      <c r="O329" s="103"/>
      <c r="S329" s="127"/>
      <c r="T329" s="153"/>
      <c r="U329" s="153"/>
      <c r="V329" s="147"/>
      <c r="W329" s="147"/>
      <c r="X329" s="147"/>
      <c r="Y329" s="147"/>
      <c r="Z329" s="147"/>
      <c r="AA329" s="147"/>
      <c r="AB329" s="147"/>
      <c r="AC329" s="127"/>
      <c r="AD329" s="127"/>
      <c r="AE329" s="127"/>
      <c r="AF329" s="127"/>
      <c r="AG329" s="127"/>
      <c r="AH329" s="127"/>
      <c r="AI329" s="127"/>
      <c r="AJ329" s="127"/>
      <c r="AK329" s="127"/>
      <c r="AL329" s="127"/>
      <c r="AM329" s="127"/>
      <c r="AT329" s="70"/>
      <c r="AU329" s="70"/>
      <c r="AV329" s="70"/>
      <c r="AW329" s="154"/>
      <c r="AX329" s="70"/>
      <c r="AY329" s="70"/>
      <c r="AZ329" s="70"/>
      <c r="BA329" s="70"/>
    </row>
    <row r="330" spans="1:71" x14ac:dyDescent="0.2">
      <c r="A330" s="227" t="s">
        <v>1064</v>
      </c>
      <c r="B330" s="227"/>
      <c r="C330" s="227"/>
      <c r="D330" s="227"/>
      <c r="E330" s="227"/>
      <c r="F330" s="105"/>
      <c r="G330" s="103"/>
      <c r="H330" s="103"/>
      <c r="I330" s="103"/>
      <c r="J330" s="103"/>
      <c r="K330" s="103"/>
      <c r="L330" s="103"/>
      <c r="M330" s="103"/>
      <c r="N330" s="103"/>
      <c r="O330" s="103"/>
      <c r="S330" s="127"/>
      <c r="T330" s="464"/>
      <c r="U330" s="464"/>
      <c r="V330" s="465"/>
      <c r="W330" s="465"/>
      <c r="X330" s="465"/>
      <c r="Y330" s="465"/>
      <c r="Z330" s="465"/>
      <c r="AA330" s="465"/>
      <c r="AB330" s="465"/>
      <c r="AC330" s="127"/>
      <c r="AD330" s="127"/>
      <c r="AE330" s="127"/>
      <c r="AF330" s="127"/>
      <c r="AG330" s="127"/>
      <c r="AH330" s="127"/>
      <c r="AI330" s="127"/>
      <c r="AJ330" s="127"/>
      <c r="AK330" s="127"/>
      <c r="AL330" s="127"/>
      <c r="AM330" s="127"/>
      <c r="AT330" s="70"/>
      <c r="AU330" s="70"/>
      <c r="AV330" s="70"/>
      <c r="AW330" s="154"/>
      <c r="AX330" s="70"/>
      <c r="AY330" s="70"/>
      <c r="AZ330" s="70"/>
      <c r="BA330" s="70"/>
    </row>
    <row r="331" spans="1:71" x14ac:dyDescent="0.2">
      <c r="A331" s="103"/>
      <c r="B331" s="103"/>
      <c r="C331" s="555"/>
      <c r="D331" s="103"/>
      <c r="E331" s="103"/>
      <c r="F331" s="105"/>
      <c r="G331" s="103"/>
      <c r="H331" s="103"/>
      <c r="I331" s="103"/>
      <c r="J331" s="103"/>
      <c r="K331" s="103"/>
      <c r="L331" s="103"/>
      <c r="M331" s="103"/>
      <c r="N331" s="103"/>
      <c r="O331" s="103"/>
      <c r="S331" s="127"/>
      <c r="T331" s="127"/>
      <c r="U331" s="127"/>
      <c r="V331" s="127"/>
      <c r="W331" s="127"/>
      <c r="X331" s="127"/>
      <c r="Y331" s="127"/>
      <c r="Z331" s="127"/>
      <c r="AA331" s="127"/>
      <c r="AB331" s="127"/>
      <c r="AC331" s="127"/>
      <c r="AD331" s="127"/>
      <c r="AE331" s="127"/>
      <c r="AF331" s="127"/>
      <c r="AG331" s="127"/>
      <c r="AH331" s="127"/>
      <c r="AI331" s="127"/>
      <c r="AJ331" s="127"/>
      <c r="AK331" s="127"/>
      <c r="AL331" s="127"/>
      <c r="AM331" s="127"/>
      <c r="AT331" s="70"/>
      <c r="AU331" s="70"/>
      <c r="AV331" s="70"/>
      <c r="AW331" s="154"/>
      <c r="AX331" s="70"/>
      <c r="AY331" s="70"/>
      <c r="AZ331" s="70"/>
      <c r="BA331" s="70"/>
    </row>
    <row r="332" spans="1:71" ht="13.5" thickBot="1" x14ac:dyDescent="0.25">
      <c r="A332" s="228" t="str">
        <f>B351&amp;" ref"</f>
        <v>Intense 17 Perf RH ref</v>
      </c>
      <c r="B332" s="228"/>
      <c r="C332" s="228"/>
      <c r="D332" s="228"/>
      <c r="E332" s="242"/>
      <c r="F332" s="237" t="str">
        <f>IF(H357=1,B349,IF(H357=2,B350,IF(H357=3,B351,IF(H357=4,B352,"Winner Match 1"))))</f>
        <v>MOTO 17 IGNITE</v>
      </c>
      <c r="G332" s="238"/>
      <c r="H332" s="238"/>
      <c r="I332" s="238"/>
      <c r="J332" s="238"/>
      <c r="K332" s="238"/>
      <c r="L332" s="238"/>
      <c r="M332" s="238"/>
      <c r="N332" s="238"/>
      <c r="O332" s="103"/>
      <c r="Q332" s="108"/>
      <c r="R332" s="108"/>
      <c r="S332" s="463"/>
      <c r="T332" s="463"/>
      <c r="U332" s="463"/>
      <c r="V332" s="463"/>
      <c r="W332" s="463"/>
      <c r="X332" s="463"/>
      <c r="Y332" s="463"/>
      <c r="Z332" s="463"/>
      <c r="AA332" s="463"/>
      <c r="AB332" s="127"/>
      <c r="AC332" s="147"/>
      <c r="AD332" s="147"/>
      <c r="AE332" s="147"/>
      <c r="AF332" s="147"/>
      <c r="AG332" s="147"/>
      <c r="AH332" s="147"/>
      <c r="AI332" s="147"/>
      <c r="AJ332" s="127"/>
      <c r="AK332" s="127"/>
      <c r="AL332" s="127"/>
      <c r="AM332" s="127"/>
      <c r="AT332" s="70"/>
      <c r="AU332" s="70"/>
      <c r="AV332" s="70"/>
    </row>
    <row r="333" spans="1:71" x14ac:dyDescent="0.2">
      <c r="A333" s="239" t="s">
        <v>222</v>
      </c>
      <c r="B333" s="239"/>
      <c r="C333" s="239"/>
      <c r="D333" s="239"/>
      <c r="E333" s="239"/>
      <c r="F333" s="251"/>
      <c r="G333" s="252"/>
      <c r="H333" s="252"/>
      <c r="I333" s="253"/>
      <c r="J333" s="233"/>
      <c r="K333" s="234"/>
      <c r="L333" s="234"/>
      <c r="M333" s="234"/>
      <c r="N333" s="234"/>
      <c r="O333" s="103"/>
      <c r="P333" s="103"/>
      <c r="Q333" s="114"/>
      <c r="R333" s="7"/>
      <c r="S333" s="471"/>
      <c r="T333" s="471"/>
      <c r="U333" s="472"/>
      <c r="V333" s="472"/>
      <c r="W333" s="472"/>
      <c r="X333" s="472"/>
      <c r="Y333" s="472"/>
      <c r="Z333" s="472"/>
      <c r="AA333" s="472"/>
      <c r="AB333" s="127"/>
      <c r="AC333" s="463"/>
      <c r="AD333" s="463"/>
      <c r="AE333" s="463"/>
      <c r="AF333" s="463"/>
      <c r="AG333" s="463"/>
      <c r="AH333" s="463"/>
      <c r="AI333" s="463"/>
      <c r="AJ333" s="127"/>
      <c r="AK333" s="127"/>
      <c r="AL333" s="127"/>
      <c r="AM333" s="127"/>
      <c r="AT333" s="70"/>
      <c r="AU333" s="70"/>
      <c r="AV333" s="70"/>
      <c r="AW333" s="81"/>
      <c r="AX333" s="77"/>
      <c r="AY333" s="77"/>
      <c r="AZ333" s="77"/>
      <c r="BA333" s="77"/>
    </row>
    <row r="334" spans="1:71" ht="13.5" thickBot="1" x14ac:dyDescent="0.25">
      <c r="A334" s="225" t="str">
        <f>IF(D357=1,B349,IF(D357=2,B350,IF(D357=3,B351,IF(D357=4,B352,IF(OR(D357="B",D357="b"),"BYE","invalid")))))</f>
        <v>Crossfire 17 Power</v>
      </c>
      <c r="B334" s="225"/>
      <c r="C334" s="225"/>
      <c r="D334" s="225"/>
      <c r="E334" s="226"/>
      <c r="F334" s="105"/>
      <c r="G334" s="103"/>
      <c r="H334" s="103"/>
      <c r="I334" s="103"/>
      <c r="J334" s="105"/>
      <c r="K334" s="103"/>
      <c r="L334" s="103"/>
      <c r="M334" s="103"/>
      <c r="N334" s="103"/>
      <c r="O334" s="103"/>
      <c r="P334" s="103"/>
      <c r="Q334" s="103"/>
      <c r="S334" s="127"/>
      <c r="T334" s="127"/>
      <c r="U334" s="127"/>
      <c r="V334" s="147"/>
      <c r="W334" s="147"/>
      <c r="X334" s="147"/>
      <c r="Y334" s="147"/>
      <c r="Z334" s="147"/>
      <c r="AA334" s="147"/>
      <c r="AB334" s="147"/>
      <c r="AC334" s="127"/>
      <c r="AD334" s="127"/>
      <c r="AE334" s="127"/>
      <c r="AF334" s="127"/>
      <c r="AG334" s="127"/>
      <c r="AH334" s="127"/>
      <c r="AI334" s="127"/>
      <c r="AJ334" s="127"/>
      <c r="AK334" s="127"/>
      <c r="AL334" s="127"/>
      <c r="AM334" s="127"/>
      <c r="AT334" s="70"/>
      <c r="AU334" s="70"/>
      <c r="AV334" s="70"/>
      <c r="AW334" s="81"/>
      <c r="AX334" s="77"/>
      <c r="AY334" s="77"/>
      <c r="AZ334" s="77"/>
      <c r="BA334" s="77"/>
    </row>
    <row r="335" spans="1:71" x14ac:dyDescent="0.2">
      <c r="A335" s="227" t="s">
        <v>233</v>
      </c>
      <c r="B335" s="227"/>
      <c r="C335" s="227"/>
      <c r="D335" s="227"/>
      <c r="E335" s="227"/>
      <c r="F335" s="103"/>
      <c r="G335" s="103"/>
      <c r="H335" s="103"/>
      <c r="I335" s="103"/>
      <c r="J335" s="105"/>
      <c r="K335" s="103"/>
      <c r="L335" s="103"/>
      <c r="M335" s="103"/>
      <c r="N335" s="103"/>
      <c r="O335" s="103"/>
      <c r="P335" s="103"/>
      <c r="Q335" s="103"/>
      <c r="S335" s="127"/>
      <c r="T335" s="127"/>
      <c r="U335" s="127"/>
      <c r="V335" s="465"/>
      <c r="W335" s="465"/>
      <c r="X335" s="465"/>
      <c r="Y335" s="465"/>
      <c r="Z335" s="465"/>
      <c r="AA335" s="465"/>
      <c r="AB335" s="465"/>
      <c r="AC335" s="127"/>
      <c r="AD335" s="127"/>
      <c r="AE335" s="127"/>
      <c r="AF335" s="127"/>
      <c r="AG335" s="127"/>
      <c r="AH335" s="127"/>
      <c r="AI335" s="127"/>
      <c r="AJ335" s="127"/>
      <c r="AK335" s="127"/>
      <c r="AL335" s="127"/>
      <c r="AM335" s="127"/>
      <c r="AR335" s="116"/>
      <c r="AS335" s="116"/>
      <c r="AT335" s="70"/>
      <c r="AU335" s="70"/>
      <c r="AV335" s="70"/>
      <c r="AW335" s="81"/>
      <c r="AX335" s="77"/>
      <c r="AY335" s="77"/>
      <c r="AZ335" s="77"/>
      <c r="BA335" s="77"/>
      <c r="BB335" s="116"/>
      <c r="BC335" s="116"/>
      <c r="BD335" s="116"/>
    </row>
    <row r="336" spans="1:71" x14ac:dyDescent="0.2">
      <c r="A336" s="103"/>
      <c r="B336" s="103"/>
      <c r="C336" s="103"/>
      <c r="D336" s="103"/>
      <c r="E336" s="103"/>
      <c r="F336" s="241" t="s">
        <v>135</v>
      </c>
      <c r="G336" s="241"/>
      <c r="H336" s="241"/>
      <c r="I336" s="250"/>
      <c r="J336" s="105"/>
      <c r="K336" s="103"/>
      <c r="L336" s="103"/>
      <c r="M336" s="103"/>
      <c r="N336" s="103"/>
      <c r="O336" s="103"/>
      <c r="P336" s="103"/>
      <c r="Q336" s="103"/>
      <c r="S336" s="127"/>
      <c r="T336" s="127"/>
      <c r="U336" s="127"/>
      <c r="V336" s="127"/>
      <c r="W336" s="127"/>
      <c r="X336" s="463"/>
      <c r="Y336" s="463"/>
      <c r="Z336" s="463"/>
      <c r="AA336" s="127"/>
      <c r="AB336" s="463"/>
      <c r="AC336" s="463"/>
      <c r="AD336" s="463"/>
      <c r="AE336" s="463"/>
      <c r="AF336" s="463"/>
      <c r="AG336" s="127"/>
      <c r="AH336" s="127"/>
      <c r="AI336" s="127"/>
      <c r="AJ336" s="127"/>
      <c r="AK336" s="127"/>
      <c r="AL336" s="127"/>
      <c r="AM336" s="127"/>
      <c r="AT336" s="70"/>
      <c r="AU336" s="70"/>
      <c r="AV336" s="70"/>
      <c r="AW336" s="81"/>
      <c r="AX336" s="77"/>
      <c r="AY336" s="77"/>
      <c r="AZ336" s="77"/>
      <c r="BA336" s="77"/>
    </row>
    <row r="337" spans="1:53" ht="13.5" thickBot="1" x14ac:dyDescent="0.25">
      <c r="A337" s="103"/>
      <c r="B337" s="103"/>
      <c r="C337" s="103"/>
      <c r="D337" s="103"/>
      <c r="E337" s="103"/>
      <c r="F337" s="103"/>
      <c r="G337" s="103"/>
      <c r="H337" s="103"/>
      <c r="I337" s="103"/>
      <c r="J337" s="244" t="str">
        <f>IF(K362=1,B349,IF(K362=2,B350,IF(K362=3,B351,IF(K362=4,B352,"Division Winner"))))</f>
        <v>METRO-ATL 16 BLACK</v>
      </c>
      <c r="K337" s="245"/>
      <c r="L337" s="245"/>
      <c r="M337" s="245"/>
      <c r="N337" s="245"/>
      <c r="O337" s="245"/>
      <c r="P337" s="245"/>
      <c r="Q337" s="245"/>
      <c r="R337" s="157"/>
      <c r="S337" s="127"/>
      <c r="T337" s="127"/>
      <c r="U337" s="127"/>
      <c r="V337" s="127"/>
      <c r="W337" s="127"/>
      <c r="X337" s="127"/>
      <c r="Y337" s="127"/>
      <c r="Z337" s="127"/>
      <c r="AA337" s="127"/>
      <c r="AB337" s="147"/>
      <c r="AC337" s="147"/>
      <c r="AD337" s="147"/>
      <c r="AE337" s="147"/>
      <c r="AF337" s="147"/>
      <c r="AG337" s="473"/>
      <c r="AH337" s="473"/>
      <c r="AI337" s="473"/>
      <c r="AJ337" s="473"/>
      <c r="AK337" s="473"/>
      <c r="AL337" s="147"/>
      <c r="AM337" s="127"/>
      <c r="AT337" s="70"/>
      <c r="AU337" s="70"/>
      <c r="AV337" s="70"/>
      <c r="AW337" s="81"/>
      <c r="AX337" s="77"/>
      <c r="AY337" s="77"/>
      <c r="AZ337" s="77"/>
      <c r="BA337" s="77"/>
    </row>
    <row r="338" spans="1:53" ht="13.5" thickBot="1" x14ac:dyDescent="0.25">
      <c r="A338" s="225" t="str">
        <f>IF(E357=1,B349,IF(E357=2,B350,IF(E357=3,B351,IF(E357=4,B352,IF(OR(E357="B",E357="b"),"BYE","invalid")))))</f>
        <v>METRO-ATL 16 BLACK</v>
      </c>
      <c r="B338" s="225"/>
      <c r="C338" s="225"/>
      <c r="D338" s="225"/>
      <c r="E338" s="225"/>
      <c r="F338" s="239" t="s">
        <v>226</v>
      </c>
      <c r="G338" s="239"/>
      <c r="H338" s="239"/>
      <c r="I338" s="239"/>
      <c r="J338" s="240" t="s">
        <v>227</v>
      </c>
      <c r="K338" s="241"/>
      <c r="L338" s="241"/>
      <c r="M338" s="241"/>
      <c r="N338" s="241"/>
      <c r="O338" s="241"/>
      <c r="P338" s="241"/>
      <c r="Q338" s="241"/>
      <c r="S338" s="147"/>
      <c r="T338" s="147"/>
      <c r="U338" s="147"/>
      <c r="V338" s="147"/>
      <c r="W338" s="147"/>
      <c r="X338" s="147"/>
      <c r="Y338" s="147"/>
      <c r="Z338" s="147"/>
      <c r="AA338" s="147"/>
      <c r="AB338" s="147"/>
      <c r="AC338" s="471"/>
      <c r="AD338" s="471"/>
      <c r="AE338" s="471"/>
      <c r="AF338" s="471"/>
      <c r="AG338" s="463"/>
      <c r="AH338" s="463"/>
      <c r="AI338" s="463"/>
      <c r="AJ338" s="463"/>
      <c r="AK338" s="463"/>
      <c r="AL338" s="127"/>
      <c r="AM338" s="127"/>
      <c r="AT338" s="70"/>
      <c r="AU338" s="70"/>
      <c r="AV338" s="70"/>
      <c r="AW338" s="81"/>
      <c r="AX338" s="77"/>
      <c r="AY338" s="77"/>
      <c r="AZ338" s="77"/>
      <c r="BA338" s="77"/>
    </row>
    <row r="339" spans="1:53" x14ac:dyDescent="0.2">
      <c r="A339" s="227" t="s">
        <v>221</v>
      </c>
      <c r="B339" s="227"/>
      <c r="C339" s="227"/>
      <c r="D339" s="227"/>
      <c r="E339" s="227"/>
      <c r="F339" s="105"/>
      <c r="G339" s="103"/>
      <c r="H339" s="103"/>
      <c r="I339" s="103"/>
      <c r="J339" s="240"/>
      <c r="K339" s="241"/>
      <c r="L339" s="241"/>
      <c r="M339" s="241"/>
      <c r="N339" s="241"/>
      <c r="O339" s="241"/>
      <c r="P339" s="241"/>
      <c r="Q339" s="241"/>
      <c r="R339" s="103"/>
      <c r="S339" s="465"/>
      <c r="T339" s="465"/>
      <c r="U339" s="465"/>
      <c r="V339" s="465"/>
      <c r="W339" s="465"/>
      <c r="X339" s="465"/>
      <c r="Y339" s="465"/>
      <c r="Z339" s="465"/>
      <c r="AA339" s="465"/>
      <c r="AB339" s="465"/>
      <c r="AC339" s="127"/>
      <c r="AD339" s="127"/>
      <c r="AE339" s="127"/>
      <c r="AF339" s="127"/>
      <c r="AG339" s="127"/>
      <c r="AH339" s="127"/>
      <c r="AI339" s="127"/>
      <c r="AJ339" s="127"/>
      <c r="AK339" s="127"/>
      <c r="AL339" s="127"/>
      <c r="AM339" s="127"/>
      <c r="AT339" s="70"/>
      <c r="AU339" s="70"/>
      <c r="AV339" s="70"/>
      <c r="AW339" s="81"/>
      <c r="AX339" s="77"/>
      <c r="AY339" s="77"/>
      <c r="AZ339" s="77"/>
      <c r="BA339" s="77"/>
    </row>
    <row r="340" spans="1:53" x14ac:dyDescent="0.2">
      <c r="A340" s="103"/>
      <c r="B340" s="103"/>
      <c r="C340" s="103"/>
      <c r="D340" s="103"/>
      <c r="E340" s="103"/>
      <c r="F340" s="105"/>
      <c r="G340" s="103"/>
      <c r="H340" s="103"/>
      <c r="I340" s="103"/>
      <c r="J340" s="105"/>
      <c r="K340" s="103"/>
      <c r="L340" s="103"/>
      <c r="M340" s="103"/>
      <c r="N340" s="103"/>
      <c r="O340" s="103"/>
      <c r="Q340" s="103"/>
      <c r="R340" s="103"/>
      <c r="S340" s="127"/>
      <c r="T340" s="127"/>
      <c r="U340" s="127"/>
      <c r="V340" s="127"/>
      <c r="W340" s="127"/>
      <c r="X340" s="127"/>
      <c r="Y340" s="127"/>
      <c r="Z340" s="127"/>
      <c r="AA340" s="127"/>
      <c r="AB340" s="127"/>
      <c r="AC340" s="127"/>
      <c r="AD340" s="127"/>
      <c r="AE340" s="127"/>
      <c r="AF340" s="127"/>
      <c r="AG340" s="127"/>
      <c r="AH340" s="127"/>
      <c r="AI340" s="127"/>
      <c r="AJ340" s="127"/>
      <c r="AK340" s="127"/>
      <c r="AL340" s="127"/>
      <c r="AM340" s="127"/>
      <c r="AT340" s="70"/>
      <c r="AU340" s="70"/>
      <c r="AV340" s="70"/>
      <c r="AW340" s="81"/>
      <c r="AX340" s="77"/>
      <c r="AY340" s="77"/>
      <c r="AZ340" s="77"/>
      <c r="BA340" s="77"/>
    </row>
    <row r="341" spans="1:53" ht="13.5" thickBot="1" x14ac:dyDescent="0.25">
      <c r="A341" s="241" t="s">
        <v>142</v>
      </c>
      <c r="B341" s="241"/>
      <c r="C341" s="241"/>
      <c r="D341" s="241"/>
      <c r="E341" s="114"/>
      <c r="F341" s="230"/>
      <c r="G341" s="231"/>
      <c r="H341" s="231"/>
      <c r="I341" s="232"/>
      <c r="J341" s="233"/>
      <c r="K341" s="234"/>
      <c r="L341" s="234"/>
      <c r="M341" s="234"/>
      <c r="N341" s="234"/>
      <c r="O341" s="103"/>
      <c r="R341" s="108"/>
      <c r="S341" s="463"/>
      <c r="T341" s="463"/>
      <c r="U341" s="463"/>
      <c r="V341" s="463"/>
      <c r="W341" s="463"/>
      <c r="X341" s="463"/>
      <c r="Y341" s="463"/>
      <c r="Z341" s="463"/>
      <c r="AA341" s="463"/>
      <c r="AB341" s="127"/>
      <c r="AC341" s="463"/>
      <c r="AD341" s="463"/>
      <c r="AE341" s="463"/>
      <c r="AF341" s="463"/>
      <c r="AG341" s="463"/>
      <c r="AH341" s="463"/>
      <c r="AI341" s="463"/>
      <c r="AJ341" s="127"/>
      <c r="AK341" s="127"/>
      <c r="AL341" s="127"/>
      <c r="AM341" s="127"/>
      <c r="AT341" s="70"/>
      <c r="AU341" s="70"/>
      <c r="AV341" s="70"/>
      <c r="AW341" s="88"/>
      <c r="AX341" s="87"/>
      <c r="AY341" s="87"/>
      <c r="AZ341" s="87"/>
      <c r="BA341" s="87"/>
    </row>
    <row r="342" spans="1:53" x14ac:dyDescent="0.2">
      <c r="A342" s="239" t="s">
        <v>222</v>
      </c>
      <c r="B342" s="239"/>
      <c r="C342" s="239"/>
      <c r="D342" s="239"/>
      <c r="E342" s="246"/>
      <c r="F342" s="237" t="str">
        <f>IF(J357=1,B349,IF(J357=2,B350,IF(J357=3,B351,IF(J357=4,B352,"Winner Match 2"))))</f>
        <v>METRO-ATL 16 BLACK</v>
      </c>
      <c r="G342" s="238"/>
      <c r="H342" s="238"/>
      <c r="I342" s="238"/>
      <c r="J342" s="238"/>
      <c r="K342" s="238"/>
      <c r="L342" s="238"/>
      <c r="M342" s="238"/>
      <c r="N342" s="238"/>
      <c r="O342" s="103"/>
      <c r="Q342" s="114"/>
      <c r="R342" s="114"/>
      <c r="S342" s="127"/>
      <c r="T342" s="471"/>
      <c r="U342" s="471"/>
      <c r="V342" s="471"/>
      <c r="W342" s="471"/>
      <c r="X342" s="471"/>
      <c r="Y342" s="471"/>
      <c r="Z342" s="471"/>
      <c r="AA342" s="471"/>
      <c r="AB342" s="127"/>
      <c r="AC342" s="147"/>
      <c r="AD342" s="147"/>
      <c r="AE342" s="147"/>
      <c r="AF342" s="147"/>
      <c r="AG342" s="147"/>
      <c r="AH342" s="147"/>
      <c r="AI342" s="147"/>
      <c r="AJ342" s="127"/>
      <c r="AK342" s="127"/>
      <c r="AL342" s="127"/>
      <c r="AM342" s="127"/>
      <c r="AT342" s="70"/>
      <c r="AU342" s="70"/>
      <c r="AV342" s="70"/>
      <c r="AW342" s="94"/>
      <c r="AX342" s="93"/>
      <c r="AY342" s="93"/>
      <c r="AZ342" s="93"/>
      <c r="BA342" s="93"/>
    </row>
    <row r="343" spans="1:53" ht="13.5" thickBot="1" x14ac:dyDescent="0.25">
      <c r="A343" s="225" t="str">
        <f>IF(G357=1,B349,IF(G357=2,B350,IF(G357=3,B351,IF(G357=4,B352,IF(OR(G357="B",G357="b"),"BYE","invalid")))))</f>
        <v>Intense 17 Perf RH</v>
      </c>
      <c r="B343" s="225"/>
      <c r="C343" s="225"/>
      <c r="D343" s="225"/>
      <c r="E343" s="226"/>
      <c r="F343" s="105"/>
      <c r="G343" s="103"/>
      <c r="H343" s="103"/>
      <c r="I343" s="103"/>
      <c r="J343" s="103"/>
      <c r="K343" s="103"/>
      <c r="L343" s="103"/>
      <c r="M343" s="103"/>
      <c r="N343" s="103"/>
      <c r="O343" s="103"/>
      <c r="Q343" s="103"/>
      <c r="R343" s="103"/>
      <c r="S343" s="127"/>
      <c r="T343" s="147"/>
      <c r="U343" s="147"/>
      <c r="V343" s="147"/>
      <c r="W343" s="147"/>
      <c r="X343" s="147"/>
      <c r="Y343" s="147"/>
      <c r="Z343" s="147"/>
      <c r="AA343" s="147"/>
      <c r="AB343" s="147"/>
      <c r="AC343" s="127"/>
      <c r="AD343" s="127"/>
      <c r="AE343" s="127"/>
      <c r="AF343" s="127"/>
      <c r="AG343" s="127"/>
      <c r="AH343" s="127"/>
      <c r="AI343" s="127"/>
      <c r="AJ343" s="127"/>
      <c r="AK343" s="127"/>
      <c r="AL343" s="127"/>
      <c r="AM343" s="127"/>
      <c r="AT343" s="70"/>
      <c r="AU343" s="70"/>
      <c r="AV343" s="70"/>
      <c r="AW343" s="94"/>
      <c r="AX343" s="93"/>
      <c r="AY343" s="93"/>
      <c r="AZ343" s="93"/>
      <c r="BA343" s="93"/>
    </row>
    <row r="344" spans="1:53" x14ac:dyDescent="0.2">
      <c r="A344" s="227" t="s">
        <v>231</v>
      </c>
      <c r="B344" s="227"/>
      <c r="C344" s="227"/>
      <c r="D344" s="227"/>
      <c r="E344" s="227"/>
      <c r="S344" s="127"/>
      <c r="T344" s="465"/>
      <c r="U344" s="465"/>
      <c r="V344" s="465"/>
      <c r="W344" s="465"/>
      <c r="X344" s="465"/>
      <c r="Y344" s="465"/>
      <c r="Z344" s="465"/>
      <c r="AA344" s="465"/>
      <c r="AB344" s="465"/>
      <c r="AC344" s="127"/>
      <c r="AD344" s="127"/>
      <c r="AE344" s="127"/>
      <c r="AF344" s="127"/>
      <c r="AG344" s="127"/>
      <c r="AH344" s="127"/>
      <c r="AI344" s="127"/>
      <c r="AJ344" s="127"/>
      <c r="AK344" s="127"/>
      <c r="AL344" s="127"/>
      <c r="AM344" s="127"/>
      <c r="AT344" s="70"/>
      <c r="AU344" s="70"/>
      <c r="AV344" s="70"/>
      <c r="AW344" s="81"/>
      <c r="AX344" s="77"/>
      <c r="AY344" s="77"/>
      <c r="AZ344" s="77"/>
      <c r="BA344" s="77"/>
    </row>
    <row r="345" spans="1:53" x14ac:dyDescent="0.2">
      <c r="S345" s="127"/>
      <c r="T345" s="127"/>
      <c r="U345" s="127"/>
      <c r="V345" s="127"/>
      <c r="W345" s="127"/>
      <c r="X345" s="127"/>
      <c r="Y345" s="127"/>
      <c r="Z345" s="127"/>
      <c r="AA345" s="127"/>
      <c r="AB345" s="127"/>
      <c r="AC345" s="127"/>
      <c r="AD345" s="127"/>
      <c r="AE345" s="127"/>
      <c r="AF345" s="127"/>
      <c r="AG345" s="127"/>
      <c r="AH345" s="127"/>
      <c r="AI345" s="127"/>
      <c r="AJ345" s="127"/>
      <c r="AK345" s="127"/>
      <c r="AL345" s="127"/>
      <c r="AM345" s="127"/>
      <c r="AT345" s="70"/>
      <c r="AU345" s="70"/>
      <c r="AV345" s="70"/>
      <c r="AW345" s="81"/>
      <c r="AX345" s="77"/>
      <c r="AY345" s="77"/>
      <c r="AZ345" s="77"/>
      <c r="BA345" s="77"/>
    </row>
    <row r="346" spans="1:53" x14ac:dyDescent="0.2">
      <c r="S346" s="127"/>
      <c r="T346" s="127"/>
      <c r="U346" s="127"/>
      <c r="V346" s="127"/>
      <c r="W346" s="127"/>
      <c r="X346" s="127"/>
      <c r="Y346" s="127"/>
      <c r="Z346" s="127"/>
      <c r="AA346" s="127"/>
      <c r="AB346" s="127"/>
      <c r="AC346" s="127"/>
      <c r="AD346" s="127"/>
      <c r="AE346" s="127"/>
      <c r="AF346" s="127"/>
      <c r="AG346" s="127"/>
      <c r="AH346" s="127"/>
      <c r="AI346" s="127"/>
      <c r="AJ346" s="127"/>
      <c r="AK346" s="127"/>
      <c r="AL346" s="127"/>
      <c r="AM346" s="127"/>
      <c r="AT346" s="70"/>
      <c r="AU346" s="70"/>
      <c r="AV346" s="70"/>
    </row>
    <row r="347" spans="1:53" ht="16.5" thickBot="1" x14ac:dyDescent="0.3">
      <c r="A347" s="229" t="s">
        <v>234</v>
      </c>
      <c r="B347" s="229"/>
      <c r="C347" s="229"/>
      <c r="D347" s="229"/>
      <c r="E347" s="229"/>
      <c r="F347" s="229"/>
      <c r="G347" s="229"/>
      <c r="H347" s="229"/>
      <c r="I347" s="229"/>
      <c r="J347" s="229"/>
      <c r="K347" s="124"/>
      <c r="R347" s="125"/>
      <c r="S347" s="474"/>
      <c r="T347" s="474"/>
      <c r="U347" s="475"/>
      <c r="V347" s="475"/>
      <c r="W347" s="475"/>
      <c r="X347" s="475"/>
      <c r="Y347" s="475"/>
      <c r="Z347" s="475"/>
      <c r="AA347" s="475"/>
      <c r="AB347" s="475"/>
      <c r="AC347" s="475"/>
      <c r="AD347" s="475"/>
      <c r="AE347" s="475"/>
      <c r="AF347" s="475"/>
      <c r="AG347" s="127"/>
      <c r="AH347" s="127"/>
      <c r="AI347" s="127"/>
      <c r="AJ347" s="127"/>
      <c r="AK347" s="127"/>
      <c r="AL347" s="127"/>
      <c r="AM347" s="127"/>
      <c r="AT347" s="70"/>
      <c r="AU347" s="70"/>
      <c r="AV347" s="70"/>
    </row>
    <row r="348" spans="1:53" ht="13.5" thickBot="1" x14ac:dyDescent="0.25">
      <c r="A348" s="126" t="s">
        <v>147</v>
      </c>
      <c r="B348" s="219" t="s">
        <v>148</v>
      </c>
      <c r="C348" s="220"/>
      <c r="D348" s="220"/>
      <c r="E348" s="220"/>
      <c r="F348" s="220"/>
      <c r="G348" s="220"/>
      <c r="H348" s="220"/>
      <c r="I348" s="220"/>
      <c r="J348" s="221"/>
      <c r="K348" s="222" t="s">
        <v>149</v>
      </c>
      <c r="L348" s="223"/>
      <c r="M348" s="223"/>
      <c r="N348" s="223"/>
      <c r="O348" s="223"/>
      <c r="P348" s="223"/>
      <c r="Q348" s="224"/>
      <c r="R348" s="103"/>
      <c r="S348" s="127"/>
      <c r="T348" s="127"/>
      <c r="U348" s="147"/>
      <c r="V348" s="147"/>
      <c r="W348" s="147"/>
      <c r="X348" s="147"/>
      <c r="Y348" s="127"/>
      <c r="Z348" s="127"/>
      <c r="AA348" s="127"/>
      <c r="AB348" s="127"/>
      <c r="AC348" s="127"/>
      <c r="AD348" s="127"/>
      <c r="AE348" s="127"/>
      <c r="AF348" s="127"/>
      <c r="AG348" s="127"/>
      <c r="AH348" s="127"/>
      <c r="AI348" s="127"/>
      <c r="AJ348" s="127"/>
      <c r="AK348" s="127"/>
      <c r="AL348" s="127"/>
      <c r="AM348" s="127"/>
      <c r="AT348" s="70"/>
      <c r="AU348" s="70"/>
      <c r="AV348" s="70"/>
    </row>
    <row r="349" spans="1:53" ht="13.5" thickBot="1" x14ac:dyDescent="0.25">
      <c r="A349" s="126">
        <v>1</v>
      </c>
      <c r="B349" s="201" t="str">
        <f>X271</f>
        <v>MOTO 17 IGNITE</v>
      </c>
      <c r="C349" s="202"/>
      <c r="D349" s="202"/>
      <c r="E349" s="202"/>
      <c r="F349" s="202"/>
      <c r="G349" s="202"/>
      <c r="H349" s="202"/>
      <c r="I349" s="202"/>
      <c r="J349" s="203"/>
      <c r="K349" s="204" t="str">
        <f>AF271</f>
        <v>fj7motoj1pm</v>
      </c>
      <c r="L349" s="205"/>
      <c r="M349" s="205"/>
      <c r="N349" s="205"/>
      <c r="O349" s="205"/>
      <c r="P349" s="205"/>
      <c r="Q349" s="206"/>
      <c r="R349" s="103"/>
      <c r="S349" s="127"/>
      <c r="T349" s="127"/>
      <c r="U349" s="147"/>
      <c r="V349" s="147"/>
      <c r="W349" s="147"/>
      <c r="X349" s="463"/>
      <c r="Y349" s="463"/>
      <c r="Z349" s="463"/>
      <c r="AA349" s="463"/>
      <c r="AB349" s="463"/>
      <c r="AC349" s="463"/>
      <c r="AD349" s="463"/>
      <c r="AE349" s="463"/>
      <c r="AF349" s="463"/>
      <c r="AG349" s="127"/>
      <c r="AH349" s="127"/>
      <c r="AI349" s="127"/>
      <c r="AJ349" s="127"/>
      <c r="AK349" s="127"/>
      <c r="AL349" s="127"/>
      <c r="AM349" s="127"/>
      <c r="AT349" s="70"/>
      <c r="AU349" s="70"/>
      <c r="AV349" s="70"/>
    </row>
    <row r="350" spans="1:53" ht="13.5" thickBot="1" x14ac:dyDescent="0.25">
      <c r="A350" s="126">
        <v>2</v>
      </c>
      <c r="B350" s="201" t="str">
        <f>AH264</f>
        <v>METRO-ATL 16 BLACK</v>
      </c>
      <c r="C350" s="202"/>
      <c r="D350" s="202"/>
      <c r="E350" s="202"/>
      <c r="F350" s="202"/>
      <c r="G350" s="202"/>
      <c r="H350" s="202"/>
      <c r="I350" s="202"/>
      <c r="J350" s="203"/>
      <c r="K350" s="204" t="str">
        <f>AK264</f>
        <v>fj6metro1so</v>
      </c>
      <c r="L350" s="205"/>
      <c r="M350" s="205"/>
      <c r="N350" s="205"/>
      <c r="O350" s="205"/>
      <c r="P350" s="205"/>
      <c r="Q350" s="206"/>
      <c r="R350" s="103"/>
      <c r="S350" s="127"/>
      <c r="T350" s="127"/>
      <c r="U350" s="147"/>
      <c r="V350" s="147"/>
      <c r="W350" s="147"/>
      <c r="X350" s="463"/>
      <c r="Y350" s="463"/>
      <c r="Z350" s="463"/>
      <c r="AA350" s="463"/>
      <c r="AB350" s="463"/>
      <c r="AC350" s="463"/>
      <c r="AD350" s="463"/>
      <c r="AE350" s="463"/>
      <c r="AF350" s="463"/>
      <c r="AG350" s="127"/>
      <c r="AH350" s="127"/>
      <c r="AI350" s="127"/>
      <c r="AJ350" s="127"/>
      <c r="AK350" s="127"/>
      <c r="AL350" s="127"/>
      <c r="AM350" s="127"/>
      <c r="AT350" s="70"/>
      <c r="AU350" s="70"/>
      <c r="AV350" s="70"/>
    </row>
    <row r="351" spans="1:53" ht="13.5" thickBot="1" x14ac:dyDescent="0.25">
      <c r="A351" s="126">
        <v>3</v>
      </c>
      <c r="B351" s="201" t="str">
        <f>AH265</f>
        <v>Intense 17 Perf RH</v>
      </c>
      <c r="C351" s="202"/>
      <c r="D351" s="202"/>
      <c r="E351" s="202"/>
      <c r="F351" s="202"/>
      <c r="G351" s="202"/>
      <c r="H351" s="202"/>
      <c r="I351" s="202"/>
      <c r="J351" s="203"/>
      <c r="K351" s="204" t="str">
        <f>AK265</f>
        <v>fj7inten1pm</v>
      </c>
      <c r="L351" s="205"/>
      <c r="M351" s="205"/>
      <c r="N351" s="205"/>
      <c r="O351" s="205"/>
      <c r="P351" s="205"/>
      <c r="Q351" s="206"/>
      <c r="R351" s="103"/>
      <c r="S351" s="127"/>
      <c r="T351" s="127"/>
      <c r="U351" s="147"/>
      <c r="V351" s="147"/>
      <c r="W351" s="147"/>
      <c r="X351" s="463"/>
      <c r="Y351" s="463"/>
      <c r="Z351" s="463"/>
      <c r="AA351" s="463"/>
      <c r="AB351" s="463"/>
      <c r="AC351" s="463"/>
      <c r="AD351" s="463"/>
      <c r="AE351" s="463"/>
      <c r="AF351" s="463"/>
      <c r="AG351" s="127"/>
      <c r="AH351" s="127"/>
      <c r="AI351" s="127"/>
      <c r="AJ351" s="127"/>
      <c r="AK351" s="127"/>
      <c r="AL351" s="127"/>
      <c r="AM351" s="127"/>
      <c r="AT351" s="70"/>
      <c r="AU351" s="70"/>
      <c r="AV351" s="70"/>
    </row>
    <row r="352" spans="1:53" ht="13.5" thickBot="1" x14ac:dyDescent="0.25">
      <c r="A352" s="126">
        <v>4</v>
      </c>
      <c r="B352" s="201" t="str">
        <f>AH266</f>
        <v>Crossfire 17 Power</v>
      </c>
      <c r="C352" s="202"/>
      <c r="D352" s="202"/>
      <c r="E352" s="202"/>
      <c r="F352" s="202"/>
      <c r="G352" s="202"/>
      <c r="H352" s="202"/>
      <c r="I352" s="202"/>
      <c r="J352" s="203"/>
      <c r="K352" s="204" t="str">
        <f>AK266</f>
        <v>fj7crosf1pm</v>
      </c>
      <c r="L352" s="205"/>
      <c r="M352" s="205"/>
      <c r="N352" s="205"/>
      <c r="O352" s="205"/>
      <c r="P352" s="205"/>
      <c r="Q352" s="206"/>
      <c r="R352" s="103"/>
      <c r="S352" s="127"/>
      <c r="T352" s="127"/>
      <c r="U352" s="147"/>
      <c r="V352" s="147"/>
      <c r="W352" s="147"/>
      <c r="X352" s="463"/>
      <c r="Y352" s="463"/>
      <c r="Z352" s="463"/>
      <c r="AA352" s="463"/>
      <c r="AB352" s="463"/>
      <c r="AC352" s="463"/>
      <c r="AD352" s="463"/>
      <c r="AE352" s="463"/>
      <c r="AF352" s="463"/>
      <c r="AG352" s="127"/>
      <c r="AH352" s="127"/>
      <c r="AI352" s="127"/>
      <c r="AJ352" s="127"/>
      <c r="AK352" s="127"/>
      <c r="AL352" s="127"/>
      <c r="AM352" s="127"/>
      <c r="AT352" s="70"/>
      <c r="AU352" s="70"/>
      <c r="AV352" s="70"/>
    </row>
    <row r="353" spans="1:71" ht="13.5" thickBot="1" x14ac:dyDescent="0.25">
      <c r="S353" s="127"/>
      <c r="T353" s="127"/>
      <c r="U353" s="127"/>
      <c r="V353" s="127"/>
      <c r="W353" s="127"/>
      <c r="X353" s="127"/>
      <c r="Y353" s="127"/>
      <c r="Z353" s="127"/>
      <c r="AA353" s="127"/>
      <c r="AB353" s="127"/>
      <c r="AC353" s="127"/>
      <c r="AD353" s="127"/>
      <c r="AE353" s="127"/>
      <c r="AF353" s="127"/>
      <c r="AG353" s="127"/>
      <c r="AH353" s="127"/>
      <c r="AI353" s="127"/>
      <c r="AJ353" s="127"/>
      <c r="AK353" s="127"/>
      <c r="AL353" s="127"/>
      <c r="AM353" s="127"/>
      <c r="AT353" s="70"/>
      <c r="AU353" s="70"/>
      <c r="AV353" s="70"/>
    </row>
    <row r="354" spans="1:71" x14ac:dyDescent="0.2">
      <c r="B354" s="210" t="s">
        <v>150</v>
      </c>
      <c r="C354" s="182"/>
      <c r="D354" s="183"/>
      <c r="E354" s="181" t="s">
        <v>150</v>
      </c>
      <c r="F354" s="182"/>
      <c r="G354" s="183"/>
      <c r="H354" s="181" t="s">
        <v>14</v>
      </c>
      <c r="I354" s="182"/>
      <c r="J354" s="184"/>
      <c r="K354" s="185" t="s">
        <v>151</v>
      </c>
      <c r="L354" s="211"/>
      <c r="M354" s="211"/>
      <c r="N354" s="211"/>
      <c r="O354" s="211"/>
      <c r="P354" s="211"/>
      <c r="Q354" s="212"/>
      <c r="S354" s="127"/>
      <c r="T354" s="127"/>
      <c r="U354" s="127"/>
      <c r="V354" s="127"/>
      <c r="W354" s="127"/>
      <c r="X354" s="479"/>
      <c r="Y354" s="479"/>
      <c r="Z354" s="479"/>
      <c r="AA354" s="479"/>
      <c r="AB354" s="479"/>
      <c r="AC354" s="479"/>
      <c r="AD354" s="479"/>
      <c r="AE354" s="479"/>
      <c r="AF354" s="479"/>
      <c r="AG354" s="127"/>
      <c r="AH354" s="127"/>
      <c r="AI354" s="127"/>
      <c r="AJ354" s="127"/>
      <c r="AK354" s="127"/>
      <c r="AL354" s="127"/>
      <c r="AM354" s="127"/>
      <c r="AT354" s="70"/>
      <c r="AU354" s="70"/>
      <c r="AV354" s="70"/>
    </row>
    <row r="355" spans="1:71" x14ac:dyDescent="0.2">
      <c r="A355" s="56" t="s">
        <v>152</v>
      </c>
      <c r="B355" s="194">
        <v>3</v>
      </c>
      <c r="C355" s="195"/>
      <c r="D355" s="196"/>
      <c r="E355" s="197" t="s">
        <v>153</v>
      </c>
      <c r="F355" s="195"/>
      <c r="G355" s="196"/>
      <c r="H355" s="197" t="s">
        <v>154</v>
      </c>
      <c r="I355" s="195"/>
      <c r="J355" s="198"/>
      <c r="K355" s="213"/>
      <c r="L355" s="214"/>
      <c r="M355" s="214"/>
      <c r="N355" s="214"/>
      <c r="O355" s="214"/>
      <c r="P355" s="214"/>
      <c r="Q355" s="215"/>
      <c r="S355" s="127"/>
      <c r="T355" s="127"/>
      <c r="U355" s="127"/>
      <c r="V355" s="127"/>
      <c r="W355" s="556"/>
      <c r="X355" s="481"/>
      <c r="Y355" s="481"/>
      <c r="Z355" s="481"/>
      <c r="AA355" s="481"/>
      <c r="AB355" s="481"/>
      <c r="AC355" s="481"/>
      <c r="AD355" s="481"/>
      <c r="AE355" s="481"/>
      <c r="AF355" s="481"/>
      <c r="AG355" s="127"/>
      <c r="AH355" s="127"/>
      <c r="AI355" s="127"/>
      <c r="AJ355" s="127"/>
      <c r="AK355" s="127"/>
      <c r="AL355" s="127"/>
      <c r="AM355" s="127"/>
      <c r="AT355" s="77"/>
      <c r="AU355" s="77"/>
      <c r="AV355" s="77"/>
    </row>
    <row r="356" spans="1:71" ht="13.5" thickBot="1" x14ac:dyDescent="0.25">
      <c r="A356" s="8"/>
      <c r="B356" s="179" t="s">
        <v>64</v>
      </c>
      <c r="C356" s="174"/>
      <c r="D356" s="180"/>
      <c r="E356" s="173" t="s">
        <v>155</v>
      </c>
      <c r="F356" s="174"/>
      <c r="G356" s="180"/>
      <c r="H356" s="173" t="s">
        <v>156</v>
      </c>
      <c r="I356" s="174"/>
      <c r="J356" s="175"/>
      <c r="K356" s="216"/>
      <c r="L356" s="217"/>
      <c r="M356" s="217"/>
      <c r="N356" s="217"/>
      <c r="O356" s="217"/>
      <c r="P356" s="217"/>
      <c r="Q356" s="218"/>
      <c r="S356" s="127"/>
      <c r="T356" s="127"/>
      <c r="U356" s="147"/>
      <c r="V356" s="147"/>
      <c r="W356" s="147"/>
      <c r="X356" s="482"/>
      <c r="Y356" s="482"/>
      <c r="Z356" s="482"/>
      <c r="AA356" s="482"/>
      <c r="AB356" s="482"/>
      <c r="AC356" s="482"/>
      <c r="AD356" s="482"/>
      <c r="AE356" s="482"/>
      <c r="AF356" s="482"/>
      <c r="AG356" s="127"/>
      <c r="AH356" s="127"/>
      <c r="AI356" s="127"/>
      <c r="AJ356" s="127"/>
      <c r="AK356" s="127"/>
      <c r="AL356" s="127"/>
      <c r="AM356" s="127"/>
      <c r="AT356" s="77"/>
      <c r="AU356" s="77"/>
      <c r="AV356" s="77"/>
    </row>
    <row r="357" spans="1:71" ht="13.5" thickBot="1" x14ac:dyDescent="0.25">
      <c r="A357" s="8"/>
      <c r="B357" s="128">
        <v>1</v>
      </c>
      <c r="C357" s="129" t="s">
        <v>72</v>
      </c>
      <c r="D357" s="130">
        <v>4</v>
      </c>
      <c r="E357" s="131">
        <v>2</v>
      </c>
      <c r="F357" s="129" t="s">
        <v>72</v>
      </c>
      <c r="G357" s="130">
        <v>3</v>
      </c>
      <c r="H357" s="132">
        <f>IF(OR(AND(OR(B361&gt;0,D361&gt;0),B361&gt;D361),OR(D357="b",D357="B")),B357,IF(OR(AND(OR(B361&gt;0,D361&gt;0),D361&gt;B361),OR(B357="b",B357="B")),D357,"W1"))</f>
        <v>1</v>
      </c>
      <c r="I357" s="133" t="s">
        <v>72</v>
      </c>
      <c r="J357" s="134">
        <f>IF(OR(AND(OR(E361&gt;0,G361&gt;0),E361&gt;G361),OR(G357="b",G357="B")),E357,IF(OR(AND(OR(E361&gt;0,G361&gt;0),G361&gt;E361),OR(E357="b",E357="B")),G357,"W2"))</f>
        <v>2</v>
      </c>
      <c r="K357" s="176" t="s">
        <v>157</v>
      </c>
      <c r="L357" s="177"/>
      <c r="M357" s="177"/>
      <c r="N357" s="178"/>
      <c r="S357" s="127"/>
      <c r="T357" s="127"/>
      <c r="U357" s="147"/>
      <c r="V357" s="147"/>
      <c r="W357" s="147"/>
      <c r="X357" s="486"/>
      <c r="Y357" s="484"/>
      <c r="Z357" s="485"/>
      <c r="AA357" s="486"/>
      <c r="AB357" s="484"/>
      <c r="AC357" s="485"/>
      <c r="AD357" s="486"/>
      <c r="AE357" s="484"/>
      <c r="AF357" s="485"/>
      <c r="AG357" s="482"/>
      <c r="AH357" s="482"/>
      <c r="AI357" s="127"/>
      <c r="AJ357" s="127"/>
      <c r="AK357" s="127"/>
      <c r="AL357" s="127"/>
      <c r="AM357" s="127"/>
    </row>
    <row r="358" spans="1:71" ht="12.75" hidden="1" customHeight="1" x14ac:dyDescent="0.2">
      <c r="A358" s="8"/>
      <c r="B358" s="135">
        <f>IF(B362&gt;D362,1,0)</f>
        <v>1</v>
      </c>
      <c r="C358" s="136"/>
      <c r="D358" s="137">
        <f>IF(D362&gt;B362,1,0)</f>
        <v>0</v>
      </c>
      <c r="E358" s="135">
        <f>IF(E362&gt;G362,1,0)</f>
        <v>1</v>
      </c>
      <c r="F358" s="136"/>
      <c r="G358" s="137">
        <f>IF(G362&gt;E362,1,0)</f>
        <v>0</v>
      </c>
      <c r="H358" s="135">
        <f>IF(H362&gt;J362,1,0)</f>
        <v>0</v>
      </c>
      <c r="I358" s="136"/>
      <c r="J358" s="137">
        <f>IF(J362&gt;H362,1,0)</f>
        <v>1</v>
      </c>
      <c r="K358" s="138"/>
      <c r="L358" s="139"/>
      <c r="M358" s="139"/>
      <c r="N358" s="140"/>
      <c r="S358" s="127"/>
      <c r="T358" s="127"/>
      <c r="U358" s="147"/>
      <c r="V358" s="147"/>
      <c r="W358" s="147"/>
      <c r="X358" s="491"/>
      <c r="Y358" s="153"/>
      <c r="Z358" s="492"/>
      <c r="AA358" s="491"/>
      <c r="AB358" s="153"/>
      <c r="AC358" s="492"/>
      <c r="AD358" s="491"/>
      <c r="AE358" s="153"/>
      <c r="AF358" s="492"/>
      <c r="AG358" s="557"/>
      <c r="AH358" s="557"/>
      <c r="AI358" s="127"/>
      <c r="AJ358" s="127"/>
      <c r="AK358" s="127"/>
      <c r="AL358" s="127"/>
      <c r="AM358" s="127"/>
    </row>
    <row r="359" spans="1:71" ht="12.75" hidden="1" customHeight="1" x14ac:dyDescent="0.2">
      <c r="A359" s="8"/>
      <c r="B359" s="135">
        <f>IF(B363&gt;D363,1,0)</f>
        <v>0</v>
      </c>
      <c r="C359" s="136"/>
      <c r="D359" s="137">
        <f>IF(D363&gt;B363,1,0)</f>
        <v>0</v>
      </c>
      <c r="E359" s="135">
        <f>IF(E363&gt;G363,1,0)</f>
        <v>0</v>
      </c>
      <c r="F359" s="136"/>
      <c r="G359" s="137">
        <f>IF(G363&gt;E363,1,0)</f>
        <v>0</v>
      </c>
      <c r="H359" s="135">
        <f>IF(H363&gt;J363,1,0)</f>
        <v>0</v>
      </c>
      <c r="I359" s="136"/>
      <c r="J359" s="137">
        <f>IF(J363&gt;H363,1,0)</f>
        <v>1</v>
      </c>
      <c r="K359" s="138"/>
      <c r="L359" s="139"/>
      <c r="M359" s="139"/>
      <c r="N359" s="140"/>
      <c r="S359" s="127"/>
      <c r="T359" s="127"/>
      <c r="U359" s="147"/>
      <c r="V359" s="147"/>
      <c r="W359" s="147"/>
      <c r="X359" s="491"/>
      <c r="Y359" s="153"/>
      <c r="Z359" s="492"/>
      <c r="AA359" s="491"/>
      <c r="AB359" s="153"/>
      <c r="AC359" s="492"/>
      <c r="AD359" s="491"/>
      <c r="AE359" s="153"/>
      <c r="AF359" s="492"/>
      <c r="AG359" s="557"/>
      <c r="AH359" s="557"/>
      <c r="AI359" s="127"/>
      <c r="AJ359" s="127"/>
      <c r="AK359" s="127"/>
      <c r="AL359" s="127"/>
      <c r="AM359" s="127"/>
    </row>
    <row r="360" spans="1:71" ht="13.5" hidden="1" customHeight="1" thickBot="1" x14ac:dyDescent="0.25">
      <c r="A360" s="8"/>
      <c r="B360" s="135">
        <f>IF(B364&gt;D364,1,0)</f>
        <v>0</v>
      </c>
      <c r="C360" s="136"/>
      <c r="D360" s="137">
        <f>IF(D364&gt;B364,1,0)</f>
        <v>0</v>
      </c>
      <c r="E360" s="135">
        <f>IF(E364&gt;G364,1,0)</f>
        <v>0</v>
      </c>
      <c r="F360" s="136"/>
      <c r="G360" s="137">
        <f>IF(G364&gt;E364,1,0)</f>
        <v>0</v>
      </c>
      <c r="H360" s="135">
        <f>IF(H364&gt;J364,1,0)</f>
        <v>0</v>
      </c>
      <c r="I360" s="136"/>
      <c r="J360" s="137">
        <f>IF(J364&gt;H364,1,0)</f>
        <v>0</v>
      </c>
      <c r="K360" s="138"/>
      <c r="L360" s="139"/>
      <c r="M360" s="139"/>
      <c r="N360" s="140"/>
      <c r="S360" s="127"/>
      <c r="T360" s="127"/>
      <c r="U360" s="147"/>
      <c r="V360" s="147"/>
      <c r="W360" s="147"/>
      <c r="X360" s="491"/>
      <c r="Y360" s="153"/>
      <c r="Z360" s="492"/>
      <c r="AA360" s="491"/>
      <c r="AB360" s="153"/>
      <c r="AC360" s="492"/>
      <c r="AD360" s="491"/>
      <c r="AE360" s="153"/>
      <c r="AF360" s="492"/>
      <c r="AG360" s="557"/>
      <c r="AH360" s="557"/>
      <c r="AI360" s="127"/>
      <c r="AJ360" s="127"/>
      <c r="AK360" s="127"/>
      <c r="AL360" s="127"/>
      <c r="AM360" s="127"/>
    </row>
    <row r="361" spans="1:71" ht="13.5" hidden="1" thickBot="1" x14ac:dyDescent="0.25">
      <c r="A361" s="8"/>
      <c r="B361" s="135">
        <f>SUM(B358:B360)</f>
        <v>1</v>
      </c>
      <c r="C361" s="136"/>
      <c r="D361" s="135">
        <f>SUM(D358:D360)</f>
        <v>0</v>
      </c>
      <c r="E361" s="135">
        <f>SUM(E358:E360)</f>
        <v>1</v>
      </c>
      <c r="F361" s="136"/>
      <c r="G361" s="135">
        <f>SUM(G358:G360)</f>
        <v>0</v>
      </c>
      <c r="H361" s="135">
        <f>SUM(H358:H360)</f>
        <v>0</v>
      </c>
      <c r="I361" s="136"/>
      <c r="J361" s="135">
        <f>SUM(J358:J360)</f>
        <v>2</v>
      </c>
      <c r="K361" s="138"/>
      <c r="L361" s="139"/>
      <c r="M361" s="139"/>
      <c r="N361" s="140"/>
      <c r="S361" s="127"/>
      <c r="T361" s="127"/>
      <c r="U361" s="147"/>
      <c r="V361" s="147"/>
      <c r="W361" s="147"/>
      <c r="X361" s="147"/>
      <c r="Y361" s="147"/>
      <c r="Z361" s="147"/>
      <c r="AA361" s="147"/>
      <c r="AB361" s="147"/>
      <c r="AC361" s="147"/>
      <c r="AD361" s="147"/>
      <c r="AE361" s="147"/>
      <c r="AF361" s="147"/>
      <c r="AG361" s="147"/>
      <c r="AH361" s="147"/>
      <c r="AI361" s="127"/>
      <c r="AJ361" s="127"/>
      <c r="AK361" s="127"/>
      <c r="AL361" s="127"/>
      <c r="AM361" s="127"/>
    </row>
    <row r="362" spans="1:71" x14ac:dyDescent="0.2">
      <c r="A362" s="6" t="s">
        <v>73</v>
      </c>
      <c r="B362" s="143">
        <v>25</v>
      </c>
      <c r="C362" s="66" t="s">
        <v>74</v>
      </c>
      <c r="D362" s="144">
        <v>11</v>
      </c>
      <c r="E362" s="145">
        <v>25</v>
      </c>
      <c r="F362" s="66" t="s">
        <v>74</v>
      </c>
      <c r="G362" s="144">
        <v>11</v>
      </c>
      <c r="H362" s="145">
        <v>17</v>
      </c>
      <c r="I362" s="66" t="s">
        <v>74</v>
      </c>
      <c r="J362" s="146">
        <v>25</v>
      </c>
      <c r="K362" s="162">
        <f>IF(AND(OR(H361&gt;0,J361&gt;0),AND(1&lt;=H357,H357&lt;=4),AND(1&lt;=J357,J357&lt;=4)),IF(H361&gt;J361,H357,IF(J361&gt;H361,J357,"")),"")</f>
        <v>2</v>
      </c>
      <c r="L362" s="163"/>
      <c r="M362" s="163"/>
      <c r="N362" s="164"/>
    </row>
    <row r="363" spans="1:71" x14ac:dyDescent="0.2">
      <c r="A363" s="6" t="s">
        <v>158</v>
      </c>
      <c r="B363" s="143"/>
      <c r="C363" s="66" t="s">
        <v>74</v>
      </c>
      <c r="D363" s="144"/>
      <c r="E363" s="145"/>
      <c r="F363" s="66" t="s">
        <v>74</v>
      </c>
      <c r="G363" s="144"/>
      <c r="H363" s="145">
        <v>15</v>
      </c>
      <c r="I363" s="66" t="s">
        <v>74</v>
      </c>
      <c r="J363" s="146">
        <v>25</v>
      </c>
      <c r="K363" s="165"/>
      <c r="L363" s="166"/>
      <c r="M363" s="166"/>
      <c r="N363" s="167"/>
    </row>
    <row r="364" spans="1:71" ht="13.5" thickBot="1" x14ac:dyDescent="0.25">
      <c r="A364" s="6" t="s">
        <v>159</v>
      </c>
      <c r="B364" s="148"/>
      <c r="C364" s="149" t="s">
        <v>74</v>
      </c>
      <c r="D364" s="150"/>
      <c r="E364" s="151"/>
      <c r="F364" s="149" t="s">
        <v>74</v>
      </c>
      <c r="G364" s="150"/>
      <c r="H364" s="151"/>
      <c r="I364" s="149" t="s">
        <v>74</v>
      </c>
      <c r="J364" s="152"/>
      <c r="K364" s="168"/>
      <c r="L364" s="169"/>
      <c r="M364" s="169"/>
      <c r="N364" s="170"/>
    </row>
    <row r="365" spans="1:71" hidden="1" x14ac:dyDescent="0.2">
      <c r="B365" s="3"/>
      <c r="C365" s="153" t="s">
        <v>108</v>
      </c>
      <c r="D365" s="3" t="s">
        <v>160</v>
      </c>
      <c r="E365" s="3"/>
      <c r="F365" s="153"/>
      <c r="G365" s="4" t="s">
        <v>161</v>
      </c>
      <c r="J365" s="4" t="s">
        <v>162</v>
      </c>
      <c r="AT365" s="4" t="str">
        <f>B366</f>
        <v>MOTO 17 IGNITE</v>
      </c>
      <c r="AU365" s="4">
        <f>J366</f>
        <v>2713.2926836304327</v>
      </c>
      <c r="BB365" s="156"/>
      <c r="BE365" s="156"/>
      <c r="BH365" s="154"/>
      <c r="BI365" s="70"/>
      <c r="BJ365" s="70"/>
      <c r="BK365" s="154"/>
      <c r="BL365" s="70"/>
      <c r="BM365" s="70"/>
      <c r="BN365" s="154"/>
      <c r="BO365" s="70"/>
      <c r="BP365" s="70"/>
      <c r="BQ365" s="154"/>
      <c r="BR365" s="70"/>
      <c r="BS365" s="70"/>
    </row>
    <row r="366" spans="1:71" hidden="1" x14ac:dyDescent="0.2">
      <c r="A366" s="4">
        <v>1</v>
      </c>
      <c r="B366" s="4" t="str">
        <f>B349</f>
        <v>MOTO 17 IGNITE</v>
      </c>
      <c r="C366" s="4">
        <f>VLOOKUP(B366,AU$2:AY$22,4,FALSE)</f>
        <v>2729.0854077651702</v>
      </c>
      <c r="D366" s="4">
        <f>IF(A366=B357,B372,IF(A366=D357,D372,C366))</f>
        <v>2735.513928441208</v>
      </c>
      <c r="G366" s="4">
        <f>IF(A366=E357,E372,IF(A366=G357,G372,D366))</f>
        <v>2735.513928441208</v>
      </c>
      <c r="J366" s="4">
        <f>IF(A366=H357,H372,IF(A366=J357,J372,G366))</f>
        <v>2713.2926836304327</v>
      </c>
      <c r="AT366" s="4" t="str">
        <f>B367</f>
        <v>METRO-ATL 16 BLACK</v>
      </c>
      <c r="AU366" s="4">
        <f>J367</f>
        <v>2615.1412491366104</v>
      </c>
      <c r="BB366" s="156"/>
      <c r="BE366" s="156"/>
      <c r="BH366" s="154"/>
      <c r="BI366" s="70"/>
      <c r="BJ366" s="70"/>
      <c r="BK366" s="154"/>
      <c r="BL366" s="70"/>
      <c r="BM366" s="70"/>
      <c r="BN366" s="154"/>
      <c r="BO366" s="70"/>
      <c r="BP366" s="70"/>
      <c r="BQ366" s="154"/>
      <c r="BR366" s="70"/>
      <c r="BS366" s="70"/>
    </row>
    <row r="367" spans="1:71" hidden="1" x14ac:dyDescent="0.2">
      <c r="A367" s="4">
        <v>2</v>
      </c>
      <c r="B367" s="4" t="str">
        <f>B350</f>
        <v>METRO-ATL 16 BLACK</v>
      </c>
      <c r="C367" s="4">
        <f>VLOOKUP(B367,AU$2:AY$22,4,FALSE)</f>
        <v>2586.4161586862947</v>
      </c>
      <c r="D367" s="4">
        <f>IF(A367=B357,B372,IF(A367=D357,D372,C367))</f>
        <v>2586.4161586862947</v>
      </c>
      <c r="G367" s="4">
        <f>IF(A367=E357,E372,IF(A367=G357,G372,D367))</f>
        <v>2592.9200043258352</v>
      </c>
      <c r="J367" s="4">
        <f>IF(A367=H357,H372,IF(A367=J357,J372,G367))</f>
        <v>2615.1412491366104</v>
      </c>
      <c r="AT367" s="4" t="str">
        <f>B368</f>
        <v>Intense 17 Perf RH</v>
      </c>
      <c r="AU367" s="4">
        <f>J368</f>
        <v>2514.1612969675198</v>
      </c>
      <c r="BB367" s="156"/>
      <c r="BE367" s="156"/>
      <c r="BH367" s="154"/>
      <c r="BI367" s="70"/>
      <c r="BJ367" s="70"/>
      <c r="BK367" s="154"/>
      <c r="BL367" s="70"/>
      <c r="BM367" s="70"/>
      <c r="BN367" s="154"/>
      <c r="BO367" s="70"/>
      <c r="BP367" s="70"/>
      <c r="BQ367" s="154"/>
      <c r="BR367" s="70"/>
      <c r="BS367" s="70"/>
    </row>
    <row r="368" spans="1:71" hidden="1" x14ac:dyDescent="0.2">
      <c r="A368" s="4">
        <v>3</v>
      </c>
      <c r="B368" s="4" t="str">
        <f>B351</f>
        <v>Intense 17 Perf RH</v>
      </c>
      <c r="C368" s="4">
        <f>VLOOKUP(B368,AU$2:AY$22,4,FALSE)</f>
        <v>2520.6651426070603</v>
      </c>
      <c r="D368" s="4">
        <f>IF(A368=B357,B372,IF(A368=D357,D372,C368))</f>
        <v>2520.6651426070603</v>
      </c>
      <c r="G368" s="4">
        <f>IF(A368=E357,E372,IF(A368=G357,G372,D368))</f>
        <v>2514.1612969675198</v>
      </c>
      <c r="J368" s="4">
        <f>IF(A368=H357,H372,IF(A368=J357,J372,G368))</f>
        <v>2514.1612969675198</v>
      </c>
      <c r="AT368" s="4" t="str">
        <f>B369</f>
        <v>Crossfire 17 Power</v>
      </c>
      <c r="AU368" s="4">
        <f>J369</f>
        <v>2653.5096789028289</v>
      </c>
      <c r="BB368" s="156"/>
      <c r="BE368" s="156"/>
      <c r="BH368" s="154"/>
      <c r="BI368" s="70"/>
      <c r="BJ368" s="70"/>
      <c r="BK368" s="154"/>
      <c r="BL368" s="70"/>
      <c r="BM368" s="70"/>
      <c r="BN368" s="154"/>
      <c r="BO368" s="70"/>
      <c r="BP368" s="70"/>
      <c r="BQ368" s="154"/>
      <c r="BR368" s="70"/>
      <c r="BS368" s="70"/>
    </row>
    <row r="369" spans="1:71" hidden="1" x14ac:dyDescent="0.2">
      <c r="A369" s="4">
        <v>4</v>
      </c>
      <c r="B369" s="4" t="str">
        <f>B352</f>
        <v>Crossfire 17 Power</v>
      </c>
      <c r="C369" s="4">
        <f>VLOOKUP(B369,AU$2:AY$22,4,FALSE)</f>
        <v>2659.9381995788667</v>
      </c>
      <c r="D369" s="4">
        <f>IF(A369=B357,B372,IF(A369=D357,D372,C369))</f>
        <v>2653.5096789028289</v>
      </c>
      <c r="G369" s="4">
        <f>IF(A369=E357,E372,IF(A369=G357,G372,D369))</f>
        <v>2653.5096789028289</v>
      </c>
      <c r="J369" s="4">
        <f>IF(A369=H357,H372,IF(A369=J357,J372,G369))</f>
        <v>2653.5096789028289</v>
      </c>
      <c r="AT369" s="4">
        <f>W366</f>
        <v>0</v>
      </c>
      <c r="AU369" s="4">
        <f>AE366</f>
        <v>0</v>
      </c>
      <c r="BB369" s="156"/>
      <c r="BE369" s="156"/>
      <c r="BH369" s="154"/>
      <c r="BI369" s="70"/>
      <c r="BJ369" s="70"/>
      <c r="BK369" s="154"/>
      <c r="BL369" s="70"/>
      <c r="BM369" s="70"/>
      <c r="BN369" s="154"/>
      <c r="BO369" s="70"/>
      <c r="BP369" s="70"/>
      <c r="BQ369" s="154"/>
      <c r="BR369" s="70"/>
      <c r="BS369" s="70"/>
    </row>
    <row r="370" spans="1:71" hidden="1" x14ac:dyDescent="0.2">
      <c r="A370" s="4" t="s">
        <v>110</v>
      </c>
      <c r="B370" s="4">
        <f>VLOOKUP(B357,$A366:$J369,3,FALSE)</f>
        <v>2729.0854077651702</v>
      </c>
      <c r="D370" s="4">
        <f>VLOOKUP(D357,$A366:$J369,3,FALSE)</f>
        <v>2659.9381995788667</v>
      </c>
      <c r="E370" s="4">
        <f>VLOOKUP(E357,$A366:$J369,4,FALSE)</f>
        <v>2586.4161586862947</v>
      </c>
      <c r="G370" s="4">
        <f>VLOOKUP(G357,$A366:$J369,4,FALSE)</f>
        <v>2520.6651426070603</v>
      </c>
      <c r="H370" s="4">
        <f>VLOOKUP(H357,$A366:$J369,7,FALSE)</f>
        <v>2735.513928441208</v>
      </c>
      <c r="J370" s="4">
        <f>VLOOKUP(J357,$A366:$J369,7,FALSE)</f>
        <v>2592.9200043258352</v>
      </c>
      <c r="AT370" s="4">
        <f>W367</f>
        <v>0</v>
      </c>
      <c r="AU370" s="4">
        <f>AE367</f>
        <v>0</v>
      </c>
      <c r="BB370" s="156"/>
      <c r="BE370" s="156"/>
      <c r="BH370" s="154"/>
      <c r="BI370" s="70"/>
      <c r="BJ370" s="70"/>
      <c r="BK370" s="154"/>
      <c r="BL370" s="70"/>
      <c r="BM370" s="70"/>
      <c r="BN370" s="154"/>
      <c r="BO370" s="70"/>
      <c r="BP370" s="70"/>
      <c r="BQ370" s="154"/>
      <c r="BR370" s="70"/>
      <c r="BS370" s="70"/>
    </row>
    <row r="371" spans="1:71" hidden="1" x14ac:dyDescent="0.2">
      <c r="A371" s="84" t="s">
        <v>111</v>
      </c>
      <c r="B371" s="84">
        <f>1/(1+(10^-((B370-D370)/400)))*(B361+D361)</f>
        <v>0.59821745774764123</v>
      </c>
      <c r="C371" s="84"/>
      <c r="D371" s="84">
        <f>1/(1+(10^-((D370-B370)/400)))*(B361+D361)</f>
        <v>0.40178254225235877</v>
      </c>
      <c r="E371" s="84">
        <f>1/(1+(10^-((E370-G370)/400)))*(E361+G361)</f>
        <v>0.59350964752872415</v>
      </c>
      <c r="G371" s="84">
        <f>1/(1+(10^-((G370-E370)/400)))*(E361+G361)</f>
        <v>0.40649035247127591</v>
      </c>
      <c r="H371" s="84">
        <f>1/(1+(10^-((H370-J370)/400)))*(H361+J361)</f>
        <v>1.38882780067344</v>
      </c>
      <c r="J371" s="84">
        <f>1/(1+(10^-((J370-H370)/400)))*(H361+J361)</f>
        <v>0.61117219932655997</v>
      </c>
      <c r="AT371" s="4">
        <f>W368</f>
        <v>0</v>
      </c>
      <c r="AU371" s="4">
        <f>AE368</f>
        <v>0</v>
      </c>
      <c r="AW371" s="154"/>
      <c r="AX371" s="70"/>
      <c r="AY371" s="70"/>
      <c r="AZ371" s="70"/>
      <c r="BA371" s="70"/>
      <c r="BB371" s="154"/>
      <c r="BC371" s="70"/>
      <c r="BD371" s="70"/>
      <c r="BE371" s="156"/>
      <c r="BH371" s="154"/>
      <c r="BI371" s="70"/>
      <c r="BJ371" s="70"/>
      <c r="BK371" s="154"/>
      <c r="BL371" s="70"/>
      <c r="BM371" s="70"/>
      <c r="BN371" s="154"/>
      <c r="BO371" s="70"/>
      <c r="BP371" s="70"/>
      <c r="BQ371" s="154"/>
      <c r="BR371" s="70"/>
      <c r="BS371" s="70"/>
    </row>
    <row r="372" spans="1:71" hidden="1" x14ac:dyDescent="0.2">
      <c r="A372" s="90" t="s">
        <v>112</v>
      </c>
      <c r="B372" s="90">
        <f>B370+(B361-B371)*$BA$2</f>
        <v>2735.513928441208</v>
      </c>
      <c r="C372" s="90"/>
      <c r="D372" s="90">
        <f>D370+(D361-D371)*$BA$2</f>
        <v>2653.5096789028289</v>
      </c>
      <c r="E372" s="90">
        <f>E370+(E361-E371)*$BA$2</f>
        <v>2592.9200043258352</v>
      </c>
      <c r="G372" s="90">
        <f>G370+(G361-G371)*$BA$2</f>
        <v>2514.1612969675198</v>
      </c>
      <c r="H372" s="90">
        <f>H370+(H361-H371)*$BA$2</f>
        <v>2713.2926836304327</v>
      </c>
      <c r="J372" s="90">
        <f>J370+(J361-J371)*$BA$2</f>
        <v>2615.1412491366104</v>
      </c>
      <c r="AT372" s="4">
        <f>W369</f>
        <v>0</v>
      </c>
      <c r="AU372" s="4">
        <f>AE369</f>
        <v>0</v>
      </c>
      <c r="AW372" s="154"/>
      <c r="AX372" s="70"/>
      <c r="AY372" s="70"/>
      <c r="AZ372" s="70"/>
      <c r="BA372" s="70"/>
      <c r="BB372" s="154"/>
      <c r="BC372" s="70"/>
      <c r="BD372" s="70"/>
      <c r="BE372" s="156"/>
      <c r="BH372" s="154"/>
      <c r="BI372" s="70"/>
      <c r="BJ372" s="70"/>
      <c r="BK372" s="154"/>
      <c r="BL372" s="70"/>
      <c r="BM372" s="70"/>
      <c r="BN372" s="154"/>
      <c r="BO372" s="70"/>
      <c r="BP372" s="70"/>
      <c r="BQ372" s="154"/>
      <c r="BR372" s="70"/>
      <c r="BS372" s="70"/>
    </row>
    <row r="373" spans="1:71" x14ac:dyDescent="0.2">
      <c r="A373" s="159" t="s">
        <v>163</v>
      </c>
      <c r="B373" s="159"/>
      <c r="C373" s="159"/>
      <c r="D373" s="159"/>
      <c r="E373" s="159"/>
      <c r="F373" s="159"/>
      <c r="G373" s="159"/>
      <c r="H373" s="159"/>
      <c r="I373" s="159"/>
      <c r="J373" s="159"/>
      <c r="K373" s="159"/>
      <c r="L373" s="159"/>
      <c r="M373" s="159"/>
      <c r="AW373" s="154"/>
      <c r="AX373" s="70"/>
      <c r="AY373" s="70"/>
      <c r="AZ373" s="70"/>
      <c r="BA373" s="70"/>
    </row>
    <row r="374" spans="1:71" x14ac:dyDescent="0.2">
      <c r="AW374" s="154"/>
      <c r="AX374" s="70"/>
      <c r="AY374" s="70"/>
      <c r="AZ374" s="70"/>
      <c r="BA374" s="70"/>
    </row>
    <row r="375" spans="1:71" x14ac:dyDescent="0.2">
      <c r="AW375" s="154"/>
      <c r="AX375" s="70"/>
      <c r="AY375" s="70"/>
      <c r="AZ375" s="70"/>
      <c r="BA375" s="70"/>
    </row>
    <row r="376" spans="1:71" x14ac:dyDescent="0.2">
      <c r="AW376" s="154"/>
      <c r="AX376" s="70"/>
      <c r="AY376" s="70"/>
      <c r="AZ376" s="70"/>
      <c r="BA376" s="70"/>
    </row>
    <row r="377" spans="1:71" x14ac:dyDescent="0.2">
      <c r="AW377" s="154"/>
      <c r="AX377" s="70"/>
      <c r="AY377" s="70"/>
      <c r="AZ377" s="70"/>
      <c r="BA377" s="70"/>
    </row>
    <row r="378" spans="1:71" x14ac:dyDescent="0.2">
      <c r="AW378" s="154"/>
      <c r="AX378" s="70"/>
      <c r="AY378" s="70"/>
      <c r="AZ378" s="70"/>
      <c r="BA378" s="70"/>
    </row>
    <row r="379" spans="1:71" x14ac:dyDescent="0.2">
      <c r="AT379" s="116"/>
      <c r="AU379" s="116"/>
      <c r="AW379" s="154"/>
      <c r="AX379" s="70"/>
      <c r="AY379" s="70"/>
      <c r="AZ379" s="70"/>
      <c r="BA379" s="70"/>
    </row>
    <row r="380" spans="1:71" x14ac:dyDescent="0.2">
      <c r="AW380" s="154"/>
      <c r="AX380" s="70"/>
      <c r="AY380" s="70"/>
      <c r="AZ380" s="70"/>
      <c r="BA380" s="70"/>
    </row>
    <row r="381" spans="1:71" x14ac:dyDescent="0.2">
      <c r="AW381" s="154"/>
      <c r="AX381" s="70"/>
      <c r="AY381" s="70"/>
      <c r="AZ381" s="70"/>
      <c r="BA381" s="70"/>
    </row>
    <row r="382" spans="1:71" x14ac:dyDescent="0.2">
      <c r="AW382" s="154"/>
      <c r="AX382" s="70"/>
      <c r="AY382" s="70"/>
      <c r="AZ382" s="70"/>
      <c r="BA382" s="70"/>
    </row>
    <row r="383" spans="1:71" x14ac:dyDescent="0.2">
      <c r="AW383" s="154"/>
      <c r="AX383" s="70"/>
      <c r="AY383" s="70"/>
      <c r="AZ383" s="70"/>
      <c r="BA383" s="70"/>
    </row>
    <row r="384" spans="1:71" x14ac:dyDescent="0.2">
      <c r="AW384" s="154"/>
      <c r="AX384" s="70"/>
      <c r="AY384" s="70"/>
      <c r="AZ384" s="70"/>
      <c r="BA384" s="70"/>
    </row>
    <row r="385" spans="49:53" x14ac:dyDescent="0.2">
      <c r="AW385" s="154"/>
      <c r="AX385" s="70"/>
      <c r="AY385" s="70"/>
      <c r="AZ385" s="70"/>
      <c r="BA385" s="70"/>
    </row>
    <row r="386" spans="49:53" x14ac:dyDescent="0.2">
      <c r="AW386" s="154"/>
      <c r="AX386" s="70"/>
      <c r="AY386" s="70"/>
      <c r="AZ386" s="70"/>
      <c r="BA386" s="70"/>
    </row>
    <row r="387" spans="49:53" x14ac:dyDescent="0.2">
      <c r="AW387" s="154"/>
      <c r="AX387" s="70"/>
      <c r="AY387" s="70"/>
      <c r="AZ387" s="70"/>
      <c r="BA387" s="70"/>
    </row>
    <row r="388" spans="49:53" x14ac:dyDescent="0.2">
      <c r="AW388" s="154"/>
      <c r="AX388" s="70"/>
      <c r="AY388" s="70"/>
      <c r="AZ388" s="70"/>
      <c r="BA388" s="70"/>
    </row>
    <row r="389" spans="49:53" x14ac:dyDescent="0.2">
      <c r="AW389" s="154"/>
      <c r="AX389" s="70"/>
      <c r="AY389" s="70"/>
      <c r="AZ389" s="70"/>
      <c r="BA389" s="70"/>
    </row>
    <row r="390" spans="49:53" x14ac:dyDescent="0.2">
      <c r="AW390" s="154"/>
      <c r="AX390" s="70"/>
      <c r="AY390" s="70"/>
      <c r="AZ390" s="70"/>
      <c r="BA390" s="70"/>
    </row>
    <row r="391" spans="49:53" x14ac:dyDescent="0.2">
      <c r="AW391" s="154"/>
      <c r="AX391" s="70"/>
      <c r="AY391" s="70"/>
      <c r="AZ391" s="70"/>
      <c r="BA391" s="70"/>
    </row>
    <row r="392" spans="49:53" x14ac:dyDescent="0.2">
      <c r="AW392" s="154"/>
      <c r="AX392" s="70"/>
      <c r="AY392" s="70"/>
      <c r="AZ392" s="70"/>
      <c r="BA392" s="70"/>
    </row>
    <row r="393" spans="49:53" x14ac:dyDescent="0.2">
      <c r="AW393" s="154"/>
      <c r="AX393" s="70"/>
      <c r="AY393" s="70"/>
      <c r="AZ393" s="70"/>
      <c r="BA393" s="70"/>
    </row>
    <row r="394" spans="49:53" x14ac:dyDescent="0.2">
      <c r="AW394" s="154"/>
      <c r="AX394" s="70"/>
      <c r="AY394" s="70"/>
      <c r="AZ394" s="70"/>
      <c r="BA394" s="70"/>
    </row>
    <row r="395" spans="49:53" x14ac:dyDescent="0.2">
      <c r="AW395" s="154"/>
      <c r="AX395" s="70"/>
      <c r="AY395" s="70"/>
      <c r="AZ395" s="70"/>
      <c r="BA395" s="70"/>
    </row>
    <row r="396" spans="49:53" x14ac:dyDescent="0.2">
      <c r="AW396" s="154"/>
      <c r="AX396" s="70"/>
      <c r="AY396" s="70"/>
      <c r="AZ396" s="70"/>
      <c r="BA396" s="70"/>
    </row>
    <row r="397" spans="49:53" x14ac:dyDescent="0.2">
      <c r="AW397" s="154"/>
      <c r="AX397" s="70"/>
      <c r="AY397" s="70"/>
      <c r="AZ397" s="70"/>
      <c r="BA397" s="70"/>
    </row>
    <row r="398" spans="49:53" x14ac:dyDescent="0.2">
      <c r="AW398" s="154"/>
      <c r="AX398" s="70"/>
      <c r="AY398" s="70"/>
      <c r="AZ398" s="70"/>
      <c r="BA398" s="70"/>
    </row>
    <row r="399" spans="49:53" x14ac:dyDescent="0.2">
      <c r="AW399" s="154"/>
      <c r="AX399" s="70"/>
      <c r="AY399" s="70"/>
      <c r="AZ399" s="70"/>
      <c r="BA399" s="70"/>
    </row>
    <row r="400" spans="49:53" x14ac:dyDescent="0.2">
      <c r="AW400" s="154"/>
      <c r="AX400" s="70"/>
      <c r="AY400" s="70"/>
      <c r="AZ400" s="70"/>
      <c r="BA400" s="70"/>
    </row>
    <row r="401" spans="46:53" x14ac:dyDescent="0.2">
      <c r="AW401" s="154"/>
      <c r="AX401" s="70"/>
      <c r="AY401" s="70"/>
      <c r="AZ401" s="70"/>
      <c r="BA401" s="70"/>
    </row>
    <row r="402" spans="46:53" x14ac:dyDescent="0.2">
      <c r="AW402" s="154"/>
      <c r="AX402" s="70"/>
      <c r="AY402" s="70"/>
      <c r="AZ402" s="70"/>
      <c r="BA402" s="70"/>
    </row>
    <row r="403" spans="46:53" x14ac:dyDescent="0.2">
      <c r="AW403" s="154"/>
      <c r="AX403" s="70"/>
      <c r="AY403" s="70"/>
      <c r="AZ403" s="70"/>
      <c r="BA403" s="70"/>
    </row>
    <row r="404" spans="46:53" x14ac:dyDescent="0.2">
      <c r="AW404" s="154"/>
      <c r="AX404" s="70"/>
      <c r="AY404" s="70"/>
      <c r="AZ404" s="70"/>
      <c r="BA404" s="70"/>
    </row>
    <row r="405" spans="46:53" x14ac:dyDescent="0.2">
      <c r="AW405" s="154"/>
      <c r="AX405" s="70"/>
      <c r="AY405" s="70"/>
      <c r="AZ405" s="70"/>
      <c r="BA405" s="70"/>
    </row>
    <row r="406" spans="46:53" x14ac:dyDescent="0.2">
      <c r="AW406" s="154"/>
      <c r="AX406" s="70"/>
      <c r="AY406" s="70"/>
      <c r="AZ406" s="70"/>
      <c r="BA406" s="70"/>
    </row>
    <row r="407" spans="46:53" x14ac:dyDescent="0.2">
      <c r="AW407" s="154"/>
      <c r="AX407" s="70"/>
      <c r="AY407" s="70"/>
      <c r="AZ407" s="70"/>
      <c r="BA407" s="70"/>
    </row>
    <row r="408" spans="46:53" x14ac:dyDescent="0.2">
      <c r="AW408" s="154"/>
      <c r="AX408" s="70"/>
      <c r="AY408" s="70"/>
      <c r="AZ408" s="70"/>
      <c r="BA408" s="70"/>
    </row>
    <row r="409" spans="46:53" x14ac:dyDescent="0.2">
      <c r="AW409" s="154"/>
      <c r="AX409" s="70"/>
      <c r="AY409" s="70"/>
      <c r="AZ409" s="70"/>
      <c r="BA409" s="70"/>
    </row>
    <row r="410" spans="46:53" x14ac:dyDescent="0.2">
      <c r="AW410" s="154"/>
      <c r="AX410" s="70"/>
      <c r="AY410" s="70"/>
      <c r="AZ410" s="70"/>
      <c r="BA410" s="70"/>
    </row>
    <row r="411" spans="46:53" x14ac:dyDescent="0.2">
      <c r="AW411" s="154"/>
      <c r="AX411" s="70"/>
      <c r="AY411" s="70"/>
      <c r="AZ411" s="70"/>
      <c r="BA411" s="70"/>
    </row>
    <row r="412" spans="46:53" x14ac:dyDescent="0.2">
      <c r="AW412" s="154"/>
      <c r="AX412" s="70"/>
      <c r="AY412" s="70"/>
      <c r="AZ412" s="70"/>
      <c r="BA412" s="70"/>
    </row>
    <row r="413" spans="46:53" x14ac:dyDescent="0.2">
      <c r="AW413" s="154"/>
      <c r="AX413" s="70"/>
      <c r="AY413" s="70"/>
      <c r="AZ413" s="70"/>
      <c r="BA413" s="70"/>
    </row>
    <row r="414" spans="46:53" x14ac:dyDescent="0.2">
      <c r="AW414" s="154"/>
      <c r="AX414" s="70"/>
      <c r="AY414" s="70"/>
      <c r="AZ414" s="70"/>
      <c r="BA414" s="70"/>
    </row>
    <row r="415" spans="46:53" x14ac:dyDescent="0.2">
      <c r="AT415" s="116"/>
      <c r="AU415" s="116"/>
      <c r="AW415" s="154"/>
      <c r="AX415" s="70"/>
      <c r="AY415" s="70"/>
      <c r="AZ415" s="70"/>
      <c r="BA415" s="70"/>
    </row>
    <row r="416" spans="46:53" x14ac:dyDescent="0.2">
      <c r="AW416" s="154"/>
      <c r="AX416" s="70"/>
      <c r="AY416" s="70"/>
      <c r="AZ416" s="70"/>
      <c r="BA416" s="70"/>
    </row>
    <row r="418" spans="49:53" x14ac:dyDescent="0.2">
      <c r="AW418" s="81"/>
      <c r="AX418" s="77"/>
      <c r="AY418" s="77"/>
      <c r="AZ418" s="77"/>
      <c r="BA418" s="77"/>
    </row>
    <row r="419" spans="49:53" x14ac:dyDescent="0.2">
      <c r="AW419" s="81"/>
      <c r="AX419" s="77"/>
      <c r="AY419" s="77"/>
      <c r="AZ419" s="77"/>
      <c r="BA419" s="77"/>
    </row>
    <row r="420" spans="49:53" x14ac:dyDescent="0.2">
      <c r="AW420" s="81"/>
      <c r="AX420" s="77"/>
      <c r="AY420" s="77"/>
      <c r="AZ420" s="77"/>
      <c r="BA420" s="77"/>
    </row>
    <row r="421" spans="49:53" x14ac:dyDescent="0.2">
      <c r="AW421" s="81"/>
      <c r="AX421" s="77"/>
      <c r="AY421" s="77"/>
      <c r="AZ421" s="77"/>
      <c r="BA421" s="77"/>
    </row>
    <row r="422" spans="49:53" x14ac:dyDescent="0.2">
      <c r="AW422" s="81"/>
      <c r="AX422" s="77"/>
      <c r="AY422" s="77"/>
      <c r="AZ422" s="77"/>
      <c r="BA422" s="77"/>
    </row>
    <row r="423" spans="49:53" x14ac:dyDescent="0.2">
      <c r="AW423" s="81"/>
      <c r="AX423" s="77"/>
      <c r="AY423" s="77"/>
      <c r="AZ423" s="77"/>
      <c r="BA423" s="77"/>
    </row>
    <row r="424" spans="49:53" x14ac:dyDescent="0.2">
      <c r="AW424" s="81"/>
      <c r="AX424" s="77"/>
      <c r="AY424" s="77"/>
      <c r="AZ424" s="77"/>
      <c r="BA424" s="77"/>
    </row>
    <row r="425" spans="49:53" x14ac:dyDescent="0.2">
      <c r="AW425" s="81"/>
      <c r="AX425" s="77"/>
      <c r="AY425" s="77"/>
      <c r="AZ425" s="77"/>
      <c r="BA425" s="77"/>
    </row>
    <row r="426" spans="49:53" x14ac:dyDescent="0.2">
      <c r="AW426" s="88"/>
      <c r="AX426" s="87"/>
      <c r="AY426" s="87"/>
      <c r="AZ426" s="87"/>
      <c r="BA426" s="87"/>
    </row>
    <row r="427" spans="49:53" x14ac:dyDescent="0.2">
      <c r="AW427" s="94"/>
      <c r="AX427" s="93"/>
      <c r="AY427" s="93"/>
      <c r="AZ427" s="93"/>
      <c r="BA427" s="93"/>
    </row>
    <row r="428" spans="49:53" x14ac:dyDescent="0.2">
      <c r="AW428" s="94"/>
      <c r="AX428" s="93"/>
      <c r="AY428" s="93"/>
      <c r="AZ428" s="93"/>
      <c r="BA428" s="93"/>
    </row>
    <row r="429" spans="49:53" x14ac:dyDescent="0.2">
      <c r="AW429" s="81"/>
      <c r="AX429" s="77"/>
      <c r="AY429" s="77"/>
      <c r="AZ429" s="77"/>
      <c r="BA429" s="77"/>
    </row>
    <row r="430" spans="49:53" x14ac:dyDescent="0.2">
      <c r="AW430" s="81"/>
      <c r="AX430" s="77"/>
      <c r="AY430" s="77"/>
      <c r="AZ430" s="77"/>
      <c r="BA430" s="77"/>
    </row>
    <row r="488" spans="49:49" x14ac:dyDescent="0.2">
      <c r="AW488" s="4"/>
    </row>
    <row r="489" spans="49:49" x14ac:dyDescent="0.2">
      <c r="AW489" s="4"/>
    </row>
    <row r="490" spans="49:49" x14ac:dyDescent="0.2">
      <c r="AW490" s="4"/>
    </row>
    <row r="491" spans="49:49" x14ac:dyDescent="0.2">
      <c r="AW491" s="4"/>
    </row>
    <row r="492" spans="49:49" x14ac:dyDescent="0.2">
      <c r="AW492" s="4"/>
    </row>
    <row r="493" spans="49:49" x14ac:dyDescent="0.2">
      <c r="AW493" s="4"/>
    </row>
    <row r="494" spans="49:49" x14ac:dyDescent="0.2">
      <c r="AW494" s="4"/>
    </row>
    <row r="495" spans="49:49" x14ac:dyDescent="0.2">
      <c r="AW495" s="4"/>
    </row>
    <row r="496" spans="49:49" x14ac:dyDescent="0.2">
      <c r="AW496" s="4"/>
    </row>
    <row r="542" spans="49:49" x14ac:dyDescent="0.2">
      <c r="AW542" s="4"/>
    </row>
    <row r="543" spans="49:49" x14ac:dyDescent="0.2">
      <c r="AW543" s="4"/>
    </row>
    <row r="544" spans="49:49" x14ac:dyDescent="0.2">
      <c r="AW544" s="4"/>
    </row>
    <row r="545" spans="49:49" x14ac:dyDescent="0.2">
      <c r="AW545" s="4"/>
    </row>
    <row r="546" spans="49:49" x14ac:dyDescent="0.2">
      <c r="AW546" s="4"/>
    </row>
    <row r="547" spans="49:49" x14ac:dyDescent="0.2">
      <c r="AW547" s="4"/>
    </row>
    <row r="548" spans="49:49" x14ac:dyDescent="0.2">
      <c r="AW548" s="4"/>
    </row>
    <row r="549" spans="49:49" x14ac:dyDescent="0.2">
      <c r="AW549" s="4"/>
    </row>
    <row r="550" spans="49:49" x14ac:dyDescent="0.2">
      <c r="AW550" s="4"/>
    </row>
    <row r="596" spans="49:49" x14ac:dyDescent="0.2">
      <c r="AW596" s="4"/>
    </row>
    <row r="597" spans="49:49" x14ac:dyDescent="0.2">
      <c r="AW597" s="4"/>
    </row>
    <row r="598" spans="49:49" x14ac:dyDescent="0.2">
      <c r="AW598" s="4"/>
    </row>
    <row r="599" spans="49:49" x14ac:dyDescent="0.2">
      <c r="AW599" s="4"/>
    </row>
    <row r="600" spans="49:49" x14ac:dyDescent="0.2">
      <c r="AW600" s="4"/>
    </row>
    <row r="601" spans="49:49" x14ac:dyDescent="0.2">
      <c r="AW601" s="4"/>
    </row>
    <row r="602" spans="49:49" x14ac:dyDescent="0.2">
      <c r="AW602" s="4"/>
    </row>
    <row r="603" spans="49:49" x14ac:dyDescent="0.2">
      <c r="AW603" s="4"/>
    </row>
    <row r="604" spans="49:49" x14ac:dyDescent="0.2">
      <c r="AW604" s="4"/>
    </row>
    <row r="650" spans="49:49" x14ac:dyDescent="0.2">
      <c r="AW650" s="4"/>
    </row>
    <row r="651" spans="49:49" x14ac:dyDescent="0.2">
      <c r="AW651" s="4"/>
    </row>
    <row r="652" spans="49:49" x14ac:dyDescent="0.2">
      <c r="AW652" s="4"/>
    </row>
    <row r="653" spans="49:49" x14ac:dyDescent="0.2">
      <c r="AW653" s="4"/>
    </row>
    <row r="654" spans="49:49" x14ac:dyDescent="0.2">
      <c r="AW654" s="4"/>
    </row>
    <row r="655" spans="49:49" x14ac:dyDescent="0.2">
      <c r="AW655" s="4"/>
    </row>
    <row r="656" spans="49:49" x14ac:dyDescent="0.2">
      <c r="AW656" s="4"/>
    </row>
    <row r="657" spans="49:49" x14ac:dyDescent="0.2">
      <c r="AW657" s="4"/>
    </row>
    <row r="658" spans="49:49" x14ac:dyDescent="0.2">
      <c r="AW658" s="4"/>
    </row>
  </sheetData>
  <sheetProtection formatCells="0" selectLockedCells="1"/>
  <mergeCells count="668">
    <mergeCell ref="K357:N357"/>
    <mergeCell ref="K362:N364"/>
    <mergeCell ref="A373:M373"/>
    <mergeCell ref="B354:D354"/>
    <mergeCell ref="E354:G354"/>
    <mergeCell ref="H354:J354"/>
    <mergeCell ref="K354:Q356"/>
    <mergeCell ref="B355:D355"/>
    <mergeCell ref="E355:G355"/>
    <mergeCell ref="H355:J355"/>
    <mergeCell ref="B356:D356"/>
    <mergeCell ref="E356:G356"/>
    <mergeCell ref="H356:J356"/>
    <mergeCell ref="B350:J350"/>
    <mergeCell ref="K350:Q350"/>
    <mergeCell ref="B351:J351"/>
    <mergeCell ref="K351:Q351"/>
    <mergeCell ref="B352:J352"/>
    <mergeCell ref="K352:Q352"/>
    <mergeCell ref="A343:E343"/>
    <mergeCell ref="A344:E344"/>
    <mergeCell ref="A347:J347"/>
    <mergeCell ref="B348:J348"/>
    <mergeCell ref="K348:Q348"/>
    <mergeCell ref="B349:J349"/>
    <mergeCell ref="K349:Q349"/>
    <mergeCell ref="A339:E339"/>
    <mergeCell ref="J339:Q339"/>
    <mergeCell ref="A341:D341"/>
    <mergeCell ref="F341:I341"/>
    <mergeCell ref="J341:N341"/>
    <mergeCell ref="A342:E342"/>
    <mergeCell ref="F342:N342"/>
    <mergeCell ref="A335:E335"/>
    <mergeCell ref="F336:I336"/>
    <mergeCell ref="J337:Q337"/>
    <mergeCell ref="A338:E338"/>
    <mergeCell ref="F338:I338"/>
    <mergeCell ref="J338:Q338"/>
    <mergeCell ref="A332:E332"/>
    <mergeCell ref="F332:N332"/>
    <mergeCell ref="A333:E333"/>
    <mergeCell ref="F333:I333"/>
    <mergeCell ref="J333:N333"/>
    <mergeCell ref="A334:E334"/>
    <mergeCell ref="T324:V324"/>
    <mergeCell ref="A325:M325"/>
    <mergeCell ref="V325:AG325"/>
    <mergeCell ref="A327:P327"/>
    <mergeCell ref="A329:E329"/>
    <mergeCell ref="A330:E330"/>
    <mergeCell ref="T312:V312"/>
    <mergeCell ref="T313:V313"/>
    <mergeCell ref="K314:N316"/>
    <mergeCell ref="AF314:AG316"/>
    <mergeCell ref="T322:V322"/>
    <mergeCell ref="T323:V323"/>
    <mergeCell ref="AC308:AE308"/>
    <mergeCell ref="K309:N309"/>
    <mergeCell ref="T309:V309"/>
    <mergeCell ref="AF309:AG309"/>
    <mergeCell ref="T310:V310"/>
    <mergeCell ref="T311:V311"/>
    <mergeCell ref="B308:D308"/>
    <mergeCell ref="E308:G308"/>
    <mergeCell ref="H308:J308"/>
    <mergeCell ref="T308:V308"/>
    <mergeCell ref="W308:Y308"/>
    <mergeCell ref="Z308:AB308"/>
    <mergeCell ref="Z306:AB306"/>
    <mergeCell ref="AC306:AE306"/>
    <mergeCell ref="AF306:AJ308"/>
    <mergeCell ref="B307:D307"/>
    <mergeCell ref="E307:G307"/>
    <mergeCell ref="H307:J307"/>
    <mergeCell ref="T307:V307"/>
    <mergeCell ref="W307:Y307"/>
    <mergeCell ref="Z307:AB307"/>
    <mergeCell ref="AC307:AE307"/>
    <mergeCell ref="B304:J304"/>
    <mergeCell ref="K304:Q304"/>
    <mergeCell ref="U304:W304"/>
    <mergeCell ref="X304:AF304"/>
    <mergeCell ref="AG304:AM304"/>
    <mergeCell ref="B306:D306"/>
    <mergeCell ref="E306:G306"/>
    <mergeCell ref="H306:J306"/>
    <mergeCell ref="K306:Q308"/>
    <mergeCell ref="W306:Y306"/>
    <mergeCell ref="B302:J302"/>
    <mergeCell ref="K302:Q302"/>
    <mergeCell ref="U302:W302"/>
    <mergeCell ref="X302:AF302"/>
    <mergeCell ref="AG302:AM302"/>
    <mergeCell ref="B303:J303"/>
    <mergeCell ref="K303:Q303"/>
    <mergeCell ref="U303:W303"/>
    <mergeCell ref="X303:AF303"/>
    <mergeCell ref="AG303:AM303"/>
    <mergeCell ref="B300:J300"/>
    <mergeCell ref="K300:Q300"/>
    <mergeCell ref="U300:W300"/>
    <mergeCell ref="X300:AF300"/>
    <mergeCell ref="AG300:AM300"/>
    <mergeCell ref="B301:J301"/>
    <mergeCell ref="K301:Q301"/>
    <mergeCell ref="U301:W301"/>
    <mergeCell ref="X301:AF301"/>
    <mergeCell ref="AG301:AM301"/>
    <mergeCell ref="A295:E295"/>
    <mergeCell ref="V295:AB295"/>
    <mergeCell ref="A296:E296"/>
    <mergeCell ref="V296:AB296"/>
    <mergeCell ref="A299:J299"/>
    <mergeCell ref="U299:AF299"/>
    <mergeCell ref="AC293:AF293"/>
    <mergeCell ref="AG293:AI293"/>
    <mergeCell ref="A294:E294"/>
    <mergeCell ref="F294:N294"/>
    <mergeCell ref="U294:AA294"/>
    <mergeCell ref="AC294:AI294"/>
    <mergeCell ref="A291:E291"/>
    <mergeCell ref="J291:Q291"/>
    <mergeCell ref="V291:AB291"/>
    <mergeCell ref="A293:D293"/>
    <mergeCell ref="F293:I293"/>
    <mergeCell ref="J293:N293"/>
    <mergeCell ref="U293:AA293"/>
    <mergeCell ref="J289:Q289"/>
    <mergeCell ref="AG289:AL289"/>
    <mergeCell ref="A290:E290"/>
    <mergeCell ref="F290:I290"/>
    <mergeCell ref="J290:Q290"/>
    <mergeCell ref="V290:AB290"/>
    <mergeCell ref="AC290:AF290"/>
    <mergeCell ref="AG290:AL290"/>
    <mergeCell ref="A286:E286"/>
    <mergeCell ref="V286:AB286"/>
    <mergeCell ref="A287:E287"/>
    <mergeCell ref="V287:AB287"/>
    <mergeCell ref="F288:I288"/>
    <mergeCell ref="AC288:AF288"/>
    <mergeCell ref="AC284:AI284"/>
    <mergeCell ref="A285:E285"/>
    <mergeCell ref="F285:I285"/>
    <mergeCell ref="J285:N285"/>
    <mergeCell ref="U285:AA285"/>
    <mergeCell ref="AC285:AF285"/>
    <mergeCell ref="AG285:AI285"/>
    <mergeCell ref="A281:E281"/>
    <mergeCell ref="V281:AB281"/>
    <mergeCell ref="A282:E282"/>
    <mergeCell ref="V282:AB282"/>
    <mergeCell ref="A284:E284"/>
    <mergeCell ref="F284:N284"/>
    <mergeCell ref="U284:AB284"/>
    <mergeCell ref="A273:AQ273"/>
    <mergeCell ref="A274:AQ274"/>
    <mergeCell ref="A275:AQ275"/>
    <mergeCell ref="A276:AQ276"/>
    <mergeCell ref="A277:K277"/>
    <mergeCell ref="A279:P279"/>
    <mergeCell ref="S279:AG279"/>
    <mergeCell ref="AH270:AM270"/>
    <mergeCell ref="AN270:AP270"/>
    <mergeCell ref="B271:H271"/>
    <mergeCell ref="I271:L271"/>
    <mergeCell ref="M271:S271"/>
    <mergeCell ref="T271:W271"/>
    <mergeCell ref="X271:AE271"/>
    <mergeCell ref="AF271:AG271"/>
    <mergeCell ref="AH271:AM271"/>
    <mergeCell ref="AN271:AP271"/>
    <mergeCell ref="B270:H270"/>
    <mergeCell ref="I270:L270"/>
    <mergeCell ref="M270:S270"/>
    <mergeCell ref="T270:W270"/>
    <mergeCell ref="X270:AE270"/>
    <mergeCell ref="AF270:AG270"/>
    <mergeCell ref="AN268:AP268"/>
    <mergeCell ref="B269:H269"/>
    <mergeCell ref="I269:L269"/>
    <mergeCell ref="M269:S269"/>
    <mergeCell ref="T269:W269"/>
    <mergeCell ref="X269:AE269"/>
    <mergeCell ref="AF269:AG269"/>
    <mergeCell ref="AH269:AM269"/>
    <mergeCell ref="AN269:AP269"/>
    <mergeCell ref="I268:L268"/>
    <mergeCell ref="M268:S268"/>
    <mergeCell ref="T268:W268"/>
    <mergeCell ref="X268:AE268"/>
    <mergeCell ref="AF268:AG268"/>
    <mergeCell ref="AH268:AM268"/>
    <mergeCell ref="AC266:AE266"/>
    <mergeCell ref="AH266:AJ266"/>
    <mergeCell ref="AK266:AM266"/>
    <mergeCell ref="AN266:AO266"/>
    <mergeCell ref="A267:A268"/>
    <mergeCell ref="B267:L267"/>
    <mergeCell ref="M267:W267"/>
    <mergeCell ref="X267:AG267"/>
    <mergeCell ref="AH267:AP267"/>
    <mergeCell ref="B268:H268"/>
    <mergeCell ref="AH265:AJ265"/>
    <mergeCell ref="AK265:AM265"/>
    <mergeCell ref="AN265:AO265"/>
    <mergeCell ref="B266:E266"/>
    <mergeCell ref="F266:I266"/>
    <mergeCell ref="J266:K266"/>
    <mergeCell ref="M266:Q266"/>
    <mergeCell ref="R266:T266"/>
    <mergeCell ref="U266:V266"/>
    <mergeCell ref="X266:AB266"/>
    <mergeCell ref="AK264:AM264"/>
    <mergeCell ref="AN264:AO264"/>
    <mergeCell ref="B265:E265"/>
    <mergeCell ref="F265:I265"/>
    <mergeCell ref="J265:K265"/>
    <mergeCell ref="M265:Q265"/>
    <mergeCell ref="R265:T265"/>
    <mergeCell ref="U265:V265"/>
    <mergeCell ref="X265:AB265"/>
    <mergeCell ref="AC265:AE265"/>
    <mergeCell ref="AN263:AO263"/>
    <mergeCell ref="B264:E264"/>
    <mergeCell ref="F264:I264"/>
    <mergeCell ref="J264:K264"/>
    <mergeCell ref="M264:Q264"/>
    <mergeCell ref="R264:T264"/>
    <mergeCell ref="U264:V264"/>
    <mergeCell ref="X264:AB264"/>
    <mergeCell ref="AC264:AE264"/>
    <mergeCell ref="AH264:AJ264"/>
    <mergeCell ref="R263:T263"/>
    <mergeCell ref="U263:V263"/>
    <mergeCell ref="X263:AB263"/>
    <mergeCell ref="AC263:AE263"/>
    <mergeCell ref="AH263:AJ263"/>
    <mergeCell ref="AK263:AM263"/>
    <mergeCell ref="A261:AQ261"/>
    <mergeCell ref="A262:A263"/>
    <mergeCell ref="B262:L262"/>
    <mergeCell ref="M262:W262"/>
    <mergeCell ref="X262:AG262"/>
    <mergeCell ref="AH262:AP262"/>
    <mergeCell ref="B263:E263"/>
    <mergeCell ref="F263:I263"/>
    <mergeCell ref="J263:K263"/>
    <mergeCell ref="M263:Q263"/>
    <mergeCell ref="Z193:AB193"/>
    <mergeCell ref="AC193:AE193"/>
    <mergeCell ref="AG227:AK227"/>
    <mergeCell ref="A259:AM259"/>
    <mergeCell ref="AN259:AQ259"/>
    <mergeCell ref="A260:AQ260"/>
    <mergeCell ref="Z192:AB192"/>
    <mergeCell ref="AC192:AE192"/>
    <mergeCell ref="B193:D193"/>
    <mergeCell ref="E193:G193"/>
    <mergeCell ref="H193:J193"/>
    <mergeCell ref="K193:M193"/>
    <mergeCell ref="N193:P193"/>
    <mergeCell ref="Q193:S193"/>
    <mergeCell ref="T193:V193"/>
    <mergeCell ref="W193:Y193"/>
    <mergeCell ref="Z191:AB191"/>
    <mergeCell ref="AC191:AE191"/>
    <mergeCell ref="B192:D192"/>
    <mergeCell ref="E192:G192"/>
    <mergeCell ref="H192:J192"/>
    <mergeCell ref="K192:M192"/>
    <mergeCell ref="N192:P192"/>
    <mergeCell ref="Q192:S192"/>
    <mergeCell ref="T192:V192"/>
    <mergeCell ref="W192:Y192"/>
    <mergeCell ref="Z190:AB190"/>
    <mergeCell ref="AC190:AE190"/>
    <mergeCell ref="B191:D191"/>
    <mergeCell ref="E191:G191"/>
    <mergeCell ref="H191:J191"/>
    <mergeCell ref="K191:M191"/>
    <mergeCell ref="N191:P191"/>
    <mergeCell ref="Q191:S191"/>
    <mergeCell ref="T191:V191"/>
    <mergeCell ref="W191:Y191"/>
    <mergeCell ref="AC189:AE189"/>
    <mergeCell ref="AF189:AQ192"/>
    <mergeCell ref="B190:D190"/>
    <mergeCell ref="E190:G190"/>
    <mergeCell ref="H190:J190"/>
    <mergeCell ref="K190:M190"/>
    <mergeCell ref="N190:P190"/>
    <mergeCell ref="Q190:S190"/>
    <mergeCell ref="T190:V190"/>
    <mergeCell ref="W190:Y190"/>
    <mergeCell ref="B188:AI188"/>
    <mergeCell ref="B189:D189"/>
    <mergeCell ref="E189:G189"/>
    <mergeCell ref="H189:J189"/>
    <mergeCell ref="K189:M189"/>
    <mergeCell ref="N189:P189"/>
    <mergeCell ref="Q189:S189"/>
    <mergeCell ref="T189:V189"/>
    <mergeCell ref="W189:Y189"/>
    <mergeCell ref="Z189:AB189"/>
    <mergeCell ref="Z186:AB187"/>
    <mergeCell ref="AC186:AE187"/>
    <mergeCell ref="AF186:AF187"/>
    <mergeCell ref="AG186:AG187"/>
    <mergeCell ref="AH186:AI187"/>
    <mergeCell ref="B187:D187"/>
    <mergeCell ref="E187:K187"/>
    <mergeCell ref="A186:A187"/>
    <mergeCell ref="B186:D186"/>
    <mergeCell ref="E186:K186"/>
    <mergeCell ref="L186:P187"/>
    <mergeCell ref="R186:V187"/>
    <mergeCell ref="W186:Y187"/>
    <mergeCell ref="Z184:AB185"/>
    <mergeCell ref="AC184:AE185"/>
    <mergeCell ref="AF184:AF185"/>
    <mergeCell ref="AG184:AG185"/>
    <mergeCell ref="AH184:AI185"/>
    <mergeCell ref="B185:D185"/>
    <mergeCell ref="E185:K185"/>
    <mergeCell ref="A184:A185"/>
    <mergeCell ref="B184:D184"/>
    <mergeCell ref="E184:K184"/>
    <mergeCell ref="L184:P185"/>
    <mergeCell ref="R184:V185"/>
    <mergeCell ref="W184:Y185"/>
    <mergeCell ref="Z182:AB183"/>
    <mergeCell ref="AC182:AE183"/>
    <mergeCell ref="AF182:AF183"/>
    <mergeCell ref="AG182:AG183"/>
    <mergeCell ref="AH182:AI183"/>
    <mergeCell ref="B183:D183"/>
    <mergeCell ref="E183:K183"/>
    <mergeCell ref="A182:A183"/>
    <mergeCell ref="B182:D182"/>
    <mergeCell ref="E182:K182"/>
    <mergeCell ref="L182:P183"/>
    <mergeCell ref="R182:V183"/>
    <mergeCell ref="W182:Y183"/>
    <mergeCell ref="Z180:AB181"/>
    <mergeCell ref="AC180:AE181"/>
    <mergeCell ref="AF180:AF181"/>
    <mergeCell ref="AG180:AG181"/>
    <mergeCell ref="AH180:AI181"/>
    <mergeCell ref="B181:D181"/>
    <mergeCell ref="E181:K181"/>
    <mergeCell ref="AG178:AG179"/>
    <mergeCell ref="AH178:AI179"/>
    <mergeCell ref="B179:D179"/>
    <mergeCell ref="E179:K179"/>
    <mergeCell ref="A180:A181"/>
    <mergeCell ref="B180:D180"/>
    <mergeCell ref="E180:K180"/>
    <mergeCell ref="L180:P181"/>
    <mergeCell ref="R180:V181"/>
    <mergeCell ref="W180:Y181"/>
    <mergeCell ref="AH177:AI177"/>
    <mergeCell ref="A178:A179"/>
    <mergeCell ref="B178:D178"/>
    <mergeCell ref="E178:K178"/>
    <mergeCell ref="L178:P179"/>
    <mergeCell ref="R178:V179"/>
    <mergeCell ref="W178:Y179"/>
    <mergeCell ref="Z178:AB179"/>
    <mergeCell ref="AC178:AE179"/>
    <mergeCell ref="AF178:AF179"/>
    <mergeCell ref="C176:H176"/>
    <mergeCell ref="I176:J176"/>
    <mergeCell ref="K176:AI176"/>
    <mergeCell ref="B177:K177"/>
    <mergeCell ref="L177:P177"/>
    <mergeCell ref="Q177:Q187"/>
    <mergeCell ref="R177:V177"/>
    <mergeCell ref="W177:Y177"/>
    <mergeCell ref="Z177:AB177"/>
    <mergeCell ref="AC177:AE177"/>
    <mergeCell ref="Z108:AB108"/>
    <mergeCell ref="AC108:AE108"/>
    <mergeCell ref="AG142:AK142"/>
    <mergeCell ref="A174:AM174"/>
    <mergeCell ref="AN174:AQ174"/>
    <mergeCell ref="A175:AQ175"/>
    <mergeCell ref="Z107:AB107"/>
    <mergeCell ref="AC107:AE107"/>
    <mergeCell ref="B108:D108"/>
    <mergeCell ref="E108:G108"/>
    <mergeCell ref="H108:J108"/>
    <mergeCell ref="K108:M108"/>
    <mergeCell ref="N108:P108"/>
    <mergeCell ref="Q108:S108"/>
    <mergeCell ref="T108:V108"/>
    <mergeCell ref="W108:Y108"/>
    <mergeCell ref="Z106:AB106"/>
    <mergeCell ref="AC106:AE106"/>
    <mergeCell ref="B107:D107"/>
    <mergeCell ref="E107:G107"/>
    <mergeCell ref="H107:J107"/>
    <mergeCell ref="K107:M107"/>
    <mergeCell ref="N107:P107"/>
    <mergeCell ref="Q107:S107"/>
    <mergeCell ref="T107:V107"/>
    <mergeCell ref="W107:Y107"/>
    <mergeCell ref="Z105:AB105"/>
    <mergeCell ref="AC105:AE105"/>
    <mergeCell ref="B106:D106"/>
    <mergeCell ref="E106:G106"/>
    <mergeCell ref="H106:J106"/>
    <mergeCell ref="K106:M106"/>
    <mergeCell ref="N106:P106"/>
    <mergeCell ref="Q106:S106"/>
    <mergeCell ref="T106:V106"/>
    <mergeCell ref="W106:Y106"/>
    <mergeCell ref="AC104:AE104"/>
    <mergeCell ref="AF104:AQ107"/>
    <mergeCell ref="B105:D105"/>
    <mergeCell ref="E105:G105"/>
    <mergeCell ref="H105:J105"/>
    <mergeCell ref="K105:M105"/>
    <mergeCell ref="N105:P105"/>
    <mergeCell ref="Q105:S105"/>
    <mergeCell ref="T105:V105"/>
    <mergeCell ref="W105:Y105"/>
    <mergeCell ref="B103:AI103"/>
    <mergeCell ref="B104:D104"/>
    <mergeCell ref="E104:G104"/>
    <mergeCell ref="H104:J104"/>
    <mergeCell ref="K104:M104"/>
    <mergeCell ref="N104:P104"/>
    <mergeCell ref="Q104:S104"/>
    <mergeCell ref="T104:V104"/>
    <mergeCell ref="W104:Y104"/>
    <mergeCell ref="Z104:AB104"/>
    <mergeCell ref="Z101:AB102"/>
    <mergeCell ref="AC101:AE102"/>
    <mergeCell ref="AF101:AF102"/>
    <mergeCell ref="AG101:AG102"/>
    <mergeCell ref="AH101:AI102"/>
    <mergeCell ref="B102:D102"/>
    <mergeCell ref="E102:K102"/>
    <mergeCell ref="A101:A102"/>
    <mergeCell ref="B101:D101"/>
    <mergeCell ref="E101:K101"/>
    <mergeCell ref="L101:P102"/>
    <mergeCell ref="R101:V102"/>
    <mergeCell ref="W101:Y102"/>
    <mergeCell ref="AC99:AE100"/>
    <mergeCell ref="AF99:AF100"/>
    <mergeCell ref="AG99:AG100"/>
    <mergeCell ref="AH99:AI100"/>
    <mergeCell ref="B100:D100"/>
    <mergeCell ref="E100:K100"/>
    <mergeCell ref="AH97:AI98"/>
    <mergeCell ref="B98:D98"/>
    <mergeCell ref="E98:K98"/>
    <mergeCell ref="A99:A100"/>
    <mergeCell ref="B99:D99"/>
    <mergeCell ref="E99:K99"/>
    <mergeCell ref="L99:P100"/>
    <mergeCell ref="R99:V100"/>
    <mergeCell ref="W99:Y100"/>
    <mergeCell ref="Z99:AB100"/>
    <mergeCell ref="R97:V98"/>
    <mergeCell ref="W97:Y98"/>
    <mergeCell ref="Z97:AB98"/>
    <mergeCell ref="AC97:AE98"/>
    <mergeCell ref="AF97:AF98"/>
    <mergeCell ref="AG97:AG98"/>
    <mergeCell ref="B96:D96"/>
    <mergeCell ref="E96:K96"/>
    <mergeCell ref="A97:A98"/>
    <mergeCell ref="B97:D97"/>
    <mergeCell ref="E97:K97"/>
    <mergeCell ref="L97:P98"/>
    <mergeCell ref="W95:Y96"/>
    <mergeCell ref="Z95:AB96"/>
    <mergeCell ref="AC95:AE96"/>
    <mergeCell ref="AF95:AF96"/>
    <mergeCell ref="AG95:AG96"/>
    <mergeCell ref="AH95:AI96"/>
    <mergeCell ref="AF93:AF94"/>
    <mergeCell ref="AG93:AG94"/>
    <mergeCell ref="AH93:AI94"/>
    <mergeCell ref="B94:D94"/>
    <mergeCell ref="E94:K94"/>
    <mergeCell ref="A95:A96"/>
    <mergeCell ref="B95:D95"/>
    <mergeCell ref="E95:K95"/>
    <mergeCell ref="L95:P96"/>
    <mergeCell ref="R95:V96"/>
    <mergeCell ref="AC92:AE92"/>
    <mergeCell ref="AH92:AI92"/>
    <mergeCell ref="A93:A94"/>
    <mergeCell ref="B93:D93"/>
    <mergeCell ref="E93:K93"/>
    <mergeCell ref="L93:P94"/>
    <mergeCell ref="R93:V94"/>
    <mergeCell ref="W93:Y94"/>
    <mergeCell ref="Z93:AB94"/>
    <mergeCell ref="AC93:AE94"/>
    <mergeCell ref="A90:AQ90"/>
    <mergeCell ref="C91:H91"/>
    <mergeCell ref="I91:J91"/>
    <mergeCell ref="K91:AI91"/>
    <mergeCell ref="B92:K92"/>
    <mergeCell ref="L92:P92"/>
    <mergeCell ref="Q92:Q102"/>
    <mergeCell ref="R92:V92"/>
    <mergeCell ref="W92:Y92"/>
    <mergeCell ref="Z92:AB92"/>
    <mergeCell ref="W23:Y23"/>
    <mergeCell ref="Z23:AB23"/>
    <mergeCell ref="AC23:AE23"/>
    <mergeCell ref="AG57:AK57"/>
    <mergeCell ref="A89:AM89"/>
    <mergeCell ref="AN89:AQ89"/>
    <mergeCell ref="W22:Y22"/>
    <mergeCell ref="Z22:AB22"/>
    <mergeCell ref="AC22:AE22"/>
    <mergeCell ref="B23:D23"/>
    <mergeCell ref="E23:G23"/>
    <mergeCell ref="H23:J23"/>
    <mergeCell ref="K23:M23"/>
    <mergeCell ref="N23:P23"/>
    <mergeCell ref="Q23:S23"/>
    <mergeCell ref="T23:V23"/>
    <mergeCell ref="W21:Y21"/>
    <mergeCell ref="Z21:AB21"/>
    <mergeCell ref="AC21:AE21"/>
    <mergeCell ref="B22:D22"/>
    <mergeCell ref="E22:G22"/>
    <mergeCell ref="H22:J22"/>
    <mergeCell ref="K22:M22"/>
    <mergeCell ref="N22:P22"/>
    <mergeCell ref="Q22:S22"/>
    <mergeCell ref="T22:V22"/>
    <mergeCell ref="W20:Y20"/>
    <mergeCell ref="Z20:AB20"/>
    <mergeCell ref="AC20:AE20"/>
    <mergeCell ref="B21:D21"/>
    <mergeCell ref="E21:G21"/>
    <mergeCell ref="H21:J21"/>
    <mergeCell ref="K21:M21"/>
    <mergeCell ref="N21:P21"/>
    <mergeCell ref="Q21:S21"/>
    <mergeCell ref="T21:V21"/>
    <mergeCell ref="Z19:AB19"/>
    <mergeCell ref="AC19:AE19"/>
    <mergeCell ref="AF19:AQ22"/>
    <mergeCell ref="B20:D20"/>
    <mergeCell ref="E20:G20"/>
    <mergeCell ref="H20:J20"/>
    <mergeCell ref="K20:M20"/>
    <mergeCell ref="N20:P20"/>
    <mergeCell ref="Q20:S20"/>
    <mergeCell ref="T20:V20"/>
    <mergeCell ref="B18:AI18"/>
    <mergeCell ref="AT18:AY19"/>
    <mergeCell ref="B19:D19"/>
    <mergeCell ref="E19:G19"/>
    <mergeCell ref="H19:J19"/>
    <mergeCell ref="K19:M19"/>
    <mergeCell ref="N19:P19"/>
    <mergeCell ref="Q19:S19"/>
    <mergeCell ref="T19:V19"/>
    <mergeCell ref="W19:Y19"/>
    <mergeCell ref="Z16:AB17"/>
    <mergeCell ref="AC16:AE17"/>
    <mergeCell ref="AF16:AF17"/>
    <mergeCell ref="AG16:AG17"/>
    <mergeCell ref="AH16:AI17"/>
    <mergeCell ref="B17:D17"/>
    <mergeCell ref="E17:K17"/>
    <mergeCell ref="A16:A17"/>
    <mergeCell ref="B16:D16"/>
    <mergeCell ref="E16:K16"/>
    <mergeCell ref="L16:P17"/>
    <mergeCell ref="R16:V17"/>
    <mergeCell ref="W16:Y17"/>
    <mergeCell ref="Z14:AB15"/>
    <mergeCell ref="AC14:AE15"/>
    <mergeCell ref="AF14:AF15"/>
    <mergeCell ref="AG14:AG15"/>
    <mergeCell ref="AH14:AI15"/>
    <mergeCell ref="B15:D15"/>
    <mergeCell ref="E15:K15"/>
    <mergeCell ref="A14:A15"/>
    <mergeCell ref="B14:D14"/>
    <mergeCell ref="E14:K14"/>
    <mergeCell ref="L14:P15"/>
    <mergeCell ref="R14:V15"/>
    <mergeCell ref="W14:Y15"/>
    <mergeCell ref="Z12:AB13"/>
    <mergeCell ref="AC12:AE13"/>
    <mergeCell ref="AF12:AF13"/>
    <mergeCell ref="AG12:AG13"/>
    <mergeCell ref="AH12:AI13"/>
    <mergeCell ref="B13:D13"/>
    <mergeCell ref="E13:K13"/>
    <mergeCell ref="A12:A13"/>
    <mergeCell ref="B12:D12"/>
    <mergeCell ref="E12:K12"/>
    <mergeCell ref="L12:P13"/>
    <mergeCell ref="R12:V13"/>
    <mergeCell ref="W12:Y13"/>
    <mergeCell ref="Z10:AB11"/>
    <mergeCell ref="AC10:AE11"/>
    <mergeCell ref="AF10:AF11"/>
    <mergeCell ref="AG10:AG11"/>
    <mergeCell ref="AH10:AI11"/>
    <mergeCell ref="B11:D11"/>
    <mergeCell ref="E11:K11"/>
    <mergeCell ref="A10:A11"/>
    <mergeCell ref="B10:D10"/>
    <mergeCell ref="E10:K10"/>
    <mergeCell ref="L10:P11"/>
    <mergeCell ref="R10:V11"/>
    <mergeCell ref="W10:Y11"/>
    <mergeCell ref="AC8:AE9"/>
    <mergeCell ref="AF8:AF9"/>
    <mergeCell ref="AG8:AG9"/>
    <mergeCell ref="AH8:AI9"/>
    <mergeCell ref="B9:D9"/>
    <mergeCell ref="E9:K9"/>
    <mergeCell ref="Z7:AB7"/>
    <mergeCell ref="AC7:AE7"/>
    <mergeCell ref="AH7:AI7"/>
    <mergeCell ref="A8:A9"/>
    <mergeCell ref="B8:D8"/>
    <mergeCell ref="E8:K8"/>
    <mergeCell ref="L8:P9"/>
    <mergeCell ref="R8:V9"/>
    <mergeCell ref="W8:Y9"/>
    <mergeCell ref="Z8:AB9"/>
    <mergeCell ref="B5:J5"/>
    <mergeCell ref="K5:AE5"/>
    <mergeCell ref="C6:H6"/>
    <mergeCell ref="I6:J6"/>
    <mergeCell ref="K6:AI6"/>
    <mergeCell ref="B7:K7"/>
    <mergeCell ref="L7:P7"/>
    <mergeCell ref="Q7:Q17"/>
    <mergeCell ref="R7:V7"/>
    <mergeCell ref="W7:Y7"/>
    <mergeCell ref="A4:D4"/>
    <mergeCell ref="E4:M4"/>
    <mergeCell ref="N4:Q4"/>
    <mergeCell ref="R4:AA4"/>
    <mergeCell ref="AB4:AE4"/>
    <mergeCell ref="AF4:AI4"/>
    <mergeCell ref="B3:O3"/>
    <mergeCell ref="P3:R3"/>
    <mergeCell ref="S3:X3"/>
    <mergeCell ref="Y3:AD3"/>
    <mergeCell ref="AE3:AF3"/>
    <mergeCell ref="AG3:AI3"/>
    <mergeCell ref="A1:AI1"/>
    <mergeCell ref="AT1:AW1"/>
    <mergeCell ref="AX1:AY1"/>
    <mergeCell ref="A2:I2"/>
    <mergeCell ref="J2:X2"/>
    <mergeCell ref="Y2:AC2"/>
    <mergeCell ref="AD2:AI2"/>
  </mergeCells>
  <conditionalFormatting sqref="A8 A93 A178">
    <cfRule type="expression" dxfId="3978" priority="4" stopIfTrue="1">
      <formula>IF(AK9&gt;0,0,1)</formula>
    </cfRule>
  </conditionalFormatting>
  <conditionalFormatting sqref="A10:A11 A95:A96 A180:A181">
    <cfRule type="expression" dxfId="3977" priority="5" stopIfTrue="1">
      <formula>IF(AK9&gt;1,0,1)</formula>
    </cfRule>
  </conditionalFormatting>
  <conditionalFormatting sqref="A12:A13 A97:A98 A182:A183">
    <cfRule type="expression" dxfId="3976" priority="6" stopIfTrue="1">
      <formula>IF(AK9&gt;2,0,1)</formula>
    </cfRule>
  </conditionalFormatting>
  <conditionalFormatting sqref="A14:A15 A99:A100 A184:A185">
    <cfRule type="expression" dxfId="3975" priority="7" stopIfTrue="1">
      <formula>IF(AK9&gt;3,0,1)</formula>
    </cfRule>
  </conditionalFormatting>
  <conditionalFormatting sqref="A16:A17 A101:A102 A186:A187">
    <cfRule type="expression" dxfId="3974" priority="8" stopIfTrue="1">
      <formula>IF(AK9&gt;4,0,1)</formula>
    </cfRule>
  </conditionalFormatting>
  <conditionalFormatting sqref="B8 B93 B178">
    <cfRule type="expression" dxfId="3973" priority="9" stopIfTrue="1">
      <formula>IF(AK9&gt;0,0,1)</formula>
    </cfRule>
  </conditionalFormatting>
  <conditionalFormatting sqref="B9 B94 B179">
    <cfRule type="expression" dxfId="3972" priority="10" stopIfTrue="1">
      <formula>IF(AK9&gt;0,0,1)</formula>
    </cfRule>
  </conditionalFormatting>
  <conditionalFormatting sqref="B10 B95 B180">
    <cfRule type="expression" dxfId="3971" priority="11" stopIfTrue="1">
      <formula>IF(AK9&gt;1,0,1)</formula>
    </cfRule>
  </conditionalFormatting>
  <conditionalFormatting sqref="B11:D11 B96:D96 B181:D181">
    <cfRule type="expression" dxfId="3970" priority="12" stopIfTrue="1">
      <formula>IF(AK9&gt;1,0,1)</formula>
    </cfRule>
  </conditionalFormatting>
  <conditionalFormatting sqref="B12:D12 B97:D97 B182:D182">
    <cfRule type="expression" dxfId="3969" priority="13" stopIfTrue="1">
      <formula>IF(AK9&gt;2,0,1)</formula>
    </cfRule>
  </conditionalFormatting>
  <conditionalFormatting sqref="B13:D13 B98:D98 B183:D183">
    <cfRule type="expression" dxfId="3968" priority="14" stopIfTrue="1">
      <formula>IF(AK9&gt;2,0,1)</formula>
    </cfRule>
  </conditionalFormatting>
  <conditionalFormatting sqref="B14:D14 B99:D99 B184:D184">
    <cfRule type="expression" dxfId="3967" priority="15" stopIfTrue="1">
      <formula>IF(AK9&gt;3,0,1)</formula>
    </cfRule>
  </conditionalFormatting>
  <conditionalFormatting sqref="B15:D15 B100:D100 B185:D185">
    <cfRule type="expression" dxfId="3966" priority="16" stopIfTrue="1">
      <formula>IF(AK9&gt;3,0,1)</formula>
    </cfRule>
  </conditionalFormatting>
  <conditionalFormatting sqref="B16:D16 B101:D101 B186:D186">
    <cfRule type="expression" dxfId="3965" priority="17" stopIfTrue="1">
      <formula>IF(AK9&gt;4,0,1)</formula>
    </cfRule>
  </conditionalFormatting>
  <conditionalFormatting sqref="B17:D17 B102:D102 B187:D187">
    <cfRule type="expression" dxfId="3964" priority="18" stopIfTrue="1">
      <formula>IF(AK9&gt;4,0,1)</formula>
    </cfRule>
  </conditionalFormatting>
  <conditionalFormatting sqref="E93 E8 E178">
    <cfRule type="expression" dxfId="3963" priority="19" stopIfTrue="1">
      <formula>IF(AK9&gt;0,0,1)</formula>
    </cfRule>
  </conditionalFormatting>
  <conditionalFormatting sqref="E94 E9 E179">
    <cfRule type="expression" dxfId="3962" priority="20" stopIfTrue="1">
      <formula>IF(AK9&gt;0,0,1)</formula>
    </cfRule>
  </conditionalFormatting>
  <conditionalFormatting sqref="E95 E10 E180">
    <cfRule type="expression" dxfId="3961" priority="21" stopIfTrue="1">
      <formula>IF(AK9&gt;1,0,1)</formula>
    </cfRule>
  </conditionalFormatting>
  <conditionalFormatting sqref="E96 E11 E181">
    <cfRule type="expression" dxfId="3960" priority="22" stopIfTrue="1">
      <formula>IF(AK9&gt;1,0,1)</formula>
    </cfRule>
  </conditionalFormatting>
  <conditionalFormatting sqref="E97 E12 E182">
    <cfRule type="expression" dxfId="3959" priority="23" stopIfTrue="1">
      <formula>IF(AK9&gt;2,0,1)</formula>
    </cfRule>
  </conditionalFormatting>
  <conditionalFormatting sqref="E98 E13 E183">
    <cfRule type="expression" dxfId="3958" priority="24" stopIfTrue="1">
      <formula>IF(AK9&gt;2,0,1)</formula>
    </cfRule>
  </conditionalFormatting>
  <conditionalFormatting sqref="E99 E14 E184">
    <cfRule type="expression" dxfId="3957" priority="25" stopIfTrue="1">
      <formula>IF(AK9&gt;3,0,1)</formula>
    </cfRule>
  </conditionalFormatting>
  <conditionalFormatting sqref="E100 E15 E185">
    <cfRule type="expression" dxfId="3956" priority="26" stopIfTrue="1">
      <formula>IF(AK9&gt;3,0,1)</formula>
    </cfRule>
  </conditionalFormatting>
  <conditionalFormatting sqref="E101 E16 E186">
    <cfRule type="expression" dxfId="3955" priority="27" stopIfTrue="1">
      <formula>IF(AK9&gt;4,0,1)</formula>
    </cfRule>
  </conditionalFormatting>
  <conditionalFormatting sqref="E102 E17 E187">
    <cfRule type="expression" dxfId="3954" priority="28" stopIfTrue="1">
      <formula>IF(AK9&gt;4,0,1)</formula>
    </cfRule>
  </conditionalFormatting>
  <conditionalFormatting sqref="AC8 AC93 AC178">
    <cfRule type="expression" dxfId="3953" priority="29" stopIfTrue="1">
      <formula>IF(AK11=1,IF(AK9&gt;0,0,1),1)</formula>
    </cfRule>
  </conditionalFormatting>
  <conditionalFormatting sqref="AC10:AE11 AC95:AE96 AC180:AE181">
    <cfRule type="expression" dxfId="3952" priority="30" stopIfTrue="1">
      <formula>IF(AK11=1,IF(AK9&gt;1,0,1),1)</formula>
    </cfRule>
  </conditionalFormatting>
  <conditionalFormatting sqref="AC12:AE13 AC97:AE98 AC182:AE183">
    <cfRule type="expression" dxfId="3951" priority="31" stopIfTrue="1">
      <formula>IF(AK11=1,IF(AK9&gt;2,0,1),1)</formula>
    </cfRule>
  </conditionalFormatting>
  <conditionalFormatting sqref="AC14:AE15 AC99:AE100 AC184:AE185">
    <cfRule type="expression" dxfId="3950" priority="32" stopIfTrue="1">
      <formula>IF(AK11=1,IF(AK9&gt;3,0,1),1)</formula>
    </cfRule>
  </conditionalFormatting>
  <conditionalFormatting sqref="AC16:AE17 AC101:AE102 AC186:AE187">
    <cfRule type="expression" dxfId="3949" priority="33" stopIfTrue="1">
      <formula>IF(AK11=1,IF(AK9&gt;4,0,1),1)</formula>
    </cfRule>
  </conditionalFormatting>
  <conditionalFormatting sqref="AH8 AH93 AH178">
    <cfRule type="expression" dxfId="3948" priority="34" stopIfTrue="1">
      <formula>IF(AK9&gt;0,0,1)</formula>
    </cfRule>
  </conditionalFormatting>
  <conditionalFormatting sqref="AH10:AI11 AH95:AI96 AH180:AI181">
    <cfRule type="expression" dxfId="3947" priority="35" stopIfTrue="1">
      <formula>IF(AK9&gt;1,0,1)</formula>
    </cfRule>
  </conditionalFormatting>
  <conditionalFormatting sqref="AH12:AI13 AH97:AI98 AH182:AI183">
    <cfRule type="expression" dxfId="3946" priority="36" stopIfTrue="1">
      <formula>IF(AK9&gt;2,0,1)</formula>
    </cfRule>
  </conditionalFormatting>
  <conditionalFormatting sqref="AH14:AI15 AH99:AI100 AH184:AI185">
    <cfRule type="expression" dxfId="3945" priority="37" stopIfTrue="1">
      <formula>IF(AK9&gt;3,0,1)</formula>
    </cfRule>
  </conditionalFormatting>
  <conditionalFormatting sqref="AH16:AI17 AH101:AI102 AH186:AI187">
    <cfRule type="expression" dxfId="3944" priority="38" stopIfTrue="1">
      <formula>IF(AK9&gt;4,0,1)</formula>
    </cfRule>
  </conditionalFormatting>
  <conditionalFormatting sqref="B19:D19 B104:D104 B189:D189">
    <cfRule type="expression" dxfId="3943" priority="39" stopIfTrue="1">
      <formula>IF(AK8&gt;0,0,1)</formula>
    </cfRule>
  </conditionalFormatting>
  <conditionalFormatting sqref="E19:G19 E104:G104 E189:G189">
    <cfRule type="expression" dxfId="3942" priority="40" stopIfTrue="1">
      <formula>IF(AK8&gt;1,0,1)</formula>
    </cfRule>
  </conditionalFormatting>
  <conditionalFormatting sqref="H19:J19 H104:J104 H189:J189">
    <cfRule type="expression" dxfId="3941" priority="41" stopIfTrue="1">
      <formula>IF(AK8&gt;2,0,1)</formula>
    </cfRule>
  </conditionalFormatting>
  <conditionalFormatting sqref="K19:M19 K104:M104 K189:M189">
    <cfRule type="expression" dxfId="3940" priority="42" stopIfTrue="1">
      <formula>IF(AK8&gt;3,0,1)</formula>
    </cfRule>
  </conditionalFormatting>
  <conditionalFormatting sqref="N19:P19 N104:P104 N189:P189">
    <cfRule type="expression" dxfId="3939" priority="43" stopIfTrue="1">
      <formula>IF(AK8&gt;4,0,1)</formula>
    </cfRule>
  </conditionalFormatting>
  <conditionalFormatting sqref="Q19:S19 Q104:S104 Q189:S189">
    <cfRule type="expression" dxfId="3938" priority="44" stopIfTrue="1">
      <formula>IF(AK8&gt;5,0,1)</formula>
    </cfRule>
  </conditionalFormatting>
  <conditionalFormatting sqref="T19:V19 T104:V104 T189:V189">
    <cfRule type="expression" dxfId="3937" priority="45" stopIfTrue="1">
      <formula>IF(AK8&gt;6,0,1)</formula>
    </cfRule>
  </conditionalFormatting>
  <conditionalFormatting sqref="W19:Y19 W104:Y104 W189:Y189">
    <cfRule type="expression" dxfId="3936" priority="46" stopIfTrue="1">
      <formula>IF(AK8&gt;7,0,1)</formula>
    </cfRule>
  </conditionalFormatting>
  <conditionalFormatting sqref="Z19:AB19 Z104:AB104 Z189:AB189">
    <cfRule type="expression" dxfId="3935" priority="47" stopIfTrue="1">
      <formula>IF(AK8&gt;8,0,1)</formula>
    </cfRule>
  </conditionalFormatting>
  <conditionalFormatting sqref="AC19:AE19 AC104:AE104 AC189:AE189">
    <cfRule type="expression" dxfId="3934" priority="48" stopIfTrue="1">
      <formula>IF(AK8&gt;9,0,1)</formula>
    </cfRule>
  </conditionalFormatting>
  <conditionalFormatting sqref="B20:D20 B105:D105 B190:D190">
    <cfRule type="expression" dxfId="3933" priority="49" stopIfTrue="1">
      <formula>IF(AK8&gt;0,0,1)</formula>
    </cfRule>
  </conditionalFormatting>
  <conditionalFormatting sqref="E20:G20 E105:G105 E190:G190">
    <cfRule type="expression" dxfId="3932" priority="50" stopIfTrue="1">
      <formula>IF(AK8&gt;1,0,1)</formula>
    </cfRule>
  </conditionalFormatting>
  <conditionalFormatting sqref="H20:J20 H105:J105 H190:J190">
    <cfRule type="expression" dxfId="3931" priority="51" stopIfTrue="1">
      <formula>IF(AK8&gt;2,0,1)</formula>
    </cfRule>
  </conditionalFormatting>
  <conditionalFormatting sqref="K20:M20 K105:M105 K190:M190">
    <cfRule type="expression" dxfId="3930" priority="52" stopIfTrue="1">
      <formula>IF(AK8&gt;3,0,1)</formula>
    </cfRule>
  </conditionalFormatting>
  <conditionalFormatting sqref="N20:P20 N105:P105 N190:P190">
    <cfRule type="expression" dxfId="3929" priority="53" stopIfTrue="1">
      <formula>IF(AK8&gt;4,0,1)</formula>
    </cfRule>
  </conditionalFormatting>
  <conditionalFormatting sqref="Q20:S20 Q105:S105 Q190:S190">
    <cfRule type="expression" dxfId="3928" priority="54" stopIfTrue="1">
      <formula>IF(AK8&gt;5,0,1)</formula>
    </cfRule>
  </conditionalFormatting>
  <conditionalFormatting sqref="T20:V20 T105:V105 T190:V190">
    <cfRule type="expression" dxfId="3927" priority="55" stopIfTrue="1">
      <formula>IF(AK8&gt;6,0,1)</formula>
    </cfRule>
  </conditionalFormatting>
  <conditionalFormatting sqref="W20:Y20 W105:Y105 W190:Y190">
    <cfRule type="expression" dxfId="3926" priority="56" stopIfTrue="1">
      <formula>IF(AK8&gt;7,0,1)</formula>
    </cfRule>
  </conditionalFormatting>
  <conditionalFormatting sqref="Z20:AB20 Z105:AB105 Z190:AB190">
    <cfRule type="expression" dxfId="3925" priority="57" stopIfTrue="1">
      <formula>IF(AK8&gt;8,0,1)</formula>
    </cfRule>
  </conditionalFormatting>
  <conditionalFormatting sqref="AC20:AE20 AC105:AE105 AC190:AE190">
    <cfRule type="expression" dxfId="3924" priority="58" stopIfTrue="1">
      <formula>IF(AK8&gt;9,0,1)</formula>
    </cfRule>
  </conditionalFormatting>
  <conditionalFormatting sqref="E22:G22 E107:G107 E192:G192">
    <cfRule type="expression" dxfId="3923" priority="59" stopIfTrue="1">
      <formula>IF(AK8&gt;1,0,1)</formula>
    </cfRule>
  </conditionalFormatting>
  <conditionalFormatting sqref="H22:J22 H107:J107 H192:J192">
    <cfRule type="expression" dxfId="3922" priority="60" stopIfTrue="1">
      <formula>IF(AK8&gt;2,0,1)</formula>
    </cfRule>
  </conditionalFormatting>
  <conditionalFormatting sqref="K22:M22 K107:M107 K192:M192">
    <cfRule type="expression" dxfId="3921" priority="61" stopIfTrue="1">
      <formula>IF(AK8&gt;3,0,1)</formula>
    </cfRule>
  </conditionalFormatting>
  <conditionalFormatting sqref="N22:P22 N107:P107 N192:P192">
    <cfRule type="expression" dxfId="3920" priority="62" stopIfTrue="1">
      <formula>IF(AK8&gt;4,0,1)</formula>
    </cfRule>
  </conditionalFormatting>
  <conditionalFormatting sqref="Q22:S22 Q107:S107 Q192:S192">
    <cfRule type="expression" dxfId="3919" priority="63" stopIfTrue="1">
      <formula>IF(AK8&gt;5,0,1)</formula>
    </cfRule>
  </conditionalFormatting>
  <conditionalFormatting sqref="T22:V22 T107:V107 T192:V192">
    <cfRule type="expression" dxfId="3918" priority="64" stopIfTrue="1">
      <formula>IF(AK8&gt;6,0,1)</formula>
    </cfRule>
  </conditionalFormatting>
  <conditionalFormatting sqref="W22:Y22 W107:Y107 W192:Y192">
    <cfRule type="expression" dxfId="3917" priority="65" stopIfTrue="1">
      <formula>IF(AK8&gt;7,0,1)</formula>
    </cfRule>
  </conditionalFormatting>
  <conditionalFormatting sqref="Z22:AB22 Z107:AB107 Z192:AB192">
    <cfRule type="expression" dxfId="3916" priority="66" stopIfTrue="1">
      <formula>IF(AK8&gt;8,0,1)</formula>
    </cfRule>
  </conditionalFormatting>
  <conditionalFormatting sqref="AC22:AE22 AC107:AE107 AC192:AE192">
    <cfRule type="expression" dxfId="3915" priority="67" stopIfTrue="1">
      <formula>IF(AK8&gt;9,0,1)</formula>
    </cfRule>
  </conditionalFormatting>
  <conditionalFormatting sqref="B24 B109 B194">
    <cfRule type="expression" dxfId="3914" priority="68" stopIfTrue="1">
      <formula>IF(AK8&gt;0,0,1)</formula>
    </cfRule>
  </conditionalFormatting>
  <conditionalFormatting sqref="C24 C109 C194">
    <cfRule type="expression" dxfId="3913" priority="69" stopIfTrue="1">
      <formula>IF(AK8&gt;0,0,1)</formula>
    </cfRule>
  </conditionalFormatting>
  <conditionalFormatting sqref="D24 D109 D194">
    <cfRule type="expression" dxfId="3912" priority="70" stopIfTrue="1">
      <formula>IF(AK8&gt;0,0,1)</formula>
    </cfRule>
  </conditionalFormatting>
  <conditionalFormatting sqref="E23:G23 E193:G193 E108:G108">
    <cfRule type="expression" dxfId="3911" priority="71" stopIfTrue="1">
      <formula>IF(AK8&gt;1,0,1)</formula>
    </cfRule>
  </conditionalFormatting>
  <conditionalFormatting sqref="F24 F109 F194">
    <cfRule type="expression" dxfId="3910" priority="72" stopIfTrue="1">
      <formula>IF(AK8&gt;1,0,1)</formula>
    </cfRule>
  </conditionalFormatting>
  <conditionalFormatting sqref="G24 G109 G194">
    <cfRule type="expression" dxfId="3909" priority="73" stopIfTrue="1">
      <formula>IF(AK8&gt;1,0,1)</formula>
    </cfRule>
  </conditionalFormatting>
  <conditionalFormatting sqref="H23:J23 H193:J193 H108:J108">
    <cfRule type="expression" dxfId="3908" priority="74" stopIfTrue="1">
      <formula>IF(AK8&gt;2,0,1)</formula>
    </cfRule>
  </conditionalFormatting>
  <conditionalFormatting sqref="I24 I109 I194">
    <cfRule type="expression" dxfId="3907" priority="75" stopIfTrue="1">
      <formula>IF(AK8&gt;2,0,1)</formula>
    </cfRule>
  </conditionalFormatting>
  <conditionalFormatting sqref="J24 J109 J194">
    <cfRule type="expression" dxfId="3906" priority="76" stopIfTrue="1">
      <formula>IF(AK8&gt;2,0,1)</formula>
    </cfRule>
  </conditionalFormatting>
  <conditionalFormatting sqref="K23:M23 K193:M193 K108:M108">
    <cfRule type="expression" dxfId="3905" priority="77" stopIfTrue="1">
      <formula>IF(AK8&gt;3,0,1)</formula>
    </cfRule>
  </conditionalFormatting>
  <conditionalFormatting sqref="L24 L109 L194">
    <cfRule type="expression" dxfId="3904" priority="78" stopIfTrue="1">
      <formula>IF(AK8&gt;3,0,1)</formula>
    </cfRule>
  </conditionalFormatting>
  <conditionalFormatting sqref="M24 M109 M194">
    <cfRule type="expression" dxfId="3903" priority="79" stopIfTrue="1">
      <formula>IF(AK8&gt;3,0,1)</formula>
    </cfRule>
  </conditionalFormatting>
  <conditionalFormatting sqref="N23:P23 N193:P193 N108:P108">
    <cfRule type="expression" dxfId="3902" priority="80" stopIfTrue="1">
      <formula>IF(AK8&gt;4,0,1)</formula>
    </cfRule>
  </conditionalFormatting>
  <conditionalFormatting sqref="O24 O109 O194">
    <cfRule type="expression" dxfId="3901" priority="81" stopIfTrue="1">
      <formula>IF(AK8&gt;4,0,1)</formula>
    </cfRule>
  </conditionalFormatting>
  <conditionalFormatting sqref="P24 P109 P194">
    <cfRule type="expression" dxfId="3900" priority="82" stopIfTrue="1">
      <formula>IF(AK8&gt;4,0,1)</formula>
    </cfRule>
  </conditionalFormatting>
  <conditionalFormatting sqref="Q23:S23 Q193:S193 Q108:S108">
    <cfRule type="expression" dxfId="3899" priority="83" stopIfTrue="1">
      <formula>IF(AK8&gt;5,0,1)</formula>
    </cfRule>
  </conditionalFormatting>
  <conditionalFormatting sqref="R24 R109 R194">
    <cfRule type="expression" dxfId="3898" priority="84" stopIfTrue="1">
      <formula>IF(AK8&gt;5,0,1)</formula>
    </cfRule>
  </conditionalFormatting>
  <conditionalFormatting sqref="S24 S109 S194">
    <cfRule type="expression" dxfId="3897" priority="85" stopIfTrue="1">
      <formula>IF(AK8&gt;5,0,1)</formula>
    </cfRule>
  </conditionalFormatting>
  <conditionalFormatting sqref="T23:V23 T193:V193 T108:V108">
    <cfRule type="expression" dxfId="3896" priority="86" stopIfTrue="1">
      <formula>IF(AK8&gt;6,0,1)</formula>
    </cfRule>
  </conditionalFormatting>
  <conditionalFormatting sqref="U24 U109 U194">
    <cfRule type="expression" dxfId="3895" priority="87" stopIfTrue="1">
      <formula>IF(AK8&gt;6,0,1)</formula>
    </cfRule>
  </conditionalFormatting>
  <conditionalFormatting sqref="V24 V109 V194">
    <cfRule type="expression" dxfId="3894" priority="88" stopIfTrue="1">
      <formula>IF(AK8&gt;6,0,1)</formula>
    </cfRule>
  </conditionalFormatting>
  <conditionalFormatting sqref="W23:Y23 W193:Y193 W108:Y108">
    <cfRule type="expression" dxfId="3893" priority="89" stopIfTrue="1">
      <formula>IF(AK8&gt;7,0,1)</formula>
    </cfRule>
  </conditionalFormatting>
  <conditionalFormatting sqref="X24 X109 X194">
    <cfRule type="expression" dxfId="3892" priority="90" stopIfTrue="1">
      <formula>IF(AK8&gt;7,0,1)</formula>
    </cfRule>
  </conditionalFormatting>
  <conditionalFormatting sqref="Y24 Y109 Y194">
    <cfRule type="expression" dxfId="3891" priority="91" stopIfTrue="1">
      <formula>IF(AK8&gt;7,0,1)</formula>
    </cfRule>
  </conditionalFormatting>
  <conditionalFormatting sqref="Z23:AB23 Z193:AB193 Z108:AB108">
    <cfRule type="expression" dxfId="3890" priority="92" stopIfTrue="1">
      <formula>IF(AK8&gt;8,0,1)</formula>
    </cfRule>
  </conditionalFormatting>
  <conditionalFormatting sqref="AA24 AA109 AA194">
    <cfRule type="expression" dxfId="3889" priority="93" stopIfTrue="1">
      <formula>IF(AK8&gt;8,0,1)</formula>
    </cfRule>
  </conditionalFormatting>
  <conditionalFormatting sqref="AB24 AB109 AB194">
    <cfRule type="expression" dxfId="3888" priority="94" stopIfTrue="1">
      <formula>IF(AK8&gt;8,0,1)</formula>
    </cfRule>
  </conditionalFormatting>
  <conditionalFormatting sqref="AC23:AE23 AC193:AE193 AC108:AE108">
    <cfRule type="expression" dxfId="3887" priority="95" stopIfTrue="1">
      <formula>IF(AK8&gt;9,0,1)</formula>
    </cfRule>
  </conditionalFormatting>
  <conditionalFormatting sqref="AD24 AD109 AD194">
    <cfRule type="expression" dxfId="3886" priority="96" stopIfTrue="1">
      <formula>IF(AK8&gt;9,0,1)</formula>
    </cfRule>
  </conditionalFormatting>
  <conditionalFormatting sqref="AE24 AE109 AE194">
    <cfRule type="expression" dxfId="3885" priority="97" stopIfTrue="1">
      <formula>IF(AK8&gt;9,0,1)</formula>
    </cfRule>
  </conditionalFormatting>
  <conditionalFormatting sqref="A26 A111 A196">
    <cfRule type="expression" dxfId="3884" priority="98" stopIfTrue="1">
      <formula>IF(AK7&gt;1,0,1)</formula>
    </cfRule>
  </conditionalFormatting>
  <conditionalFormatting sqref="A27 A112 A197">
    <cfRule type="expression" dxfId="3883" priority="99" stopIfTrue="1">
      <formula>IF(AK7&gt;2,0,1)</formula>
    </cfRule>
  </conditionalFormatting>
  <conditionalFormatting sqref="A28 A113 A198">
    <cfRule type="expression" dxfId="3882" priority="100" stopIfTrue="1">
      <formula>IF(AK7&gt;3,0,1)</formula>
    </cfRule>
  </conditionalFormatting>
  <conditionalFormatting sqref="A29 A114 A199">
    <cfRule type="expression" dxfId="3881" priority="101" stopIfTrue="1">
      <formula>IF(AK7&gt;4,0,1)</formula>
    </cfRule>
  </conditionalFormatting>
  <conditionalFormatting sqref="B25:D25 B110:D110 B195:D195">
    <cfRule type="expression" dxfId="3880" priority="102" stopIfTrue="1">
      <formula>IF($AK8&gt;0,0,1)</formula>
    </cfRule>
  </conditionalFormatting>
  <conditionalFormatting sqref="B26:D26 B111:D111 B196:D196">
    <cfRule type="expression" dxfId="3879" priority="103" stopIfTrue="1">
      <formula>IF($AK8&lt;1,1,IF($AK7&lt;2,1,0))</formula>
    </cfRule>
  </conditionalFormatting>
  <conditionalFormatting sqref="B27:D27 B112:D112 B197:D197">
    <cfRule type="expression" dxfId="3878" priority="104" stopIfTrue="1">
      <formula>IF($AK8&lt;1,1,IF($AK7&lt;3,1,0))</formula>
    </cfRule>
  </conditionalFormatting>
  <conditionalFormatting sqref="B28:D28 B113:D113 B198:D198">
    <cfRule type="expression" dxfId="3877" priority="105" stopIfTrue="1">
      <formula>IF($AK8&lt;1,1,IF($AK7&lt;4,1,0))</formula>
    </cfRule>
  </conditionalFormatting>
  <conditionalFormatting sqref="B29:D29 B114:D114 B199:D199">
    <cfRule type="expression" dxfId="3876" priority="106" stopIfTrue="1">
      <formula>IF($AK8&lt;1,1,IF($AK7&lt;5,1,0))</formula>
    </cfRule>
  </conditionalFormatting>
  <conditionalFormatting sqref="AG23 AG108 AG193">
    <cfRule type="expression" dxfId="3875" priority="107" stopIfTrue="1">
      <formula>IF($AK8&lt;1,1,0)</formula>
    </cfRule>
  </conditionalFormatting>
  <conditionalFormatting sqref="AH23 AH108 AH193">
    <cfRule type="expression" dxfId="3874" priority="108" stopIfTrue="1">
      <formula>IF($AK8&lt;2,1,0)</formula>
    </cfRule>
  </conditionalFormatting>
  <conditionalFormatting sqref="AI23 AI108 AI193">
    <cfRule type="expression" dxfId="3873" priority="109" stopIfTrue="1">
      <formula>IF($AK8&lt;3,1,0)</formula>
    </cfRule>
  </conditionalFormatting>
  <conditionalFormatting sqref="AJ23 AJ108 AJ193">
    <cfRule type="expression" dxfId="3872" priority="110" stopIfTrue="1">
      <formula>IF($AK8&lt;4,1,0)</formula>
    </cfRule>
  </conditionalFormatting>
  <conditionalFormatting sqref="AK23 AK108 AK193">
    <cfRule type="expression" dxfId="3871" priority="111" stopIfTrue="1">
      <formula>IF($AK8&lt;5,1,0)</formula>
    </cfRule>
  </conditionalFormatting>
  <conditionalFormatting sqref="AL23 AL108 AL193">
    <cfRule type="expression" dxfId="3870" priority="112" stopIfTrue="1">
      <formula>IF($AK8&lt;6,1,0)</formula>
    </cfRule>
  </conditionalFormatting>
  <conditionalFormatting sqref="AM23 AM108 AM193">
    <cfRule type="expression" dxfId="3869" priority="113" stopIfTrue="1">
      <formula>IF($AK8&lt;7,1,0)</formula>
    </cfRule>
  </conditionalFormatting>
  <conditionalFormatting sqref="AN23 AN108 AN193">
    <cfRule type="expression" dxfId="3868" priority="114" stopIfTrue="1">
      <formula>IF($AK8&lt;8,1,0)</formula>
    </cfRule>
  </conditionalFormatting>
  <conditionalFormatting sqref="AO23 AO108 AO193">
    <cfRule type="expression" dxfId="3867" priority="115" stopIfTrue="1">
      <formula>IF($AK8&lt;9,1,0)</formula>
    </cfRule>
  </conditionalFormatting>
  <conditionalFormatting sqref="AP23 AP108 AP193">
    <cfRule type="expression" dxfId="3866" priority="116" stopIfTrue="1">
      <formula>IF($AK8&lt;10,1,0)</formula>
    </cfRule>
  </conditionalFormatting>
  <conditionalFormatting sqref="AQ24 AQ109 AQ194">
    <cfRule type="expression" dxfId="3865" priority="117" stopIfTrue="1">
      <formula>IF($AK9&gt;0,0,1)</formula>
    </cfRule>
  </conditionalFormatting>
  <conditionalFormatting sqref="AQ25 AQ110 AQ195">
    <cfRule type="expression" dxfId="3864" priority="118" stopIfTrue="1">
      <formula>IF($AK9&gt;1,0,1)</formula>
    </cfRule>
  </conditionalFormatting>
  <conditionalFormatting sqref="AQ26 H25:J25 AQ111 H110:J110 AQ196 H195:J195">
    <cfRule type="expression" dxfId="3863" priority="119" stopIfTrue="1">
      <formula>IF($AK8&gt;2,0,1)</formula>
    </cfRule>
  </conditionalFormatting>
  <conditionalFormatting sqref="K110:M110 K25:M25 K195:M195">
    <cfRule type="expression" dxfId="3862" priority="120" stopIfTrue="1">
      <formula>IF($AK8&gt;3,0,1)</formula>
    </cfRule>
  </conditionalFormatting>
  <conditionalFormatting sqref="AQ28 AQ113 AQ198">
    <cfRule type="expression" dxfId="3861" priority="121" stopIfTrue="1">
      <formula>IF($AK9&gt;4,0,1)</formula>
    </cfRule>
  </conditionalFormatting>
  <conditionalFormatting sqref="E26:G26 E111:G111 E196:G196">
    <cfRule type="expression" dxfId="3860" priority="122" stopIfTrue="1">
      <formula>IF($AK8&lt;2,1,IF($AK7&lt;2,1,0))</formula>
    </cfRule>
  </conditionalFormatting>
  <conditionalFormatting sqref="E27:G27 E112:G112 E197:G197">
    <cfRule type="expression" dxfId="3859" priority="123" stopIfTrue="1">
      <formula>IF($AK8&lt;2,1,IF($AK7&lt;3,1,0))</formula>
    </cfRule>
  </conditionalFormatting>
  <conditionalFormatting sqref="E28:G28 E113:G113 E198:G198">
    <cfRule type="expression" dxfId="3858" priority="124" stopIfTrue="1">
      <formula>IF($AK8&lt;2,1,IF($AK7&lt;4,1,0))</formula>
    </cfRule>
  </conditionalFormatting>
  <conditionalFormatting sqref="E29:G29 E114:G114 E199:G199">
    <cfRule type="expression" dxfId="3857" priority="125" stopIfTrue="1">
      <formula>IF($AK8&lt;2,1,IF($AK7&lt;5,1,0))</formula>
    </cfRule>
  </conditionalFormatting>
  <conditionalFormatting sqref="N25:P25 N110:P110 N195:P195">
    <cfRule type="expression" dxfId="3856" priority="126" stopIfTrue="1">
      <formula>IF($AK8&gt;4,0,1)</formula>
    </cfRule>
  </conditionalFormatting>
  <conditionalFormatting sqref="Q25:S25 Q110:S110 Q195:S195">
    <cfRule type="expression" dxfId="3855" priority="127" stopIfTrue="1">
      <formula>IF($AK8&gt;5,0,1)</formula>
    </cfRule>
  </conditionalFormatting>
  <conditionalFormatting sqref="T25:V25 T110:V110 T195:V195">
    <cfRule type="expression" dxfId="3854" priority="128" stopIfTrue="1">
      <formula>IF($AK8&gt;6,0,1)</formula>
    </cfRule>
  </conditionalFormatting>
  <conditionalFormatting sqref="W25:Y25 W110:Y110 W195:Y195">
    <cfRule type="expression" dxfId="3853" priority="129" stopIfTrue="1">
      <formula>IF($AK8&gt;7,0,1)</formula>
    </cfRule>
  </conditionalFormatting>
  <conditionalFormatting sqref="Z25:AB25 Z110:AB110 Z195:AB195">
    <cfRule type="expression" dxfId="3852" priority="130" stopIfTrue="1">
      <formula>IF($AK8&gt;8,0,1)</formula>
    </cfRule>
  </conditionalFormatting>
  <conditionalFormatting sqref="AC25:AE25 AC110:AE110 AC195:AE195">
    <cfRule type="expression" dxfId="3851" priority="131" stopIfTrue="1">
      <formula>IF($AK8&gt;9,0,1)</formula>
    </cfRule>
  </conditionalFormatting>
  <conditionalFormatting sqref="H26:J26 H111:J111 H196:J196">
    <cfRule type="expression" dxfId="3850" priority="132" stopIfTrue="1">
      <formula>IF($AK8&lt;3,1,IF($AK7&lt;2,1,0))</formula>
    </cfRule>
  </conditionalFormatting>
  <conditionalFormatting sqref="K26:M26 K111:M111 K196:M196">
    <cfRule type="expression" dxfId="3849" priority="133" stopIfTrue="1">
      <formula>IF($AK8&lt;4,1,IF($AK7&lt;2,1,0))</formula>
    </cfRule>
  </conditionalFormatting>
  <conditionalFormatting sqref="N26:P26 N111:P111 N196:P196">
    <cfRule type="expression" dxfId="3848" priority="134" stopIfTrue="1">
      <formula>IF($AK8&lt;5,1,IF($AK7&lt;2,1,0))</formula>
    </cfRule>
  </conditionalFormatting>
  <conditionalFormatting sqref="Q26:S26 Q111:S111 Q196:S196">
    <cfRule type="expression" dxfId="3847" priority="135" stopIfTrue="1">
      <formula>IF($AK8&lt;6,1,IF($AK7&lt;2,1,0))</formula>
    </cfRule>
  </conditionalFormatting>
  <conditionalFormatting sqref="T26:V26 T111:V111 T196:V196">
    <cfRule type="expression" dxfId="3846" priority="136" stopIfTrue="1">
      <formula>IF($AK8&lt;7,1,IF($AK7&lt;2,1,0))</formula>
    </cfRule>
  </conditionalFormatting>
  <conditionalFormatting sqref="W26:Y26 W111:Y111 W196:Y196">
    <cfRule type="expression" dxfId="3845" priority="137" stopIfTrue="1">
      <formula>IF($AK8&lt;8,1,IF($AK7&lt;2,1,0))</formula>
    </cfRule>
  </conditionalFormatting>
  <conditionalFormatting sqref="Z26:AB26 Z111:AB111 Z196:AB196">
    <cfRule type="expression" dxfId="3844" priority="138" stopIfTrue="1">
      <formula>IF($AK8&lt;9,1,IF($AK7&lt;2,1,0))</formula>
    </cfRule>
  </conditionalFormatting>
  <conditionalFormatting sqref="AC26:AE26 AC111:AE111 AC196:AE196">
    <cfRule type="expression" dxfId="3843" priority="139" stopIfTrue="1">
      <formula>IF($AK8&lt;10,1,IF($AK7&lt;2,1,0))</formula>
    </cfRule>
  </conditionalFormatting>
  <conditionalFormatting sqref="H27:J27 H112:J112 H197:J197">
    <cfRule type="expression" dxfId="3842" priority="140" stopIfTrue="1">
      <formula>IF($AK8&lt;3,1,IF($AK7&lt;3,1,0))</formula>
    </cfRule>
  </conditionalFormatting>
  <conditionalFormatting sqref="K27:M27 K112:M112 K197:M197">
    <cfRule type="expression" dxfId="3841" priority="141" stopIfTrue="1">
      <formula>IF($AK8&lt;4,1,IF($AK7&lt;3,1,0))</formula>
    </cfRule>
  </conditionalFormatting>
  <conditionalFormatting sqref="N27:P27 N112:P112 N197:P197">
    <cfRule type="expression" dxfId="3840" priority="142" stopIfTrue="1">
      <formula>IF($AK8&lt;5,1,IF($AK7&lt;3,1,0))</formula>
    </cfRule>
  </conditionalFormatting>
  <conditionalFormatting sqref="Q27:S27 Q112:S112 Q197:S197">
    <cfRule type="expression" dxfId="3839" priority="143" stopIfTrue="1">
      <formula>IF($AK8&lt;6,1,IF($AK7&lt;3,1,0))</formula>
    </cfRule>
  </conditionalFormatting>
  <conditionalFormatting sqref="T27:V27 T112:V112 T197:V197">
    <cfRule type="expression" dxfId="3838" priority="144" stopIfTrue="1">
      <formula>IF($AK8&lt;7,1,IF($AK7&lt;3,1,0))</formula>
    </cfRule>
  </conditionalFormatting>
  <conditionalFormatting sqref="W27:Y27 W112:Y112 W197:Y197">
    <cfRule type="expression" dxfId="3837" priority="145" stopIfTrue="1">
      <formula>IF($AK8&lt;8,1,IF($AK7&lt;3,1,0))</formula>
    </cfRule>
  </conditionalFormatting>
  <conditionalFormatting sqref="Z27:AB27 Z112:AB112 Z197:AB197">
    <cfRule type="expression" dxfId="3836" priority="146" stopIfTrue="1">
      <formula>IF($AK8&lt;9,1,IF($AK7&lt;3,1,0))</formula>
    </cfRule>
  </conditionalFormatting>
  <conditionalFormatting sqref="AC27:AE27 AC112:AE112 AC197:AE197">
    <cfRule type="expression" dxfId="3835" priority="147" stopIfTrue="1">
      <formula>IF($AK8&lt;10,1,IF($AK7&lt;3,1,0))</formula>
    </cfRule>
  </conditionalFormatting>
  <conditionalFormatting sqref="H28:J28 H113:J113 H198:J198">
    <cfRule type="expression" dxfId="3834" priority="148" stopIfTrue="1">
      <formula>IF($AK8&lt;3,1,IF($AK7&lt;4,1,0))</formula>
    </cfRule>
  </conditionalFormatting>
  <conditionalFormatting sqref="K28:M28 K113:M113 K198:M198">
    <cfRule type="expression" dxfId="3833" priority="149" stopIfTrue="1">
      <formula>IF($AK8&lt;4,1,IF($AK7&lt;4,1,0))</formula>
    </cfRule>
  </conditionalFormatting>
  <conditionalFormatting sqref="N28:P28 N113:P113 N198:P198">
    <cfRule type="expression" dxfId="3832" priority="150" stopIfTrue="1">
      <formula>IF($AK8&lt;5,1,IF($AK7&lt;4,1,0))</formula>
    </cfRule>
  </conditionalFormatting>
  <conditionalFormatting sqref="Q28:S28 Q113:S113 Q198:S198">
    <cfRule type="expression" dxfId="3831" priority="151" stopIfTrue="1">
      <formula>IF($AK8&lt;6,1,IF($AK7&lt;4,1,0))</formula>
    </cfRule>
  </conditionalFormatting>
  <conditionalFormatting sqref="T28:V28 T113:V113 T198:V198">
    <cfRule type="expression" dxfId="3830" priority="152" stopIfTrue="1">
      <formula>IF($AK8&lt;7,1,IF($AK7&lt;4,1,0))</formula>
    </cfRule>
  </conditionalFormatting>
  <conditionalFormatting sqref="W28:Y28 W113:Y113 W198:Y198">
    <cfRule type="expression" dxfId="3829" priority="153" stopIfTrue="1">
      <formula>IF($AK8&lt;8,1,IF($AK7&lt;4,1,0))</formula>
    </cfRule>
  </conditionalFormatting>
  <conditionalFormatting sqref="Z28:AB28 Z113:AB113 Z198:AB198">
    <cfRule type="expression" dxfId="3828" priority="154" stopIfTrue="1">
      <formula>IF($AK8&lt;9,1,IF($AK7&lt;4,1,0))</formula>
    </cfRule>
  </conditionalFormatting>
  <conditionalFormatting sqref="AC28:AE28 AC113:AE113 AC198:AE198">
    <cfRule type="expression" dxfId="3827" priority="155" stopIfTrue="1">
      <formula>IF($AK8&lt;10,1,IF($AK7&lt;4,1,0))</formula>
    </cfRule>
  </conditionalFormatting>
  <conditionalFormatting sqref="H29:J29 H114:J114 H199:J199">
    <cfRule type="expression" dxfId="3826" priority="156" stopIfTrue="1">
      <formula>IF($AK8&lt;3,1,IF($AK7&lt;5,1,0))</formula>
    </cfRule>
  </conditionalFormatting>
  <conditionalFormatting sqref="K29:M29 K114:M114 K199:M199">
    <cfRule type="expression" dxfId="3825" priority="157" stopIfTrue="1">
      <formula>IF($AK8&lt;4,1,IF($AK7&lt;5,1,0))</formula>
    </cfRule>
  </conditionalFormatting>
  <conditionalFormatting sqref="N29:P29 N114:P114 N199:P199">
    <cfRule type="expression" dxfId="3824" priority="158" stopIfTrue="1">
      <formula>IF($AK8&lt;5,1,IF($AK7&lt;5,1,0))</formula>
    </cfRule>
  </conditionalFormatting>
  <conditionalFormatting sqref="Q29:S29 Q114:S114 Q199:S199">
    <cfRule type="expression" dxfId="3823" priority="159" stopIfTrue="1">
      <formula>IF($AK8&lt;6,1,IF($AK7&lt;5,1,0))</formula>
    </cfRule>
  </conditionalFormatting>
  <conditionalFormatting sqref="T29:V29 T114:V114 T199:V199">
    <cfRule type="expression" dxfId="3822" priority="160" stopIfTrue="1">
      <formula>IF($AK8&lt;7,1,IF($AK7&lt;5,1,0))</formula>
    </cfRule>
  </conditionalFormatting>
  <conditionalFormatting sqref="W29:Y29 W114:Y114 W199:Y199">
    <cfRule type="expression" dxfId="3821" priority="161" stopIfTrue="1">
      <formula>IF($AK8&lt;8,1,IF($AK7&lt;5,1,0))</formula>
    </cfRule>
  </conditionalFormatting>
  <conditionalFormatting sqref="Z29:AB29 Z114:AB114 Z199:AB199">
    <cfRule type="expression" dxfId="3820" priority="162" stopIfTrue="1">
      <formula>IF($AK8&lt;9,1,IF($AK7&lt;5,1,0))</formula>
    </cfRule>
  </conditionalFormatting>
  <conditionalFormatting sqref="AC29:AE29 AC114:AE114 AC199:AE199">
    <cfRule type="expression" dxfId="3819" priority="163" stopIfTrue="1">
      <formula>IF($AK8&lt;10,1,IF($AK7&lt;5,1,0))</formula>
    </cfRule>
  </conditionalFormatting>
  <conditionalFormatting sqref="R99:AB100 AF99:AF100 L99:P100 R14:AB15 AF14:AF15 L14:P15 R184:AB185 AF184:AF185 L184:P185 AG14 AG99 AG184">
    <cfRule type="expression" dxfId="3818" priority="164" stopIfTrue="1">
      <formula>IF($AK9&gt;3,0,1)</formula>
    </cfRule>
  </conditionalFormatting>
  <conditionalFormatting sqref="R101:AB102 AF101:AF102 L101:P102 R16:AB17 AF16:AF17 L16:P17 R186:AB187 AF186:AF187 L186:P187 AG16 AG101 AG186">
    <cfRule type="expression" dxfId="3817" priority="165" stopIfTrue="1">
      <formula>IF($AK9&gt;4,0,1)</formula>
    </cfRule>
  </conditionalFormatting>
  <conditionalFormatting sqref="R93:AB94 AF93:AF94 L93:P94 R8:AB9 AF8:AF9 L8:P9 R178:AB179 AF178:AF179 L178:P179 AG8 AG93 AG178">
    <cfRule type="expression" dxfId="3816" priority="166" stopIfTrue="1">
      <formula>IF($AK9&gt;0,0,1)</formula>
    </cfRule>
  </conditionalFormatting>
  <conditionalFormatting sqref="R95:AB96 AF95:AF96 L95:P96 R10:AB11 AF10:AF11 L10:P11 R180:AB181 AF180:AF181 L180:P181 AG10 AG95 AG180">
    <cfRule type="expression" dxfId="3815" priority="167" stopIfTrue="1">
      <formula>IF($AK9&gt;1,0,1)</formula>
    </cfRule>
  </conditionalFormatting>
  <conditionalFormatting sqref="R97:AB98 AF97:AF98 L97:P98 R12:AB13 AF12:AF13 L12:P13 R182:AB183 AF182:AF183 L182:P183 AG12 AG97 AG182">
    <cfRule type="expression" dxfId="3814" priority="168" stopIfTrue="1">
      <formula>IF($AK9&gt;2,0,1)</formula>
    </cfRule>
  </conditionalFormatting>
  <conditionalFormatting sqref="E109 E24 E194">
    <cfRule type="expression" dxfId="3813" priority="169" stopIfTrue="1">
      <formula>IF(AK8&gt;1,0,1)</formula>
    </cfRule>
  </conditionalFormatting>
  <conditionalFormatting sqref="H109 H24 H194">
    <cfRule type="expression" dxfId="3812" priority="170" stopIfTrue="1">
      <formula>IF(AK8&gt;2,0,1)</formula>
    </cfRule>
  </conditionalFormatting>
  <conditionalFormatting sqref="K109 K24 K194">
    <cfRule type="expression" dxfId="3811" priority="171" stopIfTrue="1">
      <formula>IF(AK8&gt;3,0,1)</formula>
    </cfRule>
  </conditionalFormatting>
  <conditionalFormatting sqref="N109 N24 N194">
    <cfRule type="expression" dxfId="3810" priority="172" stopIfTrue="1">
      <formula>IF(AK8&gt;4,0,1)</formula>
    </cfRule>
  </conditionalFormatting>
  <conditionalFormatting sqref="Q109 Q24 Q194">
    <cfRule type="expression" dxfId="3809" priority="173" stopIfTrue="1">
      <formula>IF(AK8&gt;5,0,1)</formula>
    </cfRule>
  </conditionalFormatting>
  <conditionalFormatting sqref="T109 T24 T194">
    <cfRule type="expression" dxfId="3808" priority="174" stopIfTrue="1">
      <formula>IF(AK8&gt;6,0,1)</formula>
    </cfRule>
  </conditionalFormatting>
  <conditionalFormatting sqref="W109 W24 W194">
    <cfRule type="expression" dxfId="3807" priority="175" stopIfTrue="1">
      <formula>IF(AK8&gt;7,0,1)</formula>
    </cfRule>
  </conditionalFormatting>
  <conditionalFormatting sqref="Z109 Z24 Z194">
    <cfRule type="expression" dxfId="3806" priority="176" stopIfTrue="1">
      <formula>IF(AK8&gt;8,0,1)</formula>
    </cfRule>
  </conditionalFormatting>
  <conditionalFormatting sqref="AC109 AC24 AC194">
    <cfRule type="expression" dxfId="3805" priority="177" stopIfTrue="1">
      <formula>IF(AK8&gt;9,0,1)</formula>
    </cfRule>
  </conditionalFormatting>
  <conditionalFormatting sqref="AQ112 AQ27 AQ197">
    <cfRule type="expression" dxfId="3804" priority="178" stopIfTrue="1">
      <formula>IF($AK9&gt;3,0,1)</formula>
    </cfRule>
  </conditionalFormatting>
  <conditionalFormatting sqref="E110:G110 E25:G25 E195:G195">
    <cfRule type="expression" dxfId="3803" priority="179" stopIfTrue="1">
      <formula>IF($AK8&gt;1,0,1)</formula>
    </cfRule>
  </conditionalFormatting>
  <conditionalFormatting sqref="B106:D106 B21:D21 B191:D191">
    <cfRule type="expression" dxfId="3802" priority="180" stopIfTrue="1">
      <formula>IF(AK8&gt;0,0,1)</formula>
    </cfRule>
  </conditionalFormatting>
  <conditionalFormatting sqref="E106:G106 E21:G21 E191:G191">
    <cfRule type="expression" dxfId="3801" priority="181" stopIfTrue="1">
      <formula>IF(AK8&gt;1,0,1)</formula>
    </cfRule>
  </conditionalFormatting>
  <conditionalFormatting sqref="H106:J106 H21:J21 H191:J191">
    <cfRule type="expression" dxfId="3800" priority="182" stopIfTrue="1">
      <formula>IF(AK8&gt;2,0,1)</formula>
    </cfRule>
  </conditionalFormatting>
  <conditionalFormatting sqref="K106:M106 K21:M21 K191:M191">
    <cfRule type="expression" dxfId="3799" priority="183" stopIfTrue="1">
      <formula>IF(AK8&gt;3,0,1)</formula>
    </cfRule>
  </conditionalFormatting>
  <conditionalFormatting sqref="N106:P106 N21:P21 N191:P191">
    <cfRule type="expression" dxfId="3798" priority="184" stopIfTrue="1">
      <formula>IF(AK8&gt;4,0,1)</formula>
    </cfRule>
  </conditionalFormatting>
  <conditionalFormatting sqref="Q106:S106 Q21:S21 Q191:S191">
    <cfRule type="expression" dxfId="3797" priority="185" stopIfTrue="1">
      <formula>IF(AK8&gt;5,0,1)</formula>
    </cfRule>
  </conditionalFormatting>
  <conditionalFormatting sqref="T106:V106 T21:V21 T191:V191">
    <cfRule type="expression" dxfId="3796" priority="186" stopIfTrue="1">
      <formula>IF(AK8&gt;6,0,1)</formula>
    </cfRule>
  </conditionalFormatting>
  <conditionalFormatting sqref="W106:Y106 W21:Y21 W191:Y191">
    <cfRule type="expression" dxfId="3795" priority="187" stopIfTrue="1">
      <formula>IF(AK8&gt;7,0,1)</formula>
    </cfRule>
  </conditionalFormatting>
  <conditionalFormatting sqref="Z106:AB106 Z21:AB21 Z191:AB191">
    <cfRule type="expression" dxfId="3794" priority="188" stopIfTrue="1">
      <formula>IF(AK8&gt;8,0,1)</formula>
    </cfRule>
  </conditionalFormatting>
  <conditionalFormatting sqref="AC106:AE106 AC21:AE21 AC191:AE191">
    <cfRule type="expression" dxfId="3793" priority="189" stopIfTrue="1">
      <formula>IF(AK8&gt;9,0,1)</formula>
    </cfRule>
  </conditionalFormatting>
  <conditionalFormatting sqref="W309:Y314 Z310:AE313 AA314:AA316 I314:I316 C315:C316 B306:B307 C306:D306 B309:D314 E310:J313 F314:F316 AD314:AD316 I362:I364 W306:W307 X306:Y306 X357:Z358 Y359:Y360 AB358:AB360 X354:X355 AE358:AE360 C363:C364 B354:B355 C354:D354 B357:D362 E358:J361 X315:X316 F362:F364">
    <cfRule type="expression" dxfId="3792" priority="190" stopIfTrue="1">
      <formula>IF(#REF!&gt;0,0,1)</formula>
    </cfRule>
  </conditionalFormatting>
  <conditionalFormatting sqref="Z314 Z306:Z309 F306:G306 G314 F309:G309 E314 E306:E309 AA306:AB306 AB314 AA309:AB309 AA354:AA358 AC357:AC358 AB357 F354:G354 G362 F357:G357 E362 E354:E357">
    <cfRule type="expression" dxfId="3791" priority="191" stopIfTrue="1">
      <formula>IF(#REF!&gt;1,0,1)</formula>
    </cfRule>
  </conditionalFormatting>
  <conditionalFormatting sqref="AC306:AC309 AD306:AE306 AE314 AD309:AE309 AC314 H306:H309 I306:J306 J314 I309:J309 H314 AD354:AD358 AF357:AF358 AE357 AG358 H354:H357 I354:J354 J362 I357:J357 H362">
    <cfRule type="expression" dxfId="3790" priority="192" stopIfTrue="1">
      <formula>IF(#REF!&gt;2,0,1)</formula>
    </cfRule>
  </conditionalFormatting>
  <conditionalFormatting sqref="W315 Y315 B315 D315 X359 Z359 B363 D363">
    <cfRule type="expression" dxfId="3789" priority="193" stopIfTrue="1">
      <formula>IF(#REF!&lt;1,1,IF(#REF!&lt;2,1,0))</formula>
    </cfRule>
  </conditionalFormatting>
  <conditionalFormatting sqref="Z315 AB315 E315 G315 AA359 AC359 E363 G363">
    <cfRule type="expression" dxfId="3788" priority="194" stopIfTrue="1">
      <formula>IF(#REF!&lt;2,1,IF(#REF!&lt;2,1,0))</formula>
    </cfRule>
  </conditionalFormatting>
  <conditionalFormatting sqref="AC315 AE315 H315 J315 AD359 AF359 H363 J363">
    <cfRule type="expression" dxfId="3787" priority="195" stopIfTrue="1">
      <formula>IF(#REF!&lt;3,1,IF(#REF!&lt;2,1,0))</formula>
    </cfRule>
  </conditionalFormatting>
  <conditionalFormatting sqref="Y316 B316 D316 B364 X360 Z360 W316 D364">
    <cfRule type="expression" dxfId="3786" priority="196" stopIfTrue="1">
      <formula>IF(#REF!&lt;1,1,IF(#REF!&lt;3,1,0))</formula>
    </cfRule>
  </conditionalFormatting>
  <conditionalFormatting sqref="AB316 E316 G316 E364 AA360 AC360 Z316 G364">
    <cfRule type="expression" dxfId="3785" priority="197" stopIfTrue="1">
      <formula>IF(#REF!&lt;2,1,IF(#REF!&lt;3,1,0))</formula>
    </cfRule>
  </conditionalFormatting>
  <conditionalFormatting sqref="AE316 H316 J316 H364 AD360 AF360 AC316 J364">
    <cfRule type="expression" dxfId="3784" priority="198" stopIfTrue="1">
      <formula>IF(#REF!&lt;3,1,IF(#REF!&lt;3,1,0))</formula>
    </cfRule>
  </conditionalFormatting>
  <conditionalFormatting sqref="AG109:AP113 AG24:AP28 AG194:AP198">
    <cfRule type="cellIs" dxfId="3783" priority="199" stopIfTrue="1" operator="notBetween">
      <formula>-9999</formula>
      <formula>9999</formula>
    </cfRule>
  </conditionalFormatting>
  <conditionalFormatting sqref="AC7 AC92 AC177">
    <cfRule type="expression" dxfId="3782" priority="200" stopIfTrue="1">
      <formula>IF($AK$11=0,1,0)</formula>
    </cfRule>
  </conditionalFormatting>
  <conditionalFormatting sqref="B103 B18 B188">
    <cfRule type="expression" dxfId="3781" priority="201" stopIfTrue="1">
      <formula>IF($AK$9&gt;0,0,1)</formula>
    </cfRule>
  </conditionalFormatting>
  <conditionalFormatting sqref="B192:D193 B22:D23 B107:D108">
    <cfRule type="cellIs" dxfId="3780" priority="202" stopIfTrue="1" operator="equal">
      <formula>99</formula>
    </cfRule>
  </conditionalFormatting>
  <conditionalFormatting sqref="C317 F317 X317 AA317 C365 F365">
    <cfRule type="expression" dxfId="3779" priority="203" stopIfTrue="1">
      <formula>IF(#REF!&gt;0,0,1)</formula>
    </cfRule>
  </conditionalFormatting>
  <conditionalFormatting sqref="K354">
    <cfRule type="expression" dxfId="3778" priority="3" stopIfTrue="1">
      <formula>IF(ISNUMBER(K362),0,1)</formula>
    </cfRule>
  </conditionalFormatting>
  <conditionalFormatting sqref="K306">
    <cfRule type="expression" dxfId="3777" priority="2" stopIfTrue="1">
      <formula>IF(ISNUMBER(K314),0,1)</formula>
    </cfRule>
  </conditionalFormatting>
  <conditionalFormatting sqref="AF306">
    <cfRule type="expression" dxfId="3776" priority="1" stopIfTrue="1">
      <formula>IF(ISNUMBER(AF314),0,1)</formula>
    </cfRule>
  </conditionalFormatting>
  <pageMargins left="0.25" right="0.25" top="0.25" bottom="0.25" header="0" footer="0"/>
  <pageSetup scale="80" fitToHeight="6" orientation="landscape" r:id="rId1"/>
  <headerFooter alignWithMargins="0"/>
  <rowBreaks count="4" manualBreakCount="4">
    <brk id="90" max="42" man="1"/>
    <brk id="175" max="42" man="1"/>
    <brk id="272" max="42" man="1"/>
    <brk id="326" max="42" man="1"/>
  </rowBreaks>
  <drawing r:id="rId2"/>
  <legacyDrawing r:id="rId3"/>
  <controls>
    <mc:AlternateContent xmlns:mc="http://schemas.openxmlformats.org/markup-compatibility/2006">
      <mc:Choice Requires="x14">
        <control shapeId="11267" r:id="rId4" name="Pool3RecalcFinish">
          <controlPr defaultSize="0" autoLine="0" r:id="rId5">
            <anchor moveWithCells="1" sizeWithCells="1">
              <from>
                <xdr:col>36</xdr:col>
                <xdr:colOff>104775</xdr:colOff>
                <xdr:row>183</xdr:row>
                <xdr:rowOff>9525</xdr:rowOff>
              </from>
              <to>
                <xdr:col>41</xdr:col>
                <xdr:colOff>228600</xdr:colOff>
                <xdr:row>186</xdr:row>
                <xdr:rowOff>104775</xdr:rowOff>
              </to>
            </anchor>
          </controlPr>
        </control>
      </mc:Choice>
      <mc:Fallback>
        <control shapeId="11267" r:id="rId4" name="Pool3RecalcFinish"/>
      </mc:Fallback>
    </mc:AlternateContent>
    <mc:AlternateContent xmlns:mc="http://schemas.openxmlformats.org/markup-compatibility/2006">
      <mc:Choice Requires="x14">
        <control shapeId="11266" r:id="rId6" name="Pool2RecalcFinish">
          <controlPr defaultSize="0" autoLine="0" r:id="rId7">
            <anchor moveWithCells="1" sizeWithCells="1">
              <from>
                <xdr:col>36</xdr:col>
                <xdr:colOff>104775</xdr:colOff>
                <xdr:row>98</xdr:row>
                <xdr:rowOff>9525</xdr:rowOff>
              </from>
              <to>
                <xdr:col>41</xdr:col>
                <xdr:colOff>228600</xdr:colOff>
                <xdr:row>101</xdr:row>
                <xdr:rowOff>104775</xdr:rowOff>
              </to>
            </anchor>
          </controlPr>
        </control>
      </mc:Choice>
      <mc:Fallback>
        <control shapeId="11266" r:id="rId6" name="Pool2RecalcFinish"/>
      </mc:Fallback>
    </mc:AlternateContent>
    <mc:AlternateContent xmlns:mc="http://schemas.openxmlformats.org/markup-compatibility/2006">
      <mc:Choice Requires="x14">
        <control shapeId="11265" r:id="rId8" name="Pool1RecalcFinish">
          <controlPr defaultSize="0" autoLine="0" r:id="rId9">
            <anchor moveWithCells="1" sizeWithCells="1">
              <from>
                <xdr:col>36</xdr:col>
                <xdr:colOff>104775</xdr:colOff>
                <xdr:row>13</xdr:row>
                <xdr:rowOff>9525</xdr:rowOff>
              </from>
              <to>
                <xdr:col>41</xdr:col>
                <xdr:colOff>228600</xdr:colOff>
                <xdr:row>16</xdr:row>
                <xdr:rowOff>104775</xdr:rowOff>
              </to>
            </anchor>
          </controlPr>
        </control>
      </mc:Choice>
      <mc:Fallback>
        <control shapeId="11265" r:id="rId8" name="Pool1RecalcFinish"/>
      </mc:Fallback>
    </mc:AlternateContent>
  </controls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9">
    <tabColor rgb="FFFF0000"/>
  </sheetPr>
  <dimension ref="A1:BY430"/>
  <sheetViews>
    <sheetView topLeftCell="A113" zoomScale="70" zoomScaleNormal="70" workbookViewId="0">
      <selection activeCell="N201" sqref="N201"/>
    </sheetView>
  </sheetViews>
  <sheetFormatPr defaultColWidth="8.85546875" defaultRowHeight="12.75" x14ac:dyDescent="0.2"/>
  <cols>
    <col min="1" max="1" width="8.85546875" style="4"/>
    <col min="2" max="2" width="3.7109375" style="4" customWidth="1"/>
    <col min="3" max="3" width="2.28515625" style="4" customWidth="1"/>
    <col min="4" max="5" width="3.7109375" style="4" customWidth="1"/>
    <col min="6" max="6" width="2.28515625" style="4" customWidth="1"/>
    <col min="7" max="8" width="3.7109375" style="4" customWidth="1"/>
    <col min="9" max="9" width="2.28515625" style="4" customWidth="1"/>
    <col min="10" max="11" width="3.7109375" style="4" customWidth="1"/>
    <col min="12" max="12" width="2.28515625" style="4" customWidth="1"/>
    <col min="13" max="14" width="3.7109375" style="4" customWidth="1"/>
    <col min="15" max="15" width="2.28515625" style="4" customWidth="1"/>
    <col min="16" max="17" width="3.7109375" style="4" customWidth="1"/>
    <col min="18" max="18" width="2.28515625" style="4" customWidth="1"/>
    <col min="19" max="20" width="3.7109375" style="4" customWidth="1"/>
    <col min="21" max="21" width="2.28515625" style="4" customWidth="1"/>
    <col min="22" max="23" width="3.7109375" style="4" customWidth="1"/>
    <col min="24" max="24" width="2.28515625" style="4" customWidth="1"/>
    <col min="25" max="26" width="3.7109375" style="4" customWidth="1"/>
    <col min="27" max="27" width="2.28515625" style="4" customWidth="1"/>
    <col min="28" max="29" width="3.7109375" style="4" customWidth="1"/>
    <col min="30" max="30" width="2.28515625" style="4" customWidth="1"/>
    <col min="31" max="31" width="3.7109375" style="4" customWidth="1"/>
    <col min="32" max="32" width="9.7109375" style="4" customWidth="1"/>
    <col min="33" max="42" width="3.7109375" style="4" customWidth="1"/>
    <col min="43" max="43" width="11" style="4" customWidth="1"/>
    <col min="44" max="45" width="8.85546875" style="4"/>
    <col min="46" max="46" width="13.5703125" style="4" customWidth="1"/>
    <col min="47" max="47" width="24.42578125" style="4" customWidth="1"/>
    <col min="48" max="48" width="16.28515625" style="4" customWidth="1"/>
    <col min="49" max="49" width="14.28515625" style="4" customWidth="1"/>
    <col min="50" max="51" width="10.28515625" style="4" customWidth="1"/>
    <col min="52" max="52" width="25" style="4" customWidth="1"/>
    <col min="53" max="53" width="6" style="4" customWidth="1"/>
    <col min="54" max="257" width="8.85546875" style="4"/>
    <col min="258" max="258" width="3.7109375" style="4" customWidth="1"/>
    <col min="259" max="259" width="2.28515625" style="4" customWidth="1"/>
    <col min="260" max="261" width="3.7109375" style="4" customWidth="1"/>
    <col min="262" max="262" width="2.28515625" style="4" customWidth="1"/>
    <col min="263" max="264" width="3.7109375" style="4" customWidth="1"/>
    <col min="265" max="265" width="2.28515625" style="4" customWidth="1"/>
    <col min="266" max="267" width="3.7109375" style="4" customWidth="1"/>
    <col min="268" max="268" width="2.28515625" style="4" customWidth="1"/>
    <col min="269" max="270" width="3.7109375" style="4" customWidth="1"/>
    <col min="271" max="271" width="2.28515625" style="4" customWidth="1"/>
    <col min="272" max="273" width="3.7109375" style="4" customWidth="1"/>
    <col min="274" max="274" width="2.28515625" style="4" customWidth="1"/>
    <col min="275" max="276" width="3.7109375" style="4" customWidth="1"/>
    <col min="277" max="277" width="2.28515625" style="4" customWidth="1"/>
    <col min="278" max="279" width="3.7109375" style="4" customWidth="1"/>
    <col min="280" max="280" width="2.28515625" style="4" customWidth="1"/>
    <col min="281" max="282" width="3.7109375" style="4" customWidth="1"/>
    <col min="283" max="283" width="2.28515625" style="4" customWidth="1"/>
    <col min="284" max="285" width="3.7109375" style="4" customWidth="1"/>
    <col min="286" max="286" width="2.28515625" style="4" customWidth="1"/>
    <col min="287" max="287" width="3.7109375" style="4" customWidth="1"/>
    <col min="288" max="288" width="9.7109375" style="4" customWidth="1"/>
    <col min="289" max="298" width="3.7109375" style="4" customWidth="1"/>
    <col min="299" max="299" width="11" style="4" customWidth="1"/>
    <col min="300" max="301" width="8.85546875" style="4"/>
    <col min="302" max="302" width="13.5703125" style="4" customWidth="1"/>
    <col min="303" max="303" width="24.42578125" style="4" customWidth="1"/>
    <col min="304" max="304" width="16.28515625" style="4" customWidth="1"/>
    <col min="305" max="305" width="14.28515625" style="4" customWidth="1"/>
    <col min="306" max="307" width="10.28515625" style="4" customWidth="1"/>
    <col min="308" max="308" width="25" style="4" customWidth="1"/>
    <col min="309" max="309" width="6" style="4" customWidth="1"/>
    <col min="310" max="513" width="8.85546875" style="4"/>
    <col min="514" max="514" width="3.7109375" style="4" customWidth="1"/>
    <col min="515" max="515" width="2.28515625" style="4" customWidth="1"/>
    <col min="516" max="517" width="3.7109375" style="4" customWidth="1"/>
    <col min="518" max="518" width="2.28515625" style="4" customWidth="1"/>
    <col min="519" max="520" width="3.7109375" style="4" customWidth="1"/>
    <col min="521" max="521" width="2.28515625" style="4" customWidth="1"/>
    <col min="522" max="523" width="3.7109375" style="4" customWidth="1"/>
    <col min="524" max="524" width="2.28515625" style="4" customWidth="1"/>
    <col min="525" max="526" width="3.7109375" style="4" customWidth="1"/>
    <col min="527" max="527" width="2.28515625" style="4" customWidth="1"/>
    <col min="528" max="529" width="3.7109375" style="4" customWidth="1"/>
    <col min="530" max="530" width="2.28515625" style="4" customWidth="1"/>
    <col min="531" max="532" width="3.7109375" style="4" customWidth="1"/>
    <col min="533" max="533" width="2.28515625" style="4" customWidth="1"/>
    <col min="534" max="535" width="3.7109375" style="4" customWidth="1"/>
    <col min="536" max="536" width="2.28515625" style="4" customWidth="1"/>
    <col min="537" max="538" width="3.7109375" style="4" customWidth="1"/>
    <col min="539" max="539" width="2.28515625" style="4" customWidth="1"/>
    <col min="540" max="541" width="3.7109375" style="4" customWidth="1"/>
    <col min="542" max="542" width="2.28515625" style="4" customWidth="1"/>
    <col min="543" max="543" width="3.7109375" style="4" customWidth="1"/>
    <col min="544" max="544" width="9.7109375" style="4" customWidth="1"/>
    <col min="545" max="554" width="3.7109375" style="4" customWidth="1"/>
    <col min="555" max="555" width="11" style="4" customWidth="1"/>
    <col min="556" max="557" width="8.85546875" style="4"/>
    <col min="558" max="558" width="13.5703125" style="4" customWidth="1"/>
    <col min="559" max="559" width="24.42578125" style="4" customWidth="1"/>
    <col min="560" max="560" width="16.28515625" style="4" customWidth="1"/>
    <col min="561" max="561" width="14.28515625" style="4" customWidth="1"/>
    <col min="562" max="563" width="10.28515625" style="4" customWidth="1"/>
    <col min="564" max="564" width="25" style="4" customWidth="1"/>
    <col min="565" max="565" width="6" style="4" customWidth="1"/>
    <col min="566" max="769" width="8.85546875" style="4"/>
    <col min="770" max="770" width="3.7109375" style="4" customWidth="1"/>
    <col min="771" max="771" width="2.28515625" style="4" customWidth="1"/>
    <col min="772" max="773" width="3.7109375" style="4" customWidth="1"/>
    <col min="774" max="774" width="2.28515625" style="4" customWidth="1"/>
    <col min="775" max="776" width="3.7109375" style="4" customWidth="1"/>
    <col min="777" max="777" width="2.28515625" style="4" customWidth="1"/>
    <col min="778" max="779" width="3.7109375" style="4" customWidth="1"/>
    <col min="780" max="780" width="2.28515625" style="4" customWidth="1"/>
    <col min="781" max="782" width="3.7109375" style="4" customWidth="1"/>
    <col min="783" max="783" width="2.28515625" style="4" customWidth="1"/>
    <col min="784" max="785" width="3.7109375" style="4" customWidth="1"/>
    <col min="786" max="786" width="2.28515625" style="4" customWidth="1"/>
    <col min="787" max="788" width="3.7109375" style="4" customWidth="1"/>
    <col min="789" max="789" width="2.28515625" style="4" customWidth="1"/>
    <col min="790" max="791" width="3.7109375" style="4" customWidth="1"/>
    <col min="792" max="792" width="2.28515625" style="4" customWidth="1"/>
    <col min="793" max="794" width="3.7109375" style="4" customWidth="1"/>
    <col min="795" max="795" width="2.28515625" style="4" customWidth="1"/>
    <col min="796" max="797" width="3.7109375" style="4" customWidth="1"/>
    <col min="798" max="798" width="2.28515625" style="4" customWidth="1"/>
    <col min="799" max="799" width="3.7109375" style="4" customWidth="1"/>
    <col min="800" max="800" width="9.7109375" style="4" customWidth="1"/>
    <col min="801" max="810" width="3.7109375" style="4" customWidth="1"/>
    <col min="811" max="811" width="11" style="4" customWidth="1"/>
    <col min="812" max="813" width="8.85546875" style="4"/>
    <col min="814" max="814" width="13.5703125" style="4" customWidth="1"/>
    <col min="815" max="815" width="24.42578125" style="4" customWidth="1"/>
    <col min="816" max="816" width="16.28515625" style="4" customWidth="1"/>
    <col min="817" max="817" width="14.28515625" style="4" customWidth="1"/>
    <col min="818" max="819" width="10.28515625" style="4" customWidth="1"/>
    <col min="820" max="820" width="25" style="4" customWidth="1"/>
    <col min="821" max="821" width="6" style="4" customWidth="1"/>
    <col min="822" max="1025" width="8.85546875" style="4"/>
    <col min="1026" max="1026" width="3.7109375" style="4" customWidth="1"/>
    <col min="1027" max="1027" width="2.28515625" style="4" customWidth="1"/>
    <col min="1028" max="1029" width="3.7109375" style="4" customWidth="1"/>
    <col min="1030" max="1030" width="2.28515625" style="4" customWidth="1"/>
    <col min="1031" max="1032" width="3.7109375" style="4" customWidth="1"/>
    <col min="1033" max="1033" width="2.28515625" style="4" customWidth="1"/>
    <col min="1034" max="1035" width="3.7109375" style="4" customWidth="1"/>
    <col min="1036" max="1036" width="2.28515625" style="4" customWidth="1"/>
    <col min="1037" max="1038" width="3.7109375" style="4" customWidth="1"/>
    <col min="1039" max="1039" width="2.28515625" style="4" customWidth="1"/>
    <col min="1040" max="1041" width="3.7109375" style="4" customWidth="1"/>
    <col min="1042" max="1042" width="2.28515625" style="4" customWidth="1"/>
    <col min="1043" max="1044" width="3.7109375" style="4" customWidth="1"/>
    <col min="1045" max="1045" width="2.28515625" style="4" customWidth="1"/>
    <col min="1046" max="1047" width="3.7109375" style="4" customWidth="1"/>
    <col min="1048" max="1048" width="2.28515625" style="4" customWidth="1"/>
    <col min="1049" max="1050" width="3.7109375" style="4" customWidth="1"/>
    <col min="1051" max="1051" width="2.28515625" style="4" customWidth="1"/>
    <col min="1052" max="1053" width="3.7109375" style="4" customWidth="1"/>
    <col min="1054" max="1054" width="2.28515625" style="4" customWidth="1"/>
    <col min="1055" max="1055" width="3.7109375" style="4" customWidth="1"/>
    <col min="1056" max="1056" width="9.7109375" style="4" customWidth="1"/>
    <col min="1057" max="1066" width="3.7109375" style="4" customWidth="1"/>
    <col min="1067" max="1067" width="11" style="4" customWidth="1"/>
    <col min="1068" max="1069" width="8.85546875" style="4"/>
    <col min="1070" max="1070" width="13.5703125" style="4" customWidth="1"/>
    <col min="1071" max="1071" width="24.42578125" style="4" customWidth="1"/>
    <col min="1072" max="1072" width="16.28515625" style="4" customWidth="1"/>
    <col min="1073" max="1073" width="14.28515625" style="4" customWidth="1"/>
    <col min="1074" max="1075" width="10.28515625" style="4" customWidth="1"/>
    <col min="1076" max="1076" width="25" style="4" customWidth="1"/>
    <col min="1077" max="1077" width="6" style="4" customWidth="1"/>
    <col min="1078" max="1281" width="8.85546875" style="4"/>
    <col min="1282" max="1282" width="3.7109375" style="4" customWidth="1"/>
    <col min="1283" max="1283" width="2.28515625" style="4" customWidth="1"/>
    <col min="1284" max="1285" width="3.7109375" style="4" customWidth="1"/>
    <col min="1286" max="1286" width="2.28515625" style="4" customWidth="1"/>
    <col min="1287" max="1288" width="3.7109375" style="4" customWidth="1"/>
    <col min="1289" max="1289" width="2.28515625" style="4" customWidth="1"/>
    <col min="1290" max="1291" width="3.7109375" style="4" customWidth="1"/>
    <col min="1292" max="1292" width="2.28515625" style="4" customWidth="1"/>
    <col min="1293" max="1294" width="3.7109375" style="4" customWidth="1"/>
    <col min="1295" max="1295" width="2.28515625" style="4" customWidth="1"/>
    <col min="1296" max="1297" width="3.7109375" style="4" customWidth="1"/>
    <col min="1298" max="1298" width="2.28515625" style="4" customWidth="1"/>
    <col min="1299" max="1300" width="3.7109375" style="4" customWidth="1"/>
    <col min="1301" max="1301" width="2.28515625" style="4" customWidth="1"/>
    <col min="1302" max="1303" width="3.7109375" style="4" customWidth="1"/>
    <col min="1304" max="1304" width="2.28515625" style="4" customWidth="1"/>
    <col min="1305" max="1306" width="3.7109375" style="4" customWidth="1"/>
    <col min="1307" max="1307" width="2.28515625" style="4" customWidth="1"/>
    <col min="1308" max="1309" width="3.7109375" style="4" customWidth="1"/>
    <col min="1310" max="1310" width="2.28515625" style="4" customWidth="1"/>
    <col min="1311" max="1311" width="3.7109375" style="4" customWidth="1"/>
    <col min="1312" max="1312" width="9.7109375" style="4" customWidth="1"/>
    <col min="1313" max="1322" width="3.7109375" style="4" customWidth="1"/>
    <col min="1323" max="1323" width="11" style="4" customWidth="1"/>
    <col min="1324" max="1325" width="8.85546875" style="4"/>
    <col min="1326" max="1326" width="13.5703125" style="4" customWidth="1"/>
    <col min="1327" max="1327" width="24.42578125" style="4" customWidth="1"/>
    <col min="1328" max="1328" width="16.28515625" style="4" customWidth="1"/>
    <col min="1329" max="1329" width="14.28515625" style="4" customWidth="1"/>
    <col min="1330" max="1331" width="10.28515625" style="4" customWidth="1"/>
    <col min="1332" max="1332" width="25" style="4" customWidth="1"/>
    <col min="1333" max="1333" width="6" style="4" customWidth="1"/>
    <col min="1334" max="1537" width="8.85546875" style="4"/>
    <col min="1538" max="1538" width="3.7109375" style="4" customWidth="1"/>
    <col min="1539" max="1539" width="2.28515625" style="4" customWidth="1"/>
    <col min="1540" max="1541" width="3.7109375" style="4" customWidth="1"/>
    <col min="1542" max="1542" width="2.28515625" style="4" customWidth="1"/>
    <col min="1543" max="1544" width="3.7109375" style="4" customWidth="1"/>
    <col min="1545" max="1545" width="2.28515625" style="4" customWidth="1"/>
    <col min="1546" max="1547" width="3.7109375" style="4" customWidth="1"/>
    <col min="1548" max="1548" width="2.28515625" style="4" customWidth="1"/>
    <col min="1549" max="1550" width="3.7109375" style="4" customWidth="1"/>
    <col min="1551" max="1551" width="2.28515625" style="4" customWidth="1"/>
    <col min="1552" max="1553" width="3.7109375" style="4" customWidth="1"/>
    <col min="1554" max="1554" width="2.28515625" style="4" customWidth="1"/>
    <col min="1555" max="1556" width="3.7109375" style="4" customWidth="1"/>
    <col min="1557" max="1557" width="2.28515625" style="4" customWidth="1"/>
    <col min="1558" max="1559" width="3.7109375" style="4" customWidth="1"/>
    <col min="1560" max="1560" width="2.28515625" style="4" customWidth="1"/>
    <col min="1561" max="1562" width="3.7109375" style="4" customWidth="1"/>
    <col min="1563" max="1563" width="2.28515625" style="4" customWidth="1"/>
    <col min="1564" max="1565" width="3.7109375" style="4" customWidth="1"/>
    <col min="1566" max="1566" width="2.28515625" style="4" customWidth="1"/>
    <col min="1567" max="1567" width="3.7109375" style="4" customWidth="1"/>
    <col min="1568" max="1568" width="9.7109375" style="4" customWidth="1"/>
    <col min="1569" max="1578" width="3.7109375" style="4" customWidth="1"/>
    <col min="1579" max="1579" width="11" style="4" customWidth="1"/>
    <col min="1580" max="1581" width="8.85546875" style="4"/>
    <col min="1582" max="1582" width="13.5703125" style="4" customWidth="1"/>
    <col min="1583" max="1583" width="24.42578125" style="4" customWidth="1"/>
    <col min="1584" max="1584" width="16.28515625" style="4" customWidth="1"/>
    <col min="1585" max="1585" width="14.28515625" style="4" customWidth="1"/>
    <col min="1586" max="1587" width="10.28515625" style="4" customWidth="1"/>
    <col min="1588" max="1588" width="25" style="4" customWidth="1"/>
    <col min="1589" max="1589" width="6" style="4" customWidth="1"/>
    <col min="1590" max="1793" width="8.85546875" style="4"/>
    <col min="1794" max="1794" width="3.7109375" style="4" customWidth="1"/>
    <col min="1795" max="1795" width="2.28515625" style="4" customWidth="1"/>
    <col min="1796" max="1797" width="3.7109375" style="4" customWidth="1"/>
    <col min="1798" max="1798" width="2.28515625" style="4" customWidth="1"/>
    <col min="1799" max="1800" width="3.7109375" style="4" customWidth="1"/>
    <col min="1801" max="1801" width="2.28515625" style="4" customWidth="1"/>
    <col min="1802" max="1803" width="3.7109375" style="4" customWidth="1"/>
    <col min="1804" max="1804" width="2.28515625" style="4" customWidth="1"/>
    <col min="1805" max="1806" width="3.7109375" style="4" customWidth="1"/>
    <col min="1807" max="1807" width="2.28515625" style="4" customWidth="1"/>
    <col min="1808" max="1809" width="3.7109375" style="4" customWidth="1"/>
    <col min="1810" max="1810" width="2.28515625" style="4" customWidth="1"/>
    <col min="1811" max="1812" width="3.7109375" style="4" customWidth="1"/>
    <col min="1813" max="1813" width="2.28515625" style="4" customWidth="1"/>
    <col min="1814" max="1815" width="3.7109375" style="4" customWidth="1"/>
    <col min="1816" max="1816" width="2.28515625" style="4" customWidth="1"/>
    <col min="1817" max="1818" width="3.7109375" style="4" customWidth="1"/>
    <col min="1819" max="1819" width="2.28515625" style="4" customWidth="1"/>
    <col min="1820" max="1821" width="3.7109375" style="4" customWidth="1"/>
    <col min="1822" max="1822" width="2.28515625" style="4" customWidth="1"/>
    <col min="1823" max="1823" width="3.7109375" style="4" customWidth="1"/>
    <col min="1824" max="1824" width="9.7109375" style="4" customWidth="1"/>
    <col min="1825" max="1834" width="3.7109375" style="4" customWidth="1"/>
    <col min="1835" max="1835" width="11" style="4" customWidth="1"/>
    <col min="1836" max="1837" width="8.85546875" style="4"/>
    <col min="1838" max="1838" width="13.5703125" style="4" customWidth="1"/>
    <col min="1839" max="1839" width="24.42578125" style="4" customWidth="1"/>
    <col min="1840" max="1840" width="16.28515625" style="4" customWidth="1"/>
    <col min="1841" max="1841" width="14.28515625" style="4" customWidth="1"/>
    <col min="1842" max="1843" width="10.28515625" style="4" customWidth="1"/>
    <col min="1844" max="1844" width="25" style="4" customWidth="1"/>
    <col min="1845" max="1845" width="6" style="4" customWidth="1"/>
    <col min="1846" max="2049" width="8.85546875" style="4"/>
    <col min="2050" max="2050" width="3.7109375" style="4" customWidth="1"/>
    <col min="2051" max="2051" width="2.28515625" style="4" customWidth="1"/>
    <col min="2052" max="2053" width="3.7109375" style="4" customWidth="1"/>
    <col min="2054" max="2054" width="2.28515625" style="4" customWidth="1"/>
    <col min="2055" max="2056" width="3.7109375" style="4" customWidth="1"/>
    <col min="2057" max="2057" width="2.28515625" style="4" customWidth="1"/>
    <col min="2058" max="2059" width="3.7109375" style="4" customWidth="1"/>
    <col min="2060" max="2060" width="2.28515625" style="4" customWidth="1"/>
    <col min="2061" max="2062" width="3.7109375" style="4" customWidth="1"/>
    <col min="2063" max="2063" width="2.28515625" style="4" customWidth="1"/>
    <col min="2064" max="2065" width="3.7109375" style="4" customWidth="1"/>
    <col min="2066" max="2066" width="2.28515625" style="4" customWidth="1"/>
    <col min="2067" max="2068" width="3.7109375" style="4" customWidth="1"/>
    <col min="2069" max="2069" width="2.28515625" style="4" customWidth="1"/>
    <col min="2070" max="2071" width="3.7109375" style="4" customWidth="1"/>
    <col min="2072" max="2072" width="2.28515625" style="4" customWidth="1"/>
    <col min="2073" max="2074" width="3.7109375" style="4" customWidth="1"/>
    <col min="2075" max="2075" width="2.28515625" style="4" customWidth="1"/>
    <col min="2076" max="2077" width="3.7109375" style="4" customWidth="1"/>
    <col min="2078" max="2078" width="2.28515625" style="4" customWidth="1"/>
    <col min="2079" max="2079" width="3.7109375" style="4" customWidth="1"/>
    <col min="2080" max="2080" width="9.7109375" style="4" customWidth="1"/>
    <col min="2081" max="2090" width="3.7109375" style="4" customWidth="1"/>
    <col min="2091" max="2091" width="11" style="4" customWidth="1"/>
    <col min="2092" max="2093" width="8.85546875" style="4"/>
    <col min="2094" max="2094" width="13.5703125" style="4" customWidth="1"/>
    <col min="2095" max="2095" width="24.42578125" style="4" customWidth="1"/>
    <col min="2096" max="2096" width="16.28515625" style="4" customWidth="1"/>
    <col min="2097" max="2097" width="14.28515625" style="4" customWidth="1"/>
    <col min="2098" max="2099" width="10.28515625" style="4" customWidth="1"/>
    <col min="2100" max="2100" width="25" style="4" customWidth="1"/>
    <col min="2101" max="2101" width="6" style="4" customWidth="1"/>
    <col min="2102" max="2305" width="8.85546875" style="4"/>
    <col min="2306" max="2306" width="3.7109375" style="4" customWidth="1"/>
    <col min="2307" max="2307" width="2.28515625" style="4" customWidth="1"/>
    <col min="2308" max="2309" width="3.7109375" style="4" customWidth="1"/>
    <col min="2310" max="2310" width="2.28515625" style="4" customWidth="1"/>
    <col min="2311" max="2312" width="3.7109375" style="4" customWidth="1"/>
    <col min="2313" max="2313" width="2.28515625" style="4" customWidth="1"/>
    <col min="2314" max="2315" width="3.7109375" style="4" customWidth="1"/>
    <col min="2316" max="2316" width="2.28515625" style="4" customWidth="1"/>
    <col min="2317" max="2318" width="3.7109375" style="4" customWidth="1"/>
    <col min="2319" max="2319" width="2.28515625" style="4" customWidth="1"/>
    <col min="2320" max="2321" width="3.7109375" style="4" customWidth="1"/>
    <col min="2322" max="2322" width="2.28515625" style="4" customWidth="1"/>
    <col min="2323" max="2324" width="3.7109375" style="4" customWidth="1"/>
    <col min="2325" max="2325" width="2.28515625" style="4" customWidth="1"/>
    <col min="2326" max="2327" width="3.7109375" style="4" customWidth="1"/>
    <col min="2328" max="2328" width="2.28515625" style="4" customWidth="1"/>
    <col min="2329" max="2330" width="3.7109375" style="4" customWidth="1"/>
    <col min="2331" max="2331" width="2.28515625" style="4" customWidth="1"/>
    <col min="2332" max="2333" width="3.7109375" style="4" customWidth="1"/>
    <col min="2334" max="2334" width="2.28515625" style="4" customWidth="1"/>
    <col min="2335" max="2335" width="3.7109375" style="4" customWidth="1"/>
    <col min="2336" max="2336" width="9.7109375" style="4" customWidth="1"/>
    <col min="2337" max="2346" width="3.7109375" style="4" customWidth="1"/>
    <col min="2347" max="2347" width="11" style="4" customWidth="1"/>
    <col min="2348" max="2349" width="8.85546875" style="4"/>
    <col min="2350" max="2350" width="13.5703125" style="4" customWidth="1"/>
    <col min="2351" max="2351" width="24.42578125" style="4" customWidth="1"/>
    <col min="2352" max="2352" width="16.28515625" style="4" customWidth="1"/>
    <col min="2353" max="2353" width="14.28515625" style="4" customWidth="1"/>
    <col min="2354" max="2355" width="10.28515625" style="4" customWidth="1"/>
    <col min="2356" max="2356" width="25" style="4" customWidth="1"/>
    <col min="2357" max="2357" width="6" style="4" customWidth="1"/>
    <col min="2358" max="2561" width="8.85546875" style="4"/>
    <col min="2562" max="2562" width="3.7109375" style="4" customWidth="1"/>
    <col min="2563" max="2563" width="2.28515625" style="4" customWidth="1"/>
    <col min="2564" max="2565" width="3.7109375" style="4" customWidth="1"/>
    <col min="2566" max="2566" width="2.28515625" style="4" customWidth="1"/>
    <col min="2567" max="2568" width="3.7109375" style="4" customWidth="1"/>
    <col min="2569" max="2569" width="2.28515625" style="4" customWidth="1"/>
    <col min="2570" max="2571" width="3.7109375" style="4" customWidth="1"/>
    <col min="2572" max="2572" width="2.28515625" style="4" customWidth="1"/>
    <col min="2573" max="2574" width="3.7109375" style="4" customWidth="1"/>
    <col min="2575" max="2575" width="2.28515625" style="4" customWidth="1"/>
    <col min="2576" max="2577" width="3.7109375" style="4" customWidth="1"/>
    <col min="2578" max="2578" width="2.28515625" style="4" customWidth="1"/>
    <col min="2579" max="2580" width="3.7109375" style="4" customWidth="1"/>
    <col min="2581" max="2581" width="2.28515625" style="4" customWidth="1"/>
    <col min="2582" max="2583" width="3.7109375" style="4" customWidth="1"/>
    <col min="2584" max="2584" width="2.28515625" style="4" customWidth="1"/>
    <col min="2585" max="2586" width="3.7109375" style="4" customWidth="1"/>
    <col min="2587" max="2587" width="2.28515625" style="4" customWidth="1"/>
    <col min="2588" max="2589" width="3.7109375" style="4" customWidth="1"/>
    <col min="2590" max="2590" width="2.28515625" style="4" customWidth="1"/>
    <col min="2591" max="2591" width="3.7109375" style="4" customWidth="1"/>
    <col min="2592" max="2592" width="9.7109375" style="4" customWidth="1"/>
    <col min="2593" max="2602" width="3.7109375" style="4" customWidth="1"/>
    <col min="2603" max="2603" width="11" style="4" customWidth="1"/>
    <col min="2604" max="2605" width="8.85546875" style="4"/>
    <col min="2606" max="2606" width="13.5703125" style="4" customWidth="1"/>
    <col min="2607" max="2607" width="24.42578125" style="4" customWidth="1"/>
    <col min="2608" max="2608" width="16.28515625" style="4" customWidth="1"/>
    <col min="2609" max="2609" width="14.28515625" style="4" customWidth="1"/>
    <col min="2610" max="2611" width="10.28515625" style="4" customWidth="1"/>
    <col min="2612" max="2612" width="25" style="4" customWidth="1"/>
    <col min="2613" max="2613" width="6" style="4" customWidth="1"/>
    <col min="2614" max="2817" width="8.85546875" style="4"/>
    <col min="2818" max="2818" width="3.7109375" style="4" customWidth="1"/>
    <col min="2819" max="2819" width="2.28515625" style="4" customWidth="1"/>
    <col min="2820" max="2821" width="3.7109375" style="4" customWidth="1"/>
    <col min="2822" max="2822" width="2.28515625" style="4" customWidth="1"/>
    <col min="2823" max="2824" width="3.7109375" style="4" customWidth="1"/>
    <col min="2825" max="2825" width="2.28515625" style="4" customWidth="1"/>
    <col min="2826" max="2827" width="3.7109375" style="4" customWidth="1"/>
    <col min="2828" max="2828" width="2.28515625" style="4" customWidth="1"/>
    <col min="2829" max="2830" width="3.7109375" style="4" customWidth="1"/>
    <col min="2831" max="2831" width="2.28515625" style="4" customWidth="1"/>
    <col min="2832" max="2833" width="3.7109375" style="4" customWidth="1"/>
    <col min="2834" max="2834" width="2.28515625" style="4" customWidth="1"/>
    <col min="2835" max="2836" width="3.7109375" style="4" customWidth="1"/>
    <col min="2837" max="2837" width="2.28515625" style="4" customWidth="1"/>
    <col min="2838" max="2839" width="3.7109375" style="4" customWidth="1"/>
    <col min="2840" max="2840" width="2.28515625" style="4" customWidth="1"/>
    <col min="2841" max="2842" width="3.7109375" style="4" customWidth="1"/>
    <col min="2843" max="2843" width="2.28515625" style="4" customWidth="1"/>
    <col min="2844" max="2845" width="3.7109375" style="4" customWidth="1"/>
    <col min="2846" max="2846" width="2.28515625" style="4" customWidth="1"/>
    <col min="2847" max="2847" width="3.7109375" style="4" customWidth="1"/>
    <col min="2848" max="2848" width="9.7109375" style="4" customWidth="1"/>
    <col min="2849" max="2858" width="3.7109375" style="4" customWidth="1"/>
    <col min="2859" max="2859" width="11" style="4" customWidth="1"/>
    <col min="2860" max="2861" width="8.85546875" style="4"/>
    <col min="2862" max="2862" width="13.5703125" style="4" customWidth="1"/>
    <col min="2863" max="2863" width="24.42578125" style="4" customWidth="1"/>
    <col min="2864" max="2864" width="16.28515625" style="4" customWidth="1"/>
    <col min="2865" max="2865" width="14.28515625" style="4" customWidth="1"/>
    <col min="2866" max="2867" width="10.28515625" style="4" customWidth="1"/>
    <col min="2868" max="2868" width="25" style="4" customWidth="1"/>
    <col min="2869" max="2869" width="6" style="4" customWidth="1"/>
    <col min="2870" max="3073" width="8.85546875" style="4"/>
    <col min="3074" max="3074" width="3.7109375" style="4" customWidth="1"/>
    <col min="3075" max="3075" width="2.28515625" style="4" customWidth="1"/>
    <col min="3076" max="3077" width="3.7109375" style="4" customWidth="1"/>
    <col min="3078" max="3078" width="2.28515625" style="4" customWidth="1"/>
    <col min="3079" max="3080" width="3.7109375" style="4" customWidth="1"/>
    <col min="3081" max="3081" width="2.28515625" style="4" customWidth="1"/>
    <col min="3082" max="3083" width="3.7109375" style="4" customWidth="1"/>
    <col min="3084" max="3084" width="2.28515625" style="4" customWidth="1"/>
    <col min="3085" max="3086" width="3.7109375" style="4" customWidth="1"/>
    <col min="3087" max="3087" width="2.28515625" style="4" customWidth="1"/>
    <col min="3088" max="3089" width="3.7109375" style="4" customWidth="1"/>
    <col min="3090" max="3090" width="2.28515625" style="4" customWidth="1"/>
    <col min="3091" max="3092" width="3.7109375" style="4" customWidth="1"/>
    <col min="3093" max="3093" width="2.28515625" style="4" customWidth="1"/>
    <col min="3094" max="3095" width="3.7109375" style="4" customWidth="1"/>
    <col min="3096" max="3096" width="2.28515625" style="4" customWidth="1"/>
    <col min="3097" max="3098" width="3.7109375" style="4" customWidth="1"/>
    <col min="3099" max="3099" width="2.28515625" style="4" customWidth="1"/>
    <col min="3100" max="3101" width="3.7109375" style="4" customWidth="1"/>
    <col min="3102" max="3102" width="2.28515625" style="4" customWidth="1"/>
    <col min="3103" max="3103" width="3.7109375" style="4" customWidth="1"/>
    <col min="3104" max="3104" width="9.7109375" style="4" customWidth="1"/>
    <col min="3105" max="3114" width="3.7109375" style="4" customWidth="1"/>
    <col min="3115" max="3115" width="11" style="4" customWidth="1"/>
    <col min="3116" max="3117" width="8.85546875" style="4"/>
    <col min="3118" max="3118" width="13.5703125" style="4" customWidth="1"/>
    <col min="3119" max="3119" width="24.42578125" style="4" customWidth="1"/>
    <col min="3120" max="3120" width="16.28515625" style="4" customWidth="1"/>
    <col min="3121" max="3121" width="14.28515625" style="4" customWidth="1"/>
    <col min="3122" max="3123" width="10.28515625" style="4" customWidth="1"/>
    <col min="3124" max="3124" width="25" style="4" customWidth="1"/>
    <col min="3125" max="3125" width="6" style="4" customWidth="1"/>
    <col min="3126" max="3329" width="8.85546875" style="4"/>
    <col min="3330" max="3330" width="3.7109375" style="4" customWidth="1"/>
    <col min="3331" max="3331" width="2.28515625" style="4" customWidth="1"/>
    <col min="3332" max="3333" width="3.7109375" style="4" customWidth="1"/>
    <col min="3334" max="3334" width="2.28515625" style="4" customWidth="1"/>
    <col min="3335" max="3336" width="3.7109375" style="4" customWidth="1"/>
    <col min="3337" max="3337" width="2.28515625" style="4" customWidth="1"/>
    <col min="3338" max="3339" width="3.7109375" style="4" customWidth="1"/>
    <col min="3340" max="3340" width="2.28515625" style="4" customWidth="1"/>
    <col min="3341" max="3342" width="3.7109375" style="4" customWidth="1"/>
    <col min="3343" max="3343" width="2.28515625" style="4" customWidth="1"/>
    <col min="3344" max="3345" width="3.7109375" style="4" customWidth="1"/>
    <col min="3346" max="3346" width="2.28515625" style="4" customWidth="1"/>
    <col min="3347" max="3348" width="3.7109375" style="4" customWidth="1"/>
    <col min="3349" max="3349" width="2.28515625" style="4" customWidth="1"/>
    <col min="3350" max="3351" width="3.7109375" style="4" customWidth="1"/>
    <col min="3352" max="3352" width="2.28515625" style="4" customWidth="1"/>
    <col min="3353" max="3354" width="3.7109375" style="4" customWidth="1"/>
    <col min="3355" max="3355" width="2.28515625" style="4" customWidth="1"/>
    <col min="3356" max="3357" width="3.7109375" style="4" customWidth="1"/>
    <col min="3358" max="3358" width="2.28515625" style="4" customWidth="1"/>
    <col min="3359" max="3359" width="3.7109375" style="4" customWidth="1"/>
    <col min="3360" max="3360" width="9.7109375" style="4" customWidth="1"/>
    <col min="3361" max="3370" width="3.7109375" style="4" customWidth="1"/>
    <col min="3371" max="3371" width="11" style="4" customWidth="1"/>
    <col min="3372" max="3373" width="8.85546875" style="4"/>
    <col min="3374" max="3374" width="13.5703125" style="4" customWidth="1"/>
    <col min="3375" max="3375" width="24.42578125" style="4" customWidth="1"/>
    <col min="3376" max="3376" width="16.28515625" style="4" customWidth="1"/>
    <col min="3377" max="3377" width="14.28515625" style="4" customWidth="1"/>
    <col min="3378" max="3379" width="10.28515625" style="4" customWidth="1"/>
    <col min="3380" max="3380" width="25" style="4" customWidth="1"/>
    <col min="3381" max="3381" width="6" style="4" customWidth="1"/>
    <col min="3382" max="3585" width="8.85546875" style="4"/>
    <col min="3586" max="3586" width="3.7109375" style="4" customWidth="1"/>
    <col min="3587" max="3587" width="2.28515625" style="4" customWidth="1"/>
    <col min="3588" max="3589" width="3.7109375" style="4" customWidth="1"/>
    <col min="3590" max="3590" width="2.28515625" style="4" customWidth="1"/>
    <col min="3591" max="3592" width="3.7109375" style="4" customWidth="1"/>
    <col min="3593" max="3593" width="2.28515625" style="4" customWidth="1"/>
    <col min="3594" max="3595" width="3.7109375" style="4" customWidth="1"/>
    <col min="3596" max="3596" width="2.28515625" style="4" customWidth="1"/>
    <col min="3597" max="3598" width="3.7109375" style="4" customWidth="1"/>
    <col min="3599" max="3599" width="2.28515625" style="4" customWidth="1"/>
    <col min="3600" max="3601" width="3.7109375" style="4" customWidth="1"/>
    <col min="3602" max="3602" width="2.28515625" style="4" customWidth="1"/>
    <col min="3603" max="3604" width="3.7109375" style="4" customWidth="1"/>
    <col min="3605" max="3605" width="2.28515625" style="4" customWidth="1"/>
    <col min="3606" max="3607" width="3.7109375" style="4" customWidth="1"/>
    <col min="3608" max="3608" width="2.28515625" style="4" customWidth="1"/>
    <col min="3609" max="3610" width="3.7109375" style="4" customWidth="1"/>
    <col min="3611" max="3611" width="2.28515625" style="4" customWidth="1"/>
    <col min="3612" max="3613" width="3.7109375" style="4" customWidth="1"/>
    <col min="3614" max="3614" width="2.28515625" style="4" customWidth="1"/>
    <col min="3615" max="3615" width="3.7109375" style="4" customWidth="1"/>
    <col min="3616" max="3616" width="9.7109375" style="4" customWidth="1"/>
    <col min="3617" max="3626" width="3.7109375" style="4" customWidth="1"/>
    <col min="3627" max="3627" width="11" style="4" customWidth="1"/>
    <col min="3628" max="3629" width="8.85546875" style="4"/>
    <col min="3630" max="3630" width="13.5703125" style="4" customWidth="1"/>
    <col min="3631" max="3631" width="24.42578125" style="4" customWidth="1"/>
    <col min="3632" max="3632" width="16.28515625" style="4" customWidth="1"/>
    <col min="3633" max="3633" width="14.28515625" style="4" customWidth="1"/>
    <col min="3634" max="3635" width="10.28515625" style="4" customWidth="1"/>
    <col min="3636" max="3636" width="25" style="4" customWidth="1"/>
    <col min="3637" max="3637" width="6" style="4" customWidth="1"/>
    <col min="3638" max="3841" width="8.85546875" style="4"/>
    <col min="3842" max="3842" width="3.7109375" style="4" customWidth="1"/>
    <col min="3843" max="3843" width="2.28515625" style="4" customWidth="1"/>
    <col min="3844" max="3845" width="3.7109375" style="4" customWidth="1"/>
    <col min="3846" max="3846" width="2.28515625" style="4" customWidth="1"/>
    <col min="3847" max="3848" width="3.7109375" style="4" customWidth="1"/>
    <col min="3849" max="3849" width="2.28515625" style="4" customWidth="1"/>
    <col min="3850" max="3851" width="3.7109375" style="4" customWidth="1"/>
    <col min="3852" max="3852" width="2.28515625" style="4" customWidth="1"/>
    <col min="3853" max="3854" width="3.7109375" style="4" customWidth="1"/>
    <col min="3855" max="3855" width="2.28515625" style="4" customWidth="1"/>
    <col min="3856" max="3857" width="3.7109375" style="4" customWidth="1"/>
    <col min="3858" max="3858" width="2.28515625" style="4" customWidth="1"/>
    <col min="3859" max="3860" width="3.7109375" style="4" customWidth="1"/>
    <col min="3861" max="3861" width="2.28515625" style="4" customWidth="1"/>
    <col min="3862" max="3863" width="3.7109375" style="4" customWidth="1"/>
    <col min="3864" max="3864" width="2.28515625" style="4" customWidth="1"/>
    <col min="3865" max="3866" width="3.7109375" style="4" customWidth="1"/>
    <col min="3867" max="3867" width="2.28515625" style="4" customWidth="1"/>
    <col min="3868" max="3869" width="3.7109375" style="4" customWidth="1"/>
    <col min="3870" max="3870" width="2.28515625" style="4" customWidth="1"/>
    <col min="3871" max="3871" width="3.7109375" style="4" customWidth="1"/>
    <col min="3872" max="3872" width="9.7109375" style="4" customWidth="1"/>
    <col min="3873" max="3882" width="3.7109375" style="4" customWidth="1"/>
    <col min="3883" max="3883" width="11" style="4" customWidth="1"/>
    <col min="3884" max="3885" width="8.85546875" style="4"/>
    <col min="3886" max="3886" width="13.5703125" style="4" customWidth="1"/>
    <col min="3887" max="3887" width="24.42578125" style="4" customWidth="1"/>
    <col min="3888" max="3888" width="16.28515625" style="4" customWidth="1"/>
    <col min="3889" max="3889" width="14.28515625" style="4" customWidth="1"/>
    <col min="3890" max="3891" width="10.28515625" style="4" customWidth="1"/>
    <col min="3892" max="3892" width="25" style="4" customWidth="1"/>
    <col min="3893" max="3893" width="6" style="4" customWidth="1"/>
    <col min="3894" max="4097" width="8.85546875" style="4"/>
    <col min="4098" max="4098" width="3.7109375" style="4" customWidth="1"/>
    <col min="4099" max="4099" width="2.28515625" style="4" customWidth="1"/>
    <col min="4100" max="4101" width="3.7109375" style="4" customWidth="1"/>
    <col min="4102" max="4102" width="2.28515625" style="4" customWidth="1"/>
    <col min="4103" max="4104" width="3.7109375" style="4" customWidth="1"/>
    <col min="4105" max="4105" width="2.28515625" style="4" customWidth="1"/>
    <col min="4106" max="4107" width="3.7109375" style="4" customWidth="1"/>
    <col min="4108" max="4108" width="2.28515625" style="4" customWidth="1"/>
    <col min="4109" max="4110" width="3.7109375" style="4" customWidth="1"/>
    <col min="4111" max="4111" width="2.28515625" style="4" customWidth="1"/>
    <col min="4112" max="4113" width="3.7109375" style="4" customWidth="1"/>
    <col min="4114" max="4114" width="2.28515625" style="4" customWidth="1"/>
    <col min="4115" max="4116" width="3.7109375" style="4" customWidth="1"/>
    <col min="4117" max="4117" width="2.28515625" style="4" customWidth="1"/>
    <col min="4118" max="4119" width="3.7109375" style="4" customWidth="1"/>
    <col min="4120" max="4120" width="2.28515625" style="4" customWidth="1"/>
    <col min="4121" max="4122" width="3.7109375" style="4" customWidth="1"/>
    <col min="4123" max="4123" width="2.28515625" style="4" customWidth="1"/>
    <col min="4124" max="4125" width="3.7109375" style="4" customWidth="1"/>
    <col min="4126" max="4126" width="2.28515625" style="4" customWidth="1"/>
    <col min="4127" max="4127" width="3.7109375" style="4" customWidth="1"/>
    <col min="4128" max="4128" width="9.7109375" style="4" customWidth="1"/>
    <col min="4129" max="4138" width="3.7109375" style="4" customWidth="1"/>
    <col min="4139" max="4139" width="11" style="4" customWidth="1"/>
    <col min="4140" max="4141" width="8.85546875" style="4"/>
    <col min="4142" max="4142" width="13.5703125" style="4" customWidth="1"/>
    <col min="4143" max="4143" width="24.42578125" style="4" customWidth="1"/>
    <col min="4144" max="4144" width="16.28515625" style="4" customWidth="1"/>
    <col min="4145" max="4145" width="14.28515625" style="4" customWidth="1"/>
    <col min="4146" max="4147" width="10.28515625" style="4" customWidth="1"/>
    <col min="4148" max="4148" width="25" style="4" customWidth="1"/>
    <col min="4149" max="4149" width="6" style="4" customWidth="1"/>
    <col min="4150" max="4353" width="8.85546875" style="4"/>
    <col min="4354" max="4354" width="3.7109375" style="4" customWidth="1"/>
    <col min="4355" max="4355" width="2.28515625" style="4" customWidth="1"/>
    <col min="4356" max="4357" width="3.7109375" style="4" customWidth="1"/>
    <col min="4358" max="4358" width="2.28515625" style="4" customWidth="1"/>
    <col min="4359" max="4360" width="3.7109375" style="4" customWidth="1"/>
    <col min="4361" max="4361" width="2.28515625" style="4" customWidth="1"/>
    <col min="4362" max="4363" width="3.7109375" style="4" customWidth="1"/>
    <col min="4364" max="4364" width="2.28515625" style="4" customWidth="1"/>
    <col min="4365" max="4366" width="3.7109375" style="4" customWidth="1"/>
    <col min="4367" max="4367" width="2.28515625" style="4" customWidth="1"/>
    <col min="4368" max="4369" width="3.7109375" style="4" customWidth="1"/>
    <col min="4370" max="4370" width="2.28515625" style="4" customWidth="1"/>
    <col min="4371" max="4372" width="3.7109375" style="4" customWidth="1"/>
    <col min="4373" max="4373" width="2.28515625" style="4" customWidth="1"/>
    <col min="4374" max="4375" width="3.7109375" style="4" customWidth="1"/>
    <col min="4376" max="4376" width="2.28515625" style="4" customWidth="1"/>
    <col min="4377" max="4378" width="3.7109375" style="4" customWidth="1"/>
    <col min="4379" max="4379" width="2.28515625" style="4" customWidth="1"/>
    <col min="4380" max="4381" width="3.7109375" style="4" customWidth="1"/>
    <col min="4382" max="4382" width="2.28515625" style="4" customWidth="1"/>
    <col min="4383" max="4383" width="3.7109375" style="4" customWidth="1"/>
    <col min="4384" max="4384" width="9.7109375" style="4" customWidth="1"/>
    <col min="4385" max="4394" width="3.7109375" style="4" customWidth="1"/>
    <col min="4395" max="4395" width="11" style="4" customWidth="1"/>
    <col min="4396" max="4397" width="8.85546875" style="4"/>
    <col min="4398" max="4398" width="13.5703125" style="4" customWidth="1"/>
    <col min="4399" max="4399" width="24.42578125" style="4" customWidth="1"/>
    <col min="4400" max="4400" width="16.28515625" style="4" customWidth="1"/>
    <col min="4401" max="4401" width="14.28515625" style="4" customWidth="1"/>
    <col min="4402" max="4403" width="10.28515625" style="4" customWidth="1"/>
    <col min="4404" max="4404" width="25" style="4" customWidth="1"/>
    <col min="4405" max="4405" width="6" style="4" customWidth="1"/>
    <col min="4406" max="4609" width="8.85546875" style="4"/>
    <col min="4610" max="4610" width="3.7109375" style="4" customWidth="1"/>
    <col min="4611" max="4611" width="2.28515625" style="4" customWidth="1"/>
    <col min="4612" max="4613" width="3.7109375" style="4" customWidth="1"/>
    <col min="4614" max="4614" width="2.28515625" style="4" customWidth="1"/>
    <col min="4615" max="4616" width="3.7109375" style="4" customWidth="1"/>
    <col min="4617" max="4617" width="2.28515625" style="4" customWidth="1"/>
    <col min="4618" max="4619" width="3.7109375" style="4" customWidth="1"/>
    <col min="4620" max="4620" width="2.28515625" style="4" customWidth="1"/>
    <col min="4621" max="4622" width="3.7109375" style="4" customWidth="1"/>
    <col min="4623" max="4623" width="2.28515625" style="4" customWidth="1"/>
    <col min="4624" max="4625" width="3.7109375" style="4" customWidth="1"/>
    <col min="4626" max="4626" width="2.28515625" style="4" customWidth="1"/>
    <col min="4627" max="4628" width="3.7109375" style="4" customWidth="1"/>
    <col min="4629" max="4629" width="2.28515625" style="4" customWidth="1"/>
    <col min="4630" max="4631" width="3.7109375" style="4" customWidth="1"/>
    <col min="4632" max="4632" width="2.28515625" style="4" customWidth="1"/>
    <col min="4633" max="4634" width="3.7109375" style="4" customWidth="1"/>
    <col min="4635" max="4635" width="2.28515625" style="4" customWidth="1"/>
    <col min="4636" max="4637" width="3.7109375" style="4" customWidth="1"/>
    <col min="4638" max="4638" width="2.28515625" style="4" customWidth="1"/>
    <col min="4639" max="4639" width="3.7109375" style="4" customWidth="1"/>
    <col min="4640" max="4640" width="9.7109375" style="4" customWidth="1"/>
    <col min="4641" max="4650" width="3.7109375" style="4" customWidth="1"/>
    <col min="4651" max="4651" width="11" style="4" customWidth="1"/>
    <col min="4652" max="4653" width="8.85546875" style="4"/>
    <col min="4654" max="4654" width="13.5703125" style="4" customWidth="1"/>
    <col min="4655" max="4655" width="24.42578125" style="4" customWidth="1"/>
    <col min="4656" max="4656" width="16.28515625" style="4" customWidth="1"/>
    <col min="4657" max="4657" width="14.28515625" style="4" customWidth="1"/>
    <col min="4658" max="4659" width="10.28515625" style="4" customWidth="1"/>
    <col min="4660" max="4660" width="25" style="4" customWidth="1"/>
    <col min="4661" max="4661" width="6" style="4" customWidth="1"/>
    <col min="4662" max="4865" width="8.85546875" style="4"/>
    <col min="4866" max="4866" width="3.7109375" style="4" customWidth="1"/>
    <col min="4867" max="4867" width="2.28515625" style="4" customWidth="1"/>
    <col min="4868" max="4869" width="3.7109375" style="4" customWidth="1"/>
    <col min="4870" max="4870" width="2.28515625" style="4" customWidth="1"/>
    <col min="4871" max="4872" width="3.7109375" style="4" customWidth="1"/>
    <col min="4873" max="4873" width="2.28515625" style="4" customWidth="1"/>
    <col min="4874" max="4875" width="3.7109375" style="4" customWidth="1"/>
    <col min="4876" max="4876" width="2.28515625" style="4" customWidth="1"/>
    <col min="4877" max="4878" width="3.7109375" style="4" customWidth="1"/>
    <col min="4879" max="4879" width="2.28515625" style="4" customWidth="1"/>
    <col min="4880" max="4881" width="3.7109375" style="4" customWidth="1"/>
    <col min="4882" max="4882" width="2.28515625" style="4" customWidth="1"/>
    <col min="4883" max="4884" width="3.7109375" style="4" customWidth="1"/>
    <col min="4885" max="4885" width="2.28515625" style="4" customWidth="1"/>
    <col min="4886" max="4887" width="3.7109375" style="4" customWidth="1"/>
    <col min="4888" max="4888" width="2.28515625" style="4" customWidth="1"/>
    <col min="4889" max="4890" width="3.7109375" style="4" customWidth="1"/>
    <col min="4891" max="4891" width="2.28515625" style="4" customWidth="1"/>
    <col min="4892" max="4893" width="3.7109375" style="4" customWidth="1"/>
    <col min="4894" max="4894" width="2.28515625" style="4" customWidth="1"/>
    <col min="4895" max="4895" width="3.7109375" style="4" customWidth="1"/>
    <col min="4896" max="4896" width="9.7109375" style="4" customWidth="1"/>
    <col min="4897" max="4906" width="3.7109375" style="4" customWidth="1"/>
    <col min="4907" max="4907" width="11" style="4" customWidth="1"/>
    <col min="4908" max="4909" width="8.85546875" style="4"/>
    <col min="4910" max="4910" width="13.5703125" style="4" customWidth="1"/>
    <col min="4911" max="4911" width="24.42578125" style="4" customWidth="1"/>
    <col min="4912" max="4912" width="16.28515625" style="4" customWidth="1"/>
    <col min="4913" max="4913" width="14.28515625" style="4" customWidth="1"/>
    <col min="4914" max="4915" width="10.28515625" style="4" customWidth="1"/>
    <col min="4916" max="4916" width="25" style="4" customWidth="1"/>
    <col min="4917" max="4917" width="6" style="4" customWidth="1"/>
    <col min="4918" max="5121" width="8.85546875" style="4"/>
    <col min="5122" max="5122" width="3.7109375" style="4" customWidth="1"/>
    <col min="5123" max="5123" width="2.28515625" style="4" customWidth="1"/>
    <col min="5124" max="5125" width="3.7109375" style="4" customWidth="1"/>
    <col min="5126" max="5126" width="2.28515625" style="4" customWidth="1"/>
    <col min="5127" max="5128" width="3.7109375" style="4" customWidth="1"/>
    <col min="5129" max="5129" width="2.28515625" style="4" customWidth="1"/>
    <col min="5130" max="5131" width="3.7109375" style="4" customWidth="1"/>
    <col min="5132" max="5132" width="2.28515625" style="4" customWidth="1"/>
    <col min="5133" max="5134" width="3.7109375" style="4" customWidth="1"/>
    <col min="5135" max="5135" width="2.28515625" style="4" customWidth="1"/>
    <col min="5136" max="5137" width="3.7109375" style="4" customWidth="1"/>
    <col min="5138" max="5138" width="2.28515625" style="4" customWidth="1"/>
    <col min="5139" max="5140" width="3.7109375" style="4" customWidth="1"/>
    <col min="5141" max="5141" width="2.28515625" style="4" customWidth="1"/>
    <col min="5142" max="5143" width="3.7109375" style="4" customWidth="1"/>
    <col min="5144" max="5144" width="2.28515625" style="4" customWidth="1"/>
    <col min="5145" max="5146" width="3.7109375" style="4" customWidth="1"/>
    <col min="5147" max="5147" width="2.28515625" style="4" customWidth="1"/>
    <col min="5148" max="5149" width="3.7109375" style="4" customWidth="1"/>
    <col min="5150" max="5150" width="2.28515625" style="4" customWidth="1"/>
    <col min="5151" max="5151" width="3.7109375" style="4" customWidth="1"/>
    <col min="5152" max="5152" width="9.7109375" style="4" customWidth="1"/>
    <col min="5153" max="5162" width="3.7109375" style="4" customWidth="1"/>
    <col min="5163" max="5163" width="11" style="4" customWidth="1"/>
    <col min="5164" max="5165" width="8.85546875" style="4"/>
    <col min="5166" max="5166" width="13.5703125" style="4" customWidth="1"/>
    <col min="5167" max="5167" width="24.42578125" style="4" customWidth="1"/>
    <col min="5168" max="5168" width="16.28515625" style="4" customWidth="1"/>
    <col min="5169" max="5169" width="14.28515625" style="4" customWidth="1"/>
    <col min="5170" max="5171" width="10.28515625" style="4" customWidth="1"/>
    <col min="5172" max="5172" width="25" style="4" customWidth="1"/>
    <col min="5173" max="5173" width="6" style="4" customWidth="1"/>
    <col min="5174" max="5377" width="8.85546875" style="4"/>
    <col min="5378" max="5378" width="3.7109375" style="4" customWidth="1"/>
    <col min="5379" max="5379" width="2.28515625" style="4" customWidth="1"/>
    <col min="5380" max="5381" width="3.7109375" style="4" customWidth="1"/>
    <col min="5382" max="5382" width="2.28515625" style="4" customWidth="1"/>
    <col min="5383" max="5384" width="3.7109375" style="4" customWidth="1"/>
    <col min="5385" max="5385" width="2.28515625" style="4" customWidth="1"/>
    <col min="5386" max="5387" width="3.7109375" style="4" customWidth="1"/>
    <col min="5388" max="5388" width="2.28515625" style="4" customWidth="1"/>
    <col min="5389" max="5390" width="3.7109375" style="4" customWidth="1"/>
    <col min="5391" max="5391" width="2.28515625" style="4" customWidth="1"/>
    <col min="5392" max="5393" width="3.7109375" style="4" customWidth="1"/>
    <col min="5394" max="5394" width="2.28515625" style="4" customWidth="1"/>
    <col min="5395" max="5396" width="3.7109375" style="4" customWidth="1"/>
    <col min="5397" max="5397" width="2.28515625" style="4" customWidth="1"/>
    <col min="5398" max="5399" width="3.7109375" style="4" customWidth="1"/>
    <col min="5400" max="5400" width="2.28515625" style="4" customWidth="1"/>
    <col min="5401" max="5402" width="3.7109375" style="4" customWidth="1"/>
    <col min="5403" max="5403" width="2.28515625" style="4" customWidth="1"/>
    <col min="5404" max="5405" width="3.7109375" style="4" customWidth="1"/>
    <col min="5406" max="5406" width="2.28515625" style="4" customWidth="1"/>
    <col min="5407" max="5407" width="3.7109375" style="4" customWidth="1"/>
    <col min="5408" max="5408" width="9.7109375" style="4" customWidth="1"/>
    <col min="5409" max="5418" width="3.7109375" style="4" customWidth="1"/>
    <col min="5419" max="5419" width="11" style="4" customWidth="1"/>
    <col min="5420" max="5421" width="8.85546875" style="4"/>
    <col min="5422" max="5422" width="13.5703125" style="4" customWidth="1"/>
    <col min="5423" max="5423" width="24.42578125" style="4" customWidth="1"/>
    <col min="5424" max="5424" width="16.28515625" style="4" customWidth="1"/>
    <col min="5425" max="5425" width="14.28515625" style="4" customWidth="1"/>
    <col min="5426" max="5427" width="10.28515625" style="4" customWidth="1"/>
    <col min="5428" max="5428" width="25" style="4" customWidth="1"/>
    <col min="5429" max="5429" width="6" style="4" customWidth="1"/>
    <col min="5430" max="5633" width="8.85546875" style="4"/>
    <col min="5634" max="5634" width="3.7109375" style="4" customWidth="1"/>
    <col min="5635" max="5635" width="2.28515625" style="4" customWidth="1"/>
    <col min="5636" max="5637" width="3.7109375" style="4" customWidth="1"/>
    <col min="5638" max="5638" width="2.28515625" style="4" customWidth="1"/>
    <col min="5639" max="5640" width="3.7109375" style="4" customWidth="1"/>
    <col min="5641" max="5641" width="2.28515625" style="4" customWidth="1"/>
    <col min="5642" max="5643" width="3.7109375" style="4" customWidth="1"/>
    <col min="5644" max="5644" width="2.28515625" style="4" customWidth="1"/>
    <col min="5645" max="5646" width="3.7109375" style="4" customWidth="1"/>
    <col min="5647" max="5647" width="2.28515625" style="4" customWidth="1"/>
    <col min="5648" max="5649" width="3.7109375" style="4" customWidth="1"/>
    <col min="5650" max="5650" width="2.28515625" style="4" customWidth="1"/>
    <col min="5651" max="5652" width="3.7109375" style="4" customWidth="1"/>
    <col min="5653" max="5653" width="2.28515625" style="4" customWidth="1"/>
    <col min="5654" max="5655" width="3.7109375" style="4" customWidth="1"/>
    <col min="5656" max="5656" width="2.28515625" style="4" customWidth="1"/>
    <col min="5657" max="5658" width="3.7109375" style="4" customWidth="1"/>
    <col min="5659" max="5659" width="2.28515625" style="4" customWidth="1"/>
    <col min="5660" max="5661" width="3.7109375" style="4" customWidth="1"/>
    <col min="5662" max="5662" width="2.28515625" style="4" customWidth="1"/>
    <col min="5663" max="5663" width="3.7109375" style="4" customWidth="1"/>
    <col min="5664" max="5664" width="9.7109375" style="4" customWidth="1"/>
    <col min="5665" max="5674" width="3.7109375" style="4" customWidth="1"/>
    <col min="5675" max="5675" width="11" style="4" customWidth="1"/>
    <col min="5676" max="5677" width="8.85546875" style="4"/>
    <col min="5678" max="5678" width="13.5703125" style="4" customWidth="1"/>
    <col min="5679" max="5679" width="24.42578125" style="4" customWidth="1"/>
    <col min="5680" max="5680" width="16.28515625" style="4" customWidth="1"/>
    <col min="5681" max="5681" width="14.28515625" style="4" customWidth="1"/>
    <col min="5682" max="5683" width="10.28515625" style="4" customWidth="1"/>
    <col min="5684" max="5684" width="25" style="4" customWidth="1"/>
    <col min="5685" max="5685" width="6" style="4" customWidth="1"/>
    <col min="5686" max="5889" width="8.85546875" style="4"/>
    <col min="5890" max="5890" width="3.7109375" style="4" customWidth="1"/>
    <col min="5891" max="5891" width="2.28515625" style="4" customWidth="1"/>
    <col min="5892" max="5893" width="3.7109375" style="4" customWidth="1"/>
    <col min="5894" max="5894" width="2.28515625" style="4" customWidth="1"/>
    <col min="5895" max="5896" width="3.7109375" style="4" customWidth="1"/>
    <col min="5897" max="5897" width="2.28515625" style="4" customWidth="1"/>
    <col min="5898" max="5899" width="3.7109375" style="4" customWidth="1"/>
    <col min="5900" max="5900" width="2.28515625" style="4" customWidth="1"/>
    <col min="5901" max="5902" width="3.7109375" style="4" customWidth="1"/>
    <col min="5903" max="5903" width="2.28515625" style="4" customWidth="1"/>
    <col min="5904" max="5905" width="3.7109375" style="4" customWidth="1"/>
    <col min="5906" max="5906" width="2.28515625" style="4" customWidth="1"/>
    <col min="5907" max="5908" width="3.7109375" style="4" customWidth="1"/>
    <col min="5909" max="5909" width="2.28515625" style="4" customWidth="1"/>
    <col min="5910" max="5911" width="3.7109375" style="4" customWidth="1"/>
    <col min="5912" max="5912" width="2.28515625" style="4" customWidth="1"/>
    <col min="5913" max="5914" width="3.7109375" style="4" customWidth="1"/>
    <col min="5915" max="5915" width="2.28515625" style="4" customWidth="1"/>
    <col min="5916" max="5917" width="3.7109375" style="4" customWidth="1"/>
    <col min="5918" max="5918" width="2.28515625" style="4" customWidth="1"/>
    <col min="5919" max="5919" width="3.7109375" style="4" customWidth="1"/>
    <col min="5920" max="5920" width="9.7109375" style="4" customWidth="1"/>
    <col min="5921" max="5930" width="3.7109375" style="4" customWidth="1"/>
    <col min="5931" max="5931" width="11" style="4" customWidth="1"/>
    <col min="5932" max="5933" width="8.85546875" style="4"/>
    <col min="5934" max="5934" width="13.5703125" style="4" customWidth="1"/>
    <col min="5935" max="5935" width="24.42578125" style="4" customWidth="1"/>
    <col min="5936" max="5936" width="16.28515625" style="4" customWidth="1"/>
    <col min="5937" max="5937" width="14.28515625" style="4" customWidth="1"/>
    <col min="5938" max="5939" width="10.28515625" style="4" customWidth="1"/>
    <col min="5940" max="5940" width="25" style="4" customWidth="1"/>
    <col min="5941" max="5941" width="6" style="4" customWidth="1"/>
    <col min="5942" max="6145" width="8.85546875" style="4"/>
    <col min="6146" max="6146" width="3.7109375" style="4" customWidth="1"/>
    <col min="6147" max="6147" width="2.28515625" style="4" customWidth="1"/>
    <col min="6148" max="6149" width="3.7109375" style="4" customWidth="1"/>
    <col min="6150" max="6150" width="2.28515625" style="4" customWidth="1"/>
    <col min="6151" max="6152" width="3.7109375" style="4" customWidth="1"/>
    <col min="6153" max="6153" width="2.28515625" style="4" customWidth="1"/>
    <col min="6154" max="6155" width="3.7109375" style="4" customWidth="1"/>
    <col min="6156" max="6156" width="2.28515625" style="4" customWidth="1"/>
    <col min="6157" max="6158" width="3.7109375" style="4" customWidth="1"/>
    <col min="6159" max="6159" width="2.28515625" style="4" customWidth="1"/>
    <col min="6160" max="6161" width="3.7109375" style="4" customWidth="1"/>
    <col min="6162" max="6162" width="2.28515625" style="4" customWidth="1"/>
    <col min="6163" max="6164" width="3.7109375" style="4" customWidth="1"/>
    <col min="6165" max="6165" width="2.28515625" style="4" customWidth="1"/>
    <col min="6166" max="6167" width="3.7109375" style="4" customWidth="1"/>
    <col min="6168" max="6168" width="2.28515625" style="4" customWidth="1"/>
    <col min="6169" max="6170" width="3.7109375" style="4" customWidth="1"/>
    <col min="6171" max="6171" width="2.28515625" style="4" customWidth="1"/>
    <col min="6172" max="6173" width="3.7109375" style="4" customWidth="1"/>
    <col min="6174" max="6174" width="2.28515625" style="4" customWidth="1"/>
    <col min="6175" max="6175" width="3.7109375" style="4" customWidth="1"/>
    <col min="6176" max="6176" width="9.7109375" style="4" customWidth="1"/>
    <col min="6177" max="6186" width="3.7109375" style="4" customWidth="1"/>
    <col min="6187" max="6187" width="11" style="4" customWidth="1"/>
    <col min="6188" max="6189" width="8.85546875" style="4"/>
    <col min="6190" max="6190" width="13.5703125" style="4" customWidth="1"/>
    <col min="6191" max="6191" width="24.42578125" style="4" customWidth="1"/>
    <col min="6192" max="6192" width="16.28515625" style="4" customWidth="1"/>
    <col min="6193" max="6193" width="14.28515625" style="4" customWidth="1"/>
    <col min="6194" max="6195" width="10.28515625" style="4" customWidth="1"/>
    <col min="6196" max="6196" width="25" style="4" customWidth="1"/>
    <col min="6197" max="6197" width="6" style="4" customWidth="1"/>
    <col min="6198" max="6401" width="8.85546875" style="4"/>
    <col min="6402" max="6402" width="3.7109375" style="4" customWidth="1"/>
    <col min="6403" max="6403" width="2.28515625" style="4" customWidth="1"/>
    <col min="6404" max="6405" width="3.7109375" style="4" customWidth="1"/>
    <col min="6406" max="6406" width="2.28515625" style="4" customWidth="1"/>
    <col min="6407" max="6408" width="3.7109375" style="4" customWidth="1"/>
    <col min="6409" max="6409" width="2.28515625" style="4" customWidth="1"/>
    <col min="6410" max="6411" width="3.7109375" style="4" customWidth="1"/>
    <col min="6412" max="6412" width="2.28515625" style="4" customWidth="1"/>
    <col min="6413" max="6414" width="3.7109375" style="4" customWidth="1"/>
    <col min="6415" max="6415" width="2.28515625" style="4" customWidth="1"/>
    <col min="6416" max="6417" width="3.7109375" style="4" customWidth="1"/>
    <col min="6418" max="6418" width="2.28515625" style="4" customWidth="1"/>
    <col min="6419" max="6420" width="3.7109375" style="4" customWidth="1"/>
    <col min="6421" max="6421" width="2.28515625" style="4" customWidth="1"/>
    <col min="6422" max="6423" width="3.7109375" style="4" customWidth="1"/>
    <col min="6424" max="6424" width="2.28515625" style="4" customWidth="1"/>
    <col min="6425" max="6426" width="3.7109375" style="4" customWidth="1"/>
    <col min="6427" max="6427" width="2.28515625" style="4" customWidth="1"/>
    <col min="6428" max="6429" width="3.7109375" style="4" customWidth="1"/>
    <col min="6430" max="6430" width="2.28515625" style="4" customWidth="1"/>
    <col min="6431" max="6431" width="3.7109375" style="4" customWidth="1"/>
    <col min="6432" max="6432" width="9.7109375" style="4" customWidth="1"/>
    <col min="6433" max="6442" width="3.7109375" style="4" customWidth="1"/>
    <col min="6443" max="6443" width="11" style="4" customWidth="1"/>
    <col min="6444" max="6445" width="8.85546875" style="4"/>
    <col min="6446" max="6446" width="13.5703125" style="4" customWidth="1"/>
    <col min="6447" max="6447" width="24.42578125" style="4" customWidth="1"/>
    <col min="6448" max="6448" width="16.28515625" style="4" customWidth="1"/>
    <col min="6449" max="6449" width="14.28515625" style="4" customWidth="1"/>
    <col min="6450" max="6451" width="10.28515625" style="4" customWidth="1"/>
    <col min="6452" max="6452" width="25" style="4" customWidth="1"/>
    <col min="6453" max="6453" width="6" style="4" customWidth="1"/>
    <col min="6454" max="6657" width="8.85546875" style="4"/>
    <col min="6658" max="6658" width="3.7109375" style="4" customWidth="1"/>
    <col min="6659" max="6659" width="2.28515625" style="4" customWidth="1"/>
    <col min="6660" max="6661" width="3.7109375" style="4" customWidth="1"/>
    <col min="6662" max="6662" width="2.28515625" style="4" customWidth="1"/>
    <col min="6663" max="6664" width="3.7109375" style="4" customWidth="1"/>
    <col min="6665" max="6665" width="2.28515625" style="4" customWidth="1"/>
    <col min="6666" max="6667" width="3.7109375" style="4" customWidth="1"/>
    <col min="6668" max="6668" width="2.28515625" style="4" customWidth="1"/>
    <col min="6669" max="6670" width="3.7109375" style="4" customWidth="1"/>
    <col min="6671" max="6671" width="2.28515625" style="4" customWidth="1"/>
    <col min="6672" max="6673" width="3.7109375" style="4" customWidth="1"/>
    <col min="6674" max="6674" width="2.28515625" style="4" customWidth="1"/>
    <col min="6675" max="6676" width="3.7109375" style="4" customWidth="1"/>
    <col min="6677" max="6677" width="2.28515625" style="4" customWidth="1"/>
    <col min="6678" max="6679" width="3.7109375" style="4" customWidth="1"/>
    <col min="6680" max="6680" width="2.28515625" style="4" customWidth="1"/>
    <col min="6681" max="6682" width="3.7109375" style="4" customWidth="1"/>
    <col min="6683" max="6683" width="2.28515625" style="4" customWidth="1"/>
    <col min="6684" max="6685" width="3.7109375" style="4" customWidth="1"/>
    <col min="6686" max="6686" width="2.28515625" style="4" customWidth="1"/>
    <col min="6687" max="6687" width="3.7109375" style="4" customWidth="1"/>
    <col min="6688" max="6688" width="9.7109375" style="4" customWidth="1"/>
    <col min="6689" max="6698" width="3.7109375" style="4" customWidth="1"/>
    <col min="6699" max="6699" width="11" style="4" customWidth="1"/>
    <col min="6700" max="6701" width="8.85546875" style="4"/>
    <col min="6702" max="6702" width="13.5703125" style="4" customWidth="1"/>
    <col min="6703" max="6703" width="24.42578125" style="4" customWidth="1"/>
    <col min="6704" max="6704" width="16.28515625" style="4" customWidth="1"/>
    <col min="6705" max="6705" width="14.28515625" style="4" customWidth="1"/>
    <col min="6706" max="6707" width="10.28515625" style="4" customWidth="1"/>
    <col min="6708" max="6708" width="25" style="4" customWidth="1"/>
    <col min="6709" max="6709" width="6" style="4" customWidth="1"/>
    <col min="6710" max="6913" width="8.85546875" style="4"/>
    <col min="6914" max="6914" width="3.7109375" style="4" customWidth="1"/>
    <col min="6915" max="6915" width="2.28515625" style="4" customWidth="1"/>
    <col min="6916" max="6917" width="3.7109375" style="4" customWidth="1"/>
    <col min="6918" max="6918" width="2.28515625" style="4" customWidth="1"/>
    <col min="6919" max="6920" width="3.7109375" style="4" customWidth="1"/>
    <col min="6921" max="6921" width="2.28515625" style="4" customWidth="1"/>
    <col min="6922" max="6923" width="3.7109375" style="4" customWidth="1"/>
    <col min="6924" max="6924" width="2.28515625" style="4" customWidth="1"/>
    <col min="6925" max="6926" width="3.7109375" style="4" customWidth="1"/>
    <col min="6927" max="6927" width="2.28515625" style="4" customWidth="1"/>
    <col min="6928" max="6929" width="3.7109375" style="4" customWidth="1"/>
    <col min="6930" max="6930" width="2.28515625" style="4" customWidth="1"/>
    <col min="6931" max="6932" width="3.7109375" style="4" customWidth="1"/>
    <col min="6933" max="6933" width="2.28515625" style="4" customWidth="1"/>
    <col min="6934" max="6935" width="3.7109375" style="4" customWidth="1"/>
    <col min="6936" max="6936" width="2.28515625" style="4" customWidth="1"/>
    <col min="6937" max="6938" width="3.7109375" style="4" customWidth="1"/>
    <col min="6939" max="6939" width="2.28515625" style="4" customWidth="1"/>
    <col min="6940" max="6941" width="3.7109375" style="4" customWidth="1"/>
    <col min="6942" max="6942" width="2.28515625" style="4" customWidth="1"/>
    <col min="6943" max="6943" width="3.7109375" style="4" customWidth="1"/>
    <col min="6944" max="6944" width="9.7109375" style="4" customWidth="1"/>
    <col min="6945" max="6954" width="3.7109375" style="4" customWidth="1"/>
    <col min="6955" max="6955" width="11" style="4" customWidth="1"/>
    <col min="6956" max="6957" width="8.85546875" style="4"/>
    <col min="6958" max="6958" width="13.5703125" style="4" customWidth="1"/>
    <col min="6959" max="6959" width="24.42578125" style="4" customWidth="1"/>
    <col min="6960" max="6960" width="16.28515625" style="4" customWidth="1"/>
    <col min="6961" max="6961" width="14.28515625" style="4" customWidth="1"/>
    <col min="6962" max="6963" width="10.28515625" style="4" customWidth="1"/>
    <col min="6964" max="6964" width="25" style="4" customWidth="1"/>
    <col min="6965" max="6965" width="6" style="4" customWidth="1"/>
    <col min="6966" max="7169" width="8.85546875" style="4"/>
    <col min="7170" max="7170" width="3.7109375" style="4" customWidth="1"/>
    <col min="7171" max="7171" width="2.28515625" style="4" customWidth="1"/>
    <col min="7172" max="7173" width="3.7109375" style="4" customWidth="1"/>
    <col min="7174" max="7174" width="2.28515625" style="4" customWidth="1"/>
    <col min="7175" max="7176" width="3.7109375" style="4" customWidth="1"/>
    <col min="7177" max="7177" width="2.28515625" style="4" customWidth="1"/>
    <col min="7178" max="7179" width="3.7109375" style="4" customWidth="1"/>
    <col min="7180" max="7180" width="2.28515625" style="4" customWidth="1"/>
    <col min="7181" max="7182" width="3.7109375" style="4" customWidth="1"/>
    <col min="7183" max="7183" width="2.28515625" style="4" customWidth="1"/>
    <col min="7184" max="7185" width="3.7109375" style="4" customWidth="1"/>
    <col min="7186" max="7186" width="2.28515625" style="4" customWidth="1"/>
    <col min="7187" max="7188" width="3.7109375" style="4" customWidth="1"/>
    <col min="7189" max="7189" width="2.28515625" style="4" customWidth="1"/>
    <col min="7190" max="7191" width="3.7109375" style="4" customWidth="1"/>
    <col min="7192" max="7192" width="2.28515625" style="4" customWidth="1"/>
    <col min="7193" max="7194" width="3.7109375" style="4" customWidth="1"/>
    <col min="7195" max="7195" width="2.28515625" style="4" customWidth="1"/>
    <col min="7196" max="7197" width="3.7109375" style="4" customWidth="1"/>
    <col min="7198" max="7198" width="2.28515625" style="4" customWidth="1"/>
    <col min="7199" max="7199" width="3.7109375" style="4" customWidth="1"/>
    <col min="7200" max="7200" width="9.7109375" style="4" customWidth="1"/>
    <col min="7201" max="7210" width="3.7109375" style="4" customWidth="1"/>
    <col min="7211" max="7211" width="11" style="4" customWidth="1"/>
    <col min="7212" max="7213" width="8.85546875" style="4"/>
    <col min="7214" max="7214" width="13.5703125" style="4" customWidth="1"/>
    <col min="7215" max="7215" width="24.42578125" style="4" customWidth="1"/>
    <col min="7216" max="7216" width="16.28515625" style="4" customWidth="1"/>
    <col min="7217" max="7217" width="14.28515625" style="4" customWidth="1"/>
    <col min="7218" max="7219" width="10.28515625" style="4" customWidth="1"/>
    <col min="7220" max="7220" width="25" style="4" customWidth="1"/>
    <col min="7221" max="7221" width="6" style="4" customWidth="1"/>
    <col min="7222" max="7425" width="8.85546875" style="4"/>
    <col min="7426" max="7426" width="3.7109375" style="4" customWidth="1"/>
    <col min="7427" max="7427" width="2.28515625" style="4" customWidth="1"/>
    <col min="7428" max="7429" width="3.7109375" style="4" customWidth="1"/>
    <col min="7430" max="7430" width="2.28515625" style="4" customWidth="1"/>
    <col min="7431" max="7432" width="3.7109375" style="4" customWidth="1"/>
    <col min="7433" max="7433" width="2.28515625" style="4" customWidth="1"/>
    <col min="7434" max="7435" width="3.7109375" style="4" customWidth="1"/>
    <col min="7436" max="7436" width="2.28515625" style="4" customWidth="1"/>
    <col min="7437" max="7438" width="3.7109375" style="4" customWidth="1"/>
    <col min="7439" max="7439" width="2.28515625" style="4" customWidth="1"/>
    <col min="7440" max="7441" width="3.7109375" style="4" customWidth="1"/>
    <col min="7442" max="7442" width="2.28515625" style="4" customWidth="1"/>
    <col min="7443" max="7444" width="3.7109375" style="4" customWidth="1"/>
    <col min="7445" max="7445" width="2.28515625" style="4" customWidth="1"/>
    <col min="7446" max="7447" width="3.7109375" style="4" customWidth="1"/>
    <col min="7448" max="7448" width="2.28515625" style="4" customWidth="1"/>
    <col min="7449" max="7450" width="3.7109375" style="4" customWidth="1"/>
    <col min="7451" max="7451" width="2.28515625" style="4" customWidth="1"/>
    <col min="7452" max="7453" width="3.7109375" style="4" customWidth="1"/>
    <col min="7454" max="7454" width="2.28515625" style="4" customWidth="1"/>
    <col min="7455" max="7455" width="3.7109375" style="4" customWidth="1"/>
    <col min="7456" max="7456" width="9.7109375" style="4" customWidth="1"/>
    <col min="7457" max="7466" width="3.7109375" style="4" customWidth="1"/>
    <col min="7467" max="7467" width="11" style="4" customWidth="1"/>
    <col min="7468" max="7469" width="8.85546875" style="4"/>
    <col min="7470" max="7470" width="13.5703125" style="4" customWidth="1"/>
    <col min="7471" max="7471" width="24.42578125" style="4" customWidth="1"/>
    <col min="7472" max="7472" width="16.28515625" style="4" customWidth="1"/>
    <col min="7473" max="7473" width="14.28515625" style="4" customWidth="1"/>
    <col min="7474" max="7475" width="10.28515625" style="4" customWidth="1"/>
    <col min="7476" max="7476" width="25" style="4" customWidth="1"/>
    <col min="7477" max="7477" width="6" style="4" customWidth="1"/>
    <col min="7478" max="7681" width="8.85546875" style="4"/>
    <col min="7682" max="7682" width="3.7109375" style="4" customWidth="1"/>
    <col min="7683" max="7683" width="2.28515625" style="4" customWidth="1"/>
    <col min="7684" max="7685" width="3.7109375" style="4" customWidth="1"/>
    <col min="7686" max="7686" width="2.28515625" style="4" customWidth="1"/>
    <col min="7687" max="7688" width="3.7109375" style="4" customWidth="1"/>
    <col min="7689" max="7689" width="2.28515625" style="4" customWidth="1"/>
    <col min="7690" max="7691" width="3.7109375" style="4" customWidth="1"/>
    <col min="7692" max="7692" width="2.28515625" style="4" customWidth="1"/>
    <col min="7693" max="7694" width="3.7109375" style="4" customWidth="1"/>
    <col min="7695" max="7695" width="2.28515625" style="4" customWidth="1"/>
    <col min="7696" max="7697" width="3.7109375" style="4" customWidth="1"/>
    <col min="7698" max="7698" width="2.28515625" style="4" customWidth="1"/>
    <col min="7699" max="7700" width="3.7109375" style="4" customWidth="1"/>
    <col min="7701" max="7701" width="2.28515625" style="4" customWidth="1"/>
    <col min="7702" max="7703" width="3.7109375" style="4" customWidth="1"/>
    <col min="7704" max="7704" width="2.28515625" style="4" customWidth="1"/>
    <col min="7705" max="7706" width="3.7109375" style="4" customWidth="1"/>
    <col min="7707" max="7707" width="2.28515625" style="4" customWidth="1"/>
    <col min="7708" max="7709" width="3.7109375" style="4" customWidth="1"/>
    <col min="7710" max="7710" width="2.28515625" style="4" customWidth="1"/>
    <col min="7711" max="7711" width="3.7109375" style="4" customWidth="1"/>
    <col min="7712" max="7712" width="9.7109375" style="4" customWidth="1"/>
    <col min="7713" max="7722" width="3.7109375" style="4" customWidth="1"/>
    <col min="7723" max="7723" width="11" style="4" customWidth="1"/>
    <col min="7724" max="7725" width="8.85546875" style="4"/>
    <col min="7726" max="7726" width="13.5703125" style="4" customWidth="1"/>
    <col min="7727" max="7727" width="24.42578125" style="4" customWidth="1"/>
    <col min="7728" max="7728" width="16.28515625" style="4" customWidth="1"/>
    <col min="7729" max="7729" width="14.28515625" style="4" customWidth="1"/>
    <col min="7730" max="7731" width="10.28515625" style="4" customWidth="1"/>
    <col min="7732" max="7732" width="25" style="4" customWidth="1"/>
    <col min="7733" max="7733" width="6" style="4" customWidth="1"/>
    <col min="7734" max="7937" width="8.85546875" style="4"/>
    <col min="7938" max="7938" width="3.7109375" style="4" customWidth="1"/>
    <col min="7939" max="7939" width="2.28515625" style="4" customWidth="1"/>
    <col min="7940" max="7941" width="3.7109375" style="4" customWidth="1"/>
    <col min="7942" max="7942" width="2.28515625" style="4" customWidth="1"/>
    <col min="7943" max="7944" width="3.7109375" style="4" customWidth="1"/>
    <col min="7945" max="7945" width="2.28515625" style="4" customWidth="1"/>
    <col min="7946" max="7947" width="3.7109375" style="4" customWidth="1"/>
    <col min="7948" max="7948" width="2.28515625" style="4" customWidth="1"/>
    <col min="7949" max="7950" width="3.7109375" style="4" customWidth="1"/>
    <col min="7951" max="7951" width="2.28515625" style="4" customWidth="1"/>
    <col min="7952" max="7953" width="3.7109375" style="4" customWidth="1"/>
    <col min="7954" max="7954" width="2.28515625" style="4" customWidth="1"/>
    <col min="7955" max="7956" width="3.7109375" style="4" customWidth="1"/>
    <col min="7957" max="7957" width="2.28515625" style="4" customWidth="1"/>
    <col min="7958" max="7959" width="3.7109375" style="4" customWidth="1"/>
    <col min="7960" max="7960" width="2.28515625" style="4" customWidth="1"/>
    <col min="7961" max="7962" width="3.7109375" style="4" customWidth="1"/>
    <col min="7963" max="7963" width="2.28515625" style="4" customWidth="1"/>
    <col min="7964" max="7965" width="3.7109375" style="4" customWidth="1"/>
    <col min="7966" max="7966" width="2.28515625" style="4" customWidth="1"/>
    <col min="7967" max="7967" width="3.7109375" style="4" customWidth="1"/>
    <col min="7968" max="7968" width="9.7109375" style="4" customWidth="1"/>
    <col min="7969" max="7978" width="3.7109375" style="4" customWidth="1"/>
    <col min="7979" max="7979" width="11" style="4" customWidth="1"/>
    <col min="7980" max="7981" width="8.85546875" style="4"/>
    <col min="7982" max="7982" width="13.5703125" style="4" customWidth="1"/>
    <col min="7983" max="7983" width="24.42578125" style="4" customWidth="1"/>
    <col min="7984" max="7984" width="16.28515625" style="4" customWidth="1"/>
    <col min="7985" max="7985" width="14.28515625" style="4" customWidth="1"/>
    <col min="7986" max="7987" width="10.28515625" style="4" customWidth="1"/>
    <col min="7988" max="7988" width="25" style="4" customWidth="1"/>
    <col min="7989" max="7989" width="6" style="4" customWidth="1"/>
    <col min="7990" max="8193" width="8.85546875" style="4"/>
    <col min="8194" max="8194" width="3.7109375" style="4" customWidth="1"/>
    <col min="8195" max="8195" width="2.28515625" style="4" customWidth="1"/>
    <col min="8196" max="8197" width="3.7109375" style="4" customWidth="1"/>
    <col min="8198" max="8198" width="2.28515625" style="4" customWidth="1"/>
    <col min="8199" max="8200" width="3.7109375" style="4" customWidth="1"/>
    <col min="8201" max="8201" width="2.28515625" style="4" customWidth="1"/>
    <col min="8202" max="8203" width="3.7109375" style="4" customWidth="1"/>
    <col min="8204" max="8204" width="2.28515625" style="4" customWidth="1"/>
    <col min="8205" max="8206" width="3.7109375" style="4" customWidth="1"/>
    <col min="8207" max="8207" width="2.28515625" style="4" customWidth="1"/>
    <col min="8208" max="8209" width="3.7109375" style="4" customWidth="1"/>
    <col min="8210" max="8210" width="2.28515625" style="4" customWidth="1"/>
    <col min="8211" max="8212" width="3.7109375" style="4" customWidth="1"/>
    <col min="8213" max="8213" width="2.28515625" style="4" customWidth="1"/>
    <col min="8214" max="8215" width="3.7109375" style="4" customWidth="1"/>
    <col min="8216" max="8216" width="2.28515625" style="4" customWidth="1"/>
    <col min="8217" max="8218" width="3.7109375" style="4" customWidth="1"/>
    <col min="8219" max="8219" width="2.28515625" style="4" customWidth="1"/>
    <col min="8220" max="8221" width="3.7109375" style="4" customWidth="1"/>
    <col min="8222" max="8222" width="2.28515625" style="4" customWidth="1"/>
    <col min="8223" max="8223" width="3.7109375" style="4" customWidth="1"/>
    <col min="8224" max="8224" width="9.7109375" style="4" customWidth="1"/>
    <col min="8225" max="8234" width="3.7109375" style="4" customWidth="1"/>
    <col min="8235" max="8235" width="11" style="4" customWidth="1"/>
    <col min="8236" max="8237" width="8.85546875" style="4"/>
    <col min="8238" max="8238" width="13.5703125" style="4" customWidth="1"/>
    <col min="8239" max="8239" width="24.42578125" style="4" customWidth="1"/>
    <col min="8240" max="8240" width="16.28515625" style="4" customWidth="1"/>
    <col min="8241" max="8241" width="14.28515625" style="4" customWidth="1"/>
    <col min="8242" max="8243" width="10.28515625" style="4" customWidth="1"/>
    <col min="8244" max="8244" width="25" style="4" customWidth="1"/>
    <col min="8245" max="8245" width="6" style="4" customWidth="1"/>
    <col min="8246" max="8449" width="8.85546875" style="4"/>
    <col min="8450" max="8450" width="3.7109375" style="4" customWidth="1"/>
    <col min="8451" max="8451" width="2.28515625" style="4" customWidth="1"/>
    <col min="8452" max="8453" width="3.7109375" style="4" customWidth="1"/>
    <col min="8454" max="8454" width="2.28515625" style="4" customWidth="1"/>
    <col min="8455" max="8456" width="3.7109375" style="4" customWidth="1"/>
    <col min="8457" max="8457" width="2.28515625" style="4" customWidth="1"/>
    <col min="8458" max="8459" width="3.7109375" style="4" customWidth="1"/>
    <col min="8460" max="8460" width="2.28515625" style="4" customWidth="1"/>
    <col min="8461" max="8462" width="3.7109375" style="4" customWidth="1"/>
    <col min="8463" max="8463" width="2.28515625" style="4" customWidth="1"/>
    <col min="8464" max="8465" width="3.7109375" style="4" customWidth="1"/>
    <col min="8466" max="8466" width="2.28515625" style="4" customWidth="1"/>
    <col min="8467" max="8468" width="3.7109375" style="4" customWidth="1"/>
    <col min="8469" max="8469" width="2.28515625" style="4" customWidth="1"/>
    <col min="8470" max="8471" width="3.7109375" style="4" customWidth="1"/>
    <col min="8472" max="8472" width="2.28515625" style="4" customWidth="1"/>
    <col min="8473" max="8474" width="3.7109375" style="4" customWidth="1"/>
    <col min="8475" max="8475" width="2.28515625" style="4" customWidth="1"/>
    <col min="8476" max="8477" width="3.7109375" style="4" customWidth="1"/>
    <col min="8478" max="8478" width="2.28515625" style="4" customWidth="1"/>
    <col min="8479" max="8479" width="3.7109375" style="4" customWidth="1"/>
    <col min="8480" max="8480" width="9.7109375" style="4" customWidth="1"/>
    <col min="8481" max="8490" width="3.7109375" style="4" customWidth="1"/>
    <col min="8491" max="8491" width="11" style="4" customWidth="1"/>
    <col min="8492" max="8493" width="8.85546875" style="4"/>
    <col min="8494" max="8494" width="13.5703125" style="4" customWidth="1"/>
    <col min="8495" max="8495" width="24.42578125" style="4" customWidth="1"/>
    <col min="8496" max="8496" width="16.28515625" style="4" customWidth="1"/>
    <col min="8497" max="8497" width="14.28515625" style="4" customWidth="1"/>
    <col min="8498" max="8499" width="10.28515625" style="4" customWidth="1"/>
    <col min="8500" max="8500" width="25" style="4" customWidth="1"/>
    <col min="8501" max="8501" width="6" style="4" customWidth="1"/>
    <col min="8502" max="8705" width="8.85546875" style="4"/>
    <col min="8706" max="8706" width="3.7109375" style="4" customWidth="1"/>
    <col min="8707" max="8707" width="2.28515625" style="4" customWidth="1"/>
    <col min="8708" max="8709" width="3.7109375" style="4" customWidth="1"/>
    <col min="8710" max="8710" width="2.28515625" style="4" customWidth="1"/>
    <col min="8711" max="8712" width="3.7109375" style="4" customWidth="1"/>
    <col min="8713" max="8713" width="2.28515625" style="4" customWidth="1"/>
    <col min="8714" max="8715" width="3.7109375" style="4" customWidth="1"/>
    <col min="8716" max="8716" width="2.28515625" style="4" customWidth="1"/>
    <col min="8717" max="8718" width="3.7109375" style="4" customWidth="1"/>
    <col min="8719" max="8719" width="2.28515625" style="4" customWidth="1"/>
    <col min="8720" max="8721" width="3.7109375" style="4" customWidth="1"/>
    <col min="8722" max="8722" width="2.28515625" style="4" customWidth="1"/>
    <col min="8723" max="8724" width="3.7109375" style="4" customWidth="1"/>
    <col min="8725" max="8725" width="2.28515625" style="4" customWidth="1"/>
    <col min="8726" max="8727" width="3.7109375" style="4" customWidth="1"/>
    <col min="8728" max="8728" width="2.28515625" style="4" customWidth="1"/>
    <col min="8729" max="8730" width="3.7109375" style="4" customWidth="1"/>
    <col min="8731" max="8731" width="2.28515625" style="4" customWidth="1"/>
    <col min="8732" max="8733" width="3.7109375" style="4" customWidth="1"/>
    <col min="8734" max="8734" width="2.28515625" style="4" customWidth="1"/>
    <col min="8735" max="8735" width="3.7109375" style="4" customWidth="1"/>
    <col min="8736" max="8736" width="9.7109375" style="4" customWidth="1"/>
    <col min="8737" max="8746" width="3.7109375" style="4" customWidth="1"/>
    <col min="8747" max="8747" width="11" style="4" customWidth="1"/>
    <col min="8748" max="8749" width="8.85546875" style="4"/>
    <col min="8750" max="8750" width="13.5703125" style="4" customWidth="1"/>
    <col min="8751" max="8751" width="24.42578125" style="4" customWidth="1"/>
    <col min="8752" max="8752" width="16.28515625" style="4" customWidth="1"/>
    <col min="8753" max="8753" width="14.28515625" style="4" customWidth="1"/>
    <col min="8754" max="8755" width="10.28515625" style="4" customWidth="1"/>
    <col min="8756" max="8756" width="25" style="4" customWidth="1"/>
    <col min="8757" max="8757" width="6" style="4" customWidth="1"/>
    <col min="8758" max="8961" width="8.85546875" style="4"/>
    <col min="8962" max="8962" width="3.7109375" style="4" customWidth="1"/>
    <col min="8963" max="8963" width="2.28515625" style="4" customWidth="1"/>
    <col min="8964" max="8965" width="3.7109375" style="4" customWidth="1"/>
    <col min="8966" max="8966" width="2.28515625" style="4" customWidth="1"/>
    <col min="8967" max="8968" width="3.7109375" style="4" customWidth="1"/>
    <col min="8969" max="8969" width="2.28515625" style="4" customWidth="1"/>
    <col min="8970" max="8971" width="3.7109375" style="4" customWidth="1"/>
    <col min="8972" max="8972" width="2.28515625" style="4" customWidth="1"/>
    <col min="8973" max="8974" width="3.7109375" style="4" customWidth="1"/>
    <col min="8975" max="8975" width="2.28515625" style="4" customWidth="1"/>
    <col min="8976" max="8977" width="3.7109375" style="4" customWidth="1"/>
    <col min="8978" max="8978" width="2.28515625" style="4" customWidth="1"/>
    <col min="8979" max="8980" width="3.7109375" style="4" customWidth="1"/>
    <col min="8981" max="8981" width="2.28515625" style="4" customWidth="1"/>
    <col min="8982" max="8983" width="3.7109375" style="4" customWidth="1"/>
    <col min="8984" max="8984" width="2.28515625" style="4" customWidth="1"/>
    <col min="8985" max="8986" width="3.7109375" style="4" customWidth="1"/>
    <col min="8987" max="8987" width="2.28515625" style="4" customWidth="1"/>
    <col min="8988" max="8989" width="3.7109375" style="4" customWidth="1"/>
    <col min="8990" max="8990" width="2.28515625" style="4" customWidth="1"/>
    <col min="8991" max="8991" width="3.7109375" style="4" customWidth="1"/>
    <col min="8992" max="8992" width="9.7109375" style="4" customWidth="1"/>
    <col min="8993" max="9002" width="3.7109375" style="4" customWidth="1"/>
    <col min="9003" max="9003" width="11" style="4" customWidth="1"/>
    <col min="9004" max="9005" width="8.85546875" style="4"/>
    <col min="9006" max="9006" width="13.5703125" style="4" customWidth="1"/>
    <col min="9007" max="9007" width="24.42578125" style="4" customWidth="1"/>
    <col min="9008" max="9008" width="16.28515625" style="4" customWidth="1"/>
    <col min="9009" max="9009" width="14.28515625" style="4" customWidth="1"/>
    <col min="9010" max="9011" width="10.28515625" style="4" customWidth="1"/>
    <col min="9012" max="9012" width="25" style="4" customWidth="1"/>
    <col min="9013" max="9013" width="6" style="4" customWidth="1"/>
    <col min="9014" max="9217" width="8.85546875" style="4"/>
    <col min="9218" max="9218" width="3.7109375" style="4" customWidth="1"/>
    <col min="9219" max="9219" width="2.28515625" style="4" customWidth="1"/>
    <col min="9220" max="9221" width="3.7109375" style="4" customWidth="1"/>
    <col min="9222" max="9222" width="2.28515625" style="4" customWidth="1"/>
    <col min="9223" max="9224" width="3.7109375" style="4" customWidth="1"/>
    <col min="9225" max="9225" width="2.28515625" style="4" customWidth="1"/>
    <col min="9226" max="9227" width="3.7109375" style="4" customWidth="1"/>
    <col min="9228" max="9228" width="2.28515625" style="4" customWidth="1"/>
    <col min="9229" max="9230" width="3.7109375" style="4" customWidth="1"/>
    <col min="9231" max="9231" width="2.28515625" style="4" customWidth="1"/>
    <col min="9232" max="9233" width="3.7109375" style="4" customWidth="1"/>
    <col min="9234" max="9234" width="2.28515625" style="4" customWidth="1"/>
    <col min="9235" max="9236" width="3.7109375" style="4" customWidth="1"/>
    <col min="9237" max="9237" width="2.28515625" style="4" customWidth="1"/>
    <col min="9238" max="9239" width="3.7109375" style="4" customWidth="1"/>
    <col min="9240" max="9240" width="2.28515625" style="4" customWidth="1"/>
    <col min="9241" max="9242" width="3.7109375" style="4" customWidth="1"/>
    <col min="9243" max="9243" width="2.28515625" style="4" customWidth="1"/>
    <col min="9244" max="9245" width="3.7109375" style="4" customWidth="1"/>
    <col min="9246" max="9246" width="2.28515625" style="4" customWidth="1"/>
    <col min="9247" max="9247" width="3.7109375" style="4" customWidth="1"/>
    <col min="9248" max="9248" width="9.7109375" style="4" customWidth="1"/>
    <col min="9249" max="9258" width="3.7109375" style="4" customWidth="1"/>
    <col min="9259" max="9259" width="11" style="4" customWidth="1"/>
    <col min="9260" max="9261" width="8.85546875" style="4"/>
    <col min="9262" max="9262" width="13.5703125" style="4" customWidth="1"/>
    <col min="9263" max="9263" width="24.42578125" style="4" customWidth="1"/>
    <col min="9264" max="9264" width="16.28515625" style="4" customWidth="1"/>
    <col min="9265" max="9265" width="14.28515625" style="4" customWidth="1"/>
    <col min="9266" max="9267" width="10.28515625" style="4" customWidth="1"/>
    <col min="9268" max="9268" width="25" style="4" customWidth="1"/>
    <col min="9269" max="9269" width="6" style="4" customWidth="1"/>
    <col min="9270" max="9473" width="8.85546875" style="4"/>
    <col min="9474" max="9474" width="3.7109375" style="4" customWidth="1"/>
    <col min="9475" max="9475" width="2.28515625" style="4" customWidth="1"/>
    <col min="9476" max="9477" width="3.7109375" style="4" customWidth="1"/>
    <col min="9478" max="9478" width="2.28515625" style="4" customWidth="1"/>
    <col min="9479" max="9480" width="3.7109375" style="4" customWidth="1"/>
    <col min="9481" max="9481" width="2.28515625" style="4" customWidth="1"/>
    <col min="9482" max="9483" width="3.7109375" style="4" customWidth="1"/>
    <col min="9484" max="9484" width="2.28515625" style="4" customWidth="1"/>
    <col min="9485" max="9486" width="3.7109375" style="4" customWidth="1"/>
    <col min="9487" max="9487" width="2.28515625" style="4" customWidth="1"/>
    <col min="9488" max="9489" width="3.7109375" style="4" customWidth="1"/>
    <col min="9490" max="9490" width="2.28515625" style="4" customWidth="1"/>
    <col min="9491" max="9492" width="3.7109375" style="4" customWidth="1"/>
    <col min="9493" max="9493" width="2.28515625" style="4" customWidth="1"/>
    <col min="9494" max="9495" width="3.7109375" style="4" customWidth="1"/>
    <col min="9496" max="9496" width="2.28515625" style="4" customWidth="1"/>
    <col min="9497" max="9498" width="3.7109375" style="4" customWidth="1"/>
    <col min="9499" max="9499" width="2.28515625" style="4" customWidth="1"/>
    <col min="9500" max="9501" width="3.7109375" style="4" customWidth="1"/>
    <col min="9502" max="9502" width="2.28515625" style="4" customWidth="1"/>
    <col min="9503" max="9503" width="3.7109375" style="4" customWidth="1"/>
    <col min="9504" max="9504" width="9.7109375" style="4" customWidth="1"/>
    <col min="9505" max="9514" width="3.7109375" style="4" customWidth="1"/>
    <col min="9515" max="9515" width="11" style="4" customWidth="1"/>
    <col min="9516" max="9517" width="8.85546875" style="4"/>
    <col min="9518" max="9518" width="13.5703125" style="4" customWidth="1"/>
    <col min="9519" max="9519" width="24.42578125" style="4" customWidth="1"/>
    <col min="9520" max="9520" width="16.28515625" style="4" customWidth="1"/>
    <col min="9521" max="9521" width="14.28515625" style="4" customWidth="1"/>
    <col min="9522" max="9523" width="10.28515625" style="4" customWidth="1"/>
    <col min="9524" max="9524" width="25" style="4" customWidth="1"/>
    <col min="9525" max="9525" width="6" style="4" customWidth="1"/>
    <col min="9526" max="9729" width="8.85546875" style="4"/>
    <col min="9730" max="9730" width="3.7109375" style="4" customWidth="1"/>
    <col min="9731" max="9731" width="2.28515625" style="4" customWidth="1"/>
    <col min="9732" max="9733" width="3.7109375" style="4" customWidth="1"/>
    <col min="9734" max="9734" width="2.28515625" style="4" customWidth="1"/>
    <col min="9735" max="9736" width="3.7109375" style="4" customWidth="1"/>
    <col min="9737" max="9737" width="2.28515625" style="4" customWidth="1"/>
    <col min="9738" max="9739" width="3.7109375" style="4" customWidth="1"/>
    <col min="9740" max="9740" width="2.28515625" style="4" customWidth="1"/>
    <col min="9741" max="9742" width="3.7109375" style="4" customWidth="1"/>
    <col min="9743" max="9743" width="2.28515625" style="4" customWidth="1"/>
    <col min="9744" max="9745" width="3.7109375" style="4" customWidth="1"/>
    <col min="9746" max="9746" width="2.28515625" style="4" customWidth="1"/>
    <col min="9747" max="9748" width="3.7109375" style="4" customWidth="1"/>
    <col min="9749" max="9749" width="2.28515625" style="4" customWidth="1"/>
    <col min="9750" max="9751" width="3.7109375" style="4" customWidth="1"/>
    <col min="9752" max="9752" width="2.28515625" style="4" customWidth="1"/>
    <col min="9753" max="9754" width="3.7109375" style="4" customWidth="1"/>
    <col min="9755" max="9755" width="2.28515625" style="4" customWidth="1"/>
    <col min="9756" max="9757" width="3.7109375" style="4" customWidth="1"/>
    <col min="9758" max="9758" width="2.28515625" style="4" customWidth="1"/>
    <col min="9759" max="9759" width="3.7109375" style="4" customWidth="1"/>
    <col min="9760" max="9760" width="9.7109375" style="4" customWidth="1"/>
    <col min="9761" max="9770" width="3.7109375" style="4" customWidth="1"/>
    <col min="9771" max="9771" width="11" style="4" customWidth="1"/>
    <col min="9772" max="9773" width="8.85546875" style="4"/>
    <col min="9774" max="9774" width="13.5703125" style="4" customWidth="1"/>
    <col min="9775" max="9775" width="24.42578125" style="4" customWidth="1"/>
    <col min="9776" max="9776" width="16.28515625" style="4" customWidth="1"/>
    <col min="9777" max="9777" width="14.28515625" style="4" customWidth="1"/>
    <col min="9778" max="9779" width="10.28515625" style="4" customWidth="1"/>
    <col min="9780" max="9780" width="25" style="4" customWidth="1"/>
    <col min="9781" max="9781" width="6" style="4" customWidth="1"/>
    <col min="9782" max="9985" width="8.85546875" style="4"/>
    <col min="9986" max="9986" width="3.7109375" style="4" customWidth="1"/>
    <col min="9987" max="9987" width="2.28515625" style="4" customWidth="1"/>
    <col min="9988" max="9989" width="3.7109375" style="4" customWidth="1"/>
    <col min="9990" max="9990" width="2.28515625" style="4" customWidth="1"/>
    <col min="9991" max="9992" width="3.7109375" style="4" customWidth="1"/>
    <col min="9993" max="9993" width="2.28515625" style="4" customWidth="1"/>
    <col min="9994" max="9995" width="3.7109375" style="4" customWidth="1"/>
    <col min="9996" max="9996" width="2.28515625" style="4" customWidth="1"/>
    <col min="9997" max="9998" width="3.7109375" style="4" customWidth="1"/>
    <col min="9999" max="9999" width="2.28515625" style="4" customWidth="1"/>
    <col min="10000" max="10001" width="3.7109375" style="4" customWidth="1"/>
    <col min="10002" max="10002" width="2.28515625" style="4" customWidth="1"/>
    <col min="10003" max="10004" width="3.7109375" style="4" customWidth="1"/>
    <col min="10005" max="10005" width="2.28515625" style="4" customWidth="1"/>
    <col min="10006" max="10007" width="3.7109375" style="4" customWidth="1"/>
    <col min="10008" max="10008" width="2.28515625" style="4" customWidth="1"/>
    <col min="10009" max="10010" width="3.7109375" style="4" customWidth="1"/>
    <col min="10011" max="10011" width="2.28515625" style="4" customWidth="1"/>
    <col min="10012" max="10013" width="3.7109375" style="4" customWidth="1"/>
    <col min="10014" max="10014" width="2.28515625" style="4" customWidth="1"/>
    <col min="10015" max="10015" width="3.7109375" style="4" customWidth="1"/>
    <col min="10016" max="10016" width="9.7109375" style="4" customWidth="1"/>
    <col min="10017" max="10026" width="3.7109375" style="4" customWidth="1"/>
    <col min="10027" max="10027" width="11" style="4" customWidth="1"/>
    <col min="10028" max="10029" width="8.85546875" style="4"/>
    <col min="10030" max="10030" width="13.5703125" style="4" customWidth="1"/>
    <col min="10031" max="10031" width="24.42578125" style="4" customWidth="1"/>
    <col min="10032" max="10032" width="16.28515625" style="4" customWidth="1"/>
    <col min="10033" max="10033" width="14.28515625" style="4" customWidth="1"/>
    <col min="10034" max="10035" width="10.28515625" style="4" customWidth="1"/>
    <col min="10036" max="10036" width="25" style="4" customWidth="1"/>
    <col min="10037" max="10037" width="6" style="4" customWidth="1"/>
    <col min="10038" max="10241" width="8.85546875" style="4"/>
    <col min="10242" max="10242" width="3.7109375" style="4" customWidth="1"/>
    <col min="10243" max="10243" width="2.28515625" style="4" customWidth="1"/>
    <col min="10244" max="10245" width="3.7109375" style="4" customWidth="1"/>
    <col min="10246" max="10246" width="2.28515625" style="4" customWidth="1"/>
    <col min="10247" max="10248" width="3.7109375" style="4" customWidth="1"/>
    <col min="10249" max="10249" width="2.28515625" style="4" customWidth="1"/>
    <col min="10250" max="10251" width="3.7109375" style="4" customWidth="1"/>
    <col min="10252" max="10252" width="2.28515625" style="4" customWidth="1"/>
    <col min="10253" max="10254" width="3.7109375" style="4" customWidth="1"/>
    <col min="10255" max="10255" width="2.28515625" style="4" customWidth="1"/>
    <col min="10256" max="10257" width="3.7109375" style="4" customWidth="1"/>
    <col min="10258" max="10258" width="2.28515625" style="4" customWidth="1"/>
    <col min="10259" max="10260" width="3.7109375" style="4" customWidth="1"/>
    <col min="10261" max="10261" width="2.28515625" style="4" customWidth="1"/>
    <col min="10262" max="10263" width="3.7109375" style="4" customWidth="1"/>
    <col min="10264" max="10264" width="2.28515625" style="4" customWidth="1"/>
    <col min="10265" max="10266" width="3.7109375" style="4" customWidth="1"/>
    <col min="10267" max="10267" width="2.28515625" style="4" customWidth="1"/>
    <col min="10268" max="10269" width="3.7109375" style="4" customWidth="1"/>
    <col min="10270" max="10270" width="2.28515625" style="4" customWidth="1"/>
    <col min="10271" max="10271" width="3.7109375" style="4" customWidth="1"/>
    <col min="10272" max="10272" width="9.7109375" style="4" customWidth="1"/>
    <col min="10273" max="10282" width="3.7109375" style="4" customWidth="1"/>
    <col min="10283" max="10283" width="11" style="4" customWidth="1"/>
    <col min="10284" max="10285" width="8.85546875" style="4"/>
    <col min="10286" max="10286" width="13.5703125" style="4" customWidth="1"/>
    <col min="10287" max="10287" width="24.42578125" style="4" customWidth="1"/>
    <col min="10288" max="10288" width="16.28515625" style="4" customWidth="1"/>
    <col min="10289" max="10289" width="14.28515625" style="4" customWidth="1"/>
    <col min="10290" max="10291" width="10.28515625" style="4" customWidth="1"/>
    <col min="10292" max="10292" width="25" style="4" customWidth="1"/>
    <col min="10293" max="10293" width="6" style="4" customWidth="1"/>
    <col min="10294" max="10497" width="8.85546875" style="4"/>
    <col min="10498" max="10498" width="3.7109375" style="4" customWidth="1"/>
    <col min="10499" max="10499" width="2.28515625" style="4" customWidth="1"/>
    <col min="10500" max="10501" width="3.7109375" style="4" customWidth="1"/>
    <col min="10502" max="10502" width="2.28515625" style="4" customWidth="1"/>
    <col min="10503" max="10504" width="3.7109375" style="4" customWidth="1"/>
    <col min="10505" max="10505" width="2.28515625" style="4" customWidth="1"/>
    <col min="10506" max="10507" width="3.7109375" style="4" customWidth="1"/>
    <col min="10508" max="10508" width="2.28515625" style="4" customWidth="1"/>
    <col min="10509" max="10510" width="3.7109375" style="4" customWidth="1"/>
    <col min="10511" max="10511" width="2.28515625" style="4" customWidth="1"/>
    <col min="10512" max="10513" width="3.7109375" style="4" customWidth="1"/>
    <col min="10514" max="10514" width="2.28515625" style="4" customWidth="1"/>
    <col min="10515" max="10516" width="3.7109375" style="4" customWidth="1"/>
    <col min="10517" max="10517" width="2.28515625" style="4" customWidth="1"/>
    <col min="10518" max="10519" width="3.7109375" style="4" customWidth="1"/>
    <col min="10520" max="10520" width="2.28515625" style="4" customWidth="1"/>
    <col min="10521" max="10522" width="3.7109375" style="4" customWidth="1"/>
    <col min="10523" max="10523" width="2.28515625" style="4" customWidth="1"/>
    <col min="10524" max="10525" width="3.7109375" style="4" customWidth="1"/>
    <col min="10526" max="10526" width="2.28515625" style="4" customWidth="1"/>
    <col min="10527" max="10527" width="3.7109375" style="4" customWidth="1"/>
    <col min="10528" max="10528" width="9.7109375" style="4" customWidth="1"/>
    <col min="10529" max="10538" width="3.7109375" style="4" customWidth="1"/>
    <col min="10539" max="10539" width="11" style="4" customWidth="1"/>
    <col min="10540" max="10541" width="8.85546875" style="4"/>
    <col min="10542" max="10542" width="13.5703125" style="4" customWidth="1"/>
    <col min="10543" max="10543" width="24.42578125" style="4" customWidth="1"/>
    <col min="10544" max="10544" width="16.28515625" style="4" customWidth="1"/>
    <col min="10545" max="10545" width="14.28515625" style="4" customWidth="1"/>
    <col min="10546" max="10547" width="10.28515625" style="4" customWidth="1"/>
    <col min="10548" max="10548" width="25" style="4" customWidth="1"/>
    <col min="10549" max="10549" width="6" style="4" customWidth="1"/>
    <col min="10550" max="10753" width="8.85546875" style="4"/>
    <col min="10754" max="10754" width="3.7109375" style="4" customWidth="1"/>
    <col min="10755" max="10755" width="2.28515625" style="4" customWidth="1"/>
    <col min="10756" max="10757" width="3.7109375" style="4" customWidth="1"/>
    <col min="10758" max="10758" width="2.28515625" style="4" customWidth="1"/>
    <col min="10759" max="10760" width="3.7109375" style="4" customWidth="1"/>
    <col min="10761" max="10761" width="2.28515625" style="4" customWidth="1"/>
    <col min="10762" max="10763" width="3.7109375" style="4" customWidth="1"/>
    <col min="10764" max="10764" width="2.28515625" style="4" customWidth="1"/>
    <col min="10765" max="10766" width="3.7109375" style="4" customWidth="1"/>
    <col min="10767" max="10767" width="2.28515625" style="4" customWidth="1"/>
    <col min="10768" max="10769" width="3.7109375" style="4" customWidth="1"/>
    <col min="10770" max="10770" width="2.28515625" style="4" customWidth="1"/>
    <col min="10771" max="10772" width="3.7109375" style="4" customWidth="1"/>
    <col min="10773" max="10773" width="2.28515625" style="4" customWidth="1"/>
    <col min="10774" max="10775" width="3.7109375" style="4" customWidth="1"/>
    <col min="10776" max="10776" width="2.28515625" style="4" customWidth="1"/>
    <col min="10777" max="10778" width="3.7109375" style="4" customWidth="1"/>
    <col min="10779" max="10779" width="2.28515625" style="4" customWidth="1"/>
    <col min="10780" max="10781" width="3.7109375" style="4" customWidth="1"/>
    <col min="10782" max="10782" width="2.28515625" style="4" customWidth="1"/>
    <col min="10783" max="10783" width="3.7109375" style="4" customWidth="1"/>
    <col min="10784" max="10784" width="9.7109375" style="4" customWidth="1"/>
    <col min="10785" max="10794" width="3.7109375" style="4" customWidth="1"/>
    <col min="10795" max="10795" width="11" style="4" customWidth="1"/>
    <col min="10796" max="10797" width="8.85546875" style="4"/>
    <col min="10798" max="10798" width="13.5703125" style="4" customWidth="1"/>
    <col min="10799" max="10799" width="24.42578125" style="4" customWidth="1"/>
    <col min="10800" max="10800" width="16.28515625" style="4" customWidth="1"/>
    <col min="10801" max="10801" width="14.28515625" style="4" customWidth="1"/>
    <col min="10802" max="10803" width="10.28515625" style="4" customWidth="1"/>
    <col min="10804" max="10804" width="25" style="4" customWidth="1"/>
    <col min="10805" max="10805" width="6" style="4" customWidth="1"/>
    <col min="10806" max="11009" width="8.85546875" style="4"/>
    <col min="11010" max="11010" width="3.7109375" style="4" customWidth="1"/>
    <col min="11011" max="11011" width="2.28515625" style="4" customWidth="1"/>
    <col min="11012" max="11013" width="3.7109375" style="4" customWidth="1"/>
    <col min="11014" max="11014" width="2.28515625" style="4" customWidth="1"/>
    <col min="11015" max="11016" width="3.7109375" style="4" customWidth="1"/>
    <col min="11017" max="11017" width="2.28515625" style="4" customWidth="1"/>
    <col min="11018" max="11019" width="3.7109375" style="4" customWidth="1"/>
    <col min="11020" max="11020" width="2.28515625" style="4" customWidth="1"/>
    <col min="11021" max="11022" width="3.7109375" style="4" customWidth="1"/>
    <col min="11023" max="11023" width="2.28515625" style="4" customWidth="1"/>
    <col min="11024" max="11025" width="3.7109375" style="4" customWidth="1"/>
    <col min="11026" max="11026" width="2.28515625" style="4" customWidth="1"/>
    <col min="11027" max="11028" width="3.7109375" style="4" customWidth="1"/>
    <col min="11029" max="11029" width="2.28515625" style="4" customWidth="1"/>
    <col min="11030" max="11031" width="3.7109375" style="4" customWidth="1"/>
    <col min="11032" max="11032" width="2.28515625" style="4" customWidth="1"/>
    <col min="11033" max="11034" width="3.7109375" style="4" customWidth="1"/>
    <col min="11035" max="11035" width="2.28515625" style="4" customWidth="1"/>
    <col min="11036" max="11037" width="3.7109375" style="4" customWidth="1"/>
    <col min="11038" max="11038" width="2.28515625" style="4" customWidth="1"/>
    <col min="11039" max="11039" width="3.7109375" style="4" customWidth="1"/>
    <col min="11040" max="11040" width="9.7109375" style="4" customWidth="1"/>
    <col min="11041" max="11050" width="3.7109375" style="4" customWidth="1"/>
    <col min="11051" max="11051" width="11" style="4" customWidth="1"/>
    <col min="11052" max="11053" width="8.85546875" style="4"/>
    <col min="11054" max="11054" width="13.5703125" style="4" customWidth="1"/>
    <col min="11055" max="11055" width="24.42578125" style="4" customWidth="1"/>
    <col min="11056" max="11056" width="16.28515625" style="4" customWidth="1"/>
    <col min="11057" max="11057" width="14.28515625" style="4" customWidth="1"/>
    <col min="11058" max="11059" width="10.28515625" style="4" customWidth="1"/>
    <col min="11060" max="11060" width="25" style="4" customWidth="1"/>
    <col min="11061" max="11061" width="6" style="4" customWidth="1"/>
    <col min="11062" max="11265" width="8.85546875" style="4"/>
    <col min="11266" max="11266" width="3.7109375" style="4" customWidth="1"/>
    <col min="11267" max="11267" width="2.28515625" style="4" customWidth="1"/>
    <col min="11268" max="11269" width="3.7109375" style="4" customWidth="1"/>
    <col min="11270" max="11270" width="2.28515625" style="4" customWidth="1"/>
    <col min="11271" max="11272" width="3.7109375" style="4" customWidth="1"/>
    <col min="11273" max="11273" width="2.28515625" style="4" customWidth="1"/>
    <col min="11274" max="11275" width="3.7109375" style="4" customWidth="1"/>
    <col min="11276" max="11276" width="2.28515625" style="4" customWidth="1"/>
    <col min="11277" max="11278" width="3.7109375" style="4" customWidth="1"/>
    <col min="11279" max="11279" width="2.28515625" style="4" customWidth="1"/>
    <col min="11280" max="11281" width="3.7109375" style="4" customWidth="1"/>
    <col min="11282" max="11282" width="2.28515625" style="4" customWidth="1"/>
    <col min="11283" max="11284" width="3.7109375" style="4" customWidth="1"/>
    <col min="11285" max="11285" width="2.28515625" style="4" customWidth="1"/>
    <col min="11286" max="11287" width="3.7109375" style="4" customWidth="1"/>
    <col min="11288" max="11288" width="2.28515625" style="4" customWidth="1"/>
    <col min="11289" max="11290" width="3.7109375" style="4" customWidth="1"/>
    <col min="11291" max="11291" width="2.28515625" style="4" customWidth="1"/>
    <col min="11292" max="11293" width="3.7109375" style="4" customWidth="1"/>
    <col min="11294" max="11294" width="2.28515625" style="4" customWidth="1"/>
    <col min="11295" max="11295" width="3.7109375" style="4" customWidth="1"/>
    <col min="11296" max="11296" width="9.7109375" style="4" customWidth="1"/>
    <col min="11297" max="11306" width="3.7109375" style="4" customWidth="1"/>
    <col min="11307" max="11307" width="11" style="4" customWidth="1"/>
    <col min="11308" max="11309" width="8.85546875" style="4"/>
    <col min="11310" max="11310" width="13.5703125" style="4" customWidth="1"/>
    <col min="11311" max="11311" width="24.42578125" style="4" customWidth="1"/>
    <col min="11312" max="11312" width="16.28515625" style="4" customWidth="1"/>
    <col min="11313" max="11313" width="14.28515625" style="4" customWidth="1"/>
    <col min="11314" max="11315" width="10.28515625" style="4" customWidth="1"/>
    <col min="11316" max="11316" width="25" style="4" customWidth="1"/>
    <col min="11317" max="11317" width="6" style="4" customWidth="1"/>
    <col min="11318" max="11521" width="8.85546875" style="4"/>
    <col min="11522" max="11522" width="3.7109375" style="4" customWidth="1"/>
    <col min="11523" max="11523" width="2.28515625" style="4" customWidth="1"/>
    <col min="11524" max="11525" width="3.7109375" style="4" customWidth="1"/>
    <col min="11526" max="11526" width="2.28515625" style="4" customWidth="1"/>
    <col min="11527" max="11528" width="3.7109375" style="4" customWidth="1"/>
    <col min="11529" max="11529" width="2.28515625" style="4" customWidth="1"/>
    <col min="11530" max="11531" width="3.7109375" style="4" customWidth="1"/>
    <col min="11532" max="11532" width="2.28515625" style="4" customWidth="1"/>
    <col min="11533" max="11534" width="3.7109375" style="4" customWidth="1"/>
    <col min="11535" max="11535" width="2.28515625" style="4" customWidth="1"/>
    <col min="11536" max="11537" width="3.7109375" style="4" customWidth="1"/>
    <col min="11538" max="11538" width="2.28515625" style="4" customWidth="1"/>
    <col min="11539" max="11540" width="3.7109375" style="4" customWidth="1"/>
    <col min="11541" max="11541" width="2.28515625" style="4" customWidth="1"/>
    <col min="11542" max="11543" width="3.7109375" style="4" customWidth="1"/>
    <col min="11544" max="11544" width="2.28515625" style="4" customWidth="1"/>
    <col min="11545" max="11546" width="3.7109375" style="4" customWidth="1"/>
    <col min="11547" max="11547" width="2.28515625" style="4" customWidth="1"/>
    <col min="11548" max="11549" width="3.7109375" style="4" customWidth="1"/>
    <col min="11550" max="11550" width="2.28515625" style="4" customWidth="1"/>
    <col min="11551" max="11551" width="3.7109375" style="4" customWidth="1"/>
    <col min="11552" max="11552" width="9.7109375" style="4" customWidth="1"/>
    <col min="11553" max="11562" width="3.7109375" style="4" customWidth="1"/>
    <col min="11563" max="11563" width="11" style="4" customWidth="1"/>
    <col min="11564" max="11565" width="8.85546875" style="4"/>
    <col min="11566" max="11566" width="13.5703125" style="4" customWidth="1"/>
    <col min="11567" max="11567" width="24.42578125" style="4" customWidth="1"/>
    <col min="11568" max="11568" width="16.28515625" style="4" customWidth="1"/>
    <col min="11569" max="11569" width="14.28515625" style="4" customWidth="1"/>
    <col min="11570" max="11571" width="10.28515625" style="4" customWidth="1"/>
    <col min="11572" max="11572" width="25" style="4" customWidth="1"/>
    <col min="11573" max="11573" width="6" style="4" customWidth="1"/>
    <col min="11574" max="11777" width="8.85546875" style="4"/>
    <col min="11778" max="11778" width="3.7109375" style="4" customWidth="1"/>
    <col min="11779" max="11779" width="2.28515625" style="4" customWidth="1"/>
    <col min="11780" max="11781" width="3.7109375" style="4" customWidth="1"/>
    <col min="11782" max="11782" width="2.28515625" style="4" customWidth="1"/>
    <col min="11783" max="11784" width="3.7109375" style="4" customWidth="1"/>
    <col min="11785" max="11785" width="2.28515625" style="4" customWidth="1"/>
    <col min="11786" max="11787" width="3.7109375" style="4" customWidth="1"/>
    <col min="11788" max="11788" width="2.28515625" style="4" customWidth="1"/>
    <col min="11789" max="11790" width="3.7109375" style="4" customWidth="1"/>
    <col min="11791" max="11791" width="2.28515625" style="4" customWidth="1"/>
    <col min="11792" max="11793" width="3.7109375" style="4" customWidth="1"/>
    <col min="11794" max="11794" width="2.28515625" style="4" customWidth="1"/>
    <col min="11795" max="11796" width="3.7109375" style="4" customWidth="1"/>
    <col min="11797" max="11797" width="2.28515625" style="4" customWidth="1"/>
    <col min="11798" max="11799" width="3.7109375" style="4" customWidth="1"/>
    <col min="11800" max="11800" width="2.28515625" style="4" customWidth="1"/>
    <col min="11801" max="11802" width="3.7109375" style="4" customWidth="1"/>
    <col min="11803" max="11803" width="2.28515625" style="4" customWidth="1"/>
    <col min="11804" max="11805" width="3.7109375" style="4" customWidth="1"/>
    <col min="11806" max="11806" width="2.28515625" style="4" customWidth="1"/>
    <col min="11807" max="11807" width="3.7109375" style="4" customWidth="1"/>
    <col min="11808" max="11808" width="9.7109375" style="4" customWidth="1"/>
    <col min="11809" max="11818" width="3.7109375" style="4" customWidth="1"/>
    <col min="11819" max="11819" width="11" style="4" customWidth="1"/>
    <col min="11820" max="11821" width="8.85546875" style="4"/>
    <col min="11822" max="11822" width="13.5703125" style="4" customWidth="1"/>
    <col min="11823" max="11823" width="24.42578125" style="4" customWidth="1"/>
    <col min="11824" max="11824" width="16.28515625" style="4" customWidth="1"/>
    <col min="11825" max="11825" width="14.28515625" style="4" customWidth="1"/>
    <col min="11826" max="11827" width="10.28515625" style="4" customWidth="1"/>
    <col min="11828" max="11828" width="25" style="4" customWidth="1"/>
    <col min="11829" max="11829" width="6" style="4" customWidth="1"/>
    <col min="11830" max="12033" width="8.85546875" style="4"/>
    <col min="12034" max="12034" width="3.7109375" style="4" customWidth="1"/>
    <col min="12035" max="12035" width="2.28515625" style="4" customWidth="1"/>
    <col min="12036" max="12037" width="3.7109375" style="4" customWidth="1"/>
    <col min="12038" max="12038" width="2.28515625" style="4" customWidth="1"/>
    <col min="12039" max="12040" width="3.7109375" style="4" customWidth="1"/>
    <col min="12041" max="12041" width="2.28515625" style="4" customWidth="1"/>
    <col min="12042" max="12043" width="3.7109375" style="4" customWidth="1"/>
    <col min="12044" max="12044" width="2.28515625" style="4" customWidth="1"/>
    <col min="12045" max="12046" width="3.7109375" style="4" customWidth="1"/>
    <col min="12047" max="12047" width="2.28515625" style="4" customWidth="1"/>
    <col min="12048" max="12049" width="3.7109375" style="4" customWidth="1"/>
    <col min="12050" max="12050" width="2.28515625" style="4" customWidth="1"/>
    <col min="12051" max="12052" width="3.7109375" style="4" customWidth="1"/>
    <col min="12053" max="12053" width="2.28515625" style="4" customWidth="1"/>
    <col min="12054" max="12055" width="3.7109375" style="4" customWidth="1"/>
    <col min="12056" max="12056" width="2.28515625" style="4" customWidth="1"/>
    <col min="12057" max="12058" width="3.7109375" style="4" customWidth="1"/>
    <col min="12059" max="12059" width="2.28515625" style="4" customWidth="1"/>
    <col min="12060" max="12061" width="3.7109375" style="4" customWidth="1"/>
    <col min="12062" max="12062" width="2.28515625" style="4" customWidth="1"/>
    <col min="12063" max="12063" width="3.7109375" style="4" customWidth="1"/>
    <col min="12064" max="12064" width="9.7109375" style="4" customWidth="1"/>
    <col min="12065" max="12074" width="3.7109375" style="4" customWidth="1"/>
    <col min="12075" max="12075" width="11" style="4" customWidth="1"/>
    <col min="12076" max="12077" width="8.85546875" style="4"/>
    <col min="12078" max="12078" width="13.5703125" style="4" customWidth="1"/>
    <col min="12079" max="12079" width="24.42578125" style="4" customWidth="1"/>
    <col min="12080" max="12080" width="16.28515625" style="4" customWidth="1"/>
    <col min="12081" max="12081" width="14.28515625" style="4" customWidth="1"/>
    <col min="12082" max="12083" width="10.28515625" style="4" customWidth="1"/>
    <col min="12084" max="12084" width="25" style="4" customWidth="1"/>
    <col min="12085" max="12085" width="6" style="4" customWidth="1"/>
    <col min="12086" max="12289" width="8.85546875" style="4"/>
    <col min="12290" max="12290" width="3.7109375" style="4" customWidth="1"/>
    <col min="12291" max="12291" width="2.28515625" style="4" customWidth="1"/>
    <col min="12292" max="12293" width="3.7109375" style="4" customWidth="1"/>
    <col min="12294" max="12294" width="2.28515625" style="4" customWidth="1"/>
    <col min="12295" max="12296" width="3.7109375" style="4" customWidth="1"/>
    <col min="12297" max="12297" width="2.28515625" style="4" customWidth="1"/>
    <col min="12298" max="12299" width="3.7109375" style="4" customWidth="1"/>
    <col min="12300" max="12300" width="2.28515625" style="4" customWidth="1"/>
    <col min="12301" max="12302" width="3.7109375" style="4" customWidth="1"/>
    <col min="12303" max="12303" width="2.28515625" style="4" customWidth="1"/>
    <col min="12304" max="12305" width="3.7109375" style="4" customWidth="1"/>
    <col min="12306" max="12306" width="2.28515625" style="4" customWidth="1"/>
    <col min="12307" max="12308" width="3.7109375" style="4" customWidth="1"/>
    <col min="12309" max="12309" width="2.28515625" style="4" customWidth="1"/>
    <col min="12310" max="12311" width="3.7109375" style="4" customWidth="1"/>
    <col min="12312" max="12312" width="2.28515625" style="4" customWidth="1"/>
    <col min="12313" max="12314" width="3.7109375" style="4" customWidth="1"/>
    <col min="12315" max="12315" width="2.28515625" style="4" customWidth="1"/>
    <col min="12316" max="12317" width="3.7109375" style="4" customWidth="1"/>
    <col min="12318" max="12318" width="2.28515625" style="4" customWidth="1"/>
    <col min="12319" max="12319" width="3.7109375" style="4" customWidth="1"/>
    <col min="12320" max="12320" width="9.7109375" style="4" customWidth="1"/>
    <col min="12321" max="12330" width="3.7109375" style="4" customWidth="1"/>
    <col min="12331" max="12331" width="11" style="4" customWidth="1"/>
    <col min="12332" max="12333" width="8.85546875" style="4"/>
    <col min="12334" max="12334" width="13.5703125" style="4" customWidth="1"/>
    <col min="12335" max="12335" width="24.42578125" style="4" customWidth="1"/>
    <col min="12336" max="12336" width="16.28515625" style="4" customWidth="1"/>
    <col min="12337" max="12337" width="14.28515625" style="4" customWidth="1"/>
    <col min="12338" max="12339" width="10.28515625" style="4" customWidth="1"/>
    <col min="12340" max="12340" width="25" style="4" customWidth="1"/>
    <col min="12341" max="12341" width="6" style="4" customWidth="1"/>
    <col min="12342" max="12545" width="8.85546875" style="4"/>
    <col min="12546" max="12546" width="3.7109375" style="4" customWidth="1"/>
    <col min="12547" max="12547" width="2.28515625" style="4" customWidth="1"/>
    <col min="12548" max="12549" width="3.7109375" style="4" customWidth="1"/>
    <col min="12550" max="12550" width="2.28515625" style="4" customWidth="1"/>
    <col min="12551" max="12552" width="3.7109375" style="4" customWidth="1"/>
    <col min="12553" max="12553" width="2.28515625" style="4" customWidth="1"/>
    <col min="12554" max="12555" width="3.7109375" style="4" customWidth="1"/>
    <col min="12556" max="12556" width="2.28515625" style="4" customWidth="1"/>
    <col min="12557" max="12558" width="3.7109375" style="4" customWidth="1"/>
    <col min="12559" max="12559" width="2.28515625" style="4" customWidth="1"/>
    <col min="12560" max="12561" width="3.7109375" style="4" customWidth="1"/>
    <col min="12562" max="12562" width="2.28515625" style="4" customWidth="1"/>
    <col min="12563" max="12564" width="3.7109375" style="4" customWidth="1"/>
    <col min="12565" max="12565" width="2.28515625" style="4" customWidth="1"/>
    <col min="12566" max="12567" width="3.7109375" style="4" customWidth="1"/>
    <col min="12568" max="12568" width="2.28515625" style="4" customWidth="1"/>
    <col min="12569" max="12570" width="3.7109375" style="4" customWidth="1"/>
    <col min="12571" max="12571" width="2.28515625" style="4" customWidth="1"/>
    <col min="12572" max="12573" width="3.7109375" style="4" customWidth="1"/>
    <col min="12574" max="12574" width="2.28515625" style="4" customWidth="1"/>
    <col min="12575" max="12575" width="3.7109375" style="4" customWidth="1"/>
    <col min="12576" max="12576" width="9.7109375" style="4" customWidth="1"/>
    <col min="12577" max="12586" width="3.7109375" style="4" customWidth="1"/>
    <col min="12587" max="12587" width="11" style="4" customWidth="1"/>
    <col min="12588" max="12589" width="8.85546875" style="4"/>
    <col min="12590" max="12590" width="13.5703125" style="4" customWidth="1"/>
    <col min="12591" max="12591" width="24.42578125" style="4" customWidth="1"/>
    <col min="12592" max="12592" width="16.28515625" style="4" customWidth="1"/>
    <col min="12593" max="12593" width="14.28515625" style="4" customWidth="1"/>
    <col min="12594" max="12595" width="10.28515625" style="4" customWidth="1"/>
    <col min="12596" max="12596" width="25" style="4" customWidth="1"/>
    <col min="12597" max="12597" width="6" style="4" customWidth="1"/>
    <col min="12598" max="12801" width="8.85546875" style="4"/>
    <col min="12802" max="12802" width="3.7109375" style="4" customWidth="1"/>
    <col min="12803" max="12803" width="2.28515625" style="4" customWidth="1"/>
    <col min="12804" max="12805" width="3.7109375" style="4" customWidth="1"/>
    <col min="12806" max="12806" width="2.28515625" style="4" customWidth="1"/>
    <col min="12807" max="12808" width="3.7109375" style="4" customWidth="1"/>
    <col min="12809" max="12809" width="2.28515625" style="4" customWidth="1"/>
    <col min="12810" max="12811" width="3.7109375" style="4" customWidth="1"/>
    <col min="12812" max="12812" width="2.28515625" style="4" customWidth="1"/>
    <col min="12813" max="12814" width="3.7109375" style="4" customWidth="1"/>
    <col min="12815" max="12815" width="2.28515625" style="4" customWidth="1"/>
    <col min="12816" max="12817" width="3.7109375" style="4" customWidth="1"/>
    <col min="12818" max="12818" width="2.28515625" style="4" customWidth="1"/>
    <col min="12819" max="12820" width="3.7109375" style="4" customWidth="1"/>
    <col min="12821" max="12821" width="2.28515625" style="4" customWidth="1"/>
    <col min="12822" max="12823" width="3.7109375" style="4" customWidth="1"/>
    <col min="12824" max="12824" width="2.28515625" style="4" customWidth="1"/>
    <col min="12825" max="12826" width="3.7109375" style="4" customWidth="1"/>
    <col min="12827" max="12827" width="2.28515625" style="4" customWidth="1"/>
    <col min="12828" max="12829" width="3.7109375" style="4" customWidth="1"/>
    <col min="12830" max="12830" width="2.28515625" style="4" customWidth="1"/>
    <col min="12831" max="12831" width="3.7109375" style="4" customWidth="1"/>
    <col min="12832" max="12832" width="9.7109375" style="4" customWidth="1"/>
    <col min="12833" max="12842" width="3.7109375" style="4" customWidth="1"/>
    <col min="12843" max="12843" width="11" style="4" customWidth="1"/>
    <col min="12844" max="12845" width="8.85546875" style="4"/>
    <col min="12846" max="12846" width="13.5703125" style="4" customWidth="1"/>
    <col min="12847" max="12847" width="24.42578125" style="4" customWidth="1"/>
    <col min="12848" max="12848" width="16.28515625" style="4" customWidth="1"/>
    <col min="12849" max="12849" width="14.28515625" style="4" customWidth="1"/>
    <col min="12850" max="12851" width="10.28515625" style="4" customWidth="1"/>
    <col min="12852" max="12852" width="25" style="4" customWidth="1"/>
    <col min="12853" max="12853" width="6" style="4" customWidth="1"/>
    <col min="12854" max="13057" width="8.85546875" style="4"/>
    <col min="13058" max="13058" width="3.7109375" style="4" customWidth="1"/>
    <col min="13059" max="13059" width="2.28515625" style="4" customWidth="1"/>
    <col min="13060" max="13061" width="3.7109375" style="4" customWidth="1"/>
    <col min="13062" max="13062" width="2.28515625" style="4" customWidth="1"/>
    <col min="13063" max="13064" width="3.7109375" style="4" customWidth="1"/>
    <col min="13065" max="13065" width="2.28515625" style="4" customWidth="1"/>
    <col min="13066" max="13067" width="3.7109375" style="4" customWidth="1"/>
    <col min="13068" max="13068" width="2.28515625" style="4" customWidth="1"/>
    <col min="13069" max="13070" width="3.7109375" style="4" customWidth="1"/>
    <col min="13071" max="13071" width="2.28515625" style="4" customWidth="1"/>
    <col min="13072" max="13073" width="3.7109375" style="4" customWidth="1"/>
    <col min="13074" max="13074" width="2.28515625" style="4" customWidth="1"/>
    <col min="13075" max="13076" width="3.7109375" style="4" customWidth="1"/>
    <col min="13077" max="13077" width="2.28515625" style="4" customWidth="1"/>
    <col min="13078" max="13079" width="3.7109375" style="4" customWidth="1"/>
    <col min="13080" max="13080" width="2.28515625" style="4" customWidth="1"/>
    <col min="13081" max="13082" width="3.7109375" style="4" customWidth="1"/>
    <col min="13083" max="13083" width="2.28515625" style="4" customWidth="1"/>
    <col min="13084" max="13085" width="3.7109375" style="4" customWidth="1"/>
    <col min="13086" max="13086" width="2.28515625" style="4" customWidth="1"/>
    <col min="13087" max="13087" width="3.7109375" style="4" customWidth="1"/>
    <col min="13088" max="13088" width="9.7109375" style="4" customWidth="1"/>
    <col min="13089" max="13098" width="3.7109375" style="4" customWidth="1"/>
    <col min="13099" max="13099" width="11" style="4" customWidth="1"/>
    <col min="13100" max="13101" width="8.85546875" style="4"/>
    <col min="13102" max="13102" width="13.5703125" style="4" customWidth="1"/>
    <col min="13103" max="13103" width="24.42578125" style="4" customWidth="1"/>
    <col min="13104" max="13104" width="16.28515625" style="4" customWidth="1"/>
    <col min="13105" max="13105" width="14.28515625" style="4" customWidth="1"/>
    <col min="13106" max="13107" width="10.28515625" style="4" customWidth="1"/>
    <col min="13108" max="13108" width="25" style="4" customWidth="1"/>
    <col min="13109" max="13109" width="6" style="4" customWidth="1"/>
    <col min="13110" max="13313" width="8.85546875" style="4"/>
    <col min="13314" max="13314" width="3.7109375" style="4" customWidth="1"/>
    <col min="13315" max="13315" width="2.28515625" style="4" customWidth="1"/>
    <col min="13316" max="13317" width="3.7109375" style="4" customWidth="1"/>
    <col min="13318" max="13318" width="2.28515625" style="4" customWidth="1"/>
    <col min="13319" max="13320" width="3.7109375" style="4" customWidth="1"/>
    <col min="13321" max="13321" width="2.28515625" style="4" customWidth="1"/>
    <col min="13322" max="13323" width="3.7109375" style="4" customWidth="1"/>
    <col min="13324" max="13324" width="2.28515625" style="4" customWidth="1"/>
    <col min="13325" max="13326" width="3.7109375" style="4" customWidth="1"/>
    <col min="13327" max="13327" width="2.28515625" style="4" customWidth="1"/>
    <col min="13328" max="13329" width="3.7109375" style="4" customWidth="1"/>
    <col min="13330" max="13330" width="2.28515625" style="4" customWidth="1"/>
    <col min="13331" max="13332" width="3.7109375" style="4" customWidth="1"/>
    <col min="13333" max="13333" width="2.28515625" style="4" customWidth="1"/>
    <col min="13334" max="13335" width="3.7109375" style="4" customWidth="1"/>
    <col min="13336" max="13336" width="2.28515625" style="4" customWidth="1"/>
    <col min="13337" max="13338" width="3.7109375" style="4" customWidth="1"/>
    <col min="13339" max="13339" width="2.28515625" style="4" customWidth="1"/>
    <col min="13340" max="13341" width="3.7109375" style="4" customWidth="1"/>
    <col min="13342" max="13342" width="2.28515625" style="4" customWidth="1"/>
    <col min="13343" max="13343" width="3.7109375" style="4" customWidth="1"/>
    <col min="13344" max="13344" width="9.7109375" style="4" customWidth="1"/>
    <col min="13345" max="13354" width="3.7109375" style="4" customWidth="1"/>
    <col min="13355" max="13355" width="11" style="4" customWidth="1"/>
    <col min="13356" max="13357" width="8.85546875" style="4"/>
    <col min="13358" max="13358" width="13.5703125" style="4" customWidth="1"/>
    <col min="13359" max="13359" width="24.42578125" style="4" customWidth="1"/>
    <col min="13360" max="13360" width="16.28515625" style="4" customWidth="1"/>
    <col min="13361" max="13361" width="14.28515625" style="4" customWidth="1"/>
    <col min="13362" max="13363" width="10.28515625" style="4" customWidth="1"/>
    <col min="13364" max="13364" width="25" style="4" customWidth="1"/>
    <col min="13365" max="13365" width="6" style="4" customWidth="1"/>
    <col min="13366" max="13569" width="8.85546875" style="4"/>
    <col min="13570" max="13570" width="3.7109375" style="4" customWidth="1"/>
    <col min="13571" max="13571" width="2.28515625" style="4" customWidth="1"/>
    <col min="13572" max="13573" width="3.7109375" style="4" customWidth="1"/>
    <col min="13574" max="13574" width="2.28515625" style="4" customWidth="1"/>
    <col min="13575" max="13576" width="3.7109375" style="4" customWidth="1"/>
    <col min="13577" max="13577" width="2.28515625" style="4" customWidth="1"/>
    <col min="13578" max="13579" width="3.7109375" style="4" customWidth="1"/>
    <col min="13580" max="13580" width="2.28515625" style="4" customWidth="1"/>
    <col min="13581" max="13582" width="3.7109375" style="4" customWidth="1"/>
    <col min="13583" max="13583" width="2.28515625" style="4" customWidth="1"/>
    <col min="13584" max="13585" width="3.7109375" style="4" customWidth="1"/>
    <col min="13586" max="13586" width="2.28515625" style="4" customWidth="1"/>
    <col min="13587" max="13588" width="3.7109375" style="4" customWidth="1"/>
    <col min="13589" max="13589" width="2.28515625" style="4" customWidth="1"/>
    <col min="13590" max="13591" width="3.7109375" style="4" customWidth="1"/>
    <col min="13592" max="13592" width="2.28515625" style="4" customWidth="1"/>
    <col min="13593" max="13594" width="3.7109375" style="4" customWidth="1"/>
    <col min="13595" max="13595" width="2.28515625" style="4" customWidth="1"/>
    <col min="13596" max="13597" width="3.7109375" style="4" customWidth="1"/>
    <col min="13598" max="13598" width="2.28515625" style="4" customWidth="1"/>
    <col min="13599" max="13599" width="3.7109375" style="4" customWidth="1"/>
    <col min="13600" max="13600" width="9.7109375" style="4" customWidth="1"/>
    <col min="13601" max="13610" width="3.7109375" style="4" customWidth="1"/>
    <col min="13611" max="13611" width="11" style="4" customWidth="1"/>
    <col min="13612" max="13613" width="8.85546875" style="4"/>
    <col min="13614" max="13614" width="13.5703125" style="4" customWidth="1"/>
    <col min="13615" max="13615" width="24.42578125" style="4" customWidth="1"/>
    <col min="13616" max="13616" width="16.28515625" style="4" customWidth="1"/>
    <col min="13617" max="13617" width="14.28515625" style="4" customWidth="1"/>
    <col min="13618" max="13619" width="10.28515625" style="4" customWidth="1"/>
    <col min="13620" max="13620" width="25" style="4" customWidth="1"/>
    <col min="13621" max="13621" width="6" style="4" customWidth="1"/>
    <col min="13622" max="13825" width="8.85546875" style="4"/>
    <col min="13826" max="13826" width="3.7109375" style="4" customWidth="1"/>
    <col min="13827" max="13827" width="2.28515625" style="4" customWidth="1"/>
    <col min="13828" max="13829" width="3.7109375" style="4" customWidth="1"/>
    <col min="13830" max="13830" width="2.28515625" style="4" customWidth="1"/>
    <col min="13831" max="13832" width="3.7109375" style="4" customWidth="1"/>
    <col min="13833" max="13833" width="2.28515625" style="4" customWidth="1"/>
    <col min="13834" max="13835" width="3.7109375" style="4" customWidth="1"/>
    <col min="13836" max="13836" width="2.28515625" style="4" customWidth="1"/>
    <col min="13837" max="13838" width="3.7109375" style="4" customWidth="1"/>
    <col min="13839" max="13839" width="2.28515625" style="4" customWidth="1"/>
    <col min="13840" max="13841" width="3.7109375" style="4" customWidth="1"/>
    <col min="13842" max="13842" width="2.28515625" style="4" customWidth="1"/>
    <col min="13843" max="13844" width="3.7109375" style="4" customWidth="1"/>
    <col min="13845" max="13845" width="2.28515625" style="4" customWidth="1"/>
    <col min="13846" max="13847" width="3.7109375" style="4" customWidth="1"/>
    <col min="13848" max="13848" width="2.28515625" style="4" customWidth="1"/>
    <col min="13849" max="13850" width="3.7109375" style="4" customWidth="1"/>
    <col min="13851" max="13851" width="2.28515625" style="4" customWidth="1"/>
    <col min="13852" max="13853" width="3.7109375" style="4" customWidth="1"/>
    <col min="13854" max="13854" width="2.28515625" style="4" customWidth="1"/>
    <col min="13855" max="13855" width="3.7109375" style="4" customWidth="1"/>
    <col min="13856" max="13856" width="9.7109375" style="4" customWidth="1"/>
    <col min="13857" max="13866" width="3.7109375" style="4" customWidth="1"/>
    <col min="13867" max="13867" width="11" style="4" customWidth="1"/>
    <col min="13868" max="13869" width="8.85546875" style="4"/>
    <col min="13870" max="13870" width="13.5703125" style="4" customWidth="1"/>
    <col min="13871" max="13871" width="24.42578125" style="4" customWidth="1"/>
    <col min="13872" max="13872" width="16.28515625" style="4" customWidth="1"/>
    <col min="13873" max="13873" width="14.28515625" style="4" customWidth="1"/>
    <col min="13874" max="13875" width="10.28515625" style="4" customWidth="1"/>
    <col min="13876" max="13876" width="25" style="4" customWidth="1"/>
    <col min="13877" max="13877" width="6" style="4" customWidth="1"/>
    <col min="13878" max="14081" width="8.85546875" style="4"/>
    <col min="14082" max="14082" width="3.7109375" style="4" customWidth="1"/>
    <col min="14083" max="14083" width="2.28515625" style="4" customWidth="1"/>
    <col min="14084" max="14085" width="3.7109375" style="4" customWidth="1"/>
    <col min="14086" max="14086" width="2.28515625" style="4" customWidth="1"/>
    <col min="14087" max="14088" width="3.7109375" style="4" customWidth="1"/>
    <col min="14089" max="14089" width="2.28515625" style="4" customWidth="1"/>
    <col min="14090" max="14091" width="3.7109375" style="4" customWidth="1"/>
    <col min="14092" max="14092" width="2.28515625" style="4" customWidth="1"/>
    <col min="14093" max="14094" width="3.7109375" style="4" customWidth="1"/>
    <col min="14095" max="14095" width="2.28515625" style="4" customWidth="1"/>
    <col min="14096" max="14097" width="3.7109375" style="4" customWidth="1"/>
    <col min="14098" max="14098" width="2.28515625" style="4" customWidth="1"/>
    <col min="14099" max="14100" width="3.7109375" style="4" customWidth="1"/>
    <col min="14101" max="14101" width="2.28515625" style="4" customWidth="1"/>
    <col min="14102" max="14103" width="3.7109375" style="4" customWidth="1"/>
    <col min="14104" max="14104" width="2.28515625" style="4" customWidth="1"/>
    <col min="14105" max="14106" width="3.7109375" style="4" customWidth="1"/>
    <col min="14107" max="14107" width="2.28515625" style="4" customWidth="1"/>
    <col min="14108" max="14109" width="3.7109375" style="4" customWidth="1"/>
    <col min="14110" max="14110" width="2.28515625" style="4" customWidth="1"/>
    <col min="14111" max="14111" width="3.7109375" style="4" customWidth="1"/>
    <col min="14112" max="14112" width="9.7109375" style="4" customWidth="1"/>
    <col min="14113" max="14122" width="3.7109375" style="4" customWidth="1"/>
    <col min="14123" max="14123" width="11" style="4" customWidth="1"/>
    <col min="14124" max="14125" width="8.85546875" style="4"/>
    <col min="14126" max="14126" width="13.5703125" style="4" customWidth="1"/>
    <col min="14127" max="14127" width="24.42578125" style="4" customWidth="1"/>
    <col min="14128" max="14128" width="16.28515625" style="4" customWidth="1"/>
    <col min="14129" max="14129" width="14.28515625" style="4" customWidth="1"/>
    <col min="14130" max="14131" width="10.28515625" style="4" customWidth="1"/>
    <col min="14132" max="14132" width="25" style="4" customWidth="1"/>
    <col min="14133" max="14133" width="6" style="4" customWidth="1"/>
    <col min="14134" max="14337" width="8.85546875" style="4"/>
    <col min="14338" max="14338" width="3.7109375" style="4" customWidth="1"/>
    <col min="14339" max="14339" width="2.28515625" style="4" customWidth="1"/>
    <col min="14340" max="14341" width="3.7109375" style="4" customWidth="1"/>
    <col min="14342" max="14342" width="2.28515625" style="4" customWidth="1"/>
    <col min="14343" max="14344" width="3.7109375" style="4" customWidth="1"/>
    <col min="14345" max="14345" width="2.28515625" style="4" customWidth="1"/>
    <col min="14346" max="14347" width="3.7109375" style="4" customWidth="1"/>
    <col min="14348" max="14348" width="2.28515625" style="4" customWidth="1"/>
    <col min="14349" max="14350" width="3.7109375" style="4" customWidth="1"/>
    <col min="14351" max="14351" width="2.28515625" style="4" customWidth="1"/>
    <col min="14352" max="14353" width="3.7109375" style="4" customWidth="1"/>
    <col min="14354" max="14354" width="2.28515625" style="4" customWidth="1"/>
    <col min="14355" max="14356" width="3.7109375" style="4" customWidth="1"/>
    <col min="14357" max="14357" width="2.28515625" style="4" customWidth="1"/>
    <col min="14358" max="14359" width="3.7109375" style="4" customWidth="1"/>
    <col min="14360" max="14360" width="2.28515625" style="4" customWidth="1"/>
    <col min="14361" max="14362" width="3.7109375" style="4" customWidth="1"/>
    <col min="14363" max="14363" width="2.28515625" style="4" customWidth="1"/>
    <col min="14364" max="14365" width="3.7109375" style="4" customWidth="1"/>
    <col min="14366" max="14366" width="2.28515625" style="4" customWidth="1"/>
    <col min="14367" max="14367" width="3.7109375" style="4" customWidth="1"/>
    <col min="14368" max="14368" width="9.7109375" style="4" customWidth="1"/>
    <col min="14369" max="14378" width="3.7109375" style="4" customWidth="1"/>
    <col min="14379" max="14379" width="11" style="4" customWidth="1"/>
    <col min="14380" max="14381" width="8.85546875" style="4"/>
    <col min="14382" max="14382" width="13.5703125" style="4" customWidth="1"/>
    <col min="14383" max="14383" width="24.42578125" style="4" customWidth="1"/>
    <col min="14384" max="14384" width="16.28515625" style="4" customWidth="1"/>
    <col min="14385" max="14385" width="14.28515625" style="4" customWidth="1"/>
    <col min="14386" max="14387" width="10.28515625" style="4" customWidth="1"/>
    <col min="14388" max="14388" width="25" style="4" customWidth="1"/>
    <col min="14389" max="14389" width="6" style="4" customWidth="1"/>
    <col min="14390" max="14593" width="8.85546875" style="4"/>
    <col min="14594" max="14594" width="3.7109375" style="4" customWidth="1"/>
    <col min="14595" max="14595" width="2.28515625" style="4" customWidth="1"/>
    <col min="14596" max="14597" width="3.7109375" style="4" customWidth="1"/>
    <col min="14598" max="14598" width="2.28515625" style="4" customWidth="1"/>
    <col min="14599" max="14600" width="3.7109375" style="4" customWidth="1"/>
    <col min="14601" max="14601" width="2.28515625" style="4" customWidth="1"/>
    <col min="14602" max="14603" width="3.7109375" style="4" customWidth="1"/>
    <col min="14604" max="14604" width="2.28515625" style="4" customWidth="1"/>
    <col min="14605" max="14606" width="3.7109375" style="4" customWidth="1"/>
    <col min="14607" max="14607" width="2.28515625" style="4" customWidth="1"/>
    <col min="14608" max="14609" width="3.7109375" style="4" customWidth="1"/>
    <col min="14610" max="14610" width="2.28515625" style="4" customWidth="1"/>
    <col min="14611" max="14612" width="3.7109375" style="4" customWidth="1"/>
    <col min="14613" max="14613" width="2.28515625" style="4" customWidth="1"/>
    <col min="14614" max="14615" width="3.7109375" style="4" customWidth="1"/>
    <col min="14616" max="14616" width="2.28515625" style="4" customWidth="1"/>
    <col min="14617" max="14618" width="3.7109375" style="4" customWidth="1"/>
    <col min="14619" max="14619" width="2.28515625" style="4" customWidth="1"/>
    <col min="14620" max="14621" width="3.7109375" style="4" customWidth="1"/>
    <col min="14622" max="14622" width="2.28515625" style="4" customWidth="1"/>
    <col min="14623" max="14623" width="3.7109375" style="4" customWidth="1"/>
    <col min="14624" max="14624" width="9.7109375" style="4" customWidth="1"/>
    <col min="14625" max="14634" width="3.7109375" style="4" customWidth="1"/>
    <col min="14635" max="14635" width="11" style="4" customWidth="1"/>
    <col min="14636" max="14637" width="8.85546875" style="4"/>
    <col min="14638" max="14638" width="13.5703125" style="4" customWidth="1"/>
    <col min="14639" max="14639" width="24.42578125" style="4" customWidth="1"/>
    <col min="14640" max="14640" width="16.28515625" style="4" customWidth="1"/>
    <col min="14641" max="14641" width="14.28515625" style="4" customWidth="1"/>
    <col min="14642" max="14643" width="10.28515625" style="4" customWidth="1"/>
    <col min="14644" max="14644" width="25" style="4" customWidth="1"/>
    <col min="14645" max="14645" width="6" style="4" customWidth="1"/>
    <col min="14646" max="14849" width="8.85546875" style="4"/>
    <col min="14850" max="14850" width="3.7109375" style="4" customWidth="1"/>
    <col min="14851" max="14851" width="2.28515625" style="4" customWidth="1"/>
    <col min="14852" max="14853" width="3.7109375" style="4" customWidth="1"/>
    <col min="14854" max="14854" width="2.28515625" style="4" customWidth="1"/>
    <col min="14855" max="14856" width="3.7109375" style="4" customWidth="1"/>
    <col min="14857" max="14857" width="2.28515625" style="4" customWidth="1"/>
    <col min="14858" max="14859" width="3.7109375" style="4" customWidth="1"/>
    <col min="14860" max="14860" width="2.28515625" style="4" customWidth="1"/>
    <col min="14861" max="14862" width="3.7109375" style="4" customWidth="1"/>
    <col min="14863" max="14863" width="2.28515625" style="4" customWidth="1"/>
    <col min="14864" max="14865" width="3.7109375" style="4" customWidth="1"/>
    <col min="14866" max="14866" width="2.28515625" style="4" customWidth="1"/>
    <col min="14867" max="14868" width="3.7109375" style="4" customWidth="1"/>
    <col min="14869" max="14869" width="2.28515625" style="4" customWidth="1"/>
    <col min="14870" max="14871" width="3.7109375" style="4" customWidth="1"/>
    <col min="14872" max="14872" width="2.28515625" style="4" customWidth="1"/>
    <col min="14873" max="14874" width="3.7109375" style="4" customWidth="1"/>
    <col min="14875" max="14875" width="2.28515625" style="4" customWidth="1"/>
    <col min="14876" max="14877" width="3.7109375" style="4" customWidth="1"/>
    <col min="14878" max="14878" width="2.28515625" style="4" customWidth="1"/>
    <col min="14879" max="14879" width="3.7109375" style="4" customWidth="1"/>
    <col min="14880" max="14880" width="9.7109375" style="4" customWidth="1"/>
    <col min="14881" max="14890" width="3.7109375" style="4" customWidth="1"/>
    <col min="14891" max="14891" width="11" style="4" customWidth="1"/>
    <col min="14892" max="14893" width="8.85546875" style="4"/>
    <col min="14894" max="14894" width="13.5703125" style="4" customWidth="1"/>
    <col min="14895" max="14895" width="24.42578125" style="4" customWidth="1"/>
    <col min="14896" max="14896" width="16.28515625" style="4" customWidth="1"/>
    <col min="14897" max="14897" width="14.28515625" style="4" customWidth="1"/>
    <col min="14898" max="14899" width="10.28515625" style="4" customWidth="1"/>
    <col min="14900" max="14900" width="25" style="4" customWidth="1"/>
    <col min="14901" max="14901" width="6" style="4" customWidth="1"/>
    <col min="14902" max="15105" width="8.85546875" style="4"/>
    <col min="15106" max="15106" width="3.7109375" style="4" customWidth="1"/>
    <col min="15107" max="15107" width="2.28515625" style="4" customWidth="1"/>
    <col min="15108" max="15109" width="3.7109375" style="4" customWidth="1"/>
    <col min="15110" max="15110" width="2.28515625" style="4" customWidth="1"/>
    <col min="15111" max="15112" width="3.7109375" style="4" customWidth="1"/>
    <col min="15113" max="15113" width="2.28515625" style="4" customWidth="1"/>
    <col min="15114" max="15115" width="3.7109375" style="4" customWidth="1"/>
    <col min="15116" max="15116" width="2.28515625" style="4" customWidth="1"/>
    <col min="15117" max="15118" width="3.7109375" style="4" customWidth="1"/>
    <col min="15119" max="15119" width="2.28515625" style="4" customWidth="1"/>
    <col min="15120" max="15121" width="3.7109375" style="4" customWidth="1"/>
    <col min="15122" max="15122" width="2.28515625" style="4" customWidth="1"/>
    <col min="15123" max="15124" width="3.7109375" style="4" customWidth="1"/>
    <col min="15125" max="15125" width="2.28515625" style="4" customWidth="1"/>
    <col min="15126" max="15127" width="3.7109375" style="4" customWidth="1"/>
    <col min="15128" max="15128" width="2.28515625" style="4" customWidth="1"/>
    <col min="15129" max="15130" width="3.7109375" style="4" customWidth="1"/>
    <col min="15131" max="15131" width="2.28515625" style="4" customWidth="1"/>
    <col min="15132" max="15133" width="3.7109375" style="4" customWidth="1"/>
    <col min="15134" max="15134" width="2.28515625" style="4" customWidth="1"/>
    <col min="15135" max="15135" width="3.7109375" style="4" customWidth="1"/>
    <col min="15136" max="15136" width="9.7109375" style="4" customWidth="1"/>
    <col min="15137" max="15146" width="3.7109375" style="4" customWidth="1"/>
    <col min="15147" max="15147" width="11" style="4" customWidth="1"/>
    <col min="15148" max="15149" width="8.85546875" style="4"/>
    <col min="15150" max="15150" width="13.5703125" style="4" customWidth="1"/>
    <col min="15151" max="15151" width="24.42578125" style="4" customWidth="1"/>
    <col min="15152" max="15152" width="16.28515625" style="4" customWidth="1"/>
    <col min="15153" max="15153" width="14.28515625" style="4" customWidth="1"/>
    <col min="15154" max="15155" width="10.28515625" style="4" customWidth="1"/>
    <col min="15156" max="15156" width="25" style="4" customWidth="1"/>
    <col min="15157" max="15157" width="6" style="4" customWidth="1"/>
    <col min="15158" max="15361" width="8.85546875" style="4"/>
    <col min="15362" max="15362" width="3.7109375" style="4" customWidth="1"/>
    <col min="15363" max="15363" width="2.28515625" style="4" customWidth="1"/>
    <col min="15364" max="15365" width="3.7109375" style="4" customWidth="1"/>
    <col min="15366" max="15366" width="2.28515625" style="4" customWidth="1"/>
    <col min="15367" max="15368" width="3.7109375" style="4" customWidth="1"/>
    <col min="15369" max="15369" width="2.28515625" style="4" customWidth="1"/>
    <col min="15370" max="15371" width="3.7109375" style="4" customWidth="1"/>
    <col min="15372" max="15372" width="2.28515625" style="4" customWidth="1"/>
    <col min="15373" max="15374" width="3.7109375" style="4" customWidth="1"/>
    <col min="15375" max="15375" width="2.28515625" style="4" customWidth="1"/>
    <col min="15376" max="15377" width="3.7109375" style="4" customWidth="1"/>
    <col min="15378" max="15378" width="2.28515625" style="4" customWidth="1"/>
    <col min="15379" max="15380" width="3.7109375" style="4" customWidth="1"/>
    <col min="15381" max="15381" width="2.28515625" style="4" customWidth="1"/>
    <col min="15382" max="15383" width="3.7109375" style="4" customWidth="1"/>
    <col min="15384" max="15384" width="2.28515625" style="4" customWidth="1"/>
    <col min="15385" max="15386" width="3.7109375" style="4" customWidth="1"/>
    <col min="15387" max="15387" width="2.28515625" style="4" customWidth="1"/>
    <col min="15388" max="15389" width="3.7109375" style="4" customWidth="1"/>
    <col min="15390" max="15390" width="2.28515625" style="4" customWidth="1"/>
    <col min="15391" max="15391" width="3.7109375" style="4" customWidth="1"/>
    <col min="15392" max="15392" width="9.7109375" style="4" customWidth="1"/>
    <col min="15393" max="15402" width="3.7109375" style="4" customWidth="1"/>
    <col min="15403" max="15403" width="11" style="4" customWidth="1"/>
    <col min="15404" max="15405" width="8.85546875" style="4"/>
    <col min="15406" max="15406" width="13.5703125" style="4" customWidth="1"/>
    <col min="15407" max="15407" width="24.42578125" style="4" customWidth="1"/>
    <col min="15408" max="15408" width="16.28515625" style="4" customWidth="1"/>
    <col min="15409" max="15409" width="14.28515625" style="4" customWidth="1"/>
    <col min="15410" max="15411" width="10.28515625" style="4" customWidth="1"/>
    <col min="15412" max="15412" width="25" style="4" customWidth="1"/>
    <col min="15413" max="15413" width="6" style="4" customWidth="1"/>
    <col min="15414" max="15617" width="8.85546875" style="4"/>
    <col min="15618" max="15618" width="3.7109375" style="4" customWidth="1"/>
    <col min="15619" max="15619" width="2.28515625" style="4" customWidth="1"/>
    <col min="15620" max="15621" width="3.7109375" style="4" customWidth="1"/>
    <col min="15622" max="15622" width="2.28515625" style="4" customWidth="1"/>
    <col min="15623" max="15624" width="3.7109375" style="4" customWidth="1"/>
    <col min="15625" max="15625" width="2.28515625" style="4" customWidth="1"/>
    <col min="15626" max="15627" width="3.7109375" style="4" customWidth="1"/>
    <col min="15628" max="15628" width="2.28515625" style="4" customWidth="1"/>
    <col min="15629" max="15630" width="3.7109375" style="4" customWidth="1"/>
    <col min="15631" max="15631" width="2.28515625" style="4" customWidth="1"/>
    <col min="15632" max="15633" width="3.7109375" style="4" customWidth="1"/>
    <col min="15634" max="15634" width="2.28515625" style="4" customWidth="1"/>
    <col min="15635" max="15636" width="3.7109375" style="4" customWidth="1"/>
    <col min="15637" max="15637" width="2.28515625" style="4" customWidth="1"/>
    <col min="15638" max="15639" width="3.7109375" style="4" customWidth="1"/>
    <col min="15640" max="15640" width="2.28515625" style="4" customWidth="1"/>
    <col min="15641" max="15642" width="3.7109375" style="4" customWidth="1"/>
    <col min="15643" max="15643" width="2.28515625" style="4" customWidth="1"/>
    <col min="15644" max="15645" width="3.7109375" style="4" customWidth="1"/>
    <col min="15646" max="15646" width="2.28515625" style="4" customWidth="1"/>
    <col min="15647" max="15647" width="3.7109375" style="4" customWidth="1"/>
    <col min="15648" max="15648" width="9.7109375" style="4" customWidth="1"/>
    <col min="15649" max="15658" width="3.7109375" style="4" customWidth="1"/>
    <col min="15659" max="15659" width="11" style="4" customWidth="1"/>
    <col min="15660" max="15661" width="8.85546875" style="4"/>
    <col min="15662" max="15662" width="13.5703125" style="4" customWidth="1"/>
    <col min="15663" max="15663" width="24.42578125" style="4" customWidth="1"/>
    <col min="15664" max="15664" width="16.28515625" style="4" customWidth="1"/>
    <col min="15665" max="15665" width="14.28515625" style="4" customWidth="1"/>
    <col min="15666" max="15667" width="10.28515625" style="4" customWidth="1"/>
    <col min="15668" max="15668" width="25" style="4" customWidth="1"/>
    <col min="15669" max="15669" width="6" style="4" customWidth="1"/>
    <col min="15670" max="15873" width="8.85546875" style="4"/>
    <col min="15874" max="15874" width="3.7109375" style="4" customWidth="1"/>
    <col min="15875" max="15875" width="2.28515625" style="4" customWidth="1"/>
    <col min="15876" max="15877" width="3.7109375" style="4" customWidth="1"/>
    <col min="15878" max="15878" width="2.28515625" style="4" customWidth="1"/>
    <col min="15879" max="15880" width="3.7109375" style="4" customWidth="1"/>
    <col min="15881" max="15881" width="2.28515625" style="4" customWidth="1"/>
    <col min="15882" max="15883" width="3.7109375" style="4" customWidth="1"/>
    <col min="15884" max="15884" width="2.28515625" style="4" customWidth="1"/>
    <col min="15885" max="15886" width="3.7109375" style="4" customWidth="1"/>
    <col min="15887" max="15887" width="2.28515625" style="4" customWidth="1"/>
    <col min="15888" max="15889" width="3.7109375" style="4" customWidth="1"/>
    <col min="15890" max="15890" width="2.28515625" style="4" customWidth="1"/>
    <col min="15891" max="15892" width="3.7109375" style="4" customWidth="1"/>
    <col min="15893" max="15893" width="2.28515625" style="4" customWidth="1"/>
    <col min="15894" max="15895" width="3.7109375" style="4" customWidth="1"/>
    <col min="15896" max="15896" width="2.28515625" style="4" customWidth="1"/>
    <col min="15897" max="15898" width="3.7109375" style="4" customWidth="1"/>
    <col min="15899" max="15899" width="2.28515625" style="4" customWidth="1"/>
    <col min="15900" max="15901" width="3.7109375" style="4" customWidth="1"/>
    <col min="15902" max="15902" width="2.28515625" style="4" customWidth="1"/>
    <col min="15903" max="15903" width="3.7109375" style="4" customWidth="1"/>
    <col min="15904" max="15904" width="9.7109375" style="4" customWidth="1"/>
    <col min="15905" max="15914" width="3.7109375" style="4" customWidth="1"/>
    <col min="15915" max="15915" width="11" style="4" customWidth="1"/>
    <col min="15916" max="15917" width="8.85546875" style="4"/>
    <col min="15918" max="15918" width="13.5703125" style="4" customWidth="1"/>
    <col min="15919" max="15919" width="24.42578125" style="4" customWidth="1"/>
    <col min="15920" max="15920" width="16.28515625" style="4" customWidth="1"/>
    <col min="15921" max="15921" width="14.28515625" style="4" customWidth="1"/>
    <col min="15922" max="15923" width="10.28515625" style="4" customWidth="1"/>
    <col min="15924" max="15924" width="25" style="4" customWidth="1"/>
    <col min="15925" max="15925" width="6" style="4" customWidth="1"/>
    <col min="15926" max="16129" width="8.85546875" style="4"/>
    <col min="16130" max="16130" width="3.7109375" style="4" customWidth="1"/>
    <col min="16131" max="16131" width="2.28515625" style="4" customWidth="1"/>
    <col min="16132" max="16133" width="3.7109375" style="4" customWidth="1"/>
    <col min="16134" max="16134" width="2.28515625" style="4" customWidth="1"/>
    <col min="16135" max="16136" width="3.7109375" style="4" customWidth="1"/>
    <col min="16137" max="16137" width="2.28515625" style="4" customWidth="1"/>
    <col min="16138" max="16139" width="3.7109375" style="4" customWidth="1"/>
    <col min="16140" max="16140" width="2.28515625" style="4" customWidth="1"/>
    <col min="16141" max="16142" width="3.7109375" style="4" customWidth="1"/>
    <col min="16143" max="16143" width="2.28515625" style="4" customWidth="1"/>
    <col min="16144" max="16145" width="3.7109375" style="4" customWidth="1"/>
    <col min="16146" max="16146" width="2.28515625" style="4" customWidth="1"/>
    <col min="16147" max="16148" width="3.7109375" style="4" customWidth="1"/>
    <col min="16149" max="16149" width="2.28515625" style="4" customWidth="1"/>
    <col min="16150" max="16151" width="3.7109375" style="4" customWidth="1"/>
    <col min="16152" max="16152" width="2.28515625" style="4" customWidth="1"/>
    <col min="16153" max="16154" width="3.7109375" style="4" customWidth="1"/>
    <col min="16155" max="16155" width="2.28515625" style="4" customWidth="1"/>
    <col min="16156" max="16157" width="3.7109375" style="4" customWidth="1"/>
    <col min="16158" max="16158" width="2.28515625" style="4" customWidth="1"/>
    <col min="16159" max="16159" width="3.7109375" style="4" customWidth="1"/>
    <col min="16160" max="16160" width="9.7109375" style="4" customWidth="1"/>
    <col min="16161" max="16170" width="3.7109375" style="4" customWidth="1"/>
    <col min="16171" max="16171" width="11" style="4" customWidth="1"/>
    <col min="16172" max="16173" width="8.85546875" style="4"/>
    <col min="16174" max="16174" width="13.5703125" style="4" customWidth="1"/>
    <col min="16175" max="16175" width="24.42578125" style="4" customWidth="1"/>
    <col min="16176" max="16176" width="16.28515625" style="4" customWidth="1"/>
    <col min="16177" max="16177" width="14.28515625" style="4" customWidth="1"/>
    <col min="16178" max="16179" width="10.28515625" style="4" customWidth="1"/>
    <col min="16180" max="16180" width="25" style="4" customWidth="1"/>
    <col min="16181" max="16181" width="6" style="4" customWidth="1"/>
    <col min="16182" max="16384" width="8.85546875" style="4"/>
  </cols>
  <sheetData>
    <row r="1" spans="1:53" ht="13.5" thickBot="1" x14ac:dyDescent="0.25">
      <c r="A1" s="404" t="s">
        <v>0</v>
      </c>
      <c r="B1" s="404"/>
      <c r="C1" s="404"/>
      <c r="D1" s="404"/>
      <c r="E1" s="404"/>
      <c r="F1" s="404"/>
      <c r="G1" s="404"/>
      <c r="H1" s="404"/>
      <c r="I1" s="404"/>
      <c r="J1" s="404"/>
      <c r="K1" s="404"/>
      <c r="L1" s="404"/>
      <c r="M1" s="404"/>
      <c r="N1" s="404"/>
      <c r="O1" s="404"/>
      <c r="P1" s="404"/>
      <c r="Q1" s="404"/>
      <c r="R1" s="404"/>
      <c r="S1" s="404"/>
      <c r="T1" s="404"/>
      <c r="U1" s="404"/>
      <c r="V1" s="404"/>
      <c r="W1" s="404"/>
      <c r="X1" s="404"/>
      <c r="Y1" s="404"/>
      <c r="Z1" s="404"/>
      <c r="AA1" s="404"/>
      <c r="AB1" s="404"/>
      <c r="AC1" s="404"/>
      <c r="AD1" s="404"/>
      <c r="AE1" s="404"/>
      <c r="AF1" s="404"/>
      <c r="AG1" s="404"/>
      <c r="AH1" s="404"/>
      <c r="AI1" s="404"/>
      <c r="AJ1" s="1"/>
      <c r="AK1" s="1"/>
      <c r="AL1" s="1"/>
      <c r="AM1" s="1"/>
      <c r="AN1" s="1"/>
      <c r="AO1" s="1"/>
      <c r="AP1" s="1"/>
      <c r="AQ1" s="2" t="s">
        <v>1</v>
      </c>
      <c r="AR1" s="3"/>
      <c r="AT1" s="405" t="s">
        <v>2</v>
      </c>
      <c r="AU1" s="406"/>
      <c r="AV1" s="406"/>
      <c r="AW1" s="407"/>
      <c r="AX1" s="408" t="s">
        <v>3</v>
      </c>
      <c r="AY1" s="409"/>
      <c r="AZ1" s="6" t="s">
        <v>4</v>
      </c>
      <c r="BA1" s="7">
        <v>32</v>
      </c>
    </row>
    <row r="2" spans="1:53" ht="18.75" customHeight="1" thickBot="1" x14ac:dyDescent="0.3">
      <c r="A2" s="410" t="s">
        <v>5</v>
      </c>
      <c r="B2" s="411"/>
      <c r="C2" s="411"/>
      <c r="D2" s="411"/>
      <c r="E2" s="411"/>
      <c r="F2" s="411"/>
      <c r="G2" s="411"/>
      <c r="H2" s="411"/>
      <c r="I2" s="412"/>
      <c r="J2" s="413" t="s">
        <v>6</v>
      </c>
      <c r="K2" s="414"/>
      <c r="L2" s="414"/>
      <c r="M2" s="414"/>
      <c r="N2" s="414"/>
      <c r="O2" s="414"/>
      <c r="P2" s="414"/>
      <c r="Q2" s="414"/>
      <c r="R2" s="414"/>
      <c r="S2" s="414"/>
      <c r="T2" s="414"/>
      <c r="U2" s="414"/>
      <c r="V2" s="414"/>
      <c r="W2" s="414"/>
      <c r="X2" s="415"/>
      <c r="Y2" s="416" t="s">
        <v>7</v>
      </c>
      <c r="Z2" s="417"/>
      <c r="AA2" s="417"/>
      <c r="AB2" s="417"/>
      <c r="AC2" s="418"/>
      <c r="AD2" s="379" t="s">
        <v>8</v>
      </c>
      <c r="AE2" s="379"/>
      <c r="AF2" s="379"/>
      <c r="AG2" s="379"/>
      <c r="AH2" s="379"/>
      <c r="AI2" s="380"/>
      <c r="AJ2" s="8"/>
      <c r="AK2" s="8"/>
      <c r="AL2" s="8"/>
      <c r="AM2" s="8"/>
      <c r="AN2" s="8"/>
      <c r="AO2" s="8"/>
      <c r="AP2" s="8"/>
      <c r="AQ2" s="8"/>
      <c r="AR2" s="3"/>
      <c r="AT2" s="9" t="s">
        <v>9</v>
      </c>
      <c r="AU2" s="10" t="s">
        <v>10</v>
      </c>
      <c r="AV2" s="11" t="s">
        <v>11</v>
      </c>
      <c r="AW2" s="12" t="s">
        <v>12</v>
      </c>
      <c r="AX2" s="13" t="s">
        <v>13</v>
      </c>
      <c r="AY2" s="12" t="s">
        <v>14</v>
      </c>
      <c r="AZ2" s="6" t="s">
        <v>15</v>
      </c>
      <c r="BA2" s="7">
        <v>16</v>
      </c>
    </row>
    <row r="3" spans="1:53" ht="18.75" customHeight="1" thickBot="1" x14ac:dyDescent="0.3">
      <c r="A3" s="14" t="s">
        <v>16</v>
      </c>
      <c r="B3" s="384" t="s">
        <v>1065</v>
      </c>
      <c r="C3" s="385"/>
      <c r="D3" s="385"/>
      <c r="E3" s="385"/>
      <c r="F3" s="385"/>
      <c r="G3" s="385"/>
      <c r="H3" s="385"/>
      <c r="I3" s="385"/>
      <c r="J3" s="385"/>
      <c r="K3" s="385"/>
      <c r="L3" s="385"/>
      <c r="M3" s="385"/>
      <c r="N3" s="385"/>
      <c r="O3" s="386"/>
      <c r="P3" s="387" t="s">
        <v>18</v>
      </c>
      <c r="Q3" s="388"/>
      <c r="R3" s="388"/>
      <c r="S3" s="389">
        <v>18</v>
      </c>
      <c r="T3" s="390"/>
      <c r="U3" s="390"/>
      <c r="V3" s="390"/>
      <c r="W3" s="390"/>
      <c r="X3" s="391"/>
      <c r="Y3" s="392" t="s">
        <v>19</v>
      </c>
      <c r="Z3" s="393"/>
      <c r="AA3" s="393"/>
      <c r="AB3" s="393"/>
      <c r="AC3" s="393"/>
      <c r="AD3" s="394"/>
      <c r="AE3" s="419" t="s">
        <v>20</v>
      </c>
      <c r="AF3" s="420"/>
      <c r="AG3" s="395" t="s">
        <v>21</v>
      </c>
      <c r="AH3" s="395"/>
      <c r="AI3" s="396"/>
      <c r="AJ3" s="8"/>
      <c r="AK3" s="8"/>
      <c r="AL3" s="8"/>
      <c r="AM3" s="8"/>
      <c r="AN3" s="8"/>
      <c r="AO3" s="8"/>
      <c r="AP3" s="8"/>
      <c r="AQ3" s="8"/>
      <c r="AR3" s="3"/>
      <c r="AT3" s="19">
        <v>1</v>
      </c>
      <c r="AU3" s="495" t="s">
        <v>840</v>
      </c>
      <c r="AV3" s="495" t="s">
        <v>839</v>
      </c>
      <c r="AW3" s="21">
        <f>VLOOKUP(AV3,Initial!G:K,5,FALSE)</f>
        <v>3023.8142201815831</v>
      </c>
      <c r="AX3" s="22">
        <f t="shared" ref="AX3:AX10" si="0">VLOOKUP(AU3,AT$79:AU$174,2,FALSE)</f>
        <v>3079.0206585720803</v>
      </c>
      <c r="AY3" s="23">
        <f t="shared" ref="AY3:AY10" si="1">IF(ISNA(VLOOKUP(AU3,AT$182:AU$234,2,FALSE)),AX3,VLOOKUP(AU3,AT$182:AU$234,2,FALSE))</f>
        <v>3091.706773131953</v>
      </c>
    </row>
    <row r="4" spans="1:53" ht="24" customHeight="1" thickBot="1" x14ac:dyDescent="0.25">
      <c r="A4" s="397" t="s">
        <v>24</v>
      </c>
      <c r="B4" s="398"/>
      <c r="C4" s="398"/>
      <c r="D4" s="399"/>
      <c r="E4" s="400" t="s">
        <v>1066</v>
      </c>
      <c r="F4" s="401"/>
      <c r="G4" s="401"/>
      <c r="H4" s="401"/>
      <c r="I4" s="401"/>
      <c r="J4" s="401"/>
      <c r="K4" s="401"/>
      <c r="L4" s="401"/>
      <c r="M4" s="402"/>
      <c r="N4" s="397" t="s">
        <v>26</v>
      </c>
      <c r="O4" s="398"/>
      <c r="P4" s="398"/>
      <c r="Q4" s="399"/>
      <c r="R4" s="403" t="s">
        <v>27</v>
      </c>
      <c r="S4" s="379"/>
      <c r="T4" s="379"/>
      <c r="U4" s="379"/>
      <c r="V4" s="379"/>
      <c r="W4" s="379"/>
      <c r="X4" s="379"/>
      <c r="Y4" s="379"/>
      <c r="Z4" s="379"/>
      <c r="AA4" s="380"/>
      <c r="AB4" s="397" t="s">
        <v>28</v>
      </c>
      <c r="AC4" s="398"/>
      <c r="AD4" s="398"/>
      <c r="AE4" s="399"/>
      <c r="AF4" s="378">
        <v>42775</v>
      </c>
      <c r="AG4" s="379"/>
      <c r="AH4" s="379"/>
      <c r="AI4" s="380"/>
      <c r="AJ4" s="8"/>
      <c r="AK4" s="8"/>
      <c r="AL4" s="8"/>
      <c r="AM4" s="8"/>
      <c r="AN4" s="8"/>
      <c r="AO4" s="8"/>
      <c r="AP4" s="8"/>
      <c r="AQ4" s="8"/>
      <c r="AR4" s="3"/>
      <c r="AT4" s="24">
        <v>2</v>
      </c>
      <c r="AU4" s="494" t="s">
        <v>891</v>
      </c>
      <c r="AV4" s="494" t="s">
        <v>890</v>
      </c>
      <c r="AW4" s="21">
        <f>VLOOKUP(AV4,Initial!G:K,5,FALSE)</f>
        <v>3000</v>
      </c>
      <c r="AX4" s="25">
        <f t="shared" si="0"/>
        <v>3033.3596182547244</v>
      </c>
      <c r="AY4" s="26">
        <f t="shared" si="1"/>
        <v>3037.1327362053721</v>
      </c>
    </row>
    <row r="5" spans="1:53" ht="15.75" thickBot="1" x14ac:dyDescent="0.25">
      <c r="A5" s="1" t="s">
        <v>31</v>
      </c>
      <c r="B5" s="381" t="s">
        <v>31</v>
      </c>
      <c r="C5" s="382"/>
      <c r="D5" s="382"/>
      <c r="E5" s="382"/>
      <c r="F5" s="382"/>
      <c r="G5" s="382"/>
      <c r="H5" s="382"/>
      <c r="I5" s="382"/>
      <c r="J5" s="382"/>
      <c r="K5" s="383" t="s">
        <v>31</v>
      </c>
      <c r="L5" s="383"/>
      <c r="M5" s="383"/>
      <c r="N5" s="383"/>
      <c r="O5" s="383"/>
      <c r="P5" s="383"/>
      <c r="Q5" s="383"/>
      <c r="R5" s="383"/>
      <c r="S5" s="383"/>
      <c r="T5" s="383"/>
      <c r="U5" s="383"/>
      <c r="V5" s="383"/>
      <c r="W5" s="383"/>
      <c r="X5" s="383"/>
      <c r="Y5" s="383"/>
      <c r="Z5" s="383"/>
      <c r="AA5" s="383"/>
      <c r="AB5" s="383"/>
      <c r="AC5" s="383"/>
      <c r="AD5" s="383"/>
      <c r="AE5" s="383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3"/>
      <c r="AT5" s="24">
        <v>3</v>
      </c>
      <c r="AU5" s="494" t="s">
        <v>887</v>
      </c>
      <c r="AV5" s="494" t="s">
        <v>886</v>
      </c>
      <c r="AW5" s="21">
        <f>VLOOKUP(AV5,Initial!G:K,5,FALSE)</f>
        <v>2927.0999448587754</v>
      </c>
      <c r="AX5" s="25">
        <f t="shared" si="0"/>
        <v>2879.9283255605792</v>
      </c>
      <c r="AY5" s="26">
        <f t="shared" si="1"/>
        <v>2865.1000950461112</v>
      </c>
    </row>
    <row r="6" spans="1:53" ht="24" customHeight="1" thickBot="1" x14ac:dyDescent="0.25">
      <c r="A6" s="27" t="s">
        <v>34</v>
      </c>
      <c r="B6" s="28" t="s">
        <v>35</v>
      </c>
      <c r="C6" s="353" t="s">
        <v>36</v>
      </c>
      <c r="D6" s="354"/>
      <c r="E6" s="354"/>
      <c r="F6" s="354"/>
      <c r="G6" s="354"/>
      <c r="H6" s="355"/>
      <c r="I6" s="356">
        <v>1</v>
      </c>
      <c r="J6" s="357"/>
      <c r="K6" s="358" t="str">
        <f>"Pool "&amp;B6&amp;" - Round 1 - Court "&amp;I6</f>
        <v>Pool A - Round 1 - Court 1</v>
      </c>
      <c r="L6" s="359"/>
      <c r="M6" s="359"/>
      <c r="N6" s="359"/>
      <c r="O6" s="359"/>
      <c r="P6" s="359"/>
      <c r="Q6" s="359"/>
      <c r="R6" s="359"/>
      <c r="S6" s="359"/>
      <c r="T6" s="359"/>
      <c r="U6" s="359"/>
      <c r="V6" s="359"/>
      <c r="W6" s="359"/>
      <c r="X6" s="359"/>
      <c r="Y6" s="359"/>
      <c r="Z6" s="359"/>
      <c r="AA6" s="359"/>
      <c r="AB6" s="359"/>
      <c r="AC6" s="359"/>
      <c r="AD6" s="359"/>
      <c r="AE6" s="359"/>
      <c r="AF6" s="359"/>
      <c r="AG6" s="359"/>
      <c r="AH6" s="359"/>
      <c r="AI6" s="360"/>
      <c r="AJ6" s="8"/>
      <c r="AK6" s="8"/>
      <c r="AL6" s="8"/>
      <c r="AM6" s="8"/>
      <c r="AN6" s="8"/>
      <c r="AO6" s="8"/>
      <c r="AP6" s="8"/>
      <c r="AQ6" s="8"/>
      <c r="AT6" s="24">
        <v>4</v>
      </c>
      <c r="AU6" s="494" t="s">
        <v>893</v>
      </c>
      <c r="AV6" s="494" t="s">
        <v>892</v>
      </c>
      <c r="AW6" s="21">
        <f>VLOOKUP(AV6,Initial!G:K,5,FALSE)</f>
        <v>2951.9748898787816</v>
      </c>
      <c r="AX6" s="25">
        <f t="shared" si="0"/>
        <v>2905.4186139852773</v>
      </c>
      <c r="AY6" s="26">
        <f t="shared" si="1"/>
        <v>2901.6932579440013</v>
      </c>
    </row>
    <row r="7" spans="1:53" ht="27" customHeight="1" thickBot="1" x14ac:dyDescent="0.25">
      <c r="A7" s="29" t="s">
        <v>39</v>
      </c>
      <c r="B7" s="361" t="s">
        <v>10</v>
      </c>
      <c r="C7" s="362"/>
      <c r="D7" s="362"/>
      <c r="E7" s="362"/>
      <c r="F7" s="362"/>
      <c r="G7" s="362"/>
      <c r="H7" s="362"/>
      <c r="I7" s="362"/>
      <c r="J7" s="362"/>
      <c r="K7" s="362"/>
      <c r="L7" s="361" t="str">
        <f>IF($AK10=0,"Games Won","Matches Won")</f>
        <v>Matches Won</v>
      </c>
      <c r="M7" s="362"/>
      <c r="N7" s="362"/>
      <c r="O7" s="362"/>
      <c r="P7" s="362"/>
      <c r="Q7" s="363"/>
      <c r="R7" s="361" t="str">
        <f>IF($AK10=0,"Games Lost","Matches Lost")</f>
        <v>Matches Lost</v>
      </c>
      <c r="S7" s="364"/>
      <c r="T7" s="364"/>
      <c r="U7" s="364"/>
      <c r="V7" s="365"/>
      <c r="W7" s="366" t="s">
        <v>40</v>
      </c>
      <c r="X7" s="367"/>
      <c r="Y7" s="368"/>
      <c r="Z7" s="366" t="s">
        <v>41</v>
      </c>
      <c r="AA7" s="367"/>
      <c r="AB7" s="368"/>
      <c r="AC7" s="369" t="s">
        <v>42</v>
      </c>
      <c r="AD7" s="370"/>
      <c r="AE7" s="371"/>
      <c r="AF7" s="30" t="s">
        <v>43</v>
      </c>
      <c r="AG7" s="31" t="s">
        <v>9</v>
      </c>
      <c r="AH7" s="351" t="s">
        <v>44</v>
      </c>
      <c r="AI7" s="352"/>
      <c r="AJ7" s="32"/>
      <c r="AK7" s="33">
        <v>3</v>
      </c>
      <c r="AL7" s="34" t="s">
        <v>45</v>
      </c>
      <c r="AM7" s="34"/>
      <c r="AN7" s="34"/>
      <c r="AO7" s="34"/>
      <c r="AP7" s="34"/>
      <c r="AQ7" s="34"/>
      <c r="AR7" s="35"/>
      <c r="AT7" s="24">
        <v>5</v>
      </c>
      <c r="AU7" s="494" t="s">
        <v>907</v>
      </c>
      <c r="AV7" s="494" t="s">
        <v>906</v>
      </c>
      <c r="AW7" s="21">
        <f>VLOOKUP(AV7,Initial!G:K,5,FALSE)</f>
        <v>2909.4290210334657</v>
      </c>
      <c r="AX7" s="25">
        <f t="shared" si="0"/>
        <v>2858.1857900558643</v>
      </c>
      <c r="AY7" s="26">
        <f t="shared" si="1"/>
        <v>2882.8718654448089</v>
      </c>
    </row>
    <row r="8" spans="1:53" ht="18.75" customHeight="1" thickBot="1" x14ac:dyDescent="0.25">
      <c r="A8" s="320" t="str">
        <f>IF($AK9&gt;0,"1","")</f>
        <v>1</v>
      </c>
      <c r="B8" s="348" t="s">
        <v>10</v>
      </c>
      <c r="C8" s="349"/>
      <c r="D8" s="350"/>
      <c r="E8" s="324" t="str">
        <f>AU3</f>
        <v>SC Midlands 17 National C</v>
      </c>
      <c r="F8" s="325"/>
      <c r="G8" s="325"/>
      <c r="H8" s="325"/>
      <c r="I8" s="325"/>
      <c r="J8" s="325"/>
      <c r="K8" s="326"/>
      <c r="L8" s="327">
        <f>IF($AK10=0,AF64,AF46)</f>
        <v>3</v>
      </c>
      <c r="M8" s="328"/>
      <c r="N8" s="328"/>
      <c r="O8" s="328"/>
      <c r="P8" s="328"/>
      <c r="Q8" s="363"/>
      <c r="R8" s="327">
        <f>IF($AK10=0,AG64,AG46)</f>
        <v>0</v>
      </c>
      <c r="S8" s="328"/>
      <c r="T8" s="328"/>
      <c r="U8" s="328"/>
      <c r="V8" s="328"/>
      <c r="W8" s="327">
        <f>AQ24</f>
        <v>69</v>
      </c>
      <c r="X8" s="328"/>
      <c r="Y8" s="328"/>
      <c r="Z8" s="300">
        <f>IF(AF58&gt;0,(AQ24/AF58),0)</f>
        <v>0.46</v>
      </c>
      <c r="AA8" s="301"/>
      <c r="AB8" s="301"/>
      <c r="AC8" s="304">
        <f>IF(AF72=0,0,(AF64/AF72))</f>
        <v>1</v>
      </c>
      <c r="AD8" s="305"/>
      <c r="AE8" s="306"/>
      <c r="AF8" s="310">
        <v>1</v>
      </c>
      <c r="AG8" s="310">
        <v>1</v>
      </c>
      <c r="AH8" s="312">
        <v>1</v>
      </c>
      <c r="AI8" s="313"/>
      <c r="AJ8" s="32"/>
      <c r="AK8" s="33">
        <v>6</v>
      </c>
      <c r="AL8" s="34" t="s">
        <v>48</v>
      </c>
      <c r="AM8" s="34"/>
      <c r="AN8" s="34"/>
      <c r="AO8" s="34"/>
      <c r="AP8" s="34"/>
      <c r="AQ8" s="34"/>
      <c r="AR8" s="35"/>
      <c r="AT8" s="24">
        <v>6</v>
      </c>
      <c r="AU8" s="494" t="s">
        <v>882</v>
      </c>
      <c r="AV8" s="494" t="s">
        <v>881</v>
      </c>
      <c r="AW8" s="21">
        <f>VLOOKUP(AV8,Initial!G:K,5,FALSE)</f>
        <v>2859.795266485386</v>
      </c>
      <c r="AX8" s="25">
        <f t="shared" si="0"/>
        <v>2831.0960334681517</v>
      </c>
      <c r="AY8" s="26">
        <f t="shared" si="1"/>
        <v>2824.9635446349512</v>
      </c>
    </row>
    <row r="9" spans="1:53" ht="18.75" customHeight="1" thickBot="1" x14ac:dyDescent="0.25">
      <c r="A9" s="321"/>
      <c r="B9" s="345" t="s">
        <v>11</v>
      </c>
      <c r="C9" s="346"/>
      <c r="D9" s="347"/>
      <c r="E9" s="341" t="str">
        <f>AV3</f>
        <v>fj7scmid1pm</v>
      </c>
      <c r="F9" s="342"/>
      <c r="G9" s="342"/>
      <c r="H9" s="342"/>
      <c r="I9" s="342"/>
      <c r="J9" s="342"/>
      <c r="K9" s="342"/>
      <c r="L9" s="343"/>
      <c r="M9" s="344"/>
      <c r="N9" s="344"/>
      <c r="O9" s="344"/>
      <c r="P9" s="344"/>
      <c r="Q9" s="363"/>
      <c r="R9" s="343"/>
      <c r="S9" s="344"/>
      <c r="T9" s="344"/>
      <c r="U9" s="344"/>
      <c r="V9" s="344"/>
      <c r="W9" s="343"/>
      <c r="X9" s="344"/>
      <c r="Y9" s="344"/>
      <c r="Z9" s="331"/>
      <c r="AA9" s="332"/>
      <c r="AB9" s="332"/>
      <c r="AC9" s="333"/>
      <c r="AD9" s="334"/>
      <c r="AE9" s="335"/>
      <c r="AF9" s="336"/>
      <c r="AG9" s="336"/>
      <c r="AH9" s="337"/>
      <c r="AI9" s="338"/>
      <c r="AJ9" s="32"/>
      <c r="AK9" s="33">
        <v>4</v>
      </c>
      <c r="AL9" s="34" t="s">
        <v>51</v>
      </c>
      <c r="AM9" s="32"/>
      <c r="AN9" s="32"/>
      <c r="AO9" s="32"/>
      <c r="AP9" s="32"/>
      <c r="AQ9" s="32"/>
      <c r="AR9" s="3"/>
      <c r="AT9" s="24">
        <v>7</v>
      </c>
      <c r="AU9" s="494" t="s">
        <v>905</v>
      </c>
      <c r="AV9" s="494" t="s">
        <v>904</v>
      </c>
      <c r="AW9" s="21">
        <f>VLOOKUP(AV9,Initial!G:K,5,FALSE)</f>
        <v>2838.5876453388701</v>
      </c>
      <c r="AX9" s="25">
        <f t="shared" si="0"/>
        <v>2881.0988793995762</v>
      </c>
      <c r="AY9" s="26">
        <f t="shared" si="1"/>
        <v>2873.3406869131345</v>
      </c>
    </row>
    <row r="10" spans="1:53" ht="18.75" customHeight="1" thickBot="1" x14ac:dyDescent="0.25">
      <c r="A10" s="320" t="str">
        <f>IF($AK9&gt;1,"2","")</f>
        <v>2</v>
      </c>
      <c r="B10" s="348" t="s">
        <v>10</v>
      </c>
      <c r="C10" s="349"/>
      <c r="D10" s="350"/>
      <c r="E10" s="324" t="str">
        <f>AU6</f>
        <v>Magnum Aiken 18 Green</v>
      </c>
      <c r="F10" s="325"/>
      <c r="G10" s="325"/>
      <c r="H10" s="325"/>
      <c r="I10" s="325"/>
      <c r="J10" s="325"/>
      <c r="K10" s="326"/>
      <c r="L10" s="327">
        <f>IF($AK10=0,AF65,AF47)</f>
        <v>1</v>
      </c>
      <c r="M10" s="328"/>
      <c r="N10" s="328"/>
      <c r="O10" s="328"/>
      <c r="P10" s="328"/>
      <c r="Q10" s="363"/>
      <c r="R10" s="327">
        <f>IF($AK10=0,AG65,AG47)</f>
        <v>2</v>
      </c>
      <c r="S10" s="328"/>
      <c r="T10" s="328"/>
      <c r="U10" s="328"/>
      <c r="V10" s="328"/>
      <c r="W10" s="327">
        <f>AQ25</f>
        <v>-29</v>
      </c>
      <c r="X10" s="328"/>
      <c r="Y10" s="328"/>
      <c r="Z10" s="300">
        <f>IF(AF59&gt;0,(AQ25/AF59),0)</f>
        <v>-0.16111111111111112</v>
      </c>
      <c r="AA10" s="301"/>
      <c r="AB10" s="301"/>
      <c r="AC10" s="304">
        <f>IF(AF73=0,0,(AF65/AF73))</f>
        <v>0.375</v>
      </c>
      <c r="AD10" s="305"/>
      <c r="AE10" s="306"/>
      <c r="AF10" s="310">
        <v>3</v>
      </c>
      <c r="AG10" s="310">
        <v>1</v>
      </c>
      <c r="AH10" s="312">
        <v>6</v>
      </c>
      <c r="AI10" s="313"/>
      <c r="AJ10" s="32"/>
      <c r="AK10" s="33">
        <v>1</v>
      </c>
      <c r="AL10" s="34" t="s">
        <v>54</v>
      </c>
      <c r="AM10" s="34"/>
      <c r="AN10" s="34"/>
      <c r="AO10" s="34"/>
      <c r="AP10" s="34"/>
      <c r="AQ10" s="34"/>
      <c r="AR10" s="35"/>
      <c r="AT10" s="24">
        <v>8</v>
      </c>
      <c r="AU10" s="495" t="s">
        <v>842</v>
      </c>
      <c r="AV10" s="495" t="s">
        <v>841</v>
      </c>
      <c r="AW10" s="21">
        <f>VLOOKUP(AV10,Initial!G:K,5,FALSE)</f>
        <v>2819.6604021954827</v>
      </c>
      <c r="AX10" s="25">
        <f t="shared" si="0"/>
        <v>2862.2534706760912</v>
      </c>
      <c r="AY10" s="26">
        <f t="shared" si="1"/>
        <v>2853.5524306520124</v>
      </c>
    </row>
    <row r="11" spans="1:53" ht="18.75" customHeight="1" thickBot="1" x14ac:dyDescent="0.25">
      <c r="A11" s="321"/>
      <c r="B11" s="339" t="s">
        <v>11</v>
      </c>
      <c r="C11" s="340"/>
      <c r="D11" s="340"/>
      <c r="E11" s="341" t="str">
        <f>AV6</f>
        <v>fj8magnm2pm</v>
      </c>
      <c r="F11" s="342"/>
      <c r="G11" s="342"/>
      <c r="H11" s="342"/>
      <c r="I11" s="342"/>
      <c r="J11" s="342"/>
      <c r="K11" s="342"/>
      <c r="L11" s="343"/>
      <c r="M11" s="344"/>
      <c r="N11" s="344"/>
      <c r="O11" s="344"/>
      <c r="P11" s="344"/>
      <c r="Q11" s="363"/>
      <c r="R11" s="343"/>
      <c r="S11" s="344"/>
      <c r="T11" s="344"/>
      <c r="U11" s="344"/>
      <c r="V11" s="344"/>
      <c r="W11" s="343"/>
      <c r="X11" s="344"/>
      <c r="Y11" s="344"/>
      <c r="Z11" s="331"/>
      <c r="AA11" s="332"/>
      <c r="AB11" s="332"/>
      <c r="AC11" s="333"/>
      <c r="AD11" s="334"/>
      <c r="AE11" s="335"/>
      <c r="AF11" s="336"/>
      <c r="AG11" s="336"/>
      <c r="AH11" s="337"/>
      <c r="AI11" s="338"/>
      <c r="AJ11" s="32"/>
      <c r="AK11" s="33">
        <v>1</v>
      </c>
      <c r="AL11" s="34" t="s">
        <v>56</v>
      </c>
      <c r="AM11" s="32"/>
      <c r="AN11" s="32"/>
      <c r="AO11" s="32"/>
      <c r="AP11" s="32"/>
      <c r="AQ11" s="32"/>
      <c r="AR11" s="3"/>
      <c r="AT11" s="37"/>
      <c r="AU11" s="38"/>
      <c r="AV11" s="39"/>
      <c r="AW11" s="40"/>
      <c r="AX11" s="41"/>
      <c r="AY11" s="42"/>
    </row>
    <row r="12" spans="1:53" ht="18.75" customHeight="1" thickBot="1" x14ac:dyDescent="0.25">
      <c r="A12" s="320" t="str">
        <f>IF($AK9&gt;2,"3","")</f>
        <v>3</v>
      </c>
      <c r="B12" s="322" t="s">
        <v>10</v>
      </c>
      <c r="C12" s="323"/>
      <c r="D12" s="323"/>
      <c r="E12" s="324" t="str">
        <f>AU7</f>
        <v>OLC 18's Purple</v>
      </c>
      <c r="F12" s="325"/>
      <c r="G12" s="325"/>
      <c r="H12" s="325"/>
      <c r="I12" s="325"/>
      <c r="J12" s="325"/>
      <c r="K12" s="326"/>
      <c r="L12" s="327">
        <f>IF($AK10=0,AF66,AF48)</f>
        <v>0</v>
      </c>
      <c r="M12" s="328"/>
      <c r="N12" s="328"/>
      <c r="O12" s="328"/>
      <c r="P12" s="328"/>
      <c r="Q12" s="363"/>
      <c r="R12" s="327">
        <f>IF($AK10=0,AG66,AG48)</f>
        <v>3</v>
      </c>
      <c r="S12" s="328"/>
      <c r="T12" s="328"/>
      <c r="U12" s="328"/>
      <c r="V12" s="328"/>
      <c r="W12" s="327">
        <f>AQ26</f>
        <v>-26</v>
      </c>
      <c r="X12" s="328"/>
      <c r="Y12" s="328"/>
      <c r="Z12" s="300">
        <f>IF(AF60&gt;0,(AQ26/AF60),0)</f>
        <v>-0.14444444444444443</v>
      </c>
      <c r="AA12" s="301"/>
      <c r="AB12" s="301"/>
      <c r="AC12" s="304">
        <f>IF(AF74=0,0,(AF66/AF74))</f>
        <v>0.25</v>
      </c>
      <c r="AD12" s="305"/>
      <c r="AE12" s="306"/>
      <c r="AF12" s="310">
        <v>4</v>
      </c>
      <c r="AG12" s="310">
        <v>1</v>
      </c>
      <c r="AH12" s="312">
        <v>5</v>
      </c>
      <c r="AI12" s="313"/>
      <c r="AJ12" s="43"/>
      <c r="AK12" s="33">
        <v>3</v>
      </c>
      <c r="AL12" s="44" t="s">
        <v>57</v>
      </c>
      <c r="AM12" s="34"/>
      <c r="AN12" s="34"/>
      <c r="AO12" s="34"/>
      <c r="AP12" s="34"/>
      <c r="AQ12" s="34"/>
      <c r="AR12" s="35"/>
      <c r="AT12" s="45"/>
      <c r="AU12" s="46"/>
      <c r="AV12" s="47"/>
      <c r="AW12" s="48"/>
      <c r="AX12" s="49"/>
      <c r="AY12" s="50"/>
    </row>
    <row r="13" spans="1:53" ht="18.75" customHeight="1" thickBot="1" x14ac:dyDescent="0.25">
      <c r="A13" s="321"/>
      <c r="B13" s="339" t="s">
        <v>11</v>
      </c>
      <c r="C13" s="340"/>
      <c r="D13" s="340"/>
      <c r="E13" s="341" t="str">
        <f>AV7</f>
        <v>fj8ladyc1pm</v>
      </c>
      <c r="F13" s="342"/>
      <c r="G13" s="342"/>
      <c r="H13" s="342"/>
      <c r="I13" s="342"/>
      <c r="J13" s="342"/>
      <c r="K13" s="342"/>
      <c r="L13" s="343"/>
      <c r="M13" s="344"/>
      <c r="N13" s="344"/>
      <c r="O13" s="344"/>
      <c r="P13" s="344"/>
      <c r="Q13" s="363"/>
      <c r="R13" s="343"/>
      <c r="S13" s="344"/>
      <c r="T13" s="344"/>
      <c r="U13" s="344"/>
      <c r="V13" s="344"/>
      <c r="W13" s="343"/>
      <c r="X13" s="344"/>
      <c r="Y13" s="344"/>
      <c r="Z13" s="331"/>
      <c r="AA13" s="332"/>
      <c r="AB13" s="332"/>
      <c r="AC13" s="333"/>
      <c r="AD13" s="334"/>
      <c r="AE13" s="335"/>
      <c r="AF13" s="336"/>
      <c r="AG13" s="336"/>
      <c r="AH13" s="337"/>
      <c r="AI13" s="338"/>
      <c r="AJ13" s="43"/>
      <c r="AK13" s="51"/>
      <c r="AL13" s="52"/>
      <c r="AM13" s="52"/>
      <c r="AN13" s="52"/>
      <c r="AO13" s="52"/>
      <c r="AP13" s="52"/>
      <c r="AQ13" s="32"/>
      <c r="AR13" s="3"/>
      <c r="AT13" s="372" t="s">
        <v>58</v>
      </c>
      <c r="AU13" s="373"/>
      <c r="AV13" s="373"/>
      <c r="AW13" s="373"/>
      <c r="AX13" s="373"/>
      <c r="AY13" s="374"/>
    </row>
    <row r="14" spans="1:53" ht="18.75" customHeight="1" thickBot="1" x14ac:dyDescent="0.25">
      <c r="A14" s="320" t="str">
        <f>IF($AK9&gt;3,"4","")</f>
        <v>4</v>
      </c>
      <c r="B14" s="322" t="s">
        <v>10</v>
      </c>
      <c r="C14" s="323"/>
      <c r="D14" s="323"/>
      <c r="E14" s="324" t="str">
        <f>AU10</f>
        <v>SC Midlands 17 National G</v>
      </c>
      <c r="F14" s="325"/>
      <c r="G14" s="325"/>
      <c r="H14" s="325"/>
      <c r="I14" s="325"/>
      <c r="J14" s="325"/>
      <c r="K14" s="326"/>
      <c r="L14" s="327">
        <f>IF($AK10=0,AF67,AF49)</f>
        <v>2</v>
      </c>
      <c r="M14" s="328"/>
      <c r="N14" s="328"/>
      <c r="O14" s="328"/>
      <c r="P14" s="328"/>
      <c r="Q14" s="363"/>
      <c r="R14" s="327">
        <f>IF($AK10=0,AG67,AG49)</f>
        <v>1</v>
      </c>
      <c r="S14" s="328"/>
      <c r="T14" s="328"/>
      <c r="U14" s="328"/>
      <c r="V14" s="328"/>
      <c r="W14" s="327">
        <f>AQ27</f>
        <v>-14</v>
      </c>
      <c r="X14" s="328"/>
      <c r="Y14" s="328"/>
      <c r="Z14" s="300">
        <f>IF(AF61&gt;0,(AQ27/AF61),0)</f>
        <v>-7.7777777777777779E-2</v>
      </c>
      <c r="AA14" s="301"/>
      <c r="AB14" s="301"/>
      <c r="AC14" s="304">
        <f>IF(AF75=0,0,(AF67/AF75))</f>
        <v>0.5</v>
      </c>
      <c r="AD14" s="305"/>
      <c r="AE14" s="306"/>
      <c r="AF14" s="310">
        <v>2</v>
      </c>
      <c r="AG14" s="310">
        <v>1</v>
      </c>
      <c r="AH14" s="312">
        <v>3</v>
      </c>
      <c r="AI14" s="313"/>
      <c r="AJ14" s="8"/>
      <c r="AK14" s="52"/>
      <c r="AL14" s="52"/>
      <c r="AM14" s="52"/>
      <c r="AN14" s="52"/>
      <c r="AO14" s="52"/>
      <c r="AP14" s="52"/>
      <c r="AQ14" s="34"/>
      <c r="AR14" s="35"/>
      <c r="AT14" s="375"/>
      <c r="AU14" s="376"/>
      <c r="AV14" s="376"/>
      <c r="AW14" s="376"/>
      <c r="AX14" s="376"/>
      <c r="AY14" s="377"/>
    </row>
    <row r="15" spans="1:53" ht="18.75" customHeight="1" thickBot="1" x14ac:dyDescent="0.25">
      <c r="A15" s="321"/>
      <c r="B15" s="339" t="s">
        <v>11</v>
      </c>
      <c r="C15" s="340"/>
      <c r="D15" s="340"/>
      <c r="E15" s="341" t="str">
        <f>AV10</f>
        <v>fj7scmid2pm</v>
      </c>
      <c r="F15" s="342"/>
      <c r="G15" s="342"/>
      <c r="H15" s="342"/>
      <c r="I15" s="342"/>
      <c r="J15" s="342"/>
      <c r="K15" s="342"/>
      <c r="L15" s="343"/>
      <c r="M15" s="344"/>
      <c r="N15" s="344"/>
      <c r="O15" s="344"/>
      <c r="P15" s="344"/>
      <c r="Q15" s="363"/>
      <c r="R15" s="343"/>
      <c r="S15" s="344"/>
      <c r="T15" s="344"/>
      <c r="U15" s="344"/>
      <c r="V15" s="344"/>
      <c r="W15" s="343"/>
      <c r="X15" s="344"/>
      <c r="Y15" s="344"/>
      <c r="Z15" s="331"/>
      <c r="AA15" s="332"/>
      <c r="AB15" s="332"/>
      <c r="AC15" s="333"/>
      <c r="AD15" s="334"/>
      <c r="AE15" s="335"/>
      <c r="AF15" s="336"/>
      <c r="AG15" s="336"/>
      <c r="AH15" s="337"/>
      <c r="AI15" s="338"/>
      <c r="AJ15" s="8"/>
      <c r="AK15" s="52"/>
      <c r="AL15" s="52"/>
      <c r="AM15" s="52"/>
      <c r="AN15" s="52"/>
      <c r="AO15" s="52"/>
      <c r="AP15" s="52"/>
      <c r="AQ15" s="8"/>
      <c r="AR15" s="3"/>
    </row>
    <row r="16" spans="1:53" ht="18.75" customHeight="1" thickBot="1" x14ac:dyDescent="0.25">
      <c r="A16" s="320" t="str">
        <f>IF($AK9&gt;4,"5","")</f>
        <v/>
      </c>
      <c r="B16" s="322" t="s">
        <v>10</v>
      </c>
      <c r="C16" s="323"/>
      <c r="D16" s="323"/>
      <c r="E16" s="324">
        <f>AU11</f>
        <v>0</v>
      </c>
      <c r="F16" s="325"/>
      <c r="G16" s="325"/>
      <c r="H16" s="325"/>
      <c r="I16" s="325"/>
      <c r="J16" s="325"/>
      <c r="K16" s="326"/>
      <c r="L16" s="327">
        <f>IF($AK10=0,AF68,AF50)</f>
        <v>0</v>
      </c>
      <c r="M16" s="328"/>
      <c r="N16" s="328"/>
      <c r="O16" s="328"/>
      <c r="P16" s="328"/>
      <c r="Q16" s="363"/>
      <c r="R16" s="327">
        <f>IF($AK10=0,AG68,AG50)</f>
        <v>0</v>
      </c>
      <c r="S16" s="328"/>
      <c r="T16" s="328"/>
      <c r="U16" s="328"/>
      <c r="V16" s="328"/>
      <c r="W16" s="327">
        <f>AQ28</f>
        <v>0</v>
      </c>
      <c r="X16" s="328"/>
      <c r="Y16" s="328"/>
      <c r="Z16" s="300">
        <f>IF(AF62&gt;0,(AQ28/AF62),0)</f>
        <v>0</v>
      </c>
      <c r="AA16" s="301"/>
      <c r="AB16" s="301"/>
      <c r="AC16" s="304">
        <f>IF(AF76=0,0,(AF68/AF76))</f>
        <v>0</v>
      </c>
      <c r="AD16" s="305"/>
      <c r="AE16" s="306"/>
      <c r="AF16" s="310"/>
      <c r="AG16" s="310"/>
      <c r="AH16" s="312"/>
      <c r="AI16" s="313"/>
      <c r="AJ16" s="8"/>
      <c r="AK16" s="52"/>
      <c r="AL16" s="52"/>
      <c r="AM16" s="52"/>
      <c r="AN16" s="52"/>
      <c r="AO16" s="52"/>
      <c r="AP16" s="52"/>
      <c r="AQ16" s="8"/>
      <c r="AR16" s="3"/>
      <c r="AS16" s="53"/>
      <c r="AT16" s="117"/>
      <c r="AU16" s="117"/>
    </row>
    <row r="17" spans="1:48" ht="18.75" customHeight="1" thickBot="1" x14ac:dyDescent="0.25">
      <c r="A17" s="321"/>
      <c r="B17" s="316" t="s">
        <v>11</v>
      </c>
      <c r="C17" s="317"/>
      <c r="D17" s="317"/>
      <c r="E17" s="318">
        <f>AV11</f>
        <v>0</v>
      </c>
      <c r="F17" s="319"/>
      <c r="G17" s="319"/>
      <c r="H17" s="319"/>
      <c r="I17" s="319"/>
      <c r="J17" s="319"/>
      <c r="K17" s="319"/>
      <c r="L17" s="329"/>
      <c r="M17" s="330"/>
      <c r="N17" s="330"/>
      <c r="O17" s="330"/>
      <c r="P17" s="330"/>
      <c r="Q17" s="363"/>
      <c r="R17" s="329"/>
      <c r="S17" s="330"/>
      <c r="T17" s="330"/>
      <c r="U17" s="330"/>
      <c r="V17" s="330"/>
      <c r="W17" s="329"/>
      <c r="X17" s="330"/>
      <c r="Y17" s="330"/>
      <c r="Z17" s="302"/>
      <c r="AA17" s="303"/>
      <c r="AB17" s="303"/>
      <c r="AC17" s="307"/>
      <c r="AD17" s="308"/>
      <c r="AE17" s="309"/>
      <c r="AF17" s="311"/>
      <c r="AG17" s="311"/>
      <c r="AH17" s="314"/>
      <c r="AI17" s="315"/>
      <c r="AJ17" s="8"/>
      <c r="AK17" s="52"/>
      <c r="AL17" s="52"/>
      <c r="AM17" s="52"/>
      <c r="AN17" s="52"/>
      <c r="AO17" s="52"/>
      <c r="AP17" s="52"/>
      <c r="AQ17" s="8"/>
      <c r="AR17" s="3"/>
      <c r="AS17" s="53"/>
      <c r="AT17" s="117"/>
      <c r="AU17" s="494"/>
      <c r="AV17" s="494"/>
    </row>
    <row r="18" spans="1:48" ht="21" customHeight="1" thickTop="1" thickBot="1" x14ac:dyDescent="0.25">
      <c r="A18" s="55"/>
      <c r="B18" s="297" t="s">
        <v>59</v>
      </c>
      <c r="C18" s="298"/>
      <c r="D18" s="298"/>
      <c r="E18" s="298"/>
      <c r="F18" s="298"/>
      <c r="G18" s="298"/>
      <c r="H18" s="298"/>
      <c r="I18" s="298"/>
      <c r="J18" s="298"/>
      <c r="K18" s="298"/>
      <c r="L18" s="298"/>
      <c r="M18" s="298"/>
      <c r="N18" s="298"/>
      <c r="O18" s="298"/>
      <c r="P18" s="298"/>
      <c r="Q18" s="298"/>
      <c r="R18" s="298"/>
      <c r="S18" s="298"/>
      <c r="T18" s="298"/>
      <c r="U18" s="298"/>
      <c r="V18" s="298"/>
      <c r="W18" s="298"/>
      <c r="X18" s="298"/>
      <c r="Y18" s="298"/>
      <c r="Z18" s="298"/>
      <c r="AA18" s="298"/>
      <c r="AB18" s="298"/>
      <c r="AC18" s="298"/>
      <c r="AD18" s="298"/>
      <c r="AE18" s="298"/>
      <c r="AF18" s="298"/>
      <c r="AG18" s="298"/>
      <c r="AH18" s="298"/>
      <c r="AI18" s="299"/>
      <c r="AJ18" s="8"/>
      <c r="AK18" s="52"/>
      <c r="AL18" s="52"/>
      <c r="AM18" s="52"/>
      <c r="AN18" s="52"/>
      <c r="AO18" s="52"/>
      <c r="AP18" s="52"/>
      <c r="AQ18" s="8"/>
      <c r="AR18" s="3"/>
      <c r="AS18" s="53"/>
      <c r="AT18" s="117"/>
      <c r="AU18" s="117"/>
    </row>
    <row r="19" spans="1:48" ht="13.5" customHeight="1" thickTop="1" x14ac:dyDescent="0.2">
      <c r="A19" s="4" t="s">
        <v>60</v>
      </c>
      <c r="B19" s="286">
        <v>0.35416666666666669</v>
      </c>
      <c r="C19" s="287"/>
      <c r="D19" s="288"/>
      <c r="E19" s="286">
        <v>0.39583333333333331</v>
      </c>
      <c r="F19" s="287"/>
      <c r="G19" s="288"/>
      <c r="H19" s="286">
        <v>0.4375</v>
      </c>
      <c r="I19" s="287"/>
      <c r="J19" s="288"/>
      <c r="K19" s="286">
        <v>0.5</v>
      </c>
      <c r="L19" s="287"/>
      <c r="M19" s="288"/>
      <c r="N19" s="286">
        <v>4.1666666666666664E-2</v>
      </c>
      <c r="O19" s="287"/>
      <c r="P19" s="288"/>
      <c r="Q19" s="286">
        <v>8.3333333333333329E-2</v>
      </c>
      <c r="R19" s="287"/>
      <c r="S19" s="288"/>
      <c r="T19" s="286">
        <v>4.1666666666666664E-2</v>
      </c>
      <c r="U19" s="287"/>
      <c r="V19" s="288"/>
      <c r="W19" s="286">
        <v>7.2916666666666671E-2</v>
      </c>
      <c r="X19" s="287"/>
      <c r="Y19" s="288"/>
      <c r="Z19" s="286">
        <v>0.10416666666666667</v>
      </c>
      <c r="AA19" s="287"/>
      <c r="AB19" s="288"/>
      <c r="AC19" s="286">
        <v>0.13541666666666666</v>
      </c>
      <c r="AD19" s="287"/>
      <c r="AE19" s="288"/>
      <c r="AF19" s="289" t="s">
        <v>61</v>
      </c>
      <c r="AG19" s="290"/>
      <c r="AH19" s="290"/>
      <c r="AI19" s="290"/>
      <c r="AJ19" s="291"/>
      <c r="AK19" s="291"/>
      <c r="AL19" s="291"/>
      <c r="AM19" s="291"/>
      <c r="AN19" s="291"/>
      <c r="AO19" s="291"/>
      <c r="AP19" s="291"/>
      <c r="AQ19" s="292"/>
      <c r="AS19" s="53"/>
      <c r="AT19" s="117"/>
      <c r="AU19" s="117"/>
    </row>
    <row r="20" spans="1:48" x14ac:dyDescent="0.2">
      <c r="A20" s="56" t="s">
        <v>62</v>
      </c>
      <c r="B20" s="283">
        <v>0.35416666666666669</v>
      </c>
      <c r="C20" s="284"/>
      <c r="D20" s="285"/>
      <c r="E20" s="283">
        <v>0.40277777777777773</v>
      </c>
      <c r="F20" s="284"/>
      <c r="G20" s="285"/>
      <c r="H20" s="283">
        <v>0.4375</v>
      </c>
      <c r="I20" s="284"/>
      <c r="J20" s="285"/>
      <c r="K20" s="283">
        <v>0.48749999999999999</v>
      </c>
      <c r="L20" s="284"/>
      <c r="M20" s="285"/>
      <c r="N20" s="283">
        <v>0.51597222222222217</v>
      </c>
      <c r="O20" s="284"/>
      <c r="P20" s="285"/>
      <c r="Q20" s="283"/>
      <c r="R20" s="284"/>
      <c r="S20" s="285"/>
      <c r="T20" s="283"/>
      <c r="U20" s="284"/>
      <c r="V20" s="285"/>
      <c r="W20" s="283"/>
      <c r="X20" s="284"/>
      <c r="Y20" s="285"/>
      <c r="Z20" s="283"/>
      <c r="AA20" s="284"/>
      <c r="AB20" s="285"/>
      <c r="AC20" s="283"/>
      <c r="AD20" s="284"/>
      <c r="AE20" s="285"/>
      <c r="AF20" s="289"/>
      <c r="AG20" s="290"/>
      <c r="AH20" s="290"/>
      <c r="AI20" s="290"/>
      <c r="AJ20" s="290"/>
      <c r="AK20" s="290"/>
      <c r="AL20" s="290"/>
      <c r="AM20" s="290"/>
      <c r="AN20" s="290"/>
      <c r="AO20" s="290"/>
      <c r="AP20" s="290"/>
      <c r="AQ20" s="293"/>
      <c r="AS20" s="53"/>
      <c r="AT20" s="117"/>
      <c r="AU20" s="117"/>
    </row>
    <row r="21" spans="1:48" x14ac:dyDescent="0.2">
      <c r="A21" s="56" t="s">
        <v>63</v>
      </c>
      <c r="B21" s="283">
        <v>0.3840277777777778</v>
      </c>
      <c r="C21" s="284"/>
      <c r="D21" s="285"/>
      <c r="E21" s="283">
        <v>0.42708333333333331</v>
      </c>
      <c r="F21" s="284"/>
      <c r="G21" s="285"/>
      <c r="H21" s="283">
        <v>0.47916666666666669</v>
      </c>
      <c r="I21" s="284"/>
      <c r="J21" s="285"/>
      <c r="K21" s="283">
        <v>0.51041666666666663</v>
      </c>
      <c r="L21" s="284"/>
      <c r="M21" s="285"/>
      <c r="N21" s="283">
        <v>0.56388888888888888</v>
      </c>
      <c r="O21" s="284"/>
      <c r="P21" s="285"/>
      <c r="Q21" s="283"/>
      <c r="R21" s="284"/>
      <c r="S21" s="285"/>
      <c r="T21" s="283"/>
      <c r="U21" s="284"/>
      <c r="V21" s="285"/>
      <c r="W21" s="283"/>
      <c r="X21" s="284"/>
      <c r="Y21" s="285"/>
      <c r="Z21" s="283"/>
      <c r="AA21" s="284"/>
      <c r="AB21" s="285"/>
      <c r="AC21" s="283"/>
      <c r="AD21" s="284"/>
      <c r="AE21" s="285"/>
      <c r="AF21" s="289"/>
      <c r="AG21" s="290"/>
      <c r="AH21" s="290"/>
      <c r="AI21" s="290"/>
      <c r="AJ21" s="290"/>
      <c r="AK21" s="290"/>
      <c r="AL21" s="290"/>
      <c r="AM21" s="290"/>
      <c r="AN21" s="290"/>
      <c r="AO21" s="290"/>
      <c r="AP21" s="290"/>
      <c r="AQ21" s="293"/>
      <c r="AS21" s="7"/>
      <c r="AT21" s="7"/>
      <c r="AU21" s="7"/>
    </row>
    <row r="22" spans="1:48" ht="13.5" thickBot="1" x14ac:dyDescent="0.25">
      <c r="A22" s="8"/>
      <c r="B22" s="173" t="s">
        <v>64</v>
      </c>
      <c r="C22" s="174"/>
      <c r="D22" s="180"/>
      <c r="E22" s="173" t="str">
        <f>IF(AK8&gt;1,"Match 2","")</f>
        <v>Match 2</v>
      </c>
      <c r="F22" s="174"/>
      <c r="G22" s="180"/>
      <c r="H22" s="173" t="str">
        <f>IF(AK8&gt;2,"Match 3","")</f>
        <v>Match 3</v>
      </c>
      <c r="I22" s="174"/>
      <c r="J22" s="180"/>
      <c r="K22" s="173" t="str">
        <f>IF(AK8&gt;3,"Match 4","")</f>
        <v>Match 4</v>
      </c>
      <c r="L22" s="174"/>
      <c r="M22" s="180"/>
      <c r="N22" s="173" t="str">
        <f>IF(AK8&gt;4,"Match 5","")</f>
        <v>Match 5</v>
      </c>
      <c r="O22" s="174"/>
      <c r="P22" s="180"/>
      <c r="Q22" s="173" t="str">
        <f>IF(AK8&gt;5,"Match 6","")</f>
        <v>Match 6</v>
      </c>
      <c r="R22" s="174"/>
      <c r="S22" s="180"/>
      <c r="T22" s="173" t="str">
        <f>IF(AK8&gt;6,"Match 7","")</f>
        <v/>
      </c>
      <c r="U22" s="174"/>
      <c r="V22" s="180"/>
      <c r="W22" s="173" t="str">
        <f>IF(AK8&gt;7,"Match 8","")</f>
        <v/>
      </c>
      <c r="X22" s="174"/>
      <c r="Y22" s="180"/>
      <c r="Z22" s="173" t="str">
        <f>IF(AK8&gt;8,"Match 9","")</f>
        <v/>
      </c>
      <c r="AA22" s="174"/>
      <c r="AB22" s="180"/>
      <c r="AC22" s="173" t="str">
        <f>IF(AK8&gt;9,"Match 10","")</f>
        <v/>
      </c>
      <c r="AD22" s="174"/>
      <c r="AE22" s="180"/>
      <c r="AF22" s="294"/>
      <c r="AG22" s="295"/>
      <c r="AH22" s="295"/>
      <c r="AI22" s="295"/>
      <c r="AJ22" s="295"/>
      <c r="AK22" s="295"/>
      <c r="AL22" s="295"/>
      <c r="AM22" s="295"/>
      <c r="AN22" s="295"/>
      <c r="AO22" s="295"/>
      <c r="AP22" s="295"/>
      <c r="AQ22" s="296"/>
      <c r="AS22" s="53"/>
      <c r="AT22" s="117"/>
      <c r="AU22" s="117"/>
    </row>
    <row r="23" spans="1:48" ht="15.75" x14ac:dyDescent="0.25">
      <c r="A23" s="8"/>
      <c r="B23" s="277" t="s">
        <v>65</v>
      </c>
      <c r="C23" s="278"/>
      <c r="D23" s="279"/>
      <c r="E23" s="277" t="s">
        <v>66</v>
      </c>
      <c r="F23" s="278"/>
      <c r="G23" s="279"/>
      <c r="H23" s="277" t="s">
        <v>67</v>
      </c>
      <c r="I23" s="278"/>
      <c r="J23" s="279"/>
      <c r="K23" s="277" t="s">
        <v>68</v>
      </c>
      <c r="L23" s="278"/>
      <c r="M23" s="279"/>
      <c r="N23" s="277" t="s">
        <v>66</v>
      </c>
      <c r="O23" s="278"/>
      <c r="P23" s="279"/>
      <c r="Q23" s="277" t="s">
        <v>67</v>
      </c>
      <c r="R23" s="278"/>
      <c r="S23" s="279"/>
      <c r="T23" s="277" t="s">
        <v>68</v>
      </c>
      <c r="U23" s="278"/>
      <c r="V23" s="279"/>
      <c r="W23" s="277" t="s">
        <v>66</v>
      </c>
      <c r="X23" s="278"/>
      <c r="Y23" s="279"/>
      <c r="Z23" s="277" t="s">
        <v>69</v>
      </c>
      <c r="AA23" s="278"/>
      <c r="AB23" s="279"/>
      <c r="AC23" s="277" t="s">
        <v>67</v>
      </c>
      <c r="AD23" s="278"/>
      <c r="AE23" s="279"/>
      <c r="AF23" s="57" t="s">
        <v>70</v>
      </c>
      <c r="AG23" s="58">
        <v>1</v>
      </c>
      <c r="AH23" s="58">
        <v>2</v>
      </c>
      <c r="AI23" s="58">
        <v>3</v>
      </c>
      <c r="AJ23" s="58">
        <v>4</v>
      </c>
      <c r="AK23" s="58">
        <v>5</v>
      </c>
      <c r="AL23" s="58">
        <v>6</v>
      </c>
      <c r="AM23" s="58">
        <v>7</v>
      </c>
      <c r="AN23" s="58">
        <v>8</v>
      </c>
      <c r="AO23" s="58">
        <v>9</v>
      </c>
      <c r="AP23" s="58">
        <v>10</v>
      </c>
      <c r="AQ23" s="59" t="s">
        <v>71</v>
      </c>
      <c r="AS23" s="60"/>
      <c r="AT23" s="117"/>
      <c r="AU23" s="117"/>
    </row>
    <row r="24" spans="1:48" ht="15.75" x14ac:dyDescent="0.25">
      <c r="A24" s="8"/>
      <c r="B24" s="61">
        <v>2</v>
      </c>
      <c r="C24" s="62" t="s">
        <v>72</v>
      </c>
      <c r="D24" s="63">
        <v>3</v>
      </c>
      <c r="E24" s="61">
        <v>1</v>
      </c>
      <c r="F24" s="62" t="str">
        <f>IF(AK8&gt;1,"v","")</f>
        <v>v</v>
      </c>
      <c r="G24" s="63">
        <v>4</v>
      </c>
      <c r="H24" s="61">
        <v>2</v>
      </c>
      <c r="I24" s="62" t="str">
        <f>IF(AK8&gt;2,"v","")</f>
        <v>v</v>
      </c>
      <c r="J24" s="63">
        <v>4</v>
      </c>
      <c r="K24" s="61">
        <v>1</v>
      </c>
      <c r="L24" s="62" t="str">
        <f>IF(AK8&gt;3,"v","")</f>
        <v>v</v>
      </c>
      <c r="M24" s="63">
        <v>3</v>
      </c>
      <c r="N24" s="61">
        <v>3</v>
      </c>
      <c r="O24" s="62" t="str">
        <f>IF(AK8&gt;4,"v","")</f>
        <v>v</v>
      </c>
      <c r="P24" s="63">
        <v>4</v>
      </c>
      <c r="Q24" s="61">
        <v>1</v>
      </c>
      <c r="R24" s="62" t="str">
        <f>IF(AK8&gt;5,"v","")</f>
        <v>v</v>
      </c>
      <c r="S24" s="63">
        <v>2</v>
      </c>
      <c r="T24" s="61">
        <v>2</v>
      </c>
      <c r="U24" s="62" t="str">
        <f>IF(AK8&gt;6,"v","")</f>
        <v/>
      </c>
      <c r="V24" s="63">
        <v>3</v>
      </c>
      <c r="W24" s="61">
        <v>1</v>
      </c>
      <c r="X24" s="62" t="str">
        <f>IF(AK8&gt;7,"v","")</f>
        <v/>
      </c>
      <c r="Y24" s="63">
        <v>5</v>
      </c>
      <c r="Z24" s="61">
        <v>3</v>
      </c>
      <c r="AA24" s="62" t="str">
        <f>IF(AK8&gt;8,"v","")</f>
        <v/>
      </c>
      <c r="AB24" s="63">
        <v>4</v>
      </c>
      <c r="AC24" s="61">
        <v>1</v>
      </c>
      <c r="AD24" s="62" t="str">
        <f>IF(AK8&gt;9,"v","")</f>
        <v/>
      </c>
      <c r="AE24" s="63">
        <v>2</v>
      </c>
      <c r="AF24" s="57" t="str">
        <f>IF(AK9&gt;0,"Team 1","")</f>
        <v>Team 1</v>
      </c>
      <c r="AG24" s="64" t="str">
        <f>IF(AK9&lt;1,"",IF(AK8&lt;1,"",IF(B24=1,B30-D30,IF(D24=1,D30-B30,""))))</f>
        <v/>
      </c>
      <c r="AH24" s="64">
        <f>IF(AK9&lt;1,"",IF(AK8&lt;2,"",IF(E24=1,E30-G30,IF(G24=1,G30-E30,""))))</f>
        <v>26</v>
      </c>
      <c r="AI24" s="64" t="str">
        <f>IF(AK9&lt;1,"",IF(AK8&lt;3,"",IF(H24=1,H30-J30,IF(J24=1,J30-H30,""))))</f>
        <v/>
      </c>
      <c r="AJ24" s="64">
        <f>IF(AK9&lt;1,"",IF(AK8&lt;4,"",IF(K24=1,K30-M30,IF(M24=1,M30-K30,""))))</f>
        <v>29</v>
      </c>
      <c r="AK24" s="64" t="str">
        <f>IF(AK9&lt;1,"",IF(AK8&lt;5,"",IF(N24=1,N30-P30,IF(P24=1,P30-N30,""))))</f>
        <v/>
      </c>
      <c r="AL24" s="64">
        <f>IF(AK9&lt;1,"",IF(AK8&lt;6,"",IF(Q24=1,Q30-S30,IF(S24=1,S30-Q30,""))))</f>
        <v>14</v>
      </c>
      <c r="AM24" s="64" t="str">
        <f>IF(AK9&lt;1,"",IF(AK8&lt;7,"",IF(T24=1,T30-V30,IF(V24=1,V30-T30,""))))</f>
        <v/>
      </c>
      <c r="AN24" s="64" t="str">
        <f>IF(AK9&lt;1,"",IF(AK8&lt;8,"",IF(W24=1,W30-Y30,IF(Y24=1,Y30-W30,""))))</f>
        <v/>
      </c>
      <c r="AO24" s="64" t="str">
        <f>IF(AK9&lt;1,"",IF(AK8&lt;9,"",IF(Z24=1,Z30-AB30,IF(AB24=1,AB30-Z30,""))))</f>
        <v/>
      </c>
      <c r="AP24" s="64" t="str">
        <f>IF(AK9&lt;1,"",IF(AK8&lt;10,"",IF(AC24=1,AC30-AE30,IF(AE24=1,AE30-AC30,""))))</f>
        <v/>
      </c>
      <c r="AQ24" s="59">
        <f>SUM(AG24:AP24)</f>
        <v>69</v>
      </c>
      <c r="AS24" s="60"/>
      <c r="AT24" s="117"/>
      <c r="AU24" s="117"/>
    </row>
    <row r="25" spans="1:48" ht="15" x14ac:dyDescent="0.2">
      <c r="A25" s="4" t="s">
        <v>73</v>
      </c>
      <c r="B25" s="65">
        <v>25</v>
      </c>
      <c r="C25" s="66" t="s">
        <v>74</v>
      </c>
      <c r="D25" s="67">
        <v>23</v>
      </c>
      <c r="E25" s="65">
        <v>25</v>
      </c>
      <c r="F25" s="66" t="str">
        <f>IF(AK8&gt;1,"/","")</f>
        <v>/</v>
      </c>
      <c r="G25" s="67">
        <v>12</v>
      </c>
      <c r="H25" s="65">
        <v>25</v>
      </c>
      <c r="I25" s="66" t="str">
        <f>IF(AK8&gt;2,"/","")</f>
        <v>/</v>
      </c>
      <c r="J25" s="67">
        <v>19</v>
      </c>
      <c r="K25" s="65">
        <v>25</v>
      </c>
      <c r="L25" s="66" t="str">
        <f>IF(AK8&gt;3,"/","")</f>
        <v>/</v>
      </c>
      <c r="M25" s="67">
        <v>9</v>
      </c>
      <c r="N25" s="65">
        <v>25</v>
      </c>
      <c r="O25" s="66" t="str">
        <f>IF(AK8&gt;4,"/","")</f>
        <v>/</v>
      </c>
      <c r="P25" s="67">
        <v>23</v>
      </c>
      <c r="Q25" s="65">
        <v>25</v>
      </c>
      <c r="R25" s="66" t="str">
        <f>IF(AK8&gt;5,"/","")</f>
        <v>/</v>
      </c>
      <c r="S25" s="67">
        <v>15</v>
      </c>
      <c r="T25" s="65"/>
      <c r="U25" s="66" t="str">
        <f>IF(AK8&gt;6,"/","")</f>
        <v/>
      </c>
      <c r="V25" s="67"/>
      <c r="W25" s="65"/>
      <c r="X25" s="66" t="str">
        <f>IF(AK8&gt;7,"/","")</f>
        <v/>
      </c>
      <c r="Y25" s="67"/>
      <c r="Z25" s="65"/>
      <c r="AA25" s="66" t="str">
        <f>IF(AK8&gt;8,"/","")</f>
        <v/>
      </c>
      <c r="AB25" s="67"/>
      <c r="AC25" s="65"/>
      <c r="AD25" s="66" t="str">
        <f>IF(AK8&gt;9,"/","")</f>
        <v/>
      </c>
      <c r="AE25" s="67"/>
      <c r="AF25" s="57" t="str">
        <f>IF(AK9&gt;1,"Team 2","")</f>
        <v>Team 2</v>
      </c>
      <c r="AG25" s="64">
        <f>IF(AK9&lt;2,"",IF(AK8&lt;1,"",IF(B24=2,B30-D30,IF(D24=2,D30-B30,""))))</f>
        <v>-8</v>
      </c>
      <c r="AH25" s="64" t="str">
        <f>IF(AK9&lt;2,"",IF(AK8&lt;2,"",IF(E24=2,E30-G30,IF(G24=2,G30-E30,""))))</f>
        <v/>
      </c>
      <c r="AI25" s="64">
        <f>IF(AK9&lt;2,"",IF(AK8&lt;3,"",IF(H24=2,H30-J30,IF(J24=2,J30-H30,""))))</f>
        <v>-7</v>
      </c>
      <c r="AJ25" s="64" t="str">
        <f>IF(AK9&lt;2,"",IF(AK8&lt;4,"",IF(K24=2,K30-M30,IF(M24=2,M30-K30,""))))</f>
        <v/>
      </c>
      <c r="AK25" s="64" t="str">
        <f>IF(AK9&lt;2,"",IF(AK8&lt;5,"",IF(N24=2,N30-P30,IF(P24=2,P30-N30,""))))</f>
        <v/>
      </c>
      <c r="AL25" s="64">
        <f>IF(AK9&lt;2,"",IF(AK8&lt;6,"",IF(Q24=2,Q30-S30,IF(S24=2,S30-Q30,""))))</f>
        <v>-14</v>
      </c>
      <c r="AM25" s="64" t="str">
        <f>IF(AK9&lt;2,"",IF(AK8&lt;7,"",IF(T24=2,T30-V30,IF(V24=2,V30-T30,""))))</f>
        <v/>
      </c>
      <c r="AN25" s="64" t="str">
        <f>IF(AK9&lt;2,"",IF(AK8&lt;8,"",IF(W24=2,W30-Y30,IF(Y24=2,Y30-W30,""))))</f>
        <v/>
      </c>
      <c r="AO25" s="64" t="str">
        <f>IF(AK9&lt;2,"",IF(AK8&lt;9,"",IF(Z24=2,Z30-AB30,IF(AB24=2,AB30-Z30,""))))</f>
        <v/>
      </c>
      <c r="AP25" s="64" t="str">
        <f>IF(AK9&lt;2,"",IF(AK8&lt;10,"",IF(AC24=2,AC30-AE30,IF(AE24=2,AE30-AC30,""))))</f>
        <v/>
      </c>
      <c r="AQ25" s="59">
        <f>SUM(AG25:AP25)</f>
        <v>-29</v>
      </c>
    </row>
    <row r="26" spans="1:48" ht="15" x14ac:dyDescent="0.2">
      <c r="A26" s="3" t="str">
        <f>IF(AK7&gt;1,"Game 2","")</f>
        <v>Game 2</v>
      </c>
      <c r="B26" s="65">
        <v>9</v>
      </c>
      <c r="C26" s="66" t="s">
        <v>74</v>
      </c>
      <c r="D26" s="67">
        <v>25</v>
      </c>
      <c r="E26" s="65">
        <v>25</v>
      </c>
      <c r="F26" s="66" t="str">
        <f>IF(AK8&gt;1,IF(AK7&gt;1,"/",""),"")</f>
        <v>/</v>
      </c>
      <c r="G26" s="67">
        <v>12</v>
      </c>
      <c r="H26" s="65">
        <v>14</v>
      </c>
      <c r="I26" s="66" t="str">
        <f>IF(AK8&gt;2,IF(AK7&gt;1,"/",""),"")</f>
        <v>/</v>
      </c>
      <c r="J26" s="67">
        <v>25</v>
      </c>
      <c r="K26" s="65">
        <v>25</v>
      </c>
      <c r="L26" s="66" t="str">
        <f>IF(AK8&gt;3,IF(AK7&gt;1,"/",""),"")</f>
        <v>/</v>
      </c>
      <c r="M26" s="67">
        <v>12</v>
      </c>
      <c r="N26" s="65">
        <v>21</v>
      </c>
      <c r="O26" s="66" t="str">
        <f>IF(AK8&gt;4,IF(AK7&gt;1,"/",""),"")</f>
        <v>/</v>
      </c>
      <c r="P26" s="67">
        <v>25</v>
      </c>
      <c r="Q26" s="65">
        <v>25</v>
      </c>
      <c r="R26" s="66" t="str">
        <f>IF(AK8&gt;5,IF(AK7&gt;1,"/",""),"")</f>
        <v>/</v>
      </c>
      <c r="S26" s="67">
        <v>21</v>
      </c>
      <c r="T26" s="65"/>
      <c r="U26" s="66" t="str">
        <f>IF(AK8&gt;6,IF(AK7&gt;1,"/",""),"")</f>
        <v/>
      </c>
      <c r="V26" s="67"/>
      <c r="W26" s="65"/>
      <c r="X26" s="66" t="str">
        <f>IF(AK8&gt;7,IF(AK7&gt;1,"/",""),"")</f>
        <v/>
      </c>
      <c r="Y26" s="67"/>
      <c r="Z26" s="65"/>
      <c r="AA26" s="66" t="str">
        <f>IF(AK8&gt;8,IF(AK7&gt;1,"/",""),"")</f>
        <v/>
      </c>
      <c r="AB26" s="67"/>
      <c r="AC26" s="65"/>
      <c r="AD26" s="66" t="str">
        <f>IF(AK8&gt;9,IF(AK7&gt;1,"/",""),"")</f>
        <v/>
      </c>
      <c r="AE26" s="67"/>
      <c r="AF26" s="57" t="str">
        <f>IF(AK9&gt;2,"Team 3","")</f>
        <v>Team 3</v>
      </c>
      <c r="AG26" s="64">
        <f>IF(AK9&lt;3,"",IF(AK8&lt;1,"",IF(B24=3,B30-D30,IF(D24=3,D30-B30,""))))</f>
        <v>8</v>
      </c>
      <c r="AH26" s="64" t="str">
        <f>IF(AK9&lt;3,"",IF(AK8&lt;2,"",IF(E24=3,E30-G30,IF(G24=3,G30-E30,""))))</f>
        <v/>
      </c>
      <c r="AI26" s="64" t="str">
        <f>IF(AK9&lt;3,"",IF(AK8&lt;3,"",IF(H24=3,H30-J30,IF(J24=3,J30-H30,""))))</f>
        <v/>
      </c>
      <c r="AJ26" s="64">
        <f>IF(AK9&lt;3,"",IF(AK8&lt;4,"",IF(K24=3,K30-M30,IF(M24=3,M30-K30,""))))</f>
        <v>-29</v>
      </c>
      <c r="AK26" s="64">
        <f>IF(AK9&lt;3,"",IF(AK8&lt;5,"",IF(N24=3,N30-P30,IF(P24=3,P30-N30,""))))</f>
        <v>-5</v>
      </c>
      <c r="AL26" s="64" t="str">
        <f>IF(AK9&lt;3,"",IF(AK8&lt;6,"",IF(Q24=3,Q30-S30,IF(S24=3,S30-Q30,""))))</f>
        <v/>
      </c>
      <c r="AM26" s="64" t="str">
        <f>IF(AK9&lt;3,"",IF(AK8&lt;7,"",IF(T24=3,T30-V30,IF(V24=3,V30-T30,""))))</f>
        <v/>
      </c>
      <c r="AN26" s="64" t="str">
        <f>IF(AK9&lt;3,"",IF(AK8&lt;8,"",IF(W24=3,W30-Y30,IF(Y24=3,Y30-W30,""))))</f>
        <v/>
      </c>
      <c r="AO26" s="64" t="str">
        <f>IF(AK9&lt;3,"",IF(AK8&lt;9,"",IF(Z24=3,Z30-AB30,IF(AB24=3,AB30-Z30,""))))</f>
        <v/>
      </c>
      <c r="AP26" s="64" t="str">
        <f>IF(AK9&lt;3,"",IF(AK8&lt;9,"",IF(AC24=3,AC30-AE30,IF(AE24=3,AE30-AC30,""))))</f>
        <v/>
      </c>
      <c r="AQ26" s="59">
        <f>SUM(AG26:AP26)</f>
        <v>-26</v>
      </c>
    </row>
    <row r="27" spans="1:48" ht="15" x14ac:dyDescent="0.2">
      <c r="A27" s="3" t="str">
        <f>IF(AK7&gt;2,"Game 3","")</f>
        <v>Game 3</v>
      </c>
      <c r="B27" s="65">
        <v>15</v>
      </c>
      <c r="C27" s="66" t="s">
        <v>74</v>
      </c>
      <c r="D27" s="67">
        <v>9</v>
      </c>
      <c r="E27" s="65"/>
      <c r="F27" s="66" t="str">
        <f>IF(AK8&gt;1,IF(AK7&gt;2,"/",""),"")</f>
        <v>/</v>
      </c>
      <c r="G27" s="67"/>
      <c r="H27" s="65">
        <v>13</v>
      </c>
      <c r="I27" s="66" t="str">
        <f>IF(AK8&gt;2,IF(AK7&gt;2,"/",""),"")</f>
        <v>/</v>
      </c>
      <c r="J27" s="67">
        <v>15</v>
      </c>
      <c r="K27" s="65"/>
      <c r="L27" s="66" t="str">
        <f>IF(AK8&gt;3,IF(AK7&gt;2,"/",""),"")</f>
        <v>/</v>
      </c>
      <c r="M27" s="67"/>
      <c r="N27" s="65">
        <v>12</v>
      </c>
      <c r="O27" s="66" t="str">
        <f>IF(AK8&gt;4,IF(AK7&gt;2,"/",""),"")</f>
        <v>/</v>
      </c>
      <c r="P27" s="67">
        <v>15</v>
      </c>
      <c r="Q27" s="65"/>
      <c r="R27" s="66" t="str">
        <f>IF(AK8&gt;5,IF(AK7&gt;2,"/",""),"")</f>
        <v>/</v>
      </c>
      <c r="S27" s="67"/>
      <c r="T27" s="65"/>
      <c r="U27" s="66" t="str">
        <f>IF(AK8&gt;6,IF(AK7&gt;2,"/",""),"")</f>
        <v/>
      </c>
      <c r="V27" s="67"/>
      <c r="W27" s="65"/>
      <c r="X27" s="66" t="str">
        <f>IF(AK8&gt;7,IF(AK7&gt;2,"/",""),"")</f>
        <v/>
      </c>
      <c r="Y27" s="67"/>
      <c r="Z27" s="65"/>
      <c r="AA27" s="66" t="str">
        <f>IF(AK8&gt;8,IF(AK7&gt;2,"/",""),"")</f>
        <v/>
      </c>
      <c r="AB27" s="67"/>
      <c r="AC27" s="65"/>
      <c r="AD27" s="66" t="str">
        <f>IF(AK8&gt;9,IF(AK7&gt;2,"/",""),"")</f>
        <v/>
      </c>
      <c r="AE27" s="67"/>
      <c r="AF27" s="57" t="str">
        <f>IF(AK9&gt;3,"Team 4","")</f>
        <v>Team 4</v>
      </c>
      <c r="AG27" s="64" t="str">
        <f>IF(AK9&lt;4,"",IF(AK8&lt;1,"",IF(B24=4,B30-D30,IF(D24=4,D30-B30,""))))</f>
        <v/>
      </c>
      <c r="AH27" s="64">
        <f>IF(AK9&lt;4,"",IF(AK8&lt;2,"",IF(E24=4,E30-G30,IF(G24=4,G30-E30,""))))</f>
        <v>-26</v>
      </c>
      <c r="AI27" s="64">
        <f>IF(AK9&lt;4,"",IF(AK8&lt;3,"",IF(H24=4,H30-J30,IF(J24=4,J30-H30,""))))</f>
        <v>7</v>
      </c>
      <c r="AJ27" s="64" t="str">
        <f>IF(AK9&lt;4,"",IF(AK8&lt;4,"",IF(K24=4,K30-M30,IF(M24=4,M30-K30,""))))</f>
        <v/>
      </c>
      <c r="AK27" s="64">
        <f>IF(AK9&lt;4,"",IF(AK8&lt;5,"",IF(N24=4,N30-P30,IF(P24=4,P30-N30,""))))</f>
        <v>5</v>
      </c>
      <c r="AL27" s="64" t="str">
        <f>IF(AK9&lt;4,"",IF(AK8&lt;6,"",IF(Q24=4,Q30-S30,IF(S24=4,S30-Q30,""))))</f>
        <v/>
      </c>
      <c r="AM27" s="64" t="str">
        <f>IF(AK9&lt;4,"",IF(AK8&lt;7,"",IF(T24=4,T30-V30,IF(V24=4,V30-T30,""))))</f>
        <v/>
      </c>
      <c r="AN27" s="64" t="str">
        <f>IF(AK9&lt;4,"",IF(AK8&lt;8,"",IF(W24=4,W30-Y30,IF(Y24=4,Y30-W30,""))))</f>
        <v/>
      </c>
      <c r="AO27" s="64" t="str">
        <f>IF(AK9&lt;4,"",IF(AK8&lt;9,"",IF(Z24=4,Z30-AB30,IF(AB24=4,AB30-Z30,""))))</f>
        <v/>
      </c>
      <c r="AP27" s="64" t="str">
        <f>IF(AK9&lt;4,"",IF(AK8&lt;10,"",IF(AC24=4,AC30-AE30,IF(AE24=4,AE30-AC30,""))))</f>
        <v/>
      </c>
      <c r="AQ27" s="59">
        <f>SUM(AG27:AP27)</f>
        <v>-14</v>
      </c>
    </row>
    <row r="28" spans="1:48" ht="15" x14ac:dyDescent="0.2">
      <c r="A28" s="3" t="str">
        <f>IF(AK7&gt;3,"Game 4","")</f>
        <v/>
      </c>
      <c r="B28" s="65"/>
      <c r="C28" s="66" t="s">
        <v>74</v>
      </c>
      <c r="D28" s="67"/>
      <c r="E28" s="65"/>
      <c r="F28" s="66" t="str">
        <f>IF(AK8&gt;1,IF(AK7&gt;3,"/",""),"")</f>
        <v/>
      </c>
      <c r="G28" s="67"/>
      <c r="H28" s="65"/>
      <c r="I28" s="66" t="str">
        <f>IF(AK8&gt;2,IF(AK7&gt;3,"/",""),"")</f>
        <v/>
      </c>
      <c r="J28" s="67"/>
      <c r="K28" s="65"/>
      <c r="L28" s="66" t="str">
        <f>IF(AK8&gt;3,IF(AK7&gt;3,"/",""),"")</f>
        <v/>
      </c>
      <c r="M28" s="67"/>
      <c r="N28" s="65"/>
      <c r="O28" s="66" t="str">
        <f>IF(AK8&gt;4,IF(AK7&gt;3,"/",""),"")</f>
        <v/>
      </c>
      <c r="P28" s="67"/>
      <c r="Q28" s="65"/>
      <c r="R28" s="66" t="str">
        <f>IF(AK8&gt;5,IF(AK7&gt;3,"/",""),"")</f>
        <v/>
      </c>
      <c r="S28" s="67"/>
      <c r="T28" s="65"/>
      <c r="U28" s="66" t="str">
        <f>IF(AK8&gt;6,IF(AK7&gt;3,"/",""),"")</f>
        <v/>
      </c>
      <c r="V28" s="67"/>
      <c r="W28" s="65"/>
      <c r="X28" s="66" t="str">
        <f>IF(AK8&gt;7,IF(AK7&gt;3,"/",""),"")</f>
        <v/>
      </c>
      <c r="Y28" s="67"/>
      <c r="Z28" s="65"/>
      <c r="AA28" s="66" t="str">
        <f>IF(AK8&gt;8,IF(AK7&gt;3,"/",""),"")</f>
        <v/>
      </c>
      <c r="AB28" s="67"/>
      <c r="AC28" s="65"/>
      <c r="AD28" s="66" t="str">
        <f>IF(AK8&gt;9,IF(AK7&gt;3,"/",""),"")</f>
        <v/>
      </c>
      <c r="AE28" s="67"/>
      <c r="AF28" s="57" t="str">
        <f>IF(AK9&gt;4,"Team 5","")</f>
        <v/>
      </c>
      <c r="AG28" s="68" t="str">
        <f>IF(AK9&lt;5,"",IF(AK8&lt;1,"",IF(B24=5,B30-D30,IF(D24=5,D30-B30,""))))</f>
        <v/>
      </c>
      <c r="AH28" s="64" t="str">
        <f>IF(AK9&lt;5,"",IF(AK8&lt;2,"",IF(E24=5,E30-G30,IF(G24=5,G30-E30,""))))</f>
        <v/>
      </c>
      <c r="AI28" s="64" t="str">
        <f>IF(AK9&lt;5,"",IF(AK8&lt;3,"",IF(H24=5,H30-J30,IF(J24=5,J30-H30,""))))</f>
        <v/>
      </c>
      <c r="AJ28" s="64" t="str">
        <f>IF(AK9&lt;5,"",IF(AK8&lt;4,"",IF(K24=5,K30-M30,IF(M24=5,M30-K30,""))))</f>
        <v/>
      </c>
      <c r="AK28" s="64" t="str">
        <f>IF(AK9&lt;5,"",IF(AK8&lt;5,"",IF(N24=5,N30-P30,IF(P24=5,P30-N30,""))))</f>
        <v/>
      </c>
      <c r="AL28" s="64" t="str">
        <f>IF(AK9&lt;5,"",IF(AK8&lt;6,"",IF(Q24=5,Q30-S30,IF(S24=5,S30-Q30,""))))</f>
        <v/>
      </c>
      <c r="AM28" s="64" t="str">
        <f>IF(AK9&lt;5,"",IF(AK8&lt;7,"",IF(T24=5,T30-V30,IF(V24=5,V30-T30,""))))</f>
        <v/>
      </c>
      <c r="AN28" s="64" t="str">
        <f>IF(AK9&lt;5,"",IF(AK8&lt;8,"",IF(W24=5,W30-Y30,IF(Y24=5,Y30-W30,""))))</f>
        <v/>
      </c>
      <c r="AO28" s="64" t="str">
        <f>IF(AK9&lt;5,"",IF(AK8&lt;9,"",IF(Z24=5,Z30-AB30,IF(AB24=5,AB30-Z30,""))))</f>
        <v/>
      </c>
      <c r="AP28" s="64" t="str">
        <f>IF(AK9&lt;5,"",IF(AK8&lt;10,"",IF(AC24=5,AC30-AE30,IF(AE24=5,AE30-AC30,""))))</f>
        <v/>
      </c>
      <c r="AQ28" s="59">
        <f>SUM(AG28:AP28)</f>
        <v>0</v>
      </c>
    </row>
    <row r="29" spans="1:48" ht="15" x14ac:dyDescent="0.2">
      <c r="A29" s="3" t="str">
        <f>IF(AK7&gt;4,"Game 5","")</f>
        <v/>
      </c>
      <c r="B29" s="65"/>
      <c r="C29" s="66" t="s">
        <v>74</v>
      </c>
      <c r="D29" s="67"/>
      <c r="E29" s="65"/>
      <c r="F29" s="66" t="str">
        <f>IF(AK8&gt;1,IF(AK7&gt;4,"/",""),"")</f>
        <v/>
      </c>
      <c r="G29" s="67"/>
      <c r="H29" s="65"/>
      <c r="I29" s="66" t="str">
        <f>IF(AK8&gt;2,IF(AK7&gt;4,"/",""),"")</f>
        <v/>
      </c>
      <c r="J29" s="67"/>
      <c r="K29" s="65"/>
      <c r="L29" s="66" t="str">
        <f>IF(AK8&gt;3,IF(AK7&gt;4,"/",""),"")</f>
        <v/>
      </c>
      <c r="M29" s="67"/>
      <c r="N29" s="65"/>
      <c r="O29" s="66" t="str">
        <f>IF(AK8&gt;4,IF(AK7&gt;4,"/",""),"")</f>
        <v/>
      </c>
      <c r="P29" s="67"/>
      <c r="Q29" s="65"/>
      <c r="R29" s="66" t="str">
        <f>IF(AK8&gt;5,IF(AK7&gt;4,"/",""),"")</f>
        <v/>
      </c>
      <c r="S29" s="67"/>
      <c r="T29" s="65"/>
      <c r="U29" s="66" t="str">
        <f>IF(AK8&gt;6,IF(AK7&gt;4,"/",""),"")</f>
        <v/>
      </c>
      <c r="V29" s="67"/>
      <c r="W29" s="65"/>
      <c r="X29" s="66" t="str">
        <f>IF(AK8&gt;7,IF(AK7&gt;4,"/",""),"")</f>
        <v/>
      </c>
      <c r="Y29" s="67"/>
      <c r="Z29" s="65"/>
      <c r="AA29" s="66" t="str">
        <f>IF(AK8&gt;8,IF(AK7&gt;4,"/",""),"")</f>
        <v/>
      </c>
      <c r="AB29" s="67"/>
      <c r="AC29" s="65"/>
      <c r="AD29" s="66" t="str">
        <f>IF(AK8&gt;9,IF(AK7&gt;4,"/",""),"")</f>
        <v/>
      </c>
      <c r="AE29" s="67"/>
      <c r="AF29" s="8"/>
      <c r="AG29" s="8"/>
      <c r="AH29" s="8"/>
      <c r="AI29" s="8"/>
      <c r="AJ29" s="8"/>
      <c r="AK29" s="8"/>
      <c r="AL29" s="8"/>
      <c r="AM29" s="8"/>
      <c r="AN29" s="8"/>
      <c r="AO29" s="8"/>
      <c r="AP29" s="8"/>
      <c r="AQ29" s="8"/>
    </row>
    <row r="30" spans="1:48" hidden="1" x14ac:dyDescent="0.2">
      <c r="A30" s="69"/>
      <c r="B30" s="69">
        <f>IF($AK7=5,SUM(B25:B29),IF($AK7=4,SUM(B25:B28),IF($AK7=3,SUM(B25:B27),IF($AK7=2,SUM(B25:B26),B25))))</f>
        <v>49</v>
      </c>
      <c r="C30" s="69"/>
      <c r="D30" s="69">
        <f>IF($AK7=5,SUM(D25:D29),IF($AK7=4,SUM(D25:D28),IF($AK7=3,SUM(D25:D27),IF($AK7=2,SUM(D25:D26),D25))))</f>
        <v>57</v>
      </c>
      <c r="E30" s="69">
        <f>IF($AK7=5,SUM(E25:E29),IF($AK7=4,SUM(E25:E28),IF($AK7=3,SUM(E25:E27),IF($AK7=2,SUM(E25:E26),E25))))</f>
        <v>50</v>
      </c>
      <c r="F30" s="69"/>
      <c r="G30" s="69">
        <f>IF($AK7=5,SUM(G25:G29),IF($AK7=4,SUM(G25:G28),IF($AK7=3,SUM(G25:G27),IF($AK7=2,SUM(G25:G26),G25))))</f>
        <v>24</v>
      </c>
      <c r="H30" s="69">
        <f>IF($AK7=5,SUM(H25:H29),IF($AK7=4,SUM(H25:H28),IF($AK7=3,SUM(H25:H27),IF($AK7=2,SUM(H25:H26),H25))))</f>
        <v>52</v>
      </c>
      <c r="I30" s="69"/>
      <c r="J30" s="69">
        <f>IF($AK7=5,SUM(J25:J29),IF($AK7=4,SUM(J25:J28),IF($AK7=3,SUM(J25:J27),IF($AK7=2,SUM(J25:J26),J25))))</f>
        <v>59</v>
      </c>
      <c r="K30" s="69">
        <f>IF($AK7=5,SUM(K25:K29),IF($AK7=4,SUM(K25:K28),IF($AK7=3,SUM(K25:K27),IF($AK7=2,SUM(K25:K26),K25))))</f>
        <v>50</v>
      </c>
      <c r="L30" s="69"/>
      <c r="M30" s="69">
        <f>IF($AK7=5,SUM(M25:M29),IF($AK7=4,SUM(M25:M28),IF($AK7=3,SUM(M25:M27),IF($AK7=2,SUM(M25:M26),M25))))</f>
        <v>21</v>
      </c>
      <c r="N30" s="69">
        <f>IF($AK7=5,SUM(N25:N29),IF($AK7=4,SUM(N25:N28),IF($AK7=3,SUM(N25:N27),IF($AK7=2,SUM(N25:N26),N25))))</f>
        <v>58</v>
      </c>
      <c r="O30" s="69"/>
      <c r="P30" s="69">
        <f>IF($AK7=5,SUM(P25:P29),IF($AK7=4,SUM(P25:P28),IF($AK7=3,SUM(P25:P27),IF($AK7=2,SUM(P25:P26),P25))))</f>
        <v>63</v>
      </c>
      <c r="Q30" s="69">
        <f>IF($AK7=5,SUM(Q25:Q29),IF($AK7=4,SUM(Q25:Q28),IF($AK7=3,SUM(Q25:Q27),IF($AK7=2,SUM(Q25:Q26),Q25))))</f>
        <v>50</v>
      </c>
      <c r="R30" s="69"/>
      <c r="S30" s="69">
        <f>IF($AK7=5,SUM(S25:S29),IF($AK7=4,SUM(S25:S28),IF($AK7=3,SUM(S25:S27),IF($AK7=2,SUM(S25:S26),S25))))</f>
        <v>36</v>
      </c>
      <c r="T30" s="69">
        <f>IF($AK7=5,SUM(T25:T29),IF($AK7=4,SUM(T25:T28),IF($AK7=3,SUM(T25:T27),IF($AK7=2,SUM(T25:T26),T25))))</f>
        <v>0</v>
      </c>
      <c r="U30" s="69"/>
      <c r="V30" s="69">
        <f>IF($AK7=5,SUM(V25:V29),IF($AK7=4,SUM(V25:V28),IF($AK7=3,SUM(V25:V27),IF($AK7=2,SUM(V25:V26),V25))))</f>
        <v>0</v>
      </c>
      <c r="W30" s="69">
        <f>IF($AK7=5,SUM(W25:W29),IF($AK7=4,SUM(W25:W28),IF($AK7=3,SUM(W25:W27),IF($AK7=2,SUM(W25:W26),W25))))</f>
        <v>0</v>
      </c>
      <c r="X30" s="69"/>
      <c r="Y30" s="69">
        <f>IF($AK7=5,SUM(Y25:Y29),IF($AK7=4,SUM(Y25:Y28),IF($AK7=3,SUM(Y25:Y27),IF($AK7=2,SUM(Y25:Y26),Y25))))</f>
        <v>0</v>
      </c>
      <c r="Z30" s="69">
        <f>IF($AK7=5,SUM(Z25:Z29),IF($AK7=4,SUM(Z25:Z28),IF($AK7=3,SUM(Z25:Z27),IF($AK7=2,SUM(Z25:Z26),Z25))))</f>
        <v>0</v>
      </c>
      <c r="AA30" s="69"/>
      <c r="AB30" s="69">
        <f>IF($AK7=5,SUM(AB25:AB29),IF($AK7=4,SUM(AB25:AB28),IF($AK7=3,SUM(AB25:AB27),IF($AK7=2,SUM(AB25:AB26),AB25))))</f>
        <v>0</v>
      </c>
      <c r="AC30" s="69">
        <f>IF($AK7=5,SUM(AC25:AC29),IF($AK7=4,SUM(AC25:AC28),IF($AK7=3,SUM(AC25:AC27),IF($AK7=2,SUM(AC25:AC26),AC25))))</f>
        <v>0</v>
      </c>
      <c r="AD30" s="69"/>
      <c r="AE30" s="69">
        <f>IF($AK7=5,SUM(AE25:AE29),IF($AK7=4,SUM(AE25:AE28),IF($AK7=3,SUM(AE25:AE27),IF($AK7=2,SUM(AE25:AE26),AE25))))</f>
        <v>0</v>
      </c>
      <c r="AF30" s="8"/>
      <c r="AG30" s="8"/>
      <c r="AH30" s="8"/>
      <c r="AI30" s="8"/>
      <c r="AJ30" s="8"/>
      <c r="AK30" s="8"/>
      <c r="AL30" s="8"/>
      <c r="AM30" s="8"/>
      <c r="AN30" s="8"/>
      <c r="AO30" s="8"/>
      <c r="AP30" s="8"/>
      <c r="AQ30" s="8"/>
    </row>
    <row r="31" spans="1:48" s="70" customFormat="1" ht="12.75" hidden="1" customHeight="1" x14ac:dyDescent="0.2">
      <c r="A31" s="70" t="s">
        <v>75</v>
      </c>
      <c r="B31" s="71">
        <f>IF(AND(B25&gt;D25,$AK8&gt;0,ISNUMBER(B25),ISNUMBER(D25)),1,0)</f>
        <v>1</v>
      </c>
      <c r="C31" s="71"/>
      <c r="D31" s="72">
        <f>IF(AND(D25&gt;B25,$AK8&gt;0,ISNUMBER(B25),ISNUMBER(D25)),1,0)</f>
        <v>0</v>
      </c>
      <c r="E31" s="71">
        <f>IF(AND(E25&gt;G25,$AK8&gt;1,ISNUMBER(E25),ISNUMBER(G25)),1,0)</f>
        <v>1</v>
      </c>
      <c r="F31" s="71"/>
      <c r="G31" s="72">
        <f>IF(AND(G25&gt;E25,$AK8&gt;1,ISNUMBER(E25),ISNUMBER(G25)),1,0)</f>
        <v>0</v>
      </c>
      <c r="H31" s="71">
        <f>IF(AND(H25&gt;J25,$AK8&gt;2,ISNUMBER(H25),ISNUMBER(J25)),1,0)</f>
        <v>1</v>
      </c>
      <c r="I31" s="71"/>
      <c r="J31" s="72">
        <f>IF(AND(J25&gt;H25,$AK8&gt;2,ISNUMBER(H25),ISNUMBER(J25)),1,0)</f>
        <v>0</v>
      </c>
      <c r="K31" s="71">
        <f>IF(AND(K25&gt;M25,$AK8&gt;3,ISNUMBER(K25),ISNUMBER(M25)),1,0)</f>
        <v>1</v>
      </c>
      <c r="L31" s="71"/>
      <c r="M31" s="72">
        <f>IF(AND(M25&gt;K25,$AK8&gt;3,ISNUMBER(K25),ISNUMBER(M25)),1,0)</f>
        <v>0</v>
      </c>
      <c r="N31" s="71">
        <f>IF(AND(N25&gt;P25,$AK8&gt;4,ISNUMBER(N25),ISNUMBER(P25)),1,0)</f>
        <v>1</v>
      </c>
      <c r="O31" s="71"/>
      <c r="P31" s="72">
        <f>IF(AND(P25&gt;N25,$AK8&gt;4,ISNUMBER(N25),ISNUMBER(P25)),1,0)</f>
        <v>0</v>
      </c>
      <c r="Q31" s="71">
        <f>IF(AND(Q25&gt;S25,$AK8&gt;5,ISNUMBER(Q25),ISNUMBER(S25)),1,0)</f>
        <v>1</v>
      </c>
      <c r="R31" s="71"/>
      <c r="S31" s="72">
        <f>IF(AND(S25&gt;Q25,$AK8&gt;5,ISNUMBER(Q25),ISNUMBER(S25)),1,0)</f>
        <v>0</v>
      </c>
      <c r="T31" s="71">
        <f>IF(AND(T25&gt;V25,$AK8&gt;6,ISNUMBER(T25),ISNUMBER(V25)),1,0)</f>
        <v>0</v>
      </c>
      <c r="U31" s="71"/>
      <c r="V31" s="72">
        <f>IF(AND(V25&gt;T25,$AK8&gt;6,ISNUMBER(T25),ISNUMBER(V25)),1,0)</f>
        <v>0</v>
      </c>
      <c r="W31" s="71">
        <f>IF(AND(W25&gt;Y25,$AK8&gt;7,ISNUMBER(W25),ISNUMBER(Y25)),1,0)</f>
        <v>0</v>
      </c>
      <c r="X31" s="71"/>
      <c r="Y31" s="72">
        <f>IF(AND(Y25&gt;W25,$AK8&gt;7,ISNUMBER(W25),ISNUMBER(Y25)),1,0)</f>
        <v>0</v>
      </c>
      <c r="Z31" s="71">
        <f>IF(AND(Z25&gt;AB25,$AK8&gt;8,ISNUMBER(Z25),ISNUMBER(AB25)),1,0)</f>
        <v>0</v>
      </c>
      <c r="AA31" s="71"/>
      <c r="AB31" s="72">
        <f>IF(AND(AB25&gt;Z25,$AK8&gt;8,ISNUMBER(Z25),ISNUMBER(AB25)),1,0)</f>
        <v>0</v>
      </c>
      <c r="AC31" s="71">
        <f>IF(AND(AC25&gt;AE25,$AK8&gt;9,ISNUMBER(AC25),ISNUMBER(AE25)),1,0)</f>
        <v>0</v>
      </c>
      <c r="AD31" s="71"/>
      <c r="AE31" s="72">
        <f>IF(AND(AE25&gt;AC25,$AK8&gt;9,ISNUMBER(AC25),ISNUMBER(AE25)),1,0)</f>
        <v>0</v>
      </c>
    </row>
    <row r="32" spans="1:48" s="70" customFormat="1" ht="12.75" hidden="1" customHeight="1" x14ac:dyDescent="0.2">
      <c r="A32" s="70" t="s">
        <v>76</v>
      </c>
      <c r="B32" s="71">
        <f>IF(AND(B26&gt;D26,$AK8&gt;0,$AK7&gt;1,ISNUMBER(B26),ISNUMBER(D26)),1,0)</f>
        <v>0</v>
      </c>
      <c r="C32" s="71"/>
      <c r="D32" s="72">
        <f>IF(AND(D26&gt;B26,$AK8&gt;0,$AK7&gt;1,ISNUMBER(B26),ISNUMBER(D26)),1,0)</f>
        <v>1</v>
      </c>
      <c r="E32" s="71">
        <f>IF(AND(E26&gt;G26,$AK8&gt;1,$AK7&gt;1,ISNUMBER(E26),ISNUMBER(G26)),1,0)</f>
        <v>1</v>
      </c>
      <c r="F32" s="71"/>
      <c r="G32" s="72">
        <f>IF(AND(G26&gt;E26,$AK8&gt;1,$AK7&gt;1,ISNUMBER(E26),ISNUMBER(G26)),1,0)</f>
        <v>0</v>
      </c>
      <c r="H32" s="71">
        <f>IF(AND(H26&gt;J26,$AK8&gt;2,$AK7&gt;1,ISNUMBER(H26),ISNUMBER(J26)),1,0)</f>
        <v>0</v>
      </c>
      <c r="I32" s="71"/>
      <c r="J32" s="72">
        <f>IF(AND(J26&gt;H26,$AK8&gt;2,$AK7&gt;1,ISNUMBER(H26),ISNUMBER(J26)),1,0)</f>
        <v>1</v>
      </c>
      <c r="K32" s="71">
        <f>IF(AND(K26&gt;M26,$AK8&gt;3,$AK7&gt;1,ISNUMBER(K26),ISNUMBER(M26)),1,0)</f>
        <v>1</v>
      </c>
      <c r="L32" s="71"/>
      <c r="M32" s="72">
        <f>IF(AND(M26&gt;K26,$AK8&gt;3,$AK7&gt;1,ISNUMBER(K26),ISNUMBER(M26)),1,0)</f>
        <v>0</v>
      </c>
      <c r="N32" s="71">
        <f>IF(AND(N26&gt;P26,$AK8&gt;4,$AK7&gt;1,ISNUMBER(N26),ISNUMBER(P26)),1,0)</f>
        <v>0</v>
      </c>
      <c r="O32" s="71"/>
      <c r="P32" s="72">
        <f>IF(AND(P26&gt;N26,$AK8&gt;4,$AK7&gt;1,ISNUMBER(N26),ISNUMBER(P26)),1,0)</f>
        <v>1</v>
      </c>
      <c r="Q32" s="71">
        <f>IF(AND(Q26&gt;S26,$AK8&gt;5,$AK7&gt;1,ISNUMBER(Q26),ISNUMBER(S26)),1,0)</f>
        <v>1</v>
      </c>
      <c r="R32" s="71"/>
      <c r="S32" s="72">
        <f>IF(AND(S26&gt;Q26,$AK8&gt;5,$AK7&gt;1,ISNUMBER(Q26),ISNUMBER(S26)),1,0)</f>
        <v>0</v>
      </c>
      <c r="T32" s="71">
        <f>IF(AND(T26&gt;V26,$AK8&gt;6,$AK7&gt;1,ISNUMBER(T26),ISNUMBER(V26)),1,0)</f>
        <v>0</v>
      </c>
      <c r="U32" s="71"/>
      <c r="V32" s="72">
        <f>IF(AND(V26&gt;T26,$AK8&gt;6,$AK7&gt;1,ISNUMBER(T26),ISNUMBER(V26)),1,0)</f>
        <v>0</v>
      </c>
      <c r="W32" s="71">
        <f>IF(AND(W26&gt;Y26,$AK8&gt;7,$AK7&gt;1,ISNUMBER(W26),ISNUMBER(Y26)),1,0)</f>
        <v>0</v>
      </c>
      <c r="X32" s="71"/>
      <c r="Y32" s="72">
        <f>IF(AND(Y26&gt;W26,$AK8&gt;7,$AK7&gt;1,ISNUMBER(W26),ISNUMBER(Y26)),1,0)</f>
        <v>0</v>
      </c>
      <c r="Z32" s="71">
        <f>IF(AND(Z26&gt;AB26,$AK8&gt;8,$AK7&gt;1,ISNUMBER(Z26),ISNUMBER(AB26)),1,0)</f>
        <v>0</v>
      </c>
      <c r="AA32" s="71"/>
      <c r="AB32" s="72">
        <f>IF(AND(AB26&gt;Z26,$AK8&gt;8,$AK7&gt;1,ISNUMBER(Z26),ISNUMBER(AB26)),1,0)</f>
        <v>0</v>
      </c>
      <c r="AC32" s="71">
        <f>IF(AND(AC26&gt;AE26,$AK8&gt;9,$AK7&gt;1,ISNUMBER(AC26),ISNUMBER(AE26)),1,0)</f>
        <v>0</v>
      </c>
      <c r="AD32" s="71"/>
      <c r="AE32" s="72">
        <f>IF(AND(AE26&gt;AC26,$AK8&gt;9,$AK7&gt;1,ISNUMBER(AC26),ISNUMBER(AE26)),1,0)</f>
        <v>0</v>
      </c>
    </row>
    <row r="33" spans="1:33" s="70" customFormat="1" ht="12.75" hidden="1" customHeight="1" x14ac:dyDescent="0.2">
      <c r="A33" s="70" t="s">
        <v>77</v>
      </c>
      <c r="B33" s="71">
        <f>IF(AND(B27&gt;D27,$AK8&gt;0,$AK7&gt;2,ISNUMBER(B27),ISNUMBER(D27)),1,0)</f>
        <v>1</v>
      </c>
      <c r="C33" s="71"/>
      <c r="D33" s="72">
        <f>IF(AND(D27&gt;B27,$AK8&gt;0,$AK7&gt;2,ISNUMBER(B27),ISNUMBER(D27)),1,0)</f>
        <v>0</v>
      </c>
      <c r="E33" s="71">
        <f>IF(AND(E27&gt;G27,$AK8&gt;1,$AK7&gt;2,ISNUMBER(E27),ISNUMBER(G27)),1,0)</f>
        <v>0</v>
      </c>
      <c r="F33" s="71"/>
      <c r="G33" s="72">
        <f>IF(AND(G27&gt;E27,$AK8&gt;1,$AK7&gt;2,ISNUMBER(E27),ISNUMBER(G27)),1,0)</f>
        <v>0</v>
      </c>
      <c r="H33" s="71">
        <f>IF(AND(H27&gt;J27,$AK8&gt;2,$AK7&gt;2,ISNUMBER(H27),ISNUMBER(J27)),1,0)</f>
        <v>0</v>
      </c>
      <c r="I33" s="71"/>
      <c r="J33" s="72">
        <f>IF(AND(J27&gt;H27,$AK8&gt;2,$AK7&gt;2,ISNUMBER(H27),ISNUMBER(J27)),1,0)</f>
        <v>1</v>
      </c>
      <c r="K33" s="71">
        <f>IF(AND(K27&gt;M27,$AK8&gt;3,$AK7&gt;2,ISNUMBER(K27),ISNUMBER(M27)),1,0)</f>
        <v>0</v>
      </c>
      <c r="L33" s="71"/>
      <c r="M33" s="72">
        <f>IF(AND(M27&gt;K27,$AK8&gt;3,$AK7&gt;2,ISNUMBER(K27),ISNUMBER(M27)),1,0)</f>
        <v>0</v>
      </c>
      <c r="N33" s="71">
        <f>IF(AND(N27&gt;P27,$AK8&gt;4,$AK7&gt;2,ISNUMBER(N27),ISNUMBER(P27)),1,0)</f>
        <v>0</v>
      </c>
      <c r="O33" s="71"/>
      <c r="P33" s="72">
        <f>IF(AND(P27&gt;N27,$AK8&gt;4,$AK7&gt;2,ISNUMBER(N27),ISNUMBER(P27)),1,0)</f>
        <v>1</v>
      </c>
      <c r="Q33" s="71">
        <f>IF(AND(Q27&gt;S27,$AK8&gt;5,$AK7&gt;2,ISNUMBER(Q27),ISNUMBER(S27)),1,0)</f>
        <v>0</v>
      </c>
      <c r="R33" s="71"/>
      <c r="S33" s="72">
        <f>IF(AND(S27&gt;Q27,$AK8&gt;5,$AK7&gt;2,ISNUMBER(Q27),ISNUMBER(S27)),1,0)</f>
        <v>0</v>
      </c>
      <c r="T33" s="71">
        <f>IF(AND(T27&gt;V27,$AK8&gt;6,$AK7&gt;2,ISNUMBER(T27),ISNUMBER(V27)),1,0)</f>
        <v>0</v>
      </c>
      <c r="U33" s="71"/>
      <c r="V33" s="72">
        <f>IF(AND(V27&gt;T27,$AK8&gt;6,$AK7&gt;2,ISNUMBER(T27),ISNUMBER(V27)),1,0)</f>
        <v>0</v>
      </c>
      <c r="W33" s="71">
        <f>IF(AND(W27&gt;Y27,$AK8&gt;7,$AK7&gt;2,ISNUMBER(W27),ISNUMBER(Y27)),1,0)</f>
        <v>0</v>
      </c>
      <c r="X33" s="71"/>
      <c r="Y33" s="72">
        <f>IF(AND(Y27&gt;W27,$AK8&gt;7,$AK7&gt;2,ISNUMBER(W27),ISNUMBER(Y27)),1,0)</f>
        <v>0</v>
      </c>
      <c r="Z33" s="71">
        <f>IF(AND(Z27&gt;AB27,$AK8&gt;8,$AK7&gt;2,ISNUMBER(Z27),ISNUMBER(AB27)),1,0)</f>
        <v>0</v>
      </c>
      <c r="AA33" s="71"/>
      <c r="AB33" s="72">
        <f>IF(AND(AB27&gt;Z27,$AK8&gt;8,$AK7&gt;2,ISNUMBER(Z27),ISNUMBER(AB27)),1,0)</f>
        <v>0</v>
      </c>
      <c r="AC33" s="71">
        <f>IF(AND(AC27&gt;AE27,$AK8&gt;9,$AK7&gt;2,ISNUMBER(AC27),ISNUMBER(AE27)),1,0)</f>
        <v>0</v>
      </c>
      <c r="AD33" s="71"/>
      <c r="AE33" s="72">
        <f>IF(AND(AE27&gt;AC27,$AK8&gt;9,$AK7&gt;2,ISNUMBER(AC27),ISNUMBER(AE27)),1,0)</f>
        <v>0</v>
      </c>
    </row>
    <row r="34" spans="1:33" s="70" customFormat="1" ht="12.75" hidden="1" customHeight="1" x14ac:dyDescent="0.2">
      <c r="A34" s="70" t="s">
        <v>78</v>
      </c>
      <c r="B34" s="71">
        <f>IF(AND(B28&gt;D28,$AK8&gt;0,$AK7&gt;3,ISNUMBER(B28),ISNUMBER(D28)),1,0)</f>
        <v>0</v>
      </c>
      <c r="C34" s="71"/>
      <c r="D34" s="72">
        <f>IF(AND(D28&gt;B28,$AK8&gt;0,$AK7&gt;3,ISNUMBER(B28),ISNUMBER(D28)),1,0)</f>
        <v>0</v>
      </c>
      <c r="E34" s="71">
        <f>IF(AND(E28&gt;G28,$AK8&gt;1,$AK7&gt;3,ISNUMBER(E28),ISNUMBER(G28)),1,0)</f>
        <v>0</v>
      </c>
      <c r="F34" s="71"/>
      <c r="G34" s="72">
        <f>IF(AND(G28&gt;E28,$AK8&gt;1,$AK7&gt;3,ISNUMBER(E28),ISNUMBER(G28)),1,0)</f>
        <v>0</v>
      </c>
      <c r="H34" s="71">
        <f>IF(AND(H28&gt;J28,$AK8&gt;2,$AK7&gt;3,ISNUMBER(H28),ISNUMBER(J28)),1,0)</f>
        <v>0</v>
      </c>
      <c r="I34" s="71"/>
      <c r="J34" s="72">
        <f>IF(AND(J28&gt;H28,$AK8&gt;2,$AK7&gt;3,ISNUMBER(H28),ISNUMBER(J28)),1,0)</f>
        <v>0</v>
      </c>
      <c r="K34" s="71">
        <f>IF(AND(K28&gt;M28,$AK8&gt;3,$AK7&gt;3,ISNUMBER(K28),ISNUMBER(M28)),1,0)</f>
        <v>0</v>
      </c>
      <c r="L34" s="71"/>
      <c r="M34" s="72">
        <f>IF(AND(M28&gt;K28,$AK8&gt;3,$AK7&gt;3,ISNUMBER(K28),ISNUMBER(M28)),1,0)</f>
        <v>0</v>
      </c>
      <c r="N34" s="71">
        <f>IF(AND(N28&gt;P28,$AK8&gt;4,$AK7&gt;3,ISNUMBER(N28),ISNUMBER(P28)),1,0)</f>
        <v>0</v>
      </c>
      <c r="O34" s="71"/>
      <c r="P34" s="72">
        <f>IF(AND(P28&gt;N28,$AK8&gt;4,$AK7&gt;3,ISNUMBER(N28),ISNUMBER(P28)),1,0)</f>
        <v>0</v>
      </c>
      <c r="Q34" s="71">
        <f>IF(AND(Q28&gt;S28,$AK8&gt;5,$AK7&gt;3,ISNUMBER(Q28),ISNUMBER(S28)),1,0)</f>
        <v>0</v>
      </c>
      <c r="R34" s="71"/>
      <c r="S34" s="72">
        <f>IF(AND(S28&gt;Q28,$AK8&gt;5,$AK7&gt;3,ISNUMBER(Q28),ISNUMBER(S28)),1,0)</f>
        <v>0</v>
      </c>
      <c r="T34" s="71">
        <f>IF(AND(T28&gt;V28,$AK8&gt;6,$AK7&gt;3,ISNUMBER(T28),ISNUMBER(V28)),1,0)</f>
        <v>0</v>
      </c>
      <c r="U34" s="71"/>
      <c r="V34" s="72">
        <f>IF(AND(V28&gt;T28,$AK8&gt;6,$AK7&gt;3,ISNUMBER(T28),ISNUMBER(V28)),1,0)</f>
        <v>0</v>
      </c>
      <c r="W34" s="71">
        <f>IF(AND(W28&gt;Y28,$AK8&gt;7,$AK7&gt;3,ISNUMBER(W28),ISNUMBER(Y28)),1,0)</f>
        <v>0</v>
      </c>
      <c r="X34" s="71"/>
      <c r="Y34" s="72">
        <f>IF(AND(Y28&gt;W28,$AK8&gt;7,$AK7&gt;3,ISNUMBER(W28),ISNUMBER(Y28)),1,0)</f>
        <v>0</v>
      </c>
      <c r="Z34" s="71">
        <f>IF(AND(Z28&gt;AB28,$AK8&gt;8,$AK7&gt;3,ISNUMBER(Z28),ISNUMBER(AB28)),1,0)</f>
        <v>0</v>
      </c>
      <c r="AA34" s="71"/>
      <c r="AB34" s="72">
        <f>IF(AND(AB28&gt;Z28,$AK8&gt;8,$AK7&gt;3,ISNUMBER(Z28),ISNUMBER(AB28)),1,0)</f>
        <v>0</v>
      </c>
      <c r="AC34" s="71">
        <f>IF(AND(AC28&gt;AE28,$AK8&gt;9,$AK7&gt;3,ISNUMBER(AC28),ISNUMBER(AE28)),1,0)</f>
        <v>0</v>
      </c>
      <c r="AD34" s="71"/>
      <c r="AE34" s="72">
        <f>IF(AND(AE28&gt;AC28,$AK8&gt;9,$AK7&gt;3,ISNUMBER(AC28),ISNUMBER(AE28)),1,0)</f>
        <v>0</v>
      </c>
    </row>
    <row r="35" spans="1:33" s="70" customFormat="1" ht="12.75" hidden="1" customHeight="1" x14ac:dyDescent="0.2">
      <c r="A35" s="70" t="s">
        <v>79</v>
      </c>
      <c r="B35" s="71">
        <f>IF(AND(B29&gt;D29,$AK8&gt;0,$AK7&gt;4,ISNUMBER(B29),ISNUMBER(D29)),1,0)</f>
        <v>0</v>
      </c>
      <c r="C35" s="71"/>
      <c r="D35" s="72">
        <f>IF(AND(D29&gt;B29,$AK8&gt;0,$AK7&gt;4,ISNUMBER(B29),ISNUMBER(D29)),1,0)</f>
        <v>0</v>
      </c>
      <c r="E35" s="71">
        <f>IF(AND(E29&gt;G29,$AK8&gt;1,$AK7&gt;4,ISNUMBER(E29),ISNUMBER(G29)),1,0)</f>
        <v>0</v>
      </c>
      <c r="F35" s="71"/>
      <c r="G35" s="72">
        <f>IF(AND(G29&gt;E29,$AK8&gt;1,$AK7&gt;4,ISNUMBER(E29),ISNUMBER(G29)),1,0)</f>
        <v>0</v>
      </c>
      <c r="H35" s="71">
        <f>IF(AND(H29&gt;J29,$AK8&gt;2,$AK7&gt;4,ISNUMBER(H29),ISNUMBER(J29)),1,0)</f>
        <v>0</v>
      </c>
      <c r="I35" s="71"/>
      <c r="J35" s="72">
        <f>IF(AND(J29&gt;H29,$AK8&gt;2,$AK7&gt;4,ISNUMBER(H29),ISNUMBER(J29)),1,0)</f>
        <v>0</v>
      </c>
      <c r="K35" s="71">
        <f>IF(AND(K29&gt;M29,$AK8&gt;3,$AK7&gt;4,ISNUMBER(K29),ISNUMBER(M29)),1,0)</f>
        <v>0</v>
      </c>
      <c r="L35" s="71"/>
      <c r="M35" s="72">
        <f>IF(AND(M29&gt;K29,$AK8&gt;3,$AK7&gt;4,ISNUMBER(K29),ISNUMBER(M29)),1,0)</f>
        <v>0</v>
      </c>
      <c r="N35" s="71">
        <f>IF(AND(N29&gt;P29,$AK8&gt;4,$AK7&gt;4,ISNUMBER(N29),ISNUMBER(P29)),1,0)</f>
        <v>0</v>
      </c>
      <c r="O35" s="71"/>
      <c r="P35" s="72">
        <f>IF(AND(P29&gt;N29,$AK8&gt;4,$AK7&gt;4,ISNUMBER(N29),ISNUMBER(P29)),1,0)</f>
        <v>0</v>
      </c>
      <c r="Q35" s="71">
        <f>IF(AND(Q29&gt;S29,$AK8&gt;5,$AK7&gt;4,ISNUMBER(Q29),ISNUMBER(S29)),1,0)</f>
        <v>0</v>
      </c>
      <c r="R35" s="71"/>
      <c r="S35" s="72">
        <f>IF(AND(S29&gt;Q29,$AK8&gt;5,$AK7&gt;4,ISNUMBER(Q29),ISNUMBER(S29)),1,0)</f>
        <v>0</v>
      </c>
      <c r="T35" s="71">
        <f>IF(AND(T29&gt;V29,$AK8&gt;6,$AK7&gt;4,ISNUMBER(T29),ISNUMBER(V29)),1,0)</f>
        <v>0</v>
      </c>
      <c r="U35" s="71"/>
      <c r="V35" s="72">
        <f>IF(AND(V29&gt;T29,$AK8&gt;6,$AK7&gt;4,ISNUMBER(T29),ISNUMBER(V29)),1,0)</f>
        <v>0</v>
      </c>
      <c r="W35" s="71">
        <f>IF(AND(W29&gt;Y29,$AK8&gt;7,$AK7&gt;4,ISNUMBER(W29),ISNUMBER(Y29)),1,0)</f>
        <v>0</v>
      </c>
      <c r="X35" s="71"/>
      <c r="Y35" s="72">
        <f>IF(AND(Y29&gt;W29,$AK8&gt;7,$AK7&gt;4,ISNUMBER(W29),ISNUMBER(Y29)),1,0)</f>
        <v>0</v>
      </c>
      <c r="Z35" s="71">
        <f>IF(AND(Z29&gt;AB29,$AK8&gt;8,$AK7&gt;4,ISNUMBER(Z29),ISNUMBER(AB29)),1,0)</f>
        <v>0</v>
      </c>
      <c r="AA35" s="71"/>
      <c r="AB35" s="72">
        <f>IF(AND(AB29&gt;Z29,$AK8&gt;8,$AK7&gt;4,ISNUMBER(Z29),ISNUMBER(AB29)),1,0)</f>
        <v>0</v>
      </c>
      <c r="AC35" s="71">
        <f>IF(AND(AC29&gt;AE29,$AK8&gt;9,$AK7&gt;4,ISNUMBER(AC29),ISNUMBER(AE29)),1,0)</f>
        <v>0</v>
      </c>
      <c r="AD35" s="71"/>
      <c r="AE35" s="72">
        <f>IF(AND(AE29&gt;AC29,$AK8&gt;9,$AK7&gt;4,ISNUMBER(AC29),ISNUMBER(AE29)),1,0)</f>
        <v>0</v>
      </c>
    </row>
    <row r="36" spans="1:33" s="70" customFormat="1" ht="38.25" hidden="1" customHeight="1" x14ac:dyDescent="0.2">
      <c r="A36" s="73" t="s">
        <v>80</v>
      </c>
      <c r="B36" s="70">
        <f>SUM(B31:B35)</f>
        <v>2</v>
      </c>
      <c r="D36" s="74">
        <f>SUM(D31:D35)</f>
        <v>1</v>
      </c>
      <c r="E36" s="70">
        <f>SUM(E31:E35)</f>
        <v>2</v>
      </c>
      <c r="G36" s="74">
        <f>SUM(G31:G35)</f>
        <v>0</v>
      </c>
      <c r="H36" s="70">
        <f>SUM(H31:H35)</f>
        <v>1</v>
      </c>
      <c r="J36" s="74">
        <f>SUM(J31:J35)</f>
        <v>2</v>
      </c>
      <c r="K36" s="70">
        <f>SUM(K31:K35)</f>
        <v>2</v>
      </c>
      <c r="M36" s="74">
        <f>SUM(M31:M35)</f>
        <v>0</v>
      </c>
      <c r="N36" s="70">
        <f>SUM(N31:N35)</f>
        <v>1</v>
      </c>
      <c r="P36" s="74">
        <f>SUM(P31:P35)</f>
        <v>2</v>
      </c>
      <c r="Q36" s="70">
        <f>SUM(Q31:Q35)</f>
        <v>2</v>
      </c>
      <c r="S36" s="74">
        <f>SUM(S31:S35)</f>
        <v>0</v>
      </c>
      <c r="T36" s="70">
        <f>SUM(T31:T35)</f>
        <v>0</v>
      </c>
      <c r="V36" s="74">
        <f>SUM(V31:V35)</f>
        <v>0</v>
      </c>
      <c r="W36" s="70">
        <f>SUM(W31:W35)</f>
        <v>0</v>
      </c>
      <c r="Y36" s="74">
        <f>SUM(Y31:Y35)</f>
        <v>0</v>
      </c>
      <c r="Z36" s="70">
        <f>SUM(Z31:Z35)</f>
        <v>0</v>
      </c>
      <c r="AB36" s="74">
        <f>SUM(AB31:AB35)</f>
        <v>0</v>
      </c>
      <c r="AC36" s="70">
        <f>SUM(AC31:AC35)</f>
        <v>0</v>
      </c>
      <c r="AE36" s="74">
        <f>SUM(AE31:AE35)</f>
        <v>0</v>
      </c>
    </row>
    <row r="37" spans="1:33" s="70" customFormat="1" ht="25.5" hidden="1" customHeight="1" x14ac:dyDescent="0.2">
      <c r="A37" s="73" t="s">
        <v>81</v>
      </c>
      <c r="B37" s="70">
        <f>IF(B36&gt;D36,IF(C71=AK7,1,IF(C71=AK7-1,1,0)),0)</f>
        <v>1</v>
      </c>
      <c r="C37" s="70">
        <f>B37+D37</f>
        <v>1</v>
      </c>
      <c r="D37" s="74">
        <f>IF(D36&gt;B36,IF(C71=AK7,1,IF(C71=AK7-1,1,0)),0)</f>
        <v>0</v>
      </c>
      <c r="E37" s="70">
        <f>IF(E36&gt;G36,IF(F71=AK7,1,IF(F71=AK7-1,1,0)),0)</f>
        <v>1</v>
      </c>
      <c r="F37" s="70">
        <f>E37+G37</f>
        <v>1</v>
      </c>
      <c r="G37" s="74">
        <f>IF(G36&gt;E36,IF(F71=AK7,1,IF(F71=AK7-1,1,0)),0)</f>
        <v>0</v>
      </c>
      <c r="H37" s="70">
        <f>IF(H36&gt;J36,IF(I71=AK7,1,IF(I71=AK7-1,1,0)),0)</f>
        <v>0</v>
      </c>
      <c r="I37" s="70">
        <f>H37+J37</f>
        <v>1</v>
      </c>
      <c r="J37" s="74">
        <f>IF(J36&gt;H36,IF(I71=AK7,1,IF(I71=AK7-1,1,0)),0)</f>
        <v>1</v>
      </c>
      <c r="K37" s="70">
        <f>IF(K36&gt;M36,IF(L71=AK7,1,IF(L71=AK7-1,1,0)),0)</f>
        <v>1</v>
      </c>
      <c r="L37" s="70">
        <f>K37+M37</f>
        <v>1</v>
      </c>
      <c r="M37" s="74">
        <f>IF(M36&gt;K36,IF(L71=AK7,1,IF(L71=AK7-1,1,0)),0)</f>
        <v>0</v>
      </c>
      <c r="N37" s="70">
        <f>IF(N36&gt;P36,IF(O71=AK7,1,IF(O71=AK7-1,1,0)),0)</f>
        <v>0</v>
      </c>
      <c r="O37" s="70">
        <f>N37+P37</f>
        <v>1</v>
      </c>
      <c r="P37" s="74">
        <f>IF(P36&gt;N36,IF(O71=AK7,1,IF(O71=AK7-1,1,0)),0)</f>
        <v>1</v>
      </c>
      <c r="Q37" s="70">
        <f>IF(Q36&gt;S36,IF(R71=AK7,1,IF(R71=AK7-1,1,0)),0)</f>
        <v>1</v>
      </c>
      <c r="R37" s="70">
        <f>Q37+S37</f>
        <v>1</v>
      </c>
      <c r="S37" s="74">
        <f>IF(S36&gt;Q36,IF(R71=AK7,1,IF(R71=AK7-1,1,0)),0)</f>
        <v>0</v>
      </c>
      <c r="T37" s="70">
        <f>IF(T36&gt;V36,IF(U71=AK7,1,IF(U71=AK7-1,1,0)),0)</f>
        <v>0</v>
      </c>
      <c r="U37" s="70">
        <f>T37+V37</f>
        <v>0</v>
      </c>
      <c r="V37" s="74">
        <f>IF(V36&gt;T36,IF(U71=AK7,1,IF(U71=AK7-1,1,0)),0)</f>
        <v>0</v>
      </c>
      <c r="W37" s="70">
        <f>IF(W36&gt;Y36,IF(X71=AK7,1,IF(X71=AK7-1,1,0)),0)</f>
        <v>0</v>
      </c>
      <c r="X37" s="70">
        <f>W37+Y37</f>
        <v>0</v>
      </c>
      <c r="Y37" s="74">
        <f>IF(Y36&gt;W36,IF(X71=AK7,1,IF(X71=AK7-1,1,0)),0)</f>
        <v>0</v>
      </c>
      <c r="Z37" s="70">
        <f>IF(Z36&gt;AB36,IF(AA71=AK7,1,IF(AA71=AK7-1,1,0)),0)</f>
        <v>0</v>
      </c>
      <c r="AA37" s="70">
        <f>Z37+AB37</f>
        <v>0</v>
      </c>
      <c r="AB37" s="74">
        <f>IF(AB36&gt;Z36,IF(AA71=AK7,1,IF(AA71=AK7-1,1,0)),0)</f>
        <v>0</v>
      </c>
      <c r="AC37" s="70">
        <f>IF(AC36&gt;AE36,IF(AD71=AK7,1,IF(AD71=AK7-1,1,0)),0)</f>
        <v>0</v>
      </c>
      <c r="AD37" s="70">
        <f>AC37+AE37</f>
        <v>0</v>
      </c>
      <c r="AE37" s="74">
        <f>IF(AE36&gt;AC36,IF(AD71=AK7,1,IF(AD71=AK7-1,1,0)),0)</f>
        <v>0</v>
      </c>
    </row>
    <row r="38" spans="1:33" s="70" customFormat="1" ht="25.5" hidden="1" customHeight="1" x14ac:dyDescent="0.2">
      <c r="A38" s="73"/>
      <c r="D38" s="74"/>
      <c r="G38" s="74"/>
      <c r="J38" s="74"/>
      <c r="M38" s="74"/>
      <c r="P38" s="74"/>
      <c r="S38" s="74"/>
      <c r="V38" s="74"/>
      <c r="Y38" s="74"/>
      <c r="AB38" s="74"/>
      <c r="AE38" s="74"/>
    </row>
    <row r="39" spans="1:33" s="70" customFormat="1" ht="12.75" hidden="1" customHeight="1" x14ac:dyDescent="0.2">
      <c r="A39" s="70" t="s">
        <v>82</v>
      </c>
      <c r="B39" s="70">
        <f>IF(B31=1,B25,0)</f>
        <v>25</v>
      </c>
      <c r="D39" s="74">
        <f t="shared" ref="D39:E43" si="2">IF(D31=1,D25,0)</f>
        <v>0</v>
      </c>
      <c r="E39" s="70">
        <f t="shared" si="2"/>
        <v>25</v>
      </c>
      <c r="G39" s="74">
        <f t="shared" ref="G39:H43" si="3">IF(G31=1,G25,0)</f>
        <v>0</v>
      </c>
      <c r="H39" s="70">
        <f t="shared" si="3"/>
        <v>25</v>
      </c>
      <c r="J39" s="74">
        <f t="shared" ref="J39:K43" si="4">IF(J31=1,J25,0)</f>
        <v>0</v>
      </c>
      <c r="K39" s="70">
        <f t="shared" si="4"/>
        <v>25</v>
      </c>
      <c r="M39" s="74">
        <f t="shared" ref="M39:N43" si="5">IF(M31=1,M25,0)</f>
        <v>0</v>
      </c>
      <c r="N39" s="70">
        <f t="shared" si="5"/>
        <v>25</v>
      </c>
      <c r="P39" s="74">
        <f t="shared" ref="P39:Q43" si="6">IF(P31=1,P25,0)</f>
        <v>0</v>
      </c>
      <c r="Q39" s="70">
        <f t="shared" si="6"/>
        <v>25</v>
      </c>
      <c r="S39" s="74">
        <f t="shared" ref="S39:T43" si="7">IF(S31=1,S25,0)</f>
        <v>0</v>
      </c>
      <c r="T39" s="70">
        <f t="shared" si="7"/>
        <v>0</v>
      </c>
      <c r="V39" s="74">
        <f t="shared" ref="V39:W43" si="8">IF(V31=1,V25,0)</f>
        <v>0</v>
      </c>
      <c r="W39" s="70">
        <f t="shared" si="8"/>
        <v>0</v>
      </c>
      <c r="Y39" s="74">
        <f t="shared" ref="Y39:Z43" si="9">IF(Y31=1,Y25,0)</f>
        <v>0</v>
      </c>
      <c r="Z39" s="70">
        <f t="shared" si="9"/>
        <v>0</v>
      </c>
      <c r="AB39" s="74">
        <f t="shared" ref="AB39:AC43" si="10">IF(AB31=1,AB25,0)</f>
        <v>0</v>
      </c>
      <c r="AC39" s="70">
        <f t="shared" si="10"/>
        <v>0</v>
      </c>
      <c r="AE39" s="74">
        <f>IF(AE31=1,AE25,0)</f>
        <v>0</v>
      </c>
    </row>
    <row r="40" spans="1:33" s="70" customFormat="1" ht="12.75" hidden="1" customHeight="1" x14ac:dyDescent="0.2">
      <c r="A40" s="70" t="s">
        <v>83</v>
      </c>
      <c r="B40" s="70">
        <f>IF(B32=1,B26,0)</f>
        <v>0</v>
      </c>
      <c r="D40" s="74">
        <f t="shared" si="2"/>
        <v>25</v>
      </c>
      <c r="E40" s="70">
        <f t="shared" si="2"/>
        <v>25</v>
      </c>
      <c r="G40" s="74">
        <f t="shared" si="3"/>
        <v>0</v>
      </c>
      <c r="H40" s="70">
        <f t="shared" si="3"/>
        <v>0</v>
      </c>
      <c r="J40" s="74">
        <f t="shared" si="4"/>
        <v>25</v>
      </c>
      <c r="K40" s="70">
        <f t="shared" si="4"/>
        <v>25</v>
      </c>
      <c r="M40" s="74">
        <f t="shared" si="5"/>
        <v>0</v>
      </c>
      <c r="N40" s="70">
        <f t="shared" si="5"/>
        <v>0</v>
      </c>
      <c r="P40" s="74">
        <f t="shared" si="6"/>
        <v>25</v>
      </c>
      <c r="Q40" s="70">
        <f t="shared" si="6"/>
        <v>25</v>
      </c>
      <c r="S40" s="74">
        <f t="shared" si="7"/>
        <v>0</v>
      </c>
      <c r="T40" s="70">
        <f t="shared" si="7"/>
        <v>0</v>
      </c>
      <c r="V40" s="74">
        <f t="shared" si="8"/>
        <v>0</v>
      </c>
      <c r="W40" s="70">
        <f t="shared" si="8"/>
        <v>0</v>
      </c>
      <c r="Y40" s="74">
        <f t="shared" si="9"/>
        <v>0</v>
      </c>
      <c r="Z40" s="70">
        <f t="shared" si="9"/>
        <v>0</v>
      </c>
      <c r="AB40" s="74">
        <f t="shared" si="10"/>
        <v>0</v>
      </c>
      <c r="AC40" s="70">
        <f t="shared" si="10"/>
        <v>0</v>
      </c>
      <c r="AE40" s="74">
        <f>IF(AE32=1,AE26,0)</f>
        <v>0</v>
      </c>
    </row>
    <row r="41" spans="1:33" s="70" customFormat="1" ht="12.75" hidden="1" customHeight="1" x14ac:dyDescent="0.2">
      <c r="A41" s="70" t="s">
        <v>84</v>
      </c>
      <c r="B41" s="70">
        <f>IF(B33=1,B27,0)</f>
        <v>15</v>
      </c>
      <c r="D41" s="74">
        <f t="shared" si="2"/>
        <v>0</v>
      </c>
      <c r="E41" s="70">
        <f t="shared" si="2"/>
        <v>0</v>
      </c>
      <c r="G41" s="74">
        <f t="shared" si="3"/>
        <v>0</v>
      </c>
      <c r="H41" s="70">
        <f t="shared" si="3"/>
        <v>0</v>
      </c>
      <c r="J41" s="74">
        <f t="shared" si="4"/>
        <v>15</v>
      </c>
      <c r="K41" s="70">
        <f t="shared" si="4"/>
        <v>0</v>
      </c>
      <c r="M41" s="74">
        <f t="shared" si="5"/>
        <v>0</v>
      </c>
      <c r="N41" s="70">
        <f t="shared" si="5"/>
        <v>0</v>
      </c>
      <c r="P41" s="74">
        <f t="shared" si="6"/>
        <v>15</v>
      </c>
      <c r="Q41" s="70">
        <f t="shared" si="6"/>
        <v>0</v>
      </c>
      <c r="S41" s="74">
        <f t="shared" si="7"/>
        <v>0</v>
      </c>
      <c r="T41" s="70">
        <f t="shared" si="7"/>
        <v>0</v>
      </c>
      <c r="V41" s="74">
        <f t="shared" si="8"/>
        <v>0</v>
      </c>
      <c r="W41" s="70">
        <f t="shared" si="8"/>
        <v>0</v>
      </c>
      <c r="Y41" s="74">
        <f t="shared" si="9"/>
        <v>0</v>
      </c>
      <c r="Z41" s="70">
        <f t="shared" si="9"/>
        <v>0</v>
      </c>
      <c r="AB41" s="74">
        <f t="shared" si="10"/>
        <v>0</v>
      </c>
      <c r="AC41" s="70">
        <f t="shared" si="10"/>
        <v>0</v>
      </c>
      <c r="AE41" s="74">
        <f>IF(AE33=1,AE27,0)</f>
        <v>0</v>
      </c>
    </row>
    <row r="42" spans="1:33" s="70" customFormat="1" ht="12.75" hidden="1" customHeight="1" x14ac:dyDescent="0.2">
      <c r="A42" s="70" t="s">
        <v>85</v>
      </c>
      <c r="B42" s="70">
        <f>IF(B34=1,B28,0)</f>
        <v>0</v>
      </c>
      <c r="D42" s="74">
        <f t="shared" si="2"/>
        <v>0</v>
      </c>
      <c r="E42" s="70">
        <f t="shared" si="2"/>
        <v>0</v>
      </c>
      <c r="G42" s="74">
        <f t="shared" si="3"/>
        <v>0</v>
      </c>
      <c r="H42" s="70">
        <f t="shared" si="3"/>
        <v>0</v>
      </c>
      <c r="J42" s="74">
        <f t="shared" si="4"/>
        <v>0</v>
      </c>
      <c r="K42" s="70">
        <f t="shared" si="4"/>
        <v>0</v>
      </c>
      <c r="M42" s="74">
        <f t="shared" si="5"/>
        <v>0</v>
      </c>
      <c r="N42" s="70">
        <f t="shared" si="5"/>
        <v>0</v>
      </c>
      <c r="P42" s="74">
        <f t="shared" si="6"/>
        <v>0</v>
      </c>
      <c r="Q42" s="70">
        <f t="shared" si="6"/>
        <v>0</v>
      </c>
      <c r="S42" s="74">
        <f t="shared" si="7"/>
        <v>0</v>
      </c>
      <c r="T42" s="70">
        <f t="shared" si="7"/>
        <v>0</v>
      </c>
      <c r="V42" s="74">
        <f t="shared" si="8"/>
        <v>0</v>
      </c>
      <c r="W42" s="70">
        <f t="shared" si="8"/>
        <v>0</v>
      </c>
      <c r="Y42" s="74">
        <f t="shared" si="9"/>
        <v>0</v>
      </c>
      <c r="Z42" s="70">
        <f t="shared" si="9"/>
        <v>0</v>
      </c>
      <c r="AB42" s="74">
        <f t="shared" si="10"/>
        <v>0</v>
      </c>
      <c r="AC42" s="70">
        <f t="shared" si="10"/>
        <v>0</v>
      </c>
      <c r="AE42" s="74">
        <f>IF(AE34=1,AE28,0)</f>
        <v>0</v>
      </c>
    </row>
    <row r="43" spans="1:33" s="70" customFormat="1" ht="12.75" hidden="1" customHeight="1" x14ac:dyDescent="0.2">
      <c r="A43" s="70" t="s">
        <v>86</v>
      </c>
      <c r="B43" s="70">
        <f>IF(B35=1,B29,0)</f>
        <v>0</v>
      </c>
      <c r="D43" s="74">
        <f t="shared" si="2"/>
        <v>0</v>
      </c>
      <c r="E43" s="70">
        <f t="shared" si="2"/>
        <v>0</v>
      </c>
      <c r="G43" s="74">
        <f t="shared" si="3"/>
        <v>0</v>
      </c>
      <c r="H43" s="70">
        <f t="shared" si="3"/>
        <v>0</v>
      </c>
      <c r="J43" s="74">
        <f t="shared" si="4"/>
        <v>0</v>
      </c>
      <c r="K43" s="70">
        <f t="shared" si="4"/>
        <v>0</v>
      </c>
      <c r="M43" s="74">
        <f t="shared" si="5"/>
        <v>0</v>
      </c>
      <c r="N43" s="70">
        <f t="shared" si="5"/>
        <v>0</v>
      </c>
      <c r="P43" s="74">
        <f t="shared" si="6"/>
        <v>0</v>
      </c>
      <c r="Q43" s="70">
        <f t="shared" si="6"/>
        <v>0</v>
      </c>
      <c r="S43" s="74">
        <f t="shared" si="7"/>
        <v>0</v>
      </c>
      <c r="T43" s="70">
        <f t="shared" si="7"/>
        <v>0</v>
      </c>
      <c r="V43" s="74">
        <f t="shared" si="8"/>
        <v>0</v>
      </c>
      <c r="W43" s="70">
        <f t="shared" si="8"/>
        <v>0</v>
      </c>
      <c r="Y43" s="74">
        <f t="shared" si="9"/>
        <v>0</v>
      </c>
      <c r="Z43" s="70">
        <f t="shared" si="9"/>
        <v>0</v>
      </c>
      <c r="AB43" s="74">
        <f t="shared" si="10"/>
        <v>0</v>
      </c>
      <c r="AC43" s="70">
        <f t="shared" si="10"/>
        <v>0</v>
      </c>
      <c r="AE43" s="74">
        <f>IF(AE35=1,AE29,0)</f>
        <v>0</v>
      </c>
    </row>
    <row r="44" spans="1:33" s="70" customFormat="1" ht="38.25" hidden="1" customHeight="1" x14ac:dyDescent="0.2">
      <c r="A44" s="73" t="s">
        <v>87</v>
      </c>
      <c r="B44" s="70">
        <f>SUM(B39:D43)</f>
        <v>65</v>
      </c>
      <c r="D44" s="74"/>
      <c r="E44" s="70">
        <f>SUM(E39:G43)</f>
        <v>50</v>
      </c>
      <c r="G44" s="74"/>
      <c r="H44" s="70">
        <f>SUM(H39:J43)</f>
        <v>65</v>
      </c>
      <c r="J44" s="74"/>
      <c r="K44" s="70">
        <f>SUM(K39:M43)</f>
        <v>50</v>
      </c>
      <c r="M44" s="74"/>
      <c r="N44" s="70">
        <f>SUM(N39:P43)</f>
        <v>65</v>
      </c>
      <c r="P44" s="74"/>
      <c r="Q44" s="70">
        <f>SUM(Q39:S43)</f>
        <v>50</v>
      </c>
      <c r="S44" s="74"/>
      <c r="T44" s="70">
        <f>SUM(T39:V43)</f>
        <v>0</v>
      </c>
      <c r="V44" s="74"/>
      <c r="W44" s="70">
        <f>SUM(W39:Y43)</f>
        <v>0</v>
      </c>
      <c r="Y44" s="74"/>
      <c r="Z44" s="70">
        <f>SUM(Z39:AB43)</f>
        <v>0</v>
      </c>
      <c r="AB44" s="74"/>
      <c r="AC44" s="70">
        <f>SUM(AC39:AE43)</f>
        <v>0</v>
      </c>
      <c r="AE44" s="74"/>
    </row>
    <row r="45" spans="1:33" s="70" customFormat="1" ht="38.25" hidden="1" customHeight="1" x14ac:dyDescent="0.2">
      <c r="A45" s="70" t="s">
        <v>88</v>
      </c>
      <c r="D45" s="74"/>
      <c r="G45" s="74"/>
      <c r="J45" s="74"/>
      <c r="M45" s="74"/>
      <c r="P45" s="74"/>
      <c r="S45" s="74"/>
      <c r="V45" s="74"/>
      <c r="Y45" s="74"/>
      <c r="AB45" s="74"/>
      <c r="AE45" s="74"/>
      <c r="AF45" s="73" t="s">
        <v>89</v>
      </c>
      <c r="AG45" s="70" t="s">
        <v>90</v>
      </c>
    </row>
    <row r="46" spans="1:33" s="70" customFormat="1" ht="12.75" hidden="1" customHeight="1" x14ac:dyDescent="0.2">
      <c r="A46" s="70" t="s">
        <v>91</v>
      </c>
      <c r="B46" s="70">
        <f>IF(B24=1,IF(B37=1,1,0),0)</f>
        <v>0</v>
      </c>
      <c r="D46" s="74">
        <f>IF(D24=1,IF(D37=1,1,0),0)</f>
        <v>0</v>
      </c>
      <c r="E46" s="70">
        <f>IF(E24=1,IF(E37=1,1,0),0)</f>
        <v>1</v>
      </c>
      <c r="G46" s="74">
        <f>IF(G24=1,IF(G37=1,1,0),0)</f>
        <v>0</v>
      </c>
      <c r="H46" s="70">
        <f>IF(H24=1,IF(H37=1,1,0),0)</f>
        <v>0</v>
      </c>
      <c r="J46" s="74">
        <f>IF(J24=1,IF(J37=1,1,0),0)</f>
        <v>0</v>
      </c>
      <c r="K46" s="70">
        <f>IF(K24=1,IF(K37=1,1,0),0)</f>
        <v>1</v>
      </c>
      <c r="M46" s="74">
        <f>IF(M24=1,IF(M37=1,1,0),0)</f>
        <v>0</v>
      </c>
      <c r="N46" s="70">
        <f>IF(N24=1,IF(N37=1,1,0),0)</f>
        <v>0</v>
      </c>
      <c r="P46" s="74">
        <f>IF(P24=1,IF(P37=1,1,0),0)</f>
        <v>0</v>
      </c>
      <c r="Q46" s="70">
        <f>IF(Q24=1,IF(Q37=1,1,0),0)</f>
        <v>1</v>
      </c>
      <c r="S46" s="74">
        <f>IF(S24=1,IF(S37=1,1,0),0)</f>
        <v>0</v>
      </c>
      <c r="T46" s="70">
        <f>IF(T24=1,IF(T37=1,1,0),0)</f>
        <v>0</v>
      </c>
      <c r="V46" s="74">
        <f>IF(V24=1,IF(V37=1,1,0),0)</f>
        <v>0</v>
      </c>
      <c r="W46" s="70">
        <f>IF(W24=1,IF(W37=1,1,0),0)</f>
        <v>0</v>
      </c>
      <c r="Y46" s="74">
        <f>IF(Y24=1,IF(Y37=1,1,0),0)</f>
        <v>0</v>
      </c>
      <c r="Z46" s="70">
        <f>IF(Z24=1,IF(Z37=1,1,0),0)</f>
        <v>0</v>
      </c>
      <c r="AB46" s="74">
        <f>IF(AB24=1,IF(AB37=1,1,0),0)</f>
        <v>0</v>
      </c>
      <c r="AC46" s="70">
        <f>IF(AC24=1,IF(AC37=1,1,0),0)</f>
        <v>0</v>
      </c>
      <c r="AE46" s="74">
        <f>IF(AE24=1,IF(AE37=1,1,0),0)</f>
        <v>0</v>
      </c>
      <c r="AF46" s="70">
        <f>SUM(B46:AE46)</f>
        <v>3</v>
      </c>
      <c r="AG46" s="70">
        <f>AF52-AF46</f>
        <v>0</v>
      </c>
    </row>
    <row r="47" spans="1:33" s="70" customFormat="1" ht="12.75" hidden="1" customHeight="1" x14ac:dyDescent="0.2">
      <c r="A47" s="70" t="s">
        <v>92</v>
      </c>
      <c r="B47" s="70">
        <f>IF(B24=2,IF(B37=1,1,0),0)</f>
        <v>1</v>
      </c>
      <c r="D47" s="74">
        <f>IF(D24=2,IF(D37=1,1,0),0)</f>
        <v>0</v>
      </c>
      <c r="E47" s="70">
        <f>IF(E24=2,IF(E37=1,1,0),0)</f>
        <v>0</v>
      </c>
      <c r="G47" s="74">
        <f>IF(G24=2,IF(G37=1,1,0),0)</f>
        <v>0</v>
      </c>
      <c r="H47" s="70">
        <f>IF(H24=2,IF(H37=1,1,0),0)</f>
        <v>0</v>
      </c>
      <c r="J47" s="74">
        <f>IF(J24=2,IF(J37=1,1,0),0)</f>
        <v>0</v>
      </c>
      <c r="K47" s="70">
        <f>IF(K24=2,IF(K37=1,1,0),0)</f>
        <v>0</v>
      </c>
      <c r="M47" s="74">
        <f>IF(M24=2,IF(M37=1,1,0),0)</f>
        <v>0</v>
      </c>
      <c r="N47" s="70">
        <f>IF(N24=2,IF(N37=1,1,0),0)</f>
        <v>0</v>
      </c>
      <c r="P47" s="74">
        <f>IF(P24=2,IF(P37=1,1,0),0)</f>
        <v>0</v>
      </c>
      <c r="Q47" s="70">
        <f>IF(Q24=2,IF(Q37=1,1,0),0)</f>
        <v>0</v>
      </c>
      <c r="S47" s="74">
        <f>IF(S24=2,IF(S37=1,1,0),0)</f>
        <v>0</v>
      </c>
      <c r="T47" s="70">
        <f>IF(T24=2,IF(T37=1,1,0),0)</f>
        <v>0</v>
      </c>
      <c r="V47" s="74">
        <f>IF(V24=2,IF(V37=1,1,0),0)</f>
        <v>0</v>
      </c>
      <c r="W47" s="70">
        <f>IF(W24=2,IF(W37=1,1,0),0)</f>
        <v>0</v>
      </c>
      <c r="Y47" s="74">
        <f>IF(Y24=2,IF(Y37=1,1,0),0)</f>
        <v>0</v>
      </c>
      <c r="Z47" s="70">
        <f>IF(Z24=2,IF(Z37=1,1,0),0)</f>
        <v>0</v>
      </c>
      <c r="AB47" s="74">
        <f>IF(AB24=2,IF(AB37=1,1,0),0)</f>
        <v>0</v>
      </c>
      <c r="AC47" s="70">
        <f>IF(AC24=2,IF(AC37=1,1,0),0)</f>
        <v>0</v>
      </c>
      <c r="AE47" s="74">
        <f>IF(AE24=2,IF(AE37=1,1,0),0)</f>
        <v>0</v>
      </c>
      <c r="AF47" s="70">
        <f>SUM(B47:AE47)</f>
        <v>1</v>
      </c>
      <c r="AG47" s="70">
        <f>AF53-AF47</f>
        <v>2</v>
      </c>
    </row>
    <row r="48" spans="1:33" s="70" customFormat="1" ht="12.75" hidden="1" customHeight="1" x14ac:dyDescent="0.2">
      <c r="A48" s="70" t="s">
        <v>93</v>
      </c>
      <c r="B48" s="70">
        <f>IF(B24=3,IF(B37=1,1,0),0)</f>
        <v>0</v>
      </c>
      <c r="D48" s="74">
        <f>IF(D24=3,IF(D37=1,1,0),0)</f>
        <v>0</v>
      </c>
      <c r="E48" s="70">
        <f>IF(E24=3,IF(E37=1,1,0),0)</f>
        <v>0</v>
      </c>
      <c r="G48" s="74">
        <f>IF(G24=3,IF(G37=1,1,0),0)</f>
        <v>0</v>
      </c>
      <c r="H48" s="70">
        <f>IF(H24=3,IF(H37=1,1,0),0)</f>
        <v>0</v>
      </c>
      <c r="J48" s="74">
        <f>IF(J24=3,IF(J37=1,1,0),0)</f>
        <v>0</v>
      </c>
      <c r="K48" s="70">
        <f>IF(K24=3,IF(K37=1,1,0),0)</f>
        <v>0</v>
      </c>
      <c r="M48" s="74">
        <f>IF(M24=3,IF(M37=1,1,0),0)</f>
        <v>0</v>
      </c>
      <c r="N48" s="70">
        <f>IF(N24=3,IF(N37=1,1,0),0)</f>
        <v>0</v>
      </c>
      <c r="P48" s="74">
        <f>IF(P24=3,IF(P37=1,1,0),0)</f>
        <v>0</v>
      </c>
      <c r="Q48" s="70">
        <f>IF(Q24=3,IF(Q37=1,1,0),0)</f>
        <v>0</v>
      </c>
      <c r="S48" s="74">
        <f>IF(S24=3,IF(S37=1,1,0),0)</f>
        <v>0</v>
      </c>
      <c r="T48" s="70">
        <f>IF(T24=3,IF(T37=1,1,0),0)</f>
        <v>0</v>
      </c>
      <c r="V48" s="74">
        <f>IF(V24=3,IF(V37=1,1,0),0)</f>
        <v>0</v>
      </c>
      <c r="W48" s="70">
        <f>IF(W24=3,IF(W37=1,1,0),0)</f>
        <v>0</v>
      </c>
      <c r="Y48" s="74">
        <f>IF(Y24=3,IF(Y37=1,1,0),0)</f>
        <v>0</v>
      </c>
      <c r="Z48" s="70">
        <f>IF(Z24=3,IF(Z37=1,1,0),0)</f>
        <v>0</v>
      </c>
      <c r="AB48" s="74">
        <f>IF(AB24=3,IF(AB37=1,1,0),0)</f>
        <v>0</v>
      </c>
      <c r="AC48" s="70">
        <f>IF(AC24=3,IF(AC37=1,1,0),0)</f>
        <v>0</v>
      </c>
      <c r="AE48" s="74">
        <f>IF(AE24=3,IF(AE37=1,1,0),0)</f>
        <v>0</v>
      </c>
      <c r="AF48" s="70">
        <f>SUM(B48:AE48)</f>
        <v>0</v>
      </c>
      <c r="AG48" s="70">
        <f>AF54-AF48</f>
        <v>3</v>
      </c>
    </row>
    <row r="49" spans="1:37" s="70" customFormat="1" ht="12.75" hidden="1" customHeight="1" x14ac:dyDescent="0.2">
      <c r="A49" s="70" t="s">
        <v>94</v>
      </c>
      <c r="B49" s="70">
        <f>IF(B24=4,IF(B37=1,1,0),0)</f>
        <v>0</v>
      </c>
      <c r="D49" s="74">
        <f>IF(D24=4,IF(D37=1,1,0),0)</f>
        <v>0</v>
      </c>
      <c r="E49" s="70">
        <f>IF(E24=4,IF(E37=1,1,0),0)</f>
        <v>0</v>
      </c>
      <c r="G49" s="74">
        <f>IF(G24=4,IF(G37=1,1,0),0)</f>
        <v>0</v>
      </c>
      <c r="H49" s="70">
        <f>IF(H24=4,IF(H37=1,1,0),0)</f>
        <v>0</v>
      </c>
      <c r="J49" s="74">
        <f>IF(J24=4,IF(J37=1,1,0),0)</f>
        <v>1</v>
      </c>
      <c r="K49" s="70">
        <f>IF(K24=4,IF(K37=1,1,0),0)</f>
        <v>0</v>
      </c>
      <c r="M49" s="74">
        <f>IF(M24=4,IF(M37=1,1,0),0)</f>
        <v>0</v>
      </c>
      <c r="N49" s="70">
        <f>IF(N24=4,IF(N37=1,1,0),0)</f>
        <v>0</v>
      </c>
      <c r="P49" s="74">
        <f>IF(P24=4,IF(P37=1,1,0),0)</f>
        <v>1</v>
      </c>
      <c r="Q49" s="70">
        <f>IF(Q24=4,IF(Q37=1,1,0),0)</f>
        <v>0</v>
      </c>
      <c r="S49" s="74">
        <f>IF(S24=4,IF(S37=1,1,0),0)</f>
        <v>0</v>
      </c>
      <c r="T49" s="70">
        <f>IF(T24=4,IF(T37=1,1,0),0)</f>
        <v>0</v>
      </c>
      <c r="V49" s="74">
        <f>IF(V24=4,IF(V37=1,1,0),0)</f>
        <v>0</v>
      </c>
      <c r="W49" s="70">
        <f>IF(W24=4,IF(W37=1,1,0),0)</f>
        <v>0</v>
      </c>
      <c r="Y49" s="74">
        <f>IF(Y24=4,IF(Y37=1,1,0),0)</f>
        <v>0</v>
      </c>
      <c r="Z49" s="70">
        <f>IF(Z24=4,IF(Z37=1,1,0),0)</f>
        <v>0</v>
      </c>
      <c r="AB49" s="74">
        <f>IF(AB24=4,IF(AB37=1,1,0),0)</f>
        <v>0</v>
      </c>
      <c r="AC49" s="70">
        <f>IF(AC24=4,IF(AC37=1,1,0),0)</f>
        <v>0</v>
      </c>
      <c r="AE49" s="74">
        <f>IF(AE24=4,IF(AE37=1,1,0),0)</f>
        <v>0</v>
      </c>
      <c r="AF49" s="70">
        <f>SUM(B49:AE49)</f>
        <v>2</v>
      </c>
      <c r="AG49" s="70">
        <f>AF55-AF49</f>
        <v>1</v>
      </c>
    </row>
    <row r="50" spans="1:37" s="70" customFormat="1" ht="12.75" hidden="1" customHeight="1" x14ac:dyDescent="0.2">
      <c r="A50" s="70" t="s">
        <v>95</v>
      </c>
      <c r="B50" s="70">
        <f>IF(B24=5,IF(B37=1,1,0),0)</f>
        <v>0</v>
      </c>
      <c r="D50" s="74">
        <f>IF(D24=5,IF(D37=1,1,0),0)</f>
        <v>0</v>
      </c>
      <c r="E50" s="70">
        <f>IF(E24=5,IF(E37=1,1,0),0)</f>
        <v>0</v>
      </c>
      <c r="G50" s="74">
        <f>IF(G24=5,IF(G37=1,1,0),0)</f>
        <v>0</v>
      </c>
      <c r="H50" s="70">
        <f>IF(H24=5,IF(H37=1,1,0),0)</f>
        <v>0</v>
      </c>
      <c r="J50" s="74">
        <f>IF(J24=5,IF(J37=1,1,0),0)</f>
        <v>0</v>
      </c>
      <c r="K50" s="70">
        <f>IF(K24=5,IF(K37=1,1,0),0)</f>
        <v>0</v>
      </c>
      <c r="M50" s="74">
        <f>IF(M24=5,IF(M37=1,1,0),0)</f>
        <v>0</v>
      </c>
      <c r="N50" s="70">
        <f>IF(N24=5,IF(N37=1,1,0),0)</f>
        <v>0</v>
      </c>
      <c r="P50" s="74">
        <f>IF(P24=5,IF(P37=1,1,0),0)</f>
        <v>0</v>
      </c>
      <c r="Q50" s="70">
        <f>IF(Q24=5,IF(Q37=1,1,0),0)</f>
        <v>0</v>
      </c>
      <c r="S50" s="74">
        <f>IF(S24=5,IF(S37=1,1,0),0)</f>
        <v>0</v>
      </c>
      <c r="T50" s="70">
        <f>IF(T24=5,IF(T37=1,1,0),0)</f>
        <v>0</v>
      </c>
      <c r="V50" s="74">
        <f>IF(V24=5,IF(V37=1,1,0),0)</f>
        <v>0</v>
      </c>
      <c r="W50" s="70">
        <f>IF(W24=5,IF(W37=1,1,0),0)</f>
        <v>0</v>
      </c>
      <c r="Y50" s="74">
        <f>IF(Y24=5,IF(Y37=1,1,0),0)</f>
        <v>0</v>
      </c>
      <c r="Z50" s="70">
        <f>IF(Z24=5,IF(Z37=1,1,0),0)</f>
        <v>0</v>
      </c>
      <c r="AB50" s="74">
        <f>IF(AB24=5,IF(AB37=1,1,0),0)</f>
        <v>0</v>
      </c>
      <c r="AC50" s="70">
        <f>IF(AC24=5,IF(AC37=1,1,0),0)</f>
        <v>0</v>
      </c>
      <c r="AE50" s="74">
        <f>IF(AE24=5,IF(AE37=1,1,0),0)</f>
        <v>0</v>
      </c>
      <c r="AF50" s="70">
        <f>SUM(B50:AE50)</f>
        <v>0</v>
      </c>
      <c r="AG50" s="70">
        <f>AF56-AF50</f>
        <v>0</v>
      </c>
    </row>
    <row r="51" spans="1:37" s="70" customFormat="1" ht="38.25" hidden="1" customHeight="1" x14ac:dyDescent="0.2">
      <c r="A51" s="73"/>
      <c r="D51" s="74"/>
      <c r="G51" s="74"/>
      <c r="J51" s="74"/>
      <c r="M51" s="74"/>
      <c r="P51" s="74"/>
      <c r="S51" s="74"/>
      <c r="V51" s="74"/>
      <c r="Y51" s="74"/>
      <c r="AB51" s="74"/>
      <c r="AE51" s="74"/>
      <c r="AF51" s="73" t="s">
        <v>96</v>
      </c>
    </row>
    <row r="52" spans="1:37" s="70" customFormat="1" ht="12.75" hidden="1" customHeight="1" x14ac:dyDescent="0.2">
      <c r="A52" s="70" t="s">
        <v>97</v>
      </c>
      <c r="B52" s="70">
        <f>IF(B24=1,IF(C37=1,1,0),0)</f>
        <v>0</v>
      </c>
      <c r="D52" s="74">
        <f>IF(D24=1,IF(C37=1,1,0),0)</f>
        <v>0</v>
      </c>
      <c r="E52" s="70">
        <f>IF(E24=1,IF(F37=1,1,0),0)</f>
        <v>1</v>
      </c>
      <c r="G52" s="74">
        <f>IF(G24=1,IF(F37=1,1,0),0)</f>
        <v>0</v>
      </c>
      <c r="H52" s="70">
        <f>IF(H24=1,IF(I37=1,1,0),0)</f>
        <v>0</v>
      </c>
      <c r="J52" s="74">
        <f>IF(J24=1,IF(I37=1,1,0),0)</f>
        <v>0</v>
      </c>
      <c r="K52" s="70">
        <f>IF(K24=1,IF(L37=1,1,0),0)</f>
        <v>1</v>
      </c>
      <c r="M52" s="74">
        <f>IF(M24=1,IF(L37=1,1,0),0)</f>
        <v>0</v>
      </c>
      <c r="N52" s="70">
        <f>IF(N24=1,IF(O37=1,1,0),0)</f>
        <v>0</v>
      </c>
      <c r="P52" s="74">
        <f>IF(P24=1,IF(O37=1,1,0),0)</f>
        <v>0</v>
      </c>
      <c r="Q52" s="70">
        <f>IF(Q24=1,IF(R37=1,1,0),0)</f>
        <v>1</v>
      </c>
      <c r="S52" s="74">
        <f>IF(S24=1,IF(R37=1,1,0),0)</f>
        <v>0</v>
      </c>
      <c r="T52" s="70">
        <f>IF(T24=1,IF(U37=1,1,0),0)</f>
        <v>0</v>
      </c>
      <c r="V52" s="74">
        <f>IF(V24=1,IF(U37=1,1,0),0)</f>
        <v>0</v>
      </c>
      <c r="W52" s="70">
        <f>IF(W24=1,IF(X37=1,1,0),0)</f>
        <v>0</v>
      </c>
      <c r="Y52" s="74">
        <f>IF(Y24=1,IF(X37=1,1,0),0)</f>
        <v>0</v>
      </c>
      <c r="Z52" s="70">
        <f>IF(Z24=1,IF(AA37=1,1,0),0)</f>
        <v>0</v>
      </c>
      <c r="AB52" s="74">
        <f>IF(AB24=1,IF(AA37=1,1,0),0)</f>
        <v>0</v>
      </c>
      <c r="AC52" s="70">
        <f>IF(AC24=1,IF(AD37=1,1,0),0)</f>
        <v>0</v>
      </c>
      <c r="AE52" s="74">
        <f>IF(AE24=1,IF(AD37=1,1,0),0)</f>
        <v>0</v>
      </c>
      <c r="AF52" s="70">
        <f>SUM(B52:AE52)</f>
        <v>3</v>
      </c>
    </row>
    <row r="53" spans="1:37" s="70" customFormat="1" ht="12.75" hidden="1" customHeight="1" x14ac:dyDescent="0.2">
      <c r="A53" s="70" t="s">
        <v>98</v>
      </c>
      <c r="B53" s="70">
        <f>IF(B24=2,IF(C37=1,1,0),0)</f>
        <v>1</v>
      </c>
      <c r="D53" s="74">
        <f>IF(D24=2,IF(C37=1,1,0),0)</f>
        <v>0</v>
      </c>
      <c r="E53" s="70">
        <f>IF(E24=2,IF(F37=1,1,0),0)</f>
        <v>0</v>
      </c>
      <c r="G53" s="74">
        <f>IF(G24=2,IF(F37=1,1,0),0)</f>
        <v>0</v>
      </c>
      <c r="H53" s="70">
        <f>IF(H24=2,IF(I37=1,1,0),0)</f>
        <v>1</v>
      </c>
      <c r="J53" s="74">
        <f>IF(J24=2,IF(I37=1,1,0),0)</f>
        <v>0</v>
      </c>
      <c r="K53" s="70">
        <f>IF(K24=2,IF(L37=1,1,0),0)</f>
        <v>0</v>
      </c>
      <c r="M53" s="74">
        <f>IF(M24=2,IF(L37=1,1,0),0)</f>
        <v>0</v>
      </c>
      <c r="N53" s="70">
        <f>IF(N24=2,IF(O37=1,1,0),0)</f>
        <v>0</v>
      </c>
      <c r="P53" s="74">
        <f>IF(P24=2,IF(O37=1,1,0),0)</f>
        <v>0</v>
      </c>
      <c r="Q53" s="70">
        <f>IF(Q24=2,IF(R37=1,1,0),0)</f>
        <v>0</v>
      </c>
      <c r="S53" s="74">
        <f>IF(S24=2,IF(R37=1,1,0),0)</f>
        <v>1</v>
      </c>
      <c r="T53" s="70">
        <f>IF(T24=2,IF(U37=1,1,0),0)</f>
        <v>0</v>
      </c>
      <c r="V53" s="74">
        <f>IF(V24=2,IF(U37=1,1,0),0)</f>
        <v>0</v>
      </c>
      <c r="W53" s="70">
        <f>IF(W24=2,IF(X37=1,1,0),0)</f>
        <v>0</v>
      </c>
      <c r="Y53" s="74">
        <f>IF(Y24=2,IF(X37=1,1,0),0)</f>
        <v>0</v>
      </c>
      <c r="Z53" s="70">
        <f>IF(Z24=2,IF(AA37=1,1,0),0)</f>
        <v>0</v>
      </c>
      <c r="AB53" s="74">
        <f>IF(AB24=2,IF(AA37=1,1,0),0)</f>
        <v>0</v>
      </c>
      <c r="AC53" s="70">
        <f>IF(AC24=2,IF(AD37=1,1,0),0)</f>
        <v>0</v>
      </c>
      <c r="AE53" s="74">
        <f>IF(AE24=2,IF(AD37=1,1,0),0)</f>
        <v>0</v>
      </c>
      <c r="AF53" s="70">
        <f>SUM(B53:AE53)</f>
        <v>3</v>
      </c>
    </row>
    <row r="54" spans="1:37" s="70" customFormat="1" ht="12.75" hidden="1" customHeight="1" x14ac:dyDescent="0.2">
      <c r="A54" s="70" t="s">
        <v>99</v>
      </c>
      <c r="B54" s="70">
        <f>IF(B24=3,IF(C37=1,1,0),0)</f>
        <v>0</v>
      </c>
      <c r="D54" s="74">
        <f>IF(D24=3,IF(C37=1,1,0),0)</f>
        <v>1</v>
      </c>
      <c r="E54" s="70">
        <f>IF(E24=3,IF(F37=1,1,0),0)</f>
        <v>0</v>
      </c>
      <c r="G54" s="74">
        <f>IF(G24=3,IF(F37=1,1,0),0)</f>
        <v>0</v>
      </c>
      <c r="H54" s="70">
        <f>IF(H24=3,IF(I37=1,1,0),0)</f>
        <v>0</v>
      </c>
      <c r="J54" s="74">
        <f>IF(J24=3,IF(I37=1,1,0),0)</f>
        <v>0</v>
      </c>
      <c r="K54" s="70">
        <f>IF(K24=3,IF(L37=1,1,0),0)</f>
        <v>0</v>
      </c>
      <c r="M54" s="74">
        <f>IF(M24=3,IF(L37=1,1,0),0)</f>
        <v>1</v>
      </c>
      <c r="N54" s="70">
        <f>IF(N24=3,IF(O37=1,1,0),0)</f>
        <v>1</v>
      </c>
      <c r="P54" s="74">
        <f>IF(P24=3,IF(O37=1,1,0),0)</f>
        <v>0</v>
      </c>
      <c r="Q54" s="70">
        <f>IF(Q24=3,IF(R37=1,1,0),0)</f>
        <v>0</v>
      </c>
      <c r="S54" s="74">
        <f>IF(S24=3,IF(R37=1,1,0),0)</f>
        <v>0</v>
      </c>
      <c r="T54" s="70">
        <f>IF(T24=3,IF(U37=1,1,0),0)</f>
        <v>0</v>
      </c>
      <c r="V54" s="74">
        <f>IF(V24=3,IF(U37=1,1,0),0)</f>
        <v>0</v>
      </c>
      <c r="W54" s="70">
        <f>IF(W24=3,IF(X37=1,1,0),0)</f>
        <v>0</v>
      </c>
      <c r="Y54" s="74">
        <f>IF(Y24=3,IF(X37=1,1,0),0)</f>
        <v>0</v>
      </c>
      <c r="Z54" s="70">
        <f>IF(Z24=3,IF(AA37=1,1,0),0)</f>
        <v>0</v>
      </c>
      <c r="AB54" s="74">
        <f>IF(AB24=3,IF(AA37=1,1,0),0)</f>
        <v>0</v>
      </c>
      <c r="AC54" s="70">
        <f>IF(AC24=3,IF(AD37=1,1,0),0)</f>
        <v>0</v>
      </c>
      <c r="AE54" s="74">
        <f>IF(AE24=3,IF(AD37=1,1,0),0)</f>
        <v>0</v>
      </c>
      <c r="AF54" s="70">
        <f>SUM(B54:AE54)</f>
        <v>3</v>
      </c>
    </row>
    <row r="55" spans="1:37" s="70" customFormat="1" ht="12.75" hidden="1" customHeight="1" x14ac:dyDescent="0.2">
      <c r="A55" s="70" t="s">
        <v>100</v>
      </c>
      <c r="B55" s="70">
        <f>IF(B24=4,IF(C37=1,1,0),0)</f>
        <v>0</v>
      </c>
      <c r="D55" s="74">
        <f>IF(D24=4,IF(C37=1,1,0),0)</f>
        <v>0</v>
      </c>
      <c r="E55" s="70">
        <f>IF(E24=4,IF(F37=1,1,0),0)</f>
        <v>0</v>
      </c>
      <c r="G55" s="74">
        <f>IF(G24=4,IF(F37=1,1,0),0)</f>
        <v>1</v>
      </c>
      <c r="H55" s="70">
        <f>IF(H24=4,IF(I37=1,1,0),0)</f>
        <v>0</v>
      </c>
      <c r="J55" s="74">
        <f>IF(J24=4,IF(I37=1,1,0),0)</f>
        <v>1</v>
      </c>
      <c r="K55" s="70">
        <f>IF(K24=4,IF(L37=1,1,0),0)</f>
        <v>0</v>
      </c>
      <c r="M55" s="74">
        <f>IF(M24=4,IF(L37=1,1,0),0)</f>
        <v>0</v>
      </c>
      <c r="N55" s="70">
        <f>IF(N24=4,IF(O37=1,1,0),0)</f>
        <v>0</v>
      </c>
      <c r="P55" s="74">
        <f>IF(P24=4,IF(O37=1,1,0),0)</f>
        <v>1</v>
      </c>
      <c r="Q55" s="70">
        <f>IF(Q24=4,IF(R37=1,1,0),0)</f>
        <v>0</v>
      </c>
      <c r="S55" s="74">
        <f>IF(S24=4,IF(R37=1,1,0),0)</f>
        <v>0</v>
      </c>
      <c r="T55" s="70">
        <f>IF(T24=4,IF(U37=1,1,0),0)</f>
        <v>0</v>
      </c>
      <c r="V55" s="74">
        <f>IF(V24=4,IF(U37=1,1,0),0)</f>
        <v>0</v>
      </c>
      <c r="W55" s="70">
        <f>IF(W24=4,IF(X37=1,1,0),0)</f>
        <v>0</v>
      </c>
      <c r="Y55" s="74">
        <f>IF(Y24=4,IF(X37=1,1,0),0)</f>
        <v>0</v>
      </c>
      <c r="Z55" s="70">
        <f>IF(Z24=4,IF(AA37=1,1,0),0)</f>
        <v>0</v>
      </c>
      <c r="AB55" s="74">
        <f>IF(AB24=4,IF(AA37=1,1,0),0)</f>
        <v>0</v>
      </c>
      <c r="AC55" s="70">
        <f>IF(AC24=4,IF(AD37=1,1,0),0)</f>
        <v>0</v>
      </c>
      <c r="AE55" s="74">
        <f>IF(AE24=4,IF(AD37=1,1,0),0)</f>
        <v>0</v>
      </c>
      <c r="AF55" s="70">
        <f>SUM(B55:AE55)</f>
        <v>3</v>
      </c>
    </row>
    <row r="56" spans="1:37" s="70" customFormat="1" ht="12.75" hidden="1" customHeight="1" x14ac:dyDescent="0.2">
      <c r="A56" s="70" t="s">
        <v>101</v>
      </c>
      <c r="B56" s="70">
        <f>IF(B24=5,IF(C37=1,1,0),0)</f>
        <v>0</v>
      </c>
      <c r="D56" s="74">
        <f>IF(D24=5,IF(C37=1,1,0),0)</f>
        <v>0</v>
      </c>
      <c r="E56" s="70">
        <f>IF(E24=5,IF(F37=1,1,0),0)</f>
        <v>0</v>
      </c>
      <c r="G56" s="74">
        <f>IF(G24=5,IF(F37=1,1,0),0)</f>
        <v>0</v>
      </c>
      <c r="H56" s="70">
        <f>IF(H24=5,IF(I37=1,1,0),0)</f>
        <v>0</v>
      </c>
      <c r="J56" s="74">
        <f>IF(J24=5,IF(I37=1,1,0),0)</f>
        <v>0</v>
      </c>
      <c r="K56" s="70">
        <f>IF(K24=5,IF(L37=1,1,0),0)</f>
        <v>0</v>
      </c>
      <c r="M56" s="74">
        <f>IF(M24=5,IF(L37=1,1,0),0)</f>
        <v>0</v>
      </c>
      <c r="N56" s="70">
        <f>IF(N24=5,IF(O37=1,1,0),0)</f>
        <v>0</v>
      </c>
      <c r="P56" s="74">
        <f>IF(P24=5,IF(O37=1,1,0),0)</f>
        <v>0</v>
      </c>
      <c r="Q56" s="70">
        <f>IF(Q24=5,IF(R37=1,1,0),0)</f>
        <v>0</v>
      </c>
      <c r="S56" s="74">
        <f>IF(S24=5,IF(R37=1,1,0),0)</f>
        <v>0</v>
      </c>
      <c r="T56" s="70">
        <f>IF(T24=5,IF(U37=1,1,0),0)</f>
        <v>0</v>
      </c>
      <c r="V56" s="74">
        <f>IF(V24=5,IF(U37=1,1,0),0)</f>
        <v>0</v>
      </c>
      <c r="W56" s="70">
        <f>IF(W24=5,IF(X37=1,1,0),0)</f>
        <v>0</v>
      </c>
      <c r="Y56" s="74">
        <f>IF(Y24=5,IF(X37=1,1,0),0)</f>
        <v>0</v>
      </c>
      <c r="Z56" s="70">
        <f>IF(Z24=5,IF(AA37=1,1,0),0)</f>
        <v>0</v>
      </c>
      <c r="AB56" s="74">
        <f>IF(AB24=5,IF(AA37=1,1,0),0)</f>
        <v>0</v>
      </c>
      <c r="AC56" s="70">
        <f>IF(AC24=5,IF(AD37=1,1,0),0)</f>
        <v>0</v>
      </c>
      <c r="AE56" s="74">
        <f>IF(AE24=5,IF(AD37=1,1,0),0)</f>
        <v>0</v>
      </c>
      <c r="AF56" s="70">
        <f>SUM(B56:AE56)</f>
        <v>0</v>
      </c>
    </row>
    <row r="57" spans="1:37" s="70" customFormat="1" ht="38.25" hidden="1" customHeight="1" x14ac:dyDescent="0.2">
      <c r="A57" s="73"/>
      <c r="D57" s="74"/>
      <c r="G57" s="74"/>
      <c r="J57" s="74"/>
      <c r="M57" s="74"/>
      <c r="P57" s="74"/>
      <c r="S57" s="74"/>
      <c r="V57" s="74"/>
      <c r="Y57" s="74"/>
      <c r="AB57" s="74"/>
      <c r="AE57" s="74"/>
      <c r="AF57" s="73" t="s">
        <v>102</v>
      </c>
      <c r="AG57" s="280"/>
      <c r="AH57" s="280"/>
      <c r="AI57" s="280"/>
      <c r="AJ57" s="280"/>
      <c r="AK57" s="280"/>
    </row>
    <row r="58" spans="1:37" s="70" customFormat="1" ht="12.75" hidden="1" customHeight="1" x14ac:dyDescent="0.2">
      <c r="A58" s="70" t="s">
        <v>97</v>
      </c>
      <c r="B58" s="70">
        <f>IF(B24=1,B44,0)</f>
        <v>0</v>
      </c>
      <c r="D58" s="74">
        <f>IF(D24=1,B44,0)</f>
        <v>0</v>
      </c>
      <c r="E58" s="70">
        <f>IF(E24=1,E44,0)</f>
        <v>50</v>
      </c>
      <c r="G58" s="74">
        <f>IF(G24=1,E44,0)</f>
        <v>0</v>
      </c>
      <c r="H58" s="70">
        <f>IF(H24=1,H44,0)</f>
        <v>0</v>
      </c>
      <c r="J58" s="74">
        <f>IF(J24=1,H44,0)</f>
        <v>0</v>
      </c>
      <c r="K58" s="70">
        <f>IF(K24=1,K44,0)</f>
        <v>50</v>
      </c>
      <c r="M58" s="74">
        <f>IF(M24=1,K44,0)</f>
        <v>0</v>
      </c>
      <c r="N58" s="70">
        <f>IF(N24=1,N44,0)</f>
        <v>0</v>
      </c>
      <c r="P58" s="74">
        <f>IF(P24=1,N44,0)</f>
        <v>0</v>
      </c>
      <c r="Q58" s="70">
        <f>IF(Q24=1,Q44,0)</f>
        <v>50</v>
      </c>
      <c r="S58" s="74">
        <f>IF(S24=1,Q44,0)</f>
        <v>0</v>
      </c>
      <c r="T58" s="70">
        <f>IF(T24=1,T44,0)</f>
        <v>0</v>
      </c>
      <c r="V58" s="74">
        <f>IF(V24=1,T44,0)</f>
        <v>0</v>
      </c>
      <c r="W58" s="70">
        <f>IF(W24=1,W44,0)</f>
        <v>0</v>
      </c>
      <c r="Y58" s="74">
        <f>IF(Y24=1,W44,0)</f>
        <v>0</v>
      </c>
      <c r="Z58" s="70">
        <f>IF(Z24=1,Z44,0)</f>
        <v>0</v>
      </c>
      <c r="AB58" s="74">
        <f>IF(AB24=1,Z44,0)</f>
        <v>0</v>
      </c>
      <c r="AC58" s="70">
        <f>IF(AC24=1,AC44,0)</f>
        <v>0</v>
      </c>
      <c r="AE58" s="74">
        <f>IF(AE24=1,AC44,0)</f>
        <v>0</v>
      </c>
      <c r="AF58" s="70">
        <f>SUM(B58:AE58)</f>
        <v>150</v>
      </c>
    </row>
    <row r="59" spans="1:37" s="70" customFormat="1" ht="12.75" hidden="1" customHeight="1" x14ac:dyDescent="0.2">
      <c r="A59" s="70" t="s">
        <v>98</v>
      </c>
      <c r="B59" s="70">
        <f>IF(B24=2,B44,0)</f>
        <v>65</v>
      </c>
      <c r="D59" s="74">
        <f>IF(D24=2,B44,0)</f>
        <v>0</v>
      </c>
      <c r="E59" s="70">
        <f>IF(E24=2,E44,0)</f>
        <v>0</v>
      </c>
      <c r="G59" s="74">
        <f>IF(G24=2,E44,0)</f>
        <v>0</v>
      </c>
      <c r="H59" s="70">
        <f>IF(H24=2,H44,0)</f>
        <v>65</v>
      </c>
      <c r="J59" s="74">
        <f>IF(J24=2,H44,0)</f>
        <v>0</v>
      </c>
      <c r="K59" s="70">
        <f>IF(K24=2,K44,0)</f>
        <v>0</v>
      </c>
      <c r="M59" s="74">
        <f>IF(M24=2,K44,0)</f>
        <v>0</v>
      </c>
      <c r="N59" s="70">
        <f>IF(N24=2,N44,0)</f>
        <v>0</v>
      </c>
      <c r="P59" s="74">
        <f>IF(P24=2,N44,0)</f>
        <v>0</v>
      </c>
      <c r="Q59" s="70">
        <f>IF(Q24=2,Q44,0)</f>
        <v>0</v>
      </c>
      <c r="S59" s="74">
        <f>IF(S24=2,Q44,0)</f>
        <v>50</v>
      </c>
      <c r="T59" s="70">
        <f>IF(T24=2,T44,0)</f>
        <v>0</v>
      </c>
      <c r="V59" s="74">
        <f>IF(V24=2,T44,0)</f>
        <v>0</v>
      </c>
      <c r="W59" s="70">
        <f>IF(W24=2,W44,0)</f>
        <v>0</v>
      </c>
      <c r="Y59" s="74">
        <f>IF(Y24=2,W44,0)</f>
        <v>0</v>
      </c>
      <c r="Z59" s="70">
        <f>IF(Z24=2,Z44,0)</f>
        <v>0</v>
      </c>
      <c r="AB59" s="74">
        <f>IF(AB24=2,Z44,0)</f>
        <v>0</v>
      </c>
      <c r="AC59" s="70">
        <f>IF(AC24=2,AC44,0)</f>
        <v>0</v>
      </c>
      <c r="AE59" s="74">
        <f>IF(AE24=2,AC44,0)</f>
        <v>0</v>
      </c>
      <c r="AF59" s="70">
        <f>SUM(B59:AE59)</f>
        <v>180</v>
      </c>
    </row>
    <row r="60" spans="1:37" s="70" customFormat="1" ht="12.75" hidden="1" customHeight="1" x14ac:dyDescent="0.2">
      <c r="A60" s="70" t="s">
        <v>99</v>
      </c>
      <c r="B60" s="70">
        <f>IF(B24=3,B44,0)</f>
        <v>0</v>
      </c>
      <c r="D60" s="74">
        <f>IF(D24=3,B44,0)</f>
        <v>65</v>
      </c>
      <c r="E60" s="70">
        <f>IF(E24=3,E44,0)</f>
        <v>0</v>
      </c>
      <c r="G60" s="74">
        <f>IF(G24=3,E44,0)</f>
        <v>0</v>
      </c>
      <c r="H60" s="70">
        <f>IF(H24=3,H44,0)</f>
        <v>0</v>
      </c>
      <c r="J60" s="74">
        <f>IF(J24=3,H44,0)</f>
        <v>0</v>
      </c>
      <c r="K60" s="70">
        <f>IF(K24=3,K44,0)</f>
        <v>0</v>
      </c>
      <c r="M60" s="74">
        <f>IF(M24=3,K44,0)</f>
        <v>50</v>
      </c>
      <c r="N60" s="70">
        <f>IF(N24=3,N44,0)</f>
        <v>65</v>
      </c>
      <c r="P60" s="74">
        <f>IF(P24=3,N44,0)</f>
        <v>0</v>
      </c>
      <c r="Q60" s="70">
        <f>IF(Q24=3,Q44,0)</f>
        <v>0</v>
      </c>
      <c r="S60" s="74">
        <f>IF(S24=3,Q44,0)</f>
        <v>0</v>
      </c>
      <c r="T60" s="70">
        <f>IF(T24=3,T44,0)</f>
        <v>0</v>
      </c>
      <c r="V60" s="74">
        <f>IF(V24=3,T44,0)</f>
        <v>0</v>
      </c>
      <c r="W60" s="70">
        <f>IF(W24=3,W44,0)</f>
        <v>0</v>
      </c>
      <c r="Y60" s="74">
        <f>IF(Y24=3,W44,0)</f>
        <v>0</v>
      </c>
      <c r="Z60" s="70">
        <f>IF(Z24=3,Z44,0)</f>
        <v>0</v>
      </c>
      <c r="AB60" s="74">
        <f>IF(AB24=3,Z44,0)</f>
        <v>0</v>
      </c>
      <c r="AC60" s="70">
        <f>IF(AC24=3,AC44,0)</f>
        <v>0</v>
      </c>
      <c r="AE60" s="74">
        <f>IF(AE24=3,AC44,0)</f>
        <v>0</v>
      </c>
      <c r="AF60" s="70">
        <f>SUM(B60:AE60)</f>
        <v>180</v>
      </c>
    </row>
    <row r="61" spans="1:37" s="70" customFormat="1" ht="12.75" hidden="1" customHeight="1" x14ac:dyDescent="0.2">
      <c r="A61" s="70" t="s">
        <v>100</v>
      </c>
      <c r="B61" s="70">
        <f>IF(B24=4,B44,0)</f>
        <v>0</v>
      </c>
      <c r="D61" s="74">
        <f>IF(D24=4,B44,0)</f>
        <v>0</v>
      </c>
      <c r="E61" s="70">
        <f>IF(E24=4,E44,0)</f>
        <v>0</v>
      </c>
      <c r="G61" s="74">
        <f>IF(G24=4,E44,0)</f>
        <v>50</v>
      </c>
      <c r="H61" s="70">
        <f>IF(H24=4,H44,0)</f>
        <v>0</v>
      </c>
      <c r="J61" s="74">
        <f>IF(J24=4,H44,0)</f>
        <v>65</v>
      </c>
      <c r="K61" s="70">
        <f>IF(K24=4,K44,0)</f>
        <v>0</v>
      </c>
      <c r="M61" s="74">
        <f>IF(M24=4,K44,0)</f>
        <v>0</v>
      </c>
      <c r="N61" s="70">
        <f>IF(N24=4,N44,0)</f>
        <v>0</v>
      </c>
      <c r="P61" s="74">
        <f>IF(P24=4,N44,0)</f>
        <v>65</v>
      </c>
      <c r="Q61" s="70">
        <f>IF(Q24=4,Q44,0)</f>
        <v>0</v>
      </c>
      <c r="S61" s="74">
        <f>IF(S24=4,Q44,0)</f>
        <v>0</v>
      </c>
      <c r="T61" s="70">
        <f>IF(T24=4,T44,0)</f>
        <v>0</v>
      </c>
      <c r="V61" s="74">
        <f>IF(V24=4,T44,0)</f>
        <v>0</v>
      </c>
      <c r="W61" s="70">
        <f>IF(W24=4,W44,0)</f>
        <v>0</v>
      </c>
      <c r="Y61" s="74">
        <f>IF(Y24=4,W44,0)</f>
        <v>0</v>
      </c>
      <c r="Z61" s="70">
        <f>IF(Z24=4,Z44,0)</f>
        <v>0</v>
      </c>
      <c r="AB61" s="74">
        <f>IF(AB24=4,Z44,0)</f>
        <v>0</v>
      </c>
      <c r="AC61" s="70">
        <f>IF(AC24=4,AC44,0)</f>
        <v>0</v>
      </c>
      <c r="AE61" s="74">
        <f>IF(AE24=4,AC44,0)</f>
        <v>0</v>
      </c>
      <c r="AF61" s="70">
        <f>SUM(B61:AE61)</f>
        <v>180</v>
      </c>
    </row>
    <row r="62" spans="1:37" s="70" customFormat="1" ht="12.75" hidden="1" customHeight="1" x14ac:dyDescent="0.2">
      <c r="A62" s="70" t="s">
        <v>101</v>
      </c>
      <c r="B62" s="70">
        <f>IF(B24=5,B44,0)</f>
        <v>0</v>
      </c>
      <c r="D62" s="74">
        <f>IF(D24=5,B44,0)</f>
        <v>0</v>
      </c>
      <c r="E62" s="70">
        <f>IF(E24=5,E44,0)</f>
        <v>0</v>
      </c>
      <c r="G62" s="74">
        <f>IF(G24=5,E44,0)</f>
        <v>0</v>
      </c>
      <c r="H62" s="70">
        <f>IF(H24=5,H44,0)</f>
        <v>0</v>
      </c>
      <c r="J62" s="74">
        <f>IF(J24=5,H44,0)</f>
        <v>0</v>
      </c>
      <c r="K62" s="70">
        <f>IF(K24=5,K44,0)</f>
        <v>0</v>
      </c>
      <c r="M62" s="74">
        <f>IF(M24=5,K44,0)</f>
        <v>0</v>
      </c>
      <c r="N62" s="70">
        <f>IF(N24=5,N44,0)</f>
        <v>0</v>
      </c>
      <c r="P62" s="74">
        <f>IF(P24=5,N44,0)</f>
        <v>0</v>
      </c>
      <c r="Q62" s="70">
        <f>IF(Q24=5,Q44,0)</f>
        <v>0</v>
      </c>
      <c r="S62" s="74">
        <f>IF(S24=5,Q44,0)</f>
        <v>0</v>
      </c>
      <c r="T62" s="70">
        <f>IF(T24=5,T44,0)</f>
        <v>0</v>
      </c>
      <c r="V62" s="74">
        <f>IF(V24=5,T44,0)</f>
        <v>0</v>
      </c>
      <c r="W62" s="70">
        <f>IF(W24=5,W44,0)</f>
        <v>0</v>
      </c>
      <c r="Y62" s="74">
        <f>IF(Y24=5,W44,0)</f>
        <v>0</v>
      </c>
      <c r="Z62" s="70">
        <f>IF(Z24=5,Z44,0)</f>
        <v>0</v>
      </c>
      <c r="AB62" s="74">
        <f>IF(AB24=5,Z44,0)</f>
        <v>0</v>
      </c>
      <c r="AC62" s="70">
        <f>IF(AC24=5,AC44,0)</f>
        <v>0</v>
      </c>
      <c r="AE62" s="74">
        <f>IF(AE24=5,AC44,0)</f>
        <v>0</v>
      </c>
      <c r="AF62" s="70">
        <f>SUM(B62:AE62)</f>
        <v>0</v>
      </c>
    </row>
    <row r="63" spans="1:37" s="70" customFormat="1" ht="38.25" hidden="1" customHeight="1" x14ac:dyDescent="0.2">
      <c r="A63" s="70" t="s">
        <v>103</v>
      </c>
      <c r="D63" s="74"/>
      <c r="G63" s="74"/>
      <c r="J63" s="74"/>
      <c r="M63" s="74"/>
      <c r="P63" s="74"/>
      <c r="S63" s="74"/>
      <c r="V63" s="74"/>
      <c r="Y63" s="74"/>
      <c r="AB63" s="74"/>
      <c r="AE63" s="74"/>
      <c r="AF63" s="73" t="s">
        <v>104</v>
      </c>
      <c r="AG63" s="70" t="s">
        <v>105</v>
      </c>
    </row>
    <row r="64" spans="1:37" s="70" customFormat="1" ht="12.75" hidden="1" customHeight="1" x14ac:dyDescent="0.2">
      <c r="A64" s="70" t="s">
        <v>91</v>
      </c>
      <c r="B64" s="70">
        <f>IF(B24=1,SUMIF(B31:B35,"&gt;0"),0)</f>
        <v>0</v>
      </c>
      <c r="D64" s="74">
        <f>IF(D24=1,SUMIF(D31:D35,"&gt;0"),0)</f>
        <v>0</v>
      </c>
      <c r="E64" s="70">
        <f>IF(E24=1,SUMIF(E31:E35,"&gt;0"),0)</f>
        <v>2</v>
      </c>
      <c r="G64" s="74">
        <f>IF(G24=1,SUMIF(G31:G35,"&gt;0"),0)</f>
        <v>0</v>
      </c>
      <c r="H64" s="70">
        <f>IF(H24=1,SUMIF(H31:H35,"&gt;0"),0)</f>
        <v>0</v>
      </c>
      <c r="J64" s="74">
        <f>IF(J24=1,SUMIF(J31:J35,"&gt;0"),0)</f>
        <v>0</v>
      </c>
      <c r="K64" s="70">
        <f>IF(K24=1,SUMIF(K31:K35,"&gt;0"),0)</f>
        <v>2</v>
      </c>
      <c r="M64" s="74">
        <f>IF(M24=1,SUMIF(M31:M35,"&gt;0"),0)</f>
        <v>0</v>
      </c>
      <c r="N64" s="70">
        <f>IF(N24=1,SUMIF(N31:N35,"&gt;0"),0)</f>
        <v>0</v>
      </c>
      <c r="P64" s="74">
        <f>IF(P24=1,SUMIF(P31:P35,"&gt;0"),0)</f>
        <v>0</v>
      </c>
      <c r="Q64" s="70">
        <f>IF(Q24=1,SUMIF(Q31:Q35,"&gt;0"),0)</f>
        <v>2</v>
      </c>
      <c r="S64" s="74">
        <f>IF(S24=1,SUMIF(S31:S35,"&gt;0"),0)</f>
        <v>0</v>
      </c>
      <c r="T64" s="70">
        <f>IF(T24=1,SUMIF(T31:T35,"&gt;0"),0)</f>
        <v>0</v>
      </c>
      <c r="V64" s="74">
        <f>IF(V24=1,SUMIF(V31:V35,"&gt;0"),0)</f>
        <v>0</v>
      </c>
      <c r="W64" s="70">
        <f>IF(W24=1,SUMIF(W31:W35,"&gt;0"),0)</f>
        <v>0</v>
      </c>
      <c r="Y64" s="74">
        <f>IF(Y24=1,SUMIF(Y31:Y35,"&gt;0"),0)</f>
        <v>0</v>
      </c>
      <c r="Z64" s="70">
        <f>IF(Z24=1,SUMIF(Z31:Z35,"&gt;0"),0)</f>
        <v>0</v>
      </c>
      <c r="AB64" s="74">
        <f>IF(AB24=1,SUMIF(AB31:AB35,"&gt;0"),0)</f>
        <v>0</v>
      </c>
      <c r="AC64" s="70">
        <f>IF(AC24=1,SUMIF(AC31:AC35,"&gt;0"),0)</f>
        <v>0</v>
      </c>
      <c r="AE64" s="74">
        <f>IF(AE24=1,SUMIF(AE31:AE35,"&gt;0"),0)</f>
        <v>0</v>
      </c>
      <c r="AF64" s="70">
        <f>SUM(B64:AE64)</f>
        <v>6</v>
      </c>
      <c r="AG64" s="70">
        <f>AF72-AF64</f>
        <v>0</v>
      </c>
    </row>
    <row r="65" spans="1:54" s="70" customFormat="1" ht="12.75" hidden="1" customHeight="1" x14ac:dyDescent="0.2">
      <c r="A65" s="70" t="s">
        <v>92</v>
      </c>
      <c r="B65" s="70">
        <f>IF(B24=2,SUMIF(B31:B35,"&gt;0"),0)</f>
        <v>2</v>
      </c>
      <c r="D65" s="74">
        <f>IF(D24=2,SUMIF(D31:D35,"&gt;0"),0)</f>
        <v>0</v>
      </c>
      <c r="E65" s="70">
        <f>IF(E24=2,SUMIF(E31:E35,"&gt;0"),0)</f>
        <v>0</v>
      </c>
      <c r="G65" s="74">
        <f>IF(G24=2,SUMIF(G31:G35,"&gt;0"),0)</f>
        <v>0</v>
      </c>
      <c r="H65" s="70">
        <f>IF(H24=2,SUMIF(H31:H35,"&gt;0"),0)</f>
        <v>1</v>
      </c>
      <c r="J65" s="74">
        <f>IF(J24=2,SUMIF(J31:J35,"&gt;0"),0)</f>
        <v>0</v>
      </c>
      <c r="K65" s="70">
        <f>IF(K24=2,SUMIF(K31:K35,"&gt;0"),0)</f>
        <v>0</v>
      </c>
      <c r="M65" s="74">
        <f>IF(M24=2,SUMIF(M31:M35,"&gt;0"),0)</f>
        <v>0</v>
      </c>
      <c r="N65" s="70">
        <f>IF(N24=2,SUMIF(N31:N35,"&gt;0"),0)</f>
        <v>0</v>
      </c>
      <c r="P65" s="74">
        <f>IF(P24=2,SUMIF(P31:P35,"&gt;0"),0)</f>
        <v>0</v>
      </c>
      <c r="Q65" s="70">
        <f>IF(Q24=2,SUMIF(Q31:Q35,"&gt;0"),0)</f>
        <v>0</v>
      </c>
      <c r="S65" s="74">
        <f>IF(S24=2,SUMIF(S31:S35,"&gt;0"),0)</f>
        <v>0</v>
      </c>
      <c r="T65" s="70">
        <f>IF(T24=2,SUMIF(T31:T35,"&gt;0"),0)</f>
        <v>0</v>
      </c>
      <c r="V65" s="74">
        <f>IF(V24=2,SUMIF(V31:V35,"&gt;0"),0)</f>
        <v>0</v>
      </c>
      <c r="W65" s="70">
        <f>IF(W24=2,SUMIF(W31:W35,"&gt;0"),0)</f>
        <v>0</v>
      </c>
      <c r="Y65" s="74">
        <f>IF(Y24=2,SUMIF(Y31:Y35,"&gt;0"),0)</f>
        <v>0</v>
      </c>
      <c r="Z65" s="70">
        <f>IF(Z24=2,SUMIF(Z31:Z35,"&gt;0"),0)</f>
        <v>0</v>
      </c>
      <c r="AB65" s="74">
        <f>IF(AB24=2,SUMIF(AB31:AB35,"&gt;0"),0)</f>
        <v>0</v>
      </c>
      <c r="AC65" s="70">
        <f>IF(AC24=2,SUMIF(AC31:AC35,"&gt;0"),0)</f>
        <v>0</v>
      </c>
      <c r="AE65" s="74">
        <f>IF(AE24=2,SUMIF(AE31:AE35,"&gt;0"),0)</f>
        <v>0</v>
      </c>
      <c r="AF65" s="70">
        <f>SUM(B65:AE65)</f>
        <v>3</v>
      </c>
      <c r="AG65" s="70">
        <f>AF73-AF65</f>
        <v>5</v>
      </c>
    </row>
    <row r="66" spans="1:54" s="70" customFormat="1" ht="12.75" hidden="1" customHeight="1" x14ac:dyDescent="0.2">
      <c r="A66" s="70" t="s">
        <v>93</v>
      </c>
      <c r="B66" s="70">
        <f>IF(B24=3,SUMIF(B31:B35,"&gt;0"),0)</f>
        <v>0</v>
      </c>
      <c r="D66" s="74">
        <f>IF(D24=3,SUMIF(D31:D35,"&gt;0"),0)</f>
        <v>1</v>
      </c>
      <c r="E66" s="70">
        <f>IF(E24=3,SUMIF(E31:E35,"&gt;0"),0)</f>
        <v>0</v>
      </c>
      <c r="G66" s="74">
        <f>IF(G24=3,SUMIF(G31:G35,"&gt;0"),0)</f>
        <v>0</v>
      </c>
      <c r="H66" s="70">
        <f>IF(H24=3,SUMIF(H31:H35,"&gt;0"),0)</f>
        <v>0</v>
      </c>
      <c r="J66" s="74">
        <f>IF(J24=3,SUMIF(J31:J35,"&gt;0"),0)</f>
        <v>0</v>
      </c>
      <c r="K66" s="70">
        <f>IF(K24=3,SUMIF(K31:K35,"&gt;0"),0)</f>
        <v>0</v>
      </c>
      <c r="M66" s="74">
        <f>IF(M24=3,SUMIF(M31:M35,"&gt;0"),0)</f>
        <v>0</v>
      </c>
      <c r="N66" s="70">
        <f>IF(N24=3,SUMIF(N31:N35,"&gt;0"),0)</f>
        <v>1</v>
      </c>
      <c r="P66" s="74">
        <f>IF(P24=3,SUMIF(P31:P35,"&gt;0"),0)</f>
        <v>0</v>
      </c>
      <c r="Q66" s="70">
        <f>IF(Q24=3,SUMIF(Q31:Q35,"&gt;0"),0)</f>
        <v>0</v>
      </c>
      <c r="S66" s="74">
        <f>IF(S24=3,SUMIF(S31:S35,"&gt;0"),0)</f>
        <v>0</v>
      </c>
      <c r="T66" s="70">
        <f>IF(T24=3,SUMIF(T31:T35,"&gt;0"),0)</f>
        <v>0</v>
      </c>
      <c r="V66" s="74">
        <f>IF(V24=3,SUMIF(V31:V35,"&gt;0"),0)</f>
        <v>0</v>
      </c>
      <c r="W66" s="70">
        <f>IF(W24=3,SUMIF(W31:W35,"&gt;0"),0)</f>
        <v>0</v>
      </c>
      <c r="Y66" s="74">
        <f>IF(Y24=3,SUMIF(Y31:Y35,"&gt;0"),0)</f>
        <v>0</v>
      </c>
      <c r="Z66" s="70">
        <f>IF(Z24=3,SUMIF(Z31:Z35,"&gt;0"),0)</f>
        <v>0</v>
      </c>
      <c r="AB66" s="74">
        <f>IF(AB24=3,SUMIF(AB31:AB35,"&gt;0"),0)</f>
        <v>0</v>
      </c>
      <c r="AC66" s="70">
        <f>IF(AC24=3,SUMIF(AC31:AC35,"&gt;0"),0)</f>
        <v>0</v>
      </c>
      <c r="AE66" s="74">
        <f>IF(AE24=3,SUMIF(AE31:AE35,"&gt;0"),0)</f>
        <v>0</v>
      </c>
      <c r="AF66" s="70">
        <f>SUM(B66:AE66)</f>
        <v>2</v>
      </c>
      <c r="AG66" s="70">
        <f>AF74-AF66</f>
        <v>6</v>
      </c>
    </row>
    <row r="67" spans="1:54" s="70" customFormat="1" ht="12.75" hidden="1" customHeight="1" x14ac:dyDescent="0.2">
      <c r="A67" s="70" t="s">
        <v>94</v>
      </c>
      <c r="B67" s="70">
        <f>IF(B24=4,SUMIF(B31:B35,"&gt;0"),0)</f>
        <v>0</v>
      </c>
      <c r="D67" s="74">
        <f>IF(D24=4,SUMIF(D31:D35,"&gt;0"),0)</f>
        <v>0</v>
      </c>
      <c r="E67" s="70">
        <f>IF(E24=4,SUMIF(E31:E35,"&gt;0"),0)</f>
        <v>0</v>
      </c>
      <c r="G67" s="74">
        <f>IF(G24=4,SUMIF(G31:G35,"&gt;0"),0)</f>
        <v>0</v>
      </c>
      <c r="H67" s="70">
        <f>IF(H24=4,SUMIF(H31:H35,"&gt;0"),0)</f>
        <v>0</v>
      </c>
      <c r="J67" s="74">
        <f>IF(J24=4,SUMIF(J31:J35,"&gt;0"),0)</f>
        <v>2</v>
      </c>
      <c r="K67" s="70">
        <f>IF(K24=4,SUMIF(K31:K35,"&gt;0"),0)</f>
        <v>0</v>
      </c>
      <c r="M67" s="74">
        <f>IF(M24=4,SUMIF(M31:M35,"&gt;0"),0)</f>
        <v>0</v>
      </c>
      <c r="N67" s="70">
        <f>IF(N24=4,SUMIF(N31:N35,"&gt;0"),0)</f>
        <v>0</v>
      </c>
      <c r="P67" s="74">
        <f>IF(P24=4,SUMIF(P31:P35,"&gt;0"),0)</f>
        <v>2</v>
      </c>
      <c r="Q67" s="70">
        <f>IF(Q24=4,SUMIF(Q31:Q35,"&gt;0"),0)</f>
        <v>0</v>
      </c>
      <c r="S67" s="74">
        <f>IF(S24=4,SUMIF(S31:S35,"&gt;0"),0)</f>
        <v>0</v>
      </c>
      <c r="T67" s="70">
        <f>IF(T24=4,SUMIF(T31:T35,"&gt;0"),0)</f>
        <v>0</v>
      </c>
      <c r="V67" s="74">
        <f>IF(V24=4,SUMIF(V31:V35,"&gt;0"),0)</f>
        <v>0</v>
      </c>
      <c r="W67" s="70">
        <f>IF(W24=4,SUMIF(W31:W35,"&gt;0"),0)</f>
        <v>0</v>
      </c>
      <c r="Y67" s="74">
        <f>IF(Y24=4,SUMIF(Y31:Y35,"&gt;0"),0)</f>
        <v>0</v>
      </c>
      <c r="Z67" s="70">
        <f>IF(Z24=4,SUMIF(Z31:Z35,"&gt;0"),0)</f>
        <v>0</v>
      </c>
      <c r="AB67" s="74">
        <f>IF(AB24=4,SUMIF(AB31:AB35,"&gt;0"),0)</f>
        <v>0</v>
      </c>
      <c r="AC67" s="70">
        <f>IF(AC24=4,SUMIF(AC31:AC35,"&gt;0"),0)</f>
        <v>0</v>
      </c>
      <c r="AE67" s="74">
        <f>IF(AE24=4,SUMIF(AE31:AE35,"&gt;0"),0)</f>
        <v>0</v>
      </c>
      <c r="AF67" s="70">
        <f>SUM(B67:AE67)</f>
        <v>4</v>
      </c>
      <c r="AG67" s="70">
        <f>AF75-AF67</f>
        <v>4</v>
      </c>
    </row>
    <row r="68" spans="1:54" s="70" customFormat="1" ht="12.75" hidden="1" customHeight="1" x14ac:dyDescent="0.2">
      <c r="A68" s="70" t="s">
        <v>95</v>
      </c>
      <c r="B68" s="70">
        <f>IF(B24=5,SUMIF(B31:B35,"&gt;0"),0)</f>
        <v>0</v>
      </c>
      <c r="D68" s="74">
        <f>IF(D24=5,SUMIF(D31:D35,"&gt;0"),0)</f>
        <v>0</v>
      </c>
      <c r="E68" s="70">
        <f>IF(E24=5,SUMIF(E31:E35,"&gt;0"),0)</f>
        <v>0</v>
      </c>
      <c r="G68" s="74">
        <f>IF(G24=5,SUMIF(G31:G35,"&gt;0"),0)</f>
        <v>0</v>
      </c>
      <c r="H68" s="70">
        <f>IF(H24=5,SUMIF(H31:H35,"&gt;0"),0)</f>
        <v>0</v>
      </c>
      <c r="J68" s="74">
        <f>IF(J24=5,SUMIF(J31:J35,"&gt;0"),0)</f>
        <v>0</v>
      </c>
      <c r="K68" s="70">
        <f>IF(K24=5,SUMIF(K31:K35,"&gt;0"),0)</f>
        <v>0</v>
      </c>
      <c r="M68" s="74">
        <f>IF(M24=5,SUMIF(M31:M35,"&gt;0"),0)</f>
        <v>0</v>
      </c>
      <c r="N68" s="70">
        <f>IF(N24=5,SUMIF(N31:N35,"&gt;0"),0)</f>
        <v>0</v>
      </c>
      <c r="P68" s="74">
        <f>IF(P24=5,SUMIF(P31:P35,"&gt;0"),0)</f>
        <v>0</v>
      </c>
      <c r="Q68" s="70">
        <f>IF(Q24=5,SUMIF(Q31:Q35,"&gt;0"),0)</f>
        <v>0</v>
      </c>
      <c r="S68" s="74">
        <f>IF(S24=5,SUMIF(S31:S35,"&gt;0"),0)</f>
        <v>0</v>
      </c>
      <c r="T68" s="70">
        <f>IF(T24=5,SUMIF(T31:T35,"&gt;0"),0)</f>
        <v>0</v>
      </c>
      <c r="V68" s="74">
        <f>IF(V24=5,SUMIF(V31:V35,"&gt;0"),0)</f>
        <v>0</v>
      </c>
      <c r="W68" s="70">
        <f>IF(W24=5,SUMIF(W31:W35,"&gt;0"),0)</f>
        <v>0</v>
      </c>
      <c r="Y68" s="74">
        <f>IF(Y24=5,SUMIF(Y31:Y35,"&gt;0"),0)</f>
        <v>0</v>
      </c>
      <c r="Z68" s="70">
        <f>IF(Z24=5,SUMIF(Z31:Z35,"&gt;0"),0)</f>
        <v>0</v>
      </c>
      <c r="AB68" s="74">
        <f>IF(AB24=5,SUMIF(AB31:AB35,"&gt;0"),0)</f>
        <v>0</v>
      </c>
      <c r="AC68" s="70">
        <f>IF(AC24=5,SUMIF(AC31:AC35,"&gt;0"),0)</f>
        <v>0</v>
      </c>
      <c r="AE68" s="74">
        <f>IF(AE24=5,SUMIF(AE31:AE35,"&gt;0"),0)</f>
        <v>0</v>
      </c>
      <c r="AF68" s="70">
        <f>SUM(B68:AE68)</f>
        <v>0</v>
      </c>
      <c r="AG68" s="70">
        <f>AF76-AF68</f>
        <v>0</v>
      </c>
    </row>
    <row r="69" spans="1:54" s="70" customFormat="1" ht="12.75" hidden="1" customHeight="1" x14ac:dyDescent="0.2">
      <c r="D69" s="74"/>
      <c r="G69" s="74"/>
      <c r="J69" s="74"/>
      <c r="M69" s="74"/>
      <c r="P69" s="74"/>
      <c r="S69" s="74"/>
      <c r="V69" s="74"/>
      <c r="Y69" s="74"/>
      <c r="AB69" s="74"/>
      <c r="AE69" s="74"/>
    </row>
    <row r="70" spans="1:54" s="70" customFormat="1" ht="12.75" hidden="1" customHeight="1" x14ac:dyDescent="0.2">
      <c r="D70" s="74"/>
      <c r="G70" s="74"/>
      <c r="J70" s="74"/>
      <c r="M70" s="74"/>
      <c r="P70" s="74"/>
      <c r="S70" s="74"/>
      <c r="V70" s="74"/>
      <c r="Y70" s="74"/>
      <c r="AB70" s="74"/>
      <c r="AE70" s="74"/>
    </row>
    <row r="71" spans="1:54" s="70" customFormat="1" ht="51" hidden="1" customHeight="1" x14ac:dyDescent="0.2">
      <c r="A71" s="73" t="s">
        <v>106</v>
      </c>
      <c r="C71" s="70">
        <f>SUMIF(B64:D68,"&gt;0")</f>
        <v>3</v>
      </c>
      <c r="D71" s="74"/>
      <c r="F71" s="70">
        <f>SUMIF(E64:G68,"&gt;0")</f>
        <v>2</v>
      </c>
      <c r="G71" s="74"/>
      <c r="I71" s="70">
        <f>SUMIF(H64:J68,"&gt;0")</f>
        <v>3</v>
      </c>
      <c r="J71" s="74"/>
      <c r="L71" s="70">
        <f>SUMIF(K64:M68,"&gt;0")</f>
        <v>2</v>
      </c>
      <c r="M71" s="74"/>
      <c r="O71" s="70">
        <f>SUMIF(N64:P68,"&gt;0")</f>
        <v>3</v>
      </c>
      <c r="P71" s="74"/>
      <c r="R71" s="70">
        <f>SUMIF(Q64:S68,"&gt;0")</f>
        <v>2</v>
      </c>
      <c r="S71" s="74"/>
      <c r="U71" s="70">
        <f>SUMIF(T64:V68,"&gt;0")</f>
        <v>0</v>
      </c>
      <c r="V71" s="74"/>
      <c r="X71" s="70">
        <f>SUMIF(W64:Y68,"&gt;0")</f>
        <v>0</v>
      </c>
      <c r="Y71" s="74"/>
      <c r="AA71" s="70">
        <f>SUMIF(Z64:AB68,"&gt;0")</f>
        <v>0</v>
      </c>
      <c r="AB71" s="74"/>
      <c r="AD71" s="70">
        <f>SUMIF(AC64:AE68,"&gt;0")</f>
        <v>0</v>
      </c>
      <c r="AE71" s="74"/>
      <c r="AF71" s="73" t="s">
        <v>107</v>
      </c>
    </row>
    <row r="72" spans="1:54" s="70" customFormat="1" ht="12.75" hidden="1" customHeight="1" x14ac:dyDescent="0.2">
      <c r="A72" s="70" t="s">
        <v>97</v>
      </c>
      <c r="B72" s="70">
        <f>IF(B24=1,C71,0)</f>
        <v>0</v>
      </c>
      <c r="D72" s="74">
        <f>IF(D24=1,C71,0)</f>
        <v>0</v>
      </c>
      <c r="E72" s="70">
        <f>IF(E24=1,F71,0)</f>
        <v>2</v>
      </c>
      <c r="G72" s="74">
        <f>IF(G24=1,F71,0)</f>
        <v>0</v>
      </c>
      <c r="H72" s="70">
        <f>IF(H24=1,I71,0)</f>
        <v>0</v>
      </c>
      <c r="J72" s="74">
        <f>IF(J24=1,I71,0)</f>
        <v>0</v>
      </c>
      <c r="K72" s="70">
        <f>IF(K24=1,L71,0)</f>
        <v>2</v>
      </c>
      <c r="M72" s="74">
        <f>IF(M24=1,L71,0)</f>
        <v>0</v>
      </c>
      <c r="N72" s="70">
        <f>IF(N24=1,O71,0)</f>
        <v>0</v>
      </c>
      <c r="P72" s="74">
        <f>IF(P24=1,O71,0)</f>
        <v>0</v>
      </c>
      <c r="Q72" s="70">
        <f>IF(Q24=1,R71,0)</f>
        <v>2</v>
      </c>
      <c r="S72" s="74">
        <f>IF(S24=1,R71,0)</f>
        <v>0</v>
      </c>
      <c r="T72" s="70">
        <f>IF(T24=1,U71,0)</f>
        <v>0</v>
      </c>
      <c r="V72" s="74">
        <f>IF(V24=1,U71,0)</f>
        <v>0</v>
      </c>
      <c r="W72" s="70">
        <f>IF(W24=1,X71,0)</f>
        <v>0</v>
      </c>
      <c r="Y72" s="74">
        <f>IF(Y24=1,X71,0)</f>
        <v>0</v>
      </c>
      <c r="Z72" s="70">
        <f>IF(Z24=1,AA71,0)</f>
        <v>0</v>
      </c>
      <c r="AB72" s="74">
        <f>IF(AB24=1,AA71,0)</f>
        <v>0</v>
      </c>
      <c r="AC72" s="70">
        <f>IF(AC24=1,AD71,0)</f>
        <v>0</v>
      </c>
      <c r="AE72" s="74">
        <f>IF(AE24=1,AD71,0)</f>
        <v>0</v>
      </c>
      <c r="AF72" s="70">
        <f>SUM(B72:AE72)</f>
        <v>6</v>
      </c>
    </row>
    <row r="73" spans="1:54" s="70" customFormat="1" ht="12.75" hidden="1" customHeight="1" x14ac:dyDescent="0.2">
      <c r="A73" s="70" t="s">
        <v>98</v>
      </c>
      <c r="B73" s="70">
        <f>IF(B24=2,C71,0)</f>
        <v>3</v>
      </c>
      <c r="D73" s="74">
        <f>IF(D24=2,C71,0)</f>
        <v>0</v>
      </c>
      <c r="E73" s="70">
        <f>IF(E24=2,F71,0)</f>
        <v>0</v>
      </c>
      <c r="G73" s="74">
        <f>IF(G24=2,F71,0)</f>
        <v>0</v>
      </c>
      <c r="H73" s="70">
        <f>IF(H24=2,I71,0)</f>
        <v>3</v>
      </c>
      <c r="J73" s="74">
        <f>IF(J24=2,I71,0)</f>
        <v>0</v>
      </c>
      <c r="K73" s="70">
        <f>IF(K24=2,L71,0)</f>
        <v>0</v>
      </c>
      <c r="M73" s="74">
        <f>IF(M24=2,L71,0)</f>
        <v>0</v>
      </c>
      <c r="N73" s="70">
        <f>IF(N24=2,O71,0)</f>
        <v>0</v>
      </c>
      <c r="P73" s="74">
        <f>IF(P24=2,O71,0)</f>
        <v>0</v>
      </c>
      <c r="Q73" s="70">
        <f>IF(Q24=2,R71,0)</f>
        <v>0</v>
      </c>
      <c r="S73" s="74">
        <f>IF(S24=2,R71,0)</f>
        <v>2</v>
      </c>
      <c r="T73" s="70">
        <f>IF(T24=2,U71,0)</f>
        <v>0</v>
      </c>
      <c r="V73" s="74">
        <f>IF(V24=2,U71,0)</f>
        <v>0</v>
      </c>
      <c r="W73" s="70">
        <f>IF(W24=2,X71,0)</f>
        <v>0</v>
      </c>
      <c r="Y73" s="74">
        <f>IF(Y24=2,X71,0)</f>
        <v>0</v>
      </c>
      <c r="Z73" s="70">
        <f>IF(Z24=2,AA71,0)</f>
        <v>0</v>
      </c>
      <c r="AB73" s="74">
        <f>IF(AB24=2,AA71,0)</f>
        <v>0</v>
      </c>
      <c r="AC73" s="70">
        <f>IF(AC24=2,AD71,0)</f>
        <v>0</v>
      </c>
      <c r="AE73" s="74">
        <f>IF(AE24=2,AD71,0)</f>
        <v>0</v>
      </c>
      <c r="AF73" s="70">
        <f>SUM(B73:AE73)</f>
        <v>8</v>
      </c>
    </row>
    <row r="74" spans="1:54" s="70" customFormat="1" ht="12.75" hidden="1" customHeight="1" x14ac:dyDescent="0.2">
      <c r="A74" s="70" t="s">
        <v>99</v>
      </c>
      <c r="B74" s="70">
        <f>IF(B24=3,C71,0)</f>
        <v>0</v>
      </c>
      <c r="D74" s="74">
        <f>IF(D24=3,C71,0)</f>
        <v>3</v>
      </c>
      <c r="E74" s="70">
        <f>IF(E24=3,F71,0)</f>
        <v>0</v>
      </c>
      <c r="G74" s="74">
        <f>IF(G24=3,F71,0)</f>
        <v>0</v>
      </c>
      <c r="H74" s="70">
        <f>IF(H24=3,I71,0)</f>
        <v>0</v>
      </c>
      <c r="J74" s="74">
        <f>IF(J24=3,I71,0)</f>
        <v>0</v>
      </c>
      <c r="K74" s="70">
        <f>IF(K24=3,L71,0)</f>
        <v>0</v>
      </c>
      <c r="M74" s="74">
        <f>IF(M24=3,L71,0)</f>
        <v>2</v>
      </c>
      <c r="N74" s="70">
        <f>IF(N24=3,O71,0)</f>
        <v>3</v>
      </c>
      <c r="P74" s="74">
        <f>IF(P24=3,O71,0)</f>
        <v>0</v>
      </c>
      <c r="Q74" s="70">
        <f>IF(Q24=3,R71,0)</f>
        <v>0</v>
      </c>
      <c r="S74" s="74">
        <f>IF(S24=3,R71,0)</f>
        <v>0</v>
      </c>
      <c r="T74" s="70">
        <f>IF(T24=3,U71,0)</f>
        <v>0</v>
      </c>
      <c r="V74" s="74">
        <f>IF(V24=3,U71,0)</f>
        <v>0</v>
      </c>
      <c r="W74" s="70">
        <f>IF(W24=3,X71,0)</f>
        <v>0</v>
      </c>
      <c r="Y74" s="74">
        <f>IF(Y24=3,X71,0)</f>
        <v>0</v>
      </c>
      <c r="Z74" s="70">
        <f>IF(Z24=3,AA71,0)</f>
        <v>0</v>
      </c>
      <c r="AB74" s="74">
        <f>IF(AB24=3,AA71,0)</f>
        <v>0</v>
      </c>
      <c r="AC74" s="70">
        <f>IF(AC24=3,AD71,0)</f>
        <v>0</v>
      </c>
      <c r="AE74" s="74">
        <f>IF(AE24=3,AD71,0)</f>
        <v>0</v>
      </c>
      <c r="AF74" s="70">
        <f>SUM(B74:AE74)</f>
        <v>8</v>
      </c>
    </row>
    <row r="75" spans="1:54" s="70" customFormat="1" ht="12.75" hidden="1" customHeight="1" x14ac:dyDescent="0.2">
      <c r="A75" s="70" t="s">
        <v>100</v>
      </c>
      <c r="B75" s="70">
        <f>IF(B24=4,C71,0)</f>
        <v>0</v>
      </c>
      <c r="D75" s="74">
        <f>IF(D24=4,C71,0)</f>
        <v>0</v>
      </c>
      <c r="E75" s="70">
        <f>IF(E24=4,F71,0)</f>
        <v>0</v>
      </c>
      <c r="G75" s="74">
        <f>IF(G24=4,F71,0)</f>
        <v>2</v>
      </c>
      <c r="H75" s="70">
        <f>IF(H24=4,I71,0)</f>
        <v>0</v>
      </c>
      <c r="J75" s="74">
        <f>IF(J24=4,I71,0)</f>
        <v>3</v>
      </c>
      <c r="K75" s="70">
        <f>IF(K24=4,L71,0)</f>
        <v>0</v>
      </c>
      <c r="M75" s="74">
        <f>IF(M24=4,L71,0)</f>
        <v>0</v>
      </c>
      <c r="N75" s="70">
        <f>IF(N24=4,O71,0)</f>
        <v>0</v>
      </c>
      <c r="P75" s="74">
        <f>IF(P24=4,O71,0)</f>
        <v>3</v>
      </c>
      <c r="Q75" s="70">
        <f>IF(Q24=4,R71,0)</f>
        <v>0</v>
      </c>
      <c r="S75" s="74">
        <f>IF(S24=4,R71,0)</f>
        <v>0</v>
      </c>
      <c r="T75" s="70">
        <f>IF(T24=4,U71,0)</f>
        <v>0</v>
      </c>
      <c r="V75" s="74">
        <f>IF(V24=4,U71,0)</f>
        <v>0</v>
      </c>
      <c r="W75" s="70">
        <f>IF(W24=4,X71,0)</f>
        <v>0</v>
      </c>
      <c r="Y75" s="74">
        <f>IF(Y24=4,X71,0)</f>
        <v>0</v>
      </c>
      <c r="Z75" s="70">
        <f>IF(Z24=4,AA71,0)</f>
        <v>0</v>
      </c>
      <c r="AB75" s="74">
        <f>IF(AB24=4,AA71,0)</f>
        <v>0</v>
      </c>
      <c r="AC75" s="70">
        <f>IF(AC24=4,AD71,0)</f>
        <v>0</v>
      </c>
      <c r="AE75" s="74">
        <f>IF(AE24=4,AD71,0)</f>
        <v>0</v>
      </c>
      <c r="AF75" s="70">
        <f>SUM(B75:AE75)</f>
        <v>8</v>
      </c>
    </row>
    <row r="76" spans="1:54" s="70" customFormat="1" ht="12.75" hidden="1" customHeight="1" x14ac:dyDescent="0.2">
      <c r="A76" s="70" t="s">
        <v>101</v>
      </c>
      <c r="B76" s="70">
        <f>IF(B24=5,C71,0)</f>
        <v>0</v>
      </c>
      <c r="D76" s="74">
        <f>IF(D24=5,C71,0)</f>
        <v>0</v>
      </c>
      <c r="E76" s="70">
        <f>IF(E24=5,F71,0)</f>
        <v>0</v>
      </c>
      <c r="G76" s="74">
        <f>IF(G24=5,F71,0)</f>
        <v>0</v>
      </c>
      <c r="H76" s="70">
        <f>IF(H24=5,I71,0)</f>
        <v>0</v>
      </c>
      <c r="J76" s="74">
        <f>IF(J24=5,I71,0)</f>
        <v>0</v>
      </c>
      <c r="K76" s="70">
        <f>IF(K24=5,L71,0)</f>
        <v>0</v>
      </c>
      <c r="M76" s="74">
        <f>IF(M24=5,L71,0)</f>
        <v>0</v>
      </c>
      <c r="N76" s="70">
        <f>IF(N24=5,O71,0)</f>
        <v>0</v>
      </c>
      <c r="P76" s="74">
        <f>IF(P24=5,O71,0)</f>
        <v>0</v>
      </c>
      <c r="Q76" s="70">
        <f>IF(Q24=5,R71,0)</f>
        <v>0</v>
      </c>
      <c r="S76" s="74">
        <f>IF(S24=5,R71,0)</f>
        <v>0</v>
      </c>
      <c r="T76" s="70">
        <f>IF(T24=5,U71,0)</f>
        <v>0</v>
      </c>
      <c r="V76" s="74">
        <f>IF(V24=5,U71,0)</f>
        <v>0</v>
      </c>
      <c r="W76" s="70">
        <f>IF(W24=5,X71,0)</f>
        <v>0</v>
      </c>
      <c r="Y76" s="74">
        <f>IF(Y24=5,X71,0)</f>
        <v>0</v>
      </c>
      <c r="Z76" s="70">
        <f>IF(Z24=5,AA71,0)</f>
        <v>0</v>
      </c>
      <c r="AB76" s="74">
        <f>IF(AB24=5,AA71,0)</f>
        <v>0</v>
      </c>
      <c r="AC76" s="70">
        <f>IF(AC24=5,AD71,0)</f>
        <v>0</v>
      </c>
      <c r="AE76" s="74">
        <f>IF(AE24=5,AD71,0)</f>
        <v>0</v>
      </c>
      <c r="AF76" s="70">
        <f>SUM(B76:AE76)</f>
        <v>0</v>
      </c>
    </row>
    <row r="77" spans="1:54" hidden="1" x14ac:dyDescent="0.2">
      <c r="A77" s="95"/>
      <c r="B77" s="95"/>
      <c r="C77" s="95"/>
      <c r="D77" s="95"/>
      <c r="E77" s="95"/>
      <c r="F77" s="95"/>
      <c r="G77" s="95"/>
      <c r="H77" s="95"/>
      <c r="I77" s="95"/>
      <c r="J77" s="95"/>
      <c r="K77" s="95"/>
      <c r="L77" s="95"/>
      <c r="M77" s="95"/>
      <c r="N77" s="95"/>
      <c r="O77" s="95"/>
      <c r="P77" s="95"/>
      <c r="Q77" s="95"/>
      <c r="R77" s="95"/>
      <c r="S77" s="95"/>
      <c r="T77" s="95"/>
      <c r="U77" s="95"/>
      <c r="V77" s="95"/>
      <c r="W77" s="95"/>
      <c r="X77" s="95"/>
      <c r="Y77" s="95"/>
      <c r="Z77" s="95"/>
      <c r="AA77" s="95"/>
      <c r="AB77" s="95"/>
      <c r="AC77" s="95"/>
      <c r="AD77" s="95"/>
      <c r="AE77" s="95"/>
      <c r="AF77" s="95"/>
      <c r="AG77" s="95"/>
      <c r="AH77" s="95"/>
      <c r="AI77" s="95"/>
      <c r="AJ77" s="95"/>
      <c r="AK77" s="95"/>
      <c r="AL77" s="95"/>
      <c r="AM77" s="95"/>
      <c r="AN77" s="96"/>
      <c r="AO77" s="96"/>
      <c r="AP77" s="96"/>
      <c r="AQ77" s="96"/>
      <c r="AR77" s="77"/>
      <c r="AS77" s="77"/>
      <c r="AT77" s="77"/>
      <c r="AU77" s="77"/>
      <c r="AV77" s="77"/>
      <c r="AW77" s="156"/>
      <c r="BB77" s="156"/>
    </row>
    <row r="78" spans="1:54" s="77" customFormat="1" hidden="1" x14ac:dyDescent="0.2">
      <c r="A78" s="79"/>
      <c r="B78" s="79"/>
      <c r="C78" s="79" t="s">
        <v>108</v>
      </c>
      <c r="D78" s="79">
        <v>1</v>
      </c>
      <c r="E78" s="79"/>
      <c r="F78" s="79"/>
      <c r="G78" s="79">
        <v>2</v>
      </c>
      <c r="H78" s="79"/>
      <c r="I78" s="79"/>
      <c r="J78" s="79">
        <v>3</v>
      </c>
      <c r="K78" s="79"/>
      <c r="L78" s="79"/>
      <c r="M78" s="79">
        <v>4</v>
      </c>
      <c r="N78" s="79"/>
      <c r="O78" s="79"/>
      <c r="P78" s="79">
        <v>5</v>
      </c>
      <c r="Q78" s="79"/>
      <c r="R78" s="79"/>
      <c r="S78" s="79">
        <v>6</v>
      </c>
      <c r="T78" s="79"/>
      <c r="U78" s="79"/>
      <c r="V78" s="79">
        <v>7</v>
      </c>
      <c r="W78" s="79"/>
      <c r="X78" s="79"/>
      <c r="Y78" s="79">
        <v>8</v>
      </c>
      <c r="Z78" s="79"/>
      <c r="AA78" s="79"/>
      <c r="AB78" s="79">
        <v>9</v>
      </c>
      <c r="AC78" s="79"/>
      <c r="AD78" s="79"/>
      <c r="AE78" s="79">
        <v>10</v>
      </c>
      <c r="AF78" s="4"/>
      <c r="AG78" s="79"/>
      <c r="AI78" s="80"/>
      <c r="AJ78" s="4"/>
      <c r="AK78" s="4"/>
      <c r="AL78" s="4"/>
      <c r="AM78" s="4"/>
      <c r="AN78" s="4"/>
      <c r="AO78" s="4"/>
      <c r="AT78" s="80" t="s">
        <v>109</v>
      </c>
      <c r="AW78" s="81"/>
      <c r="BB78" s="81"/>
    </row>
    <row r="79" spans="1:54" s="77" customFormat="1" hidden="1" x14ac:dyDescent="0.2">
      <c r="A79" s="82">
        <v>1</v>
      </c>
      <c r="B79" s="82" t="str">
        <f>E8</f>
        <v>SC Midlands 17 National C</v>
      </c>
      <c r="C79" s="82">
        <f>VLOOKUP(B79,AU$3:AY$12,3,FALSE)</f>
        <v>3023.8142201815831</v>
      </c>
      <c r="D79" s="82">
        <f>IF(B72,B87,IF(D72,D87,C79))</f>
        <v>3023.8142201815831</v>
      </c>
      <c r="E79" s="82"/>
      <c r="F79" s="82"/>
      <c r="G79" s="82">
        <f>IF(E72,E87,IF(G72,G87,D79))</f>
        <v>3038.9128219894333</v>
      </c>
      <c r="H79" s="82"/>
      <c r="I79" s="82"/>
      <c r="J79" s="82">
        <f>IF(H72,H87,IF(J72,J87,G79))</f>
        <v>3038.9128219894333</v>
      </c>
      <c r="K79" s="82"/>
      <c r="L79" s="82"/>
      <c r="M79" s="82">
        <f>IF(K72,K87,IF(M72,M87,J79))</f>
        <v>3058.7024135943966</v>
      </c>
      <c r="N79" s="82"/>
      <c r="O79" s="82"/>
      <c r="P79" s="82">
        <f>IF(N72,N87,IF(P72,P87,M79))</f>
        <v>3058.7024135943966</v>
      </c>
      <c r="Q79" s="82"/>
      <c r="R79" s="82"/>
      <c r="S79" s="82">
        <f>IF(Q72,Q87,IF(S72,S87,P79))</f>
        <v>3079.0206585720803</v>
      </c>
      <c r="T79" s="82"/>
      <c r="U79" s="82"/>
      <c r="V79" s="82">
        <f>IF(T72,T87,IF(V72,V87,S79))</f>
        <v>3079.0206585720803</v>
      </c>
      <c r="W79" s="82"/>
      <c r="X79" s="82"/>
      <c r="Y79" s="82">
        <f>IF(W72,W87,IF(Y72,Y87,V79))</f>
        <v>3079.0206585720803</v>
      </c>
      <c r="Z79" s="82"/>
      <c r="AA79" s="82"/>
      <c r="AB79" s="82">
        <f>IF(Z72,Z87,IF(AB72,AB87,Y79))</f>
        <v>3079.0206585720803</v>
      </c>
      <c r="AC79" s="82"/>
      <c r="AD79" s="82"/>
      <c r="AE79" s="82">
        <f>IF(AC72,AC87,IF(AE72,AE87,AB79))</f>
        <v>3079.0206585720803</v>
      </c>
      <c r="AF79" s="4"/>
      <c r="AG79" s="4"/>
      <c r="AJ79" s="4"/>
      <c r="AK79" s="4"/>
      <c r="AL79" s="4"/>
      <c r="AM79" s="4"/>
      <c r="AN79" s="4"/>
      <c r="AO79" s="4"/>
      <c r="AT79" s="77" t="str">
        <f>B79</f>
        <v>SC Midlands 17 National C</v>
      </c>
      <c r="AU79" s="77">
        <f>AE79</f>
        <v>3079.0206585720803</v>
      </c>
      <c r="AW79" s="81"/>
      <c r="BB79" s="81"/>
    </row>
    <row r="80" spans="1:54" s="77" customFormat="1" hidden="1" x14ac:dyDescent="0.2">
      <c r="A80" s="82">
        <v>2</v>
      </c>
      <c r="B80" s="82" t="str">
        <f>E10</f>
        <v>Magnum Aiken 18 Green</v>
      </c>
      <c r="C80" s="82">
        <f>VLOOKUP(B80,AU$3:AY$12,3,FALSE)</f>
        <v>2951.9748898787816</v>
      </c>
      <c r="D80" s="82">
        <f>IF(B73,B87,IF(D73,D87,C80))</f>
        <v>2962.1261668864113</v>
      </c>
      <c r="E80" s="82"/>
      <c r="F80" s="82"/>
      <c r="G80" s="82">
        <f>IF(E73,E87,IF(G73,G87,D80))</f>
        <v>2962.1261668864113</v>
      </c>
      <c r="H80" s="82"/>
      <c r="I80" s="82"/>
      <c r="J80" s="82">
        <f>IF(H73,H87,IF(J73,J87,G80))</f>
        <v>2925.7368589629609</v>
      </c>
      <c r="K80" s="82"/>
      <c r="L80" s="82"/>
      <c r="M80" s="82">
        <f>IF(K73,K87,IF(M73,M87,J80))</f>
        <v>2925.7368589629609</v>
      </c>
      <c r="N80" s="82"/>
      <c r="O80" s="82"/>
      <c r="P80" s="82">
        <f>IF(N73,N87,IF(P73,P87,M80))</f>
        <v>2925.7368589629609</v>
      </c>
      <c r="Q80" s="82"/>
      <c r="R80" s="82"/>
      <c r="S80" s="82">
        <f>IF(Q73,Q87,IF(S73,S87,P80))</f>
        <v>2905.4186139852773</v>
      </c>
      <c r="T80" s="82"/>
      <c r="U80" s="82"/>
      <c r="V80" s="82">
        <f>IF(T73,T87,IF(V73,V87,S80))</f>
        <v>2905.4186139852773</v>
      </c>
      <c r="W80" s="82"/>
      <c r="X80" s="82"/>
      <c r="Y80" s="82">
        <f>IF(W73,W87,IF(Y73,Y87,V80))</f>
        <v>2905.4186139852773</v>
      </c>
      <c r="Z80" s="82"/>
      <c r="AA80" s="82"/>
      <c r="AB80" s="82">
        <f>IF(Z73,Z87,IF(AB73,AB87,Y80))</f>
        <v>2905.4186139852773</v>
      </c>
      <c r="AC80" s="82"/>
      <c r="AD80" s="82"/>
      <c r="AE80" s="82">
        <f>IF(AC73,AC87,IF(AE73,AE87,AB80))</f>
        <v>2905.4186139852773</v>
      </c>
      <c r="AF80" s="4"/>
      <c r="AG80" s="4"/>
      <c r="AJ80" s="4"/>
      <c r="AL80" s="4"/>
      <c r="AM80" s="4"/>
      <c r="AN80" s="4"/>
      <c r="AO80" s="4"/>
      <c r="AT80" s="77" t="str">
        <f>B80</f>
        <v>Magnum Aiken 18 Green</v>
      </c>
      <c r="AU80" s="77">
        <f>AE80</f>
        <v>2905.4186139852773</v>
      </c>
      <c r="AW80" s="81"/>
      <c r="BB80" s="81"/>
    </row>
    <row r="81" spans="1:54" s="77" customFormat="1" hidden="1" x14ac:dyDescent="0.2">
      <c r="A81" s="82">
        <v>3</v>
      </c>
      <c r="B81" s="82" t="str">
        <f>E12</f>
        <v>OLC 18's Purple</v>
      </c>
      <c r="C81" s="82">
        <f>VLOOKUP(B81,AU$3:AY$12,3,FALSE)</f>
        <v>2909.4290210334657</v>
      </c>
      <c r="D81" s="82">
        <f>IF(B74,B87,IF(D74,D87,C81))</f>
        <v>2899.277744025836</v>
      </c>
      <c r="E81" s="82"/>
      <c r="F81" s="82"/>
      <c r="G81" s="82">
        <f>IF(E74,E87,IF(G74,G87,D81))</f>
        <v>2899.277744025836</v>
      </c>
      <c r="H81" s="82"/>
      <c r="I81" s="82"/>
      <c r="J81" s="82">
        <f>IF(H74,H87,IF(J74,J87,G81))</f>
        <v>2899.277744025836</v>
      </c>
      <c r="K81" s="82"/>
      <c r="L81" s="82"/>
      <c r="M81" s="82">
        <f>IF(K74,K87,IF(M74,M87,J81))</f>
        <v>2879.4881524208727</v>
      </c>
      <c r="N81" s="82"/>
      <c r="O81" s="82"/>
      <c r="P81" s="82">
        <f>IF(N74,N87,IF(P74,P87,M81))</f>
        <v>2858.1857900558643</v>
      </c>
      <c r="Q81" s="82"/>
      <c r="R81" s="82"/>
      <c r="S81" s="82">
        <f>IF(Q74,Q87,IF(S74,S87,P81))</f>
        <v>2858.1857900558643</v>
      </c>
      <c r="T81" s="82"/>
      <c r="U81" s="82"/>
      <c r="V81" s="82">
        <f>IF(T74,T87,IF(V74,V87,S81))</f>
        <v>2858.1857900558643</v>
      </c>
      <c r="W81" s="82"/>
      <c r="X81" s="82"/>
      <c r="Y81" s="82">
        <f>IF(W74,W87,IF(Y74,Y87,V81))</f>
        <v>2858.1857900558643</v>
      </c>
      <c r="Z81" s="82"/>
      <c r="AA81" s="82"/>
      <c r="AB81" s="82">
        <f>IF(Z74,Z87,IF(AB74,AB87,Y81))</f>
        <v>2858.1857900558643</v>
      </c>
      <c r="AC81" s="82"/>
      <c r="AD81" s="82"/>
      <c r="AE81" s="82">
        <f>IF(AC74,AC87,IF(AE74,AE87,AB81))</f>
        <v>2858.1857900558643</v>
      </c>
      <c r="AF81" s="4"/>
      <c r="AG81" s="4"/>
      <c r="AJ81" s="4"/>
      <c r="AL81" s="4"/>
      <c r="AM81" s="4"/>
      <c r="AN81" s="4"/>
      <c r="AO81" s="4"/>
      <c r="AT81" s="77" t="str">
        <f>B81</f>
        <v>OLC 18's Purple</v>
      </c>
      <c r="AU81" s="77">
        <f>AE81</f>
        <v>2858.1857900558643</v>
      </c>
      <c r="AW81" s="81"/>
      <c r="BB81" s="81"/>
    </row>
    <row r="82" spans="1:54" s="77" customFormat="1" hidden="1" x14ac:dyDescent="0.2">
      <c r="A82" s="82">
        <v>4</v>
      </c>
      <c r="B82" s="82" t="str">
        <f>E14</f>
        <v>SC Midlands 17 National G</v>
      </c>
      <c r="C82" s="82">
        <f>VLOOKUP(B82,AU$3:AY$12,3,FALSE)</f>
        <v>2819.6604021954827</v>
      </c>
      <c r="D82" s="82">
        <f>IF(B75,B87,IF(D75,D87,C82))</f>
        <v>2819.6604021954827</v>
      </c>
      <c r="E82" s="82"/>
      <c r="F82" s="82"/>
      <c r="G82" s="82">
        <f>IF(E75,E87,IF(G75,G87,D82))</f>
        <v>2804.5618003876325</v>
      </c>
      <c r="H82" s="82"/>
      <c r="I82" s="82"/>
      <c r="J82" s="82">
        <f>IF(H75,H87,IF(J75,J87,G82))</f>
        <v>2840.9511083110829</v>
      </c>
      <c r="K82" s="82"/>
      <c r="L82" s="82"/>
      <c r="M82" s="82">
        <f>IF(K75,K87,IF(M75,M87,J82))</f>
        <v>2840.9511083110829</v>
      </c>
      <c r="N82" s="82"/>
      <c r="O82" s="82"/>
      <c r="P82" s="82">
        <f>IF(N75,N87,IF(P75,P87,M82))</f>
        <v>2862.2534706760912</v>
      </c>
      <c r="Q82" s="82"/>
      <c r="R82" s="82"/>
      <c r="S82" s="82">
        <f>IF(Q75,Q87,IF(S75,S87,P82))</f>
        <v>2862.2534706760912</v>
      </c>
      <c r="T82" s="82"/>
      <c r="U82" s="82"/>
      <c r="V82" s="82">
        <f>IF(T75,T87,IF(V75,V87,S82))</f>
        <v>2862.2534706760912</v>
      </c>
      <c r="W82" s="82"/>
      <c r="X82" s="82"/>
      <c r="Y82" s="82">
        <f>IF(W75,W87,IF(Y75,Y87,V82))</f>
        <v>2862.2534706760912</v>
      </c>
      <c r="Z82" s="82"/>
      <c r="AA82" s="82"/>
      <c r="AB82" s="82">
        <f>IF(Z75,Z87,IF(AB75,AB87,Y82))</f>
        <v>2862.2534706760912</v>
      </c>
      <c r="AC82" s="82"/>
      <c r="AD82" s="82"/>
      <c r="AE82" s="82">
        <f>IF(AC75,AC87,IF(AE75,AE87,AB82))</f>
        <v>2862.2534706760912</v>
      </c>
      <c r="AF82" s="4"/>
      <c r="AG82" s="4"/>
      <c r="AJ82" s="4"/>
      <c r="AL82" s="4"/>
      <c r="AM82" s="4"/>
      <c r="AN82" s="4"/>
      <c r="AO82" s="4"/>
      <c r="AT82" s="77" t="str">
        <f>B82</f>
        <v>SC Midlands 17 National G</v>
      </c>
      <c r="AU82" s="77">
        <f>AE82</f>
        <v>2862.2534706760912</v>
      </c>
      <c r="AW82" s="81"/>
      <c r="BB82" s="81"/>
    </row>
    <row r="83" spans="1:54" s="77" customFormat="1" hidden="1" x14ac:dyDescent="0.2">
      <c r="A83" s="82">
        <v>5</v>
      </c>
      <c r="B83" s="82">
        <f>E16</f>
        <v>0</v>
      </c>
      <c r="C83" s="82" t="e">
        <f>VLOOKUP(B83,AU$3:AY$12,3,FALSE)</f>
        <v>#N/A</v>
      </c>
      <c r="D83" s="82" t="e">
        <f>IF(B76,B87,IF(D76,D87,C83))</f>
        <v>#N/A</v>
      </c>
      <c r="E83" s="82"/>
      <c r="F83" s="82"/>
      <c r="G83" s="82" t="e">
        <f>IF(E76,E87,IF(G76,G87,D83))</f>
        <v>#N/A</v>
      </c>
      <c r="H83" s="82"/>
      <c r="I83" s="82"/>
      <c r="J83" s="82" t="e">
        <f>IF(H76,H87,IF(J76,J87,G83))</f>
        <v>#N/A</v>
      </c>
      <c r="K83" s="82"/>
      <c r="L83" s="82"/>
      <c r="M83" s="82" t="e">
        <f>IF(K76,K87,IF(M76,M87,J83))</f>
        <v>#N/A</v>
      </c>
      <c r="N83" s="82"/>
      <c r="O83" s="82"/>
      <c r="P83" s="82" t="e">
        <f>IF(N76,N87,IF(P76,P87,M83))</f>
        <v>#N/A</v>
      </c>
      <c r="Q83" s="82"/>
      <c r="R83" s="82"/>
      <c r="S83" s="82" t="e">
        <f>IF(Q76,Q87,IF(S76,S87,P83))</f>
        <v>#N/A</v>
      </c>
      <c r="T83" s="82"/>
      <c r="U83" s="82"/>
      <c r="V83" s="82" t="e">
        <f>IF(T76,T87,IF(V76,V87,S83))</f>
        <v>#N/A</v>
      </c>
      <c r="W83" s="82"/>
      <c r="X83" s="82"/>
      <c r="Y83" s="82" t="e">
        <f>IF(W76,W87,IF(Y76,Y87,V83))</f>
        <v>#N/A</v>
      </c>
      <c r="Z83" s="82"/>
      <c r="AA83" s="82"/>
      <c r="AB83" s="82" t="e">
        <f>IF(Z76,Z87,IF(AB76,AB87,Y83))</f>
        <v>#N/A</v>
      </c>
      <c r="AC83" s="82"/>
      <c r="AD83" s="82"/>
      <c r="AE83" s="82" t="e">
        <f>IF(AC76,AC87,IF(AE76,AE87,AB83))</f>
        <v>#N/A</v>
      </c>
      <c r="AF83" s="4"/>
      <c r="AG83" s="4"/>
      <c r="AJ83" s="4"/>
      <c r="AL83" s="4"/>
      <c r="AM83" s="4"/>
      <c r="AN83" s="4"/>
      <c r="AO83" s="4"/>
      <c r="AT83" s="77">
        <f>B83</f>
        <v>0</v>
      </c>
      <c r="AU83" s="77" t="e">
        <f>AE83</f>
        <v>#N/A</v>
      </c>
      <c r="AW83" s="81"/>
      <c r="BB83" s="81"/>
    </row>
    <row r="84" spans="1:54" s="77" customFormat="1" hidden="1" x14ac:dyDescent="0.2">
      <c r="A84" s="82"/>
      <c r="B84" s="82"/>
      <c r="C84" s="82"/>
      <c r="D84" s="82"/>
      <c r="E84" s="82"/>
      <c r="F84" s="82"/>
      <c r="G84" s="82"/>
      <c r="H84" s="82"/>
      <c r="I84" s="82"/>
      <c r="J84" s="82"/>
      <c r="K84" s="82"/>
      <c r="L84" s="82"/>
      <c r="M84" s="82"/>
      <c r="N84" s="82"/>
      <c r="O84" s="82"/>
      <c r="P84" s="82"/>
      <c r="Q84" s="82"/>
      <c r="R84" s="82"/>
      <c r="S84" s="82"/>
      <c r="T84" s="82"/>
      <c r="U84" s="82"/>
      <c r="V84" s="82"/>
      <c r="W84" s="82"/>
      <c r="X84" s="82"/>
      <c r="Y84" s="82"/>
      <c r="Z84" s="82"/>
      <c r="AA84" s="82"/>
      <c r="AB84" s="82"/>
      <c r="AC84" s="82"/>
      <c r="AD84" s="82"/>
      <c r="AE84" s="82"/>
      <c r="AF84" s="4"/>
      <c r="AG84" s="4"/>
      <c r="AJ84" s="4"/>
      <c r="AL84" s="4"/>
      <c r="AM84" s="4"/>
      <c r="AN84" s="4"/>
      <c r="AO84" s="4"/>
      <c r="AW84" s="81"/>
      <c r="BB84" s="81"/>
    </row>
    <row r="85" spans="1:54" s="77" customFormat="1" hidden="1" x14ac:dyDescent="0.2">
      <c r="A85" s="82" t="s">
        <v>110</v>
      </c>
      <c r="B85" s="82">
        <f>VLOOKUP(B24,$A79:$AE83,3,FALSE)</f>
        <v>2951.9748898787816</v>
      </c>
      <c r="C85" s="82">
        <v>1</v>
      </c>
      <c r="D85" s="82">
        <f>VLOOKUP(D24,$A79:$AE83,3,FALSE)</f>
        <v>2909.4290210334657</v>
      </c>
      <c r="E85" s="82">
        <f>VLOOKUP(E24,$A79:$AE83,4,FALSE)</f>
        <v>3023.8142201815831</v>
      </c>
      <c r="F85" s="82">
        <v>2</v>
      </c>
      <c r="G85" s="82">
        <f>VLOOKUP(G24,$A79:$AE83,4,FALSE)</f>
        <v>2819.6604021954827</v>
      </c>
      <c r="H85" s="82">
        <f>VLOOKUP(H24,$A79:$AE83,7,FALSE)</f>
        <v>2962.1261668864113</v>
      </c>
      <c r="I85" s="82">
        <v>3</v>
      </c>
      <c r="J85" s="82">
        <f>VLOOKUP(J24,$A79:$AE83,7,FALSE)</f>
        <v>2804.5618003876325</v>
      </c>
      <c r="K85" s="82">
        <f>VLOOKUP(K24,$A79:$AE83,10,FALSE)</f>
        <v>3038.9128219894333</v>
      </c>
      <c r="L85" s="82">
        <v>4</v>
      </c>
      <c r="M85" s="82">
        <f>VLOOKUP(M24,$A79:$AE83,10,FALSE)</f>
        <v>2899.277744025836</v>
      </c>
      <c r="N85" s="82">
        <f>VLOOKUP(N24,$A79:$AE83,13,FALSE)</f>
        <v>2879.4881524208727</v>
      </c>
      <c r="O85" s="82">
        <v>5</v>
      </c>
      <c r="P85" s="82">
        <f>VLOOKUP(P24,$A79:$AE83,13,FALSE)</f>
        <v>2840.9511083110829</v>
      </c>
      <c r="Q85" s="82">
        <f>VLOOKUP(Q24,$A79:$AE83,16,FALSE)</f>
        <v>3058.7024135943966</v>
      </c>
      <c r="R85" s="82">
        <v>6</v>
      </c>
      <c r="S85" s="82">
        <f>VLOOKUP(S24,$A79:$AE83,16,FALSE)</f>
        <v>2925.7368589629609</v>
      </c>
      <c r="T85" s="82">
        <f>VLOOKUP(T24,$A79:$AE83,19,FALSE)</f>
        <v>2905.4186139852773</v>
      </c>
      <c r="U85" s="82">
        <v>7</v>
      </c>
      <c r="V85" s="82">
        <f>VLOOKUP(V24,$A79:$AE83,19,FALSE)</f>
        <v>2858.1857900558643</v>
      </c>
      <c r="W85" s="82">
        <f>VLOOKUP(W24,$A79:$AE83,22,FALSE)</f>
        <v>3079.0206585720803</v>
      </c>
      <c r="X85" s="82">
        <v>8</v>
      </c>
      <c r="Y85" s="82" t="e">
        <f>VLOOKUP(Y24,$A79:$AE83,22,FALSE)</f>
        <v>#N/A</v>
      </c>
      <c r="Z85" s="82">
        <f>VLOOKUP(Z24,$A79:$AE83,25,FALSE)</f>
        <v>2858.1857900558643</v>
      </c>
      <c r="AA85" s="82">
        <v>9</v>
      </c>
      <c r="AB85" s="82">
        <f>VLOOKUP(AB24,$A79:$AE83,25,FALSE)</f>
        <v>2862.2534706760912</v>
      </c>
      <c r="AC85" s="82">
        <f>VLOOKUP(AC24,$A79:$AE83,28,FALSE)</f>
        <v>3079.0206585720803</v>
      </c>
      <c r="AD85" s="82">
        <v>10</v>
      </c>
      <c r="AE85" s="82">
        <f>VLOOKUP(AE24,$A79:$AE83,28,FALSE)</f>
        <v>2905.4186139852773</v>
      </c>
      <c r="AF85" s="4"/>
      <c r="AG85" s="95"/>
      <c r="AH85" s="95"/>
      <c r="AI85" s="95"/>
      <c r="AJ85" s="95"/>
      <c r="AK85" s="95"/>
      <c r="AL85" s="95"/>
      <c r="AM85" s="95"/>
      <c r="AN85" s="96"/>
      <c r="AO85" s="96"/>
      <c r="AP85" s="96"/>
      <c r="AQ85" s="96"/>
      <c r="AW85" s="81"/>
      <c r="BB85" s="81"/>
    </row>
    <row r="86" spans="1:54" s="87" customFormat="1" hidden="1" x14ac:dyDescent="0.2">
      <c r="A86" s="83" t="s">
        <v>111</v>
      </c>
      <c r="B86" s="83">
        <f>1/(1+(10^-((B85-D85)/400)))*(B36+D36)</f>
        <v>1.6827725935115758</v>
      </c>
      <c r="C86" s="83"/>
      <c r="D86" s="83">
        <f>1/(1+(10^-((D85-B85)/400)))*(B36+D36)</f>
        <v>1.3172274064884244</v>
      </c>
      <c r="E86" s="83">
        <f>1/(1+(10^-((E85-G85)/400)))*(E36+G36)</f>
        <v>1.5281686935046888</v>
      </c>
      <c r="F86" s="83"/>
      <c r="G86" s="83">
        <f>1/(1+(10^-((G85-E85)/400)))*(E36+G36)</f>
        <v>0.47183130649531124</v>
      </c>
      <c r="H86" s="83">
        <f>1/(1+(10^-((H85-J85)/400)))*(H36+J36)</f>
        <v>2.1371658726078246</v>
      </c>
      <c r="I86" s="83"/>
      <c r="J86" s="83">
        <f>1/(1+(10^-((J85-H85)/400)))*(H36+J36)</f>
        <v>0.86283412739217558</v>
      </c>
      <c r="K86" s="83">
        <f>1/(1+(10^-((K85-M85)/400)))*(K36+M36)</f>
        <v>1.3815752623448994</v>
      </c>
      <c r="L86" s="83"/>
      <c r="M86" s="83">
        <f>1/(1+(10^-((M85-K85)/400)))*(K36+M36)</f>
        <v>0.61842473765510064</v>
      </c>
      <c r="N86" s="83">
        <f>1/(1+(10^-((N85-P85)/400)))*(N36+P36)</f>
        <v>1.665698823906514</v>
      </c>
      <c r="O86" s="83"/>
      <c r="P86" s="83">
        <f>1/(1+(10^-((P85-N85)/400)))*(N36+P36)</f>
        <v>1.3343011760934858</v>
      </c>
      <c r="Q86" s="83">
        <f>1/(1+(10^-((Q85-S85)/400)))*(Q36+S36)</f>
        <v>1.3650548444473911</v>
      </c>
      <c r="R86" s="83"/>
      <c r="S86" s="83">
        <f>1/(1+(10^-((S85-Q85)/400)))*(Q36+S36)</f>
        <v>0.634945155552609</v>
      </c>
      <c r="T86" s="83">
        <f>1/(1+(10^-((T85-V85)/400)))*(T36+V36)</f>
        <v>0</v>
      </c>
      <c r="U86" s="83"/>
      <c r="V86" s="83">
        <f>1/(1+(10^-((V85-T85)/400)))*(T36+V36)</f>
        <v>0</v>
      </c>
      <c r="W86" s="83" t="e">
        <f>1/(1+(10^-((W85-Y85)/400)))*(W36+Y36)</f>
        <v>#N/A</v>
      </c>
      <c r="X86" s="83"/>
      <c r="Y86" s="83" t="e">
        <f>1/(1+(10^-((Y85-W85)/400)))*(W36+Y36)</f>
        <v>#N/A</v>
      </c>
      <c r="Z86" s="83">
        <f>1/(1+(10^-((Z85-AB85)/400)))*(Z36+AB36)</f>
        <v>0</v>
      </c>
      <c r="AA86" s="83"/>
      <c r="AB86" s="83">
        <f>1/(1+(10^-((AB85-Z85)/400)))*(Z36+AB36)</f>
        <v>0</v>
      </c>
      <c r="AC86" s="83">
        <f>1/(1+(10^-((AC85-AE85)/400)))*(AC36+AE36)</f>
        <v>0</v>
      </c>
      <c r="AD86" s="83"/>
      <c r="AE86" s="83">
        <f>1/(1+(10^-((AE85-AC85)/400)))*(AC36+AE36)</f>
        <v>0</v>
      </c>
      <c r="AF86" s="84"/>
      <c r="AG86" s="85"/>
      <c r="AH86" s="85"/>
      <c r="AI86" s="85"/>
      <c r="AJ86" s="85"/>
      <c r="AK86" s="85"/>
      <c r="AL86" s="85"/>
      <c r="AM86" s="85"/>
      <c r="AN86" s="86"/>
      <c r="AO86" s="86"/>
      <c r="AP86" s="86"/>
      <c r="AQ86" s="86"/>
      <c r="AW86" s="88"/>
      <c r="BB86" s="88"/>
    </row>
    <row r="87" spans="1:54" s="93" customFormat="1" hidden="1" x14ac:dyDescent="0.2">
      <c r="A87" s="89" t="s">
        <v>112</v>
      </c>
      <c r="B87" s="89">
        <f>B85+(B36-B86)*$BA$1</f>
        <v>2962.1261668864113</v>
      </c>
      <c r="C87" s="89"/>
      <c r="D87" s="89">
        <f>D85+(D36-D86)*$BA$1</f>
        <v>2899.277744025836</v>
      </c>
      <c r="E87" s="89">
        <f>E85+(E36-E86)*$BA$1</f>
        <v>3038.9128219894333</v>
      </c>
      <c r="F87" s="89"/>
      <c r="G87" s="89">
        <f>G85+(G36-G86)*$BA$1</f>
        <v>2804.5618003876325</v>
      </c>
      <c r="H87" s="89">
        <f>H85+(H36-H86)*$BA$1</f>
        <v>2925.7368589629609</v>
      </c>
      <c r="I87" s="89"/>
      <c r="J87" s="89">
        <f>J85+(J36-J86)*$BA$1</f>
        <v>2840.9511083110829</v>
      </c>
      <c r="K87" s="89">
        <f>K85+(K36-K86)*$BA$1</f>
        <v>3058.7024135943966</v>
      </c>
      <c r="L87" s="89"/>
      <c r="M87" s="89">
        <f>M85+(M36-M86)*$BA$1</f>
        <v>2879.4881524208727</v>
      </c>
      <c r="N87" s="89">
        <f>N85+(N36-N86)*$BA$1</f>
        <v>2858.1857900558643</v>
      </c>
      <c r="O87" s="89"/>
      <c r="P87" s="89">
        <f>P85+(P36-P86)*$BA$1</f>
        <v>2862.2534706760912</v>
      </c>
      <c r="Q87" s="89">
        <f>Q85+(Q36-Q86)*$BA$1</f>
        <v>3079.0206585720803</v>
      </c>
      <c r="R87" s="89"/>
      <c r="S87" s="89">
        <f>S85+(S36-S86)*$BA$1</f>
        <v>2905.4186139852773</v>
      </c>
      <c r="T87" s="89">
        <f>T85+(T36-T86)*$BA$1</f>
        <v>2905.4186139852773</v>
      </c>
      <c r="U87" s="89"/>
      <c r="V87" s="89">
        <f>V85+(V36-V86)*$BA$1</f>
        <v>2858.1857900558643</v>
      </c>
      <c r="W87" s="89" t="e">
        <f>W85+(W36-W86)*$BA$1</f>
        <v>#N/A</v>
      </c>
      <c r="X87" s="89"/>
      <c r="Y87" s="89" t="e">
        <f>Y85+(Y36-Y86)*$BA$1</f>
        <v>#N/A</v>
      </c>
      <c r="Z87" s="89">
        <f>Z85+(Z36-Z86)*$BA$1</f>
        <v>2858.1857900558643</v>
      </c>
      <c r="AA87" s="89"/>
      <c r="AB87" s="89">
        <f>AB85+(AB36-AB86)*$BA$1</f>
        <v>2862.2534706760912</v>
      </c>
      <c r="AC87" s="89">
        <f>AC85+(AC36-AC86)*$BA$1</f>
        <v>3079.0206585720803</v>
      </c>
      <c r="AD87" s="89"/>
      <c r="AE87" s="89">
        <f>AE85+(AE36-AE86)*$BA$1</f>
        <v>2905.4186139852773</v>
      </c>
      <c r="AF87" s="90"/>
      <c r="AG87" s="91"/>
      <c r="AH87" s="91"/>
      <c r="AI87" s="91"/>
      <c r="AJ87" s="91"/>
      <c r="AK87" s="91"/>
      <c r="AL87" s="91"/>
      <c r="AM87" s="91"/>
      <c r="AN87" s="92"/>
      <c r="AO87" s="92"/>
      <c r="AP87" s="92"/>
      <c r="AQ87" s="92"/>
      <c r="AW87" s="94"/>
      <c r="BB87" s="94"/>
    </row>
    <row r="88" spans="1:54" s="93" customFormat="1" hidden="1" x14ac:dyDescent="0.2">
      <c r="A88" s="89"/>
      <c r="B88" s="89"/>
      <c r="C88" s="89"/>
      <c r="D88" s="89"/>
      <c r="E88" s="89"/>
      <c r="F88" s="89"/>
      <c r="G88" s="89"/>
      <c r="H88" s="89"/>
      <c r="I88" s="89"/>
      <c r="J88" s="89"/>
      <c r="K88" s="89"/>
      <c r="L88" s="89"/>
      <c r="M88" s="89"/>
      <c r="N88" s="89"/>
      <c r="O88" s="89"/>
      <c r="P88" s="89"/>
      <c r="Q88" s="89"/>
      <c r="R88" s="89"/>
      <c r="S88" s="89"/>
      <c r="T88" s="89"/>
      <c r="U88" s="89"/>
      <c r="V88" s="89"/>
      <c r="W88" s="89"/>
      <c r="X88" s="89"/>
      <c r="Y88" s="89"/>
      <c r="Z88" s="89"/>
      <c r="AA88" s="89"/>
      <c r="AB88" s="89"/>
      <c r="AC88" s="89"/>
      <c r="AD88" s="89"/>
      <c r="AE88" s="89"/>
      <c r="AF88" s="90"/>
      <c r="AG88" s="91"/>
      <c r="AH88" s="91"/>
      <c r="AI88" s="91"/>
      <c r="AJ88" s="91"/>
      <c r="AK88" s="91"/>
      <c r="AL88" s="91"/>
      <c r="AM88" s="91"/>
      <c r="AN88" s="92"/>
      <c r="AO88" s="92"/>
      <c r="AP88" s="92"/>
      <c r="AQ88" s="92"/>
      <c r="AW88" s="94"/>
      <c r="BB88" s="94"/>
    </row>
    <row r="89" spans="1:54" s="77" customFormat="1" x14ac:dyDescent="0.2">
      <c r="A89" s="281" t="str">
        <f>IF($AK10=1,"Pool Tiereaker : 1) Matches Won vs Lost (if 3 way tie then #4)  2) Head to Head  3) Game Win %  4) Total Pool Net Points  5) Flip a Coin","Pool Tiebreaker : 1) Games Won vs Lost (if 3 way tie then #5)  2) Head to Head  3) Head to Head Net Points  4) Game Win %  5) Total Pool Net Points  6) Flip a Coin")</f>
        <v>Pool Tiereaker : 1) Matches Won vs Lost (if 3 way tie then #4)  2) Head to Head  3) Game Win %  4) Total Pool Net Points  5) Flip a Coin</v>
      </c>
      <c r="B89" s="281"/>
      <c r="C89" s="281"/>
      <c r="D89" s="281"/>
      <c r="E89" s="281"/>
      <c r="F89" s="281"/>
      <c r="G89" s="281"/>
      <c r="H89" s="281"/>
      <c r="I89" s="281"/>
      <c r="J89" s="281"/>
      <c r="K89" s="281"/>
      <c r="L89" s="281"/>
      <c r="M89" s="281"/>
      <c r="N89" s="281"/>
      <c r="O89" s="281"/>
      <c r="P89" s="281"/>
      <c r="Q89" s="281"/>
      <c r="R89" s="281"/>
      <c r="S89" s="281"/>
      <c r="T89" s="281"/>
      <c r="U89" s="281"/>
      <c r="V89" s="281"/>
      <c r="W89" s="281"/>
      <c r="X89" s="281"/>
      <c r="Y89" s="281"/>
      <c r="Z89" s="281"/>
      <c r="AA89" s="281"/>
      <c r="AB89" s="281"/>
      <c r="AC89" s="281"/>
      <c r="AD89" s="281"/>
      <c r="AE89" s="281"/>
      <c r="AF89" s="281"/>
      <c r="AG89" s="281"/>
      <c r="AH89" s="281"/>
      <c r="AI89" s="281"/>
      <c r="AJ89" s="281"/>
      <c r="AK89" s="281"/>
      <c r="AL89" s="281"/>
      <c r="AM89" s="259"/>
      <c r="AN89" s="259"/>
      <c r="AO89" s="259"/>
      <c r="AP89" s="259"/>
    </row>
    <row r="90" spans="1:54" s="77" customFormat="1" ht="13.5" thickBot="1" x14ac:dyDescent="0.25">
      <c r="A90" s="282"/>
      <c r="B90" s="282"/>
      <c r="C90" s="282"/>
      <c r="D90" s="282"/>
      <c r="E90" s="282"/>
      <c r="F90" s="282"/>
      <c r="G90" s="282"/>
      <c r="H90" s="282"/>
      <c r="I90" s="282"/>
      <c r="J90" s="282"/>
      <c r="K90" s="282"/>
      <c r="L90" s="282"/>
      <c r="M90" s="282"/>
      <c r="N90" s="282"/>
      <c r="O90" s="282"/>
      <c r="P90" s="282"/>
      <c r="Q90" s="282"/>
      <c r="R90" s="282"/>
      <c r="S90" s="282"/>
      <c r="T90" s="282"/>
      <c r="U90" s="282"/>
      <c r="V90" s="282"/>
      <c r="W90" s="282"/>
      <c r="X90" s="282"/>
      <c r="Y90" s="282"/>
      <c r="Z90" s="282"/>
      <c r="AA90" s="282"/>
      <c r="AB90" s="282"/>
      <c r="AC90" s="282"/>
      <c r="AD90" s="282"/>
      <c r="AE90" s="282"/>
      <c r="AF90" s="282"/>
      <c r="AG90" s="282"/>
      <c r="AH90" s="282"/>
      <c r="AI90" s="282"/>
      <c r="AJ90" s="282"/>
      <c r="AK90" s="282"/>
      <c r="AL90" s="282"/>
      <c r="AM90" s="282"/>
      <c r="AN90" s="282"/>
      <c r="AO90" s="282"/>
      <c r="AP90" s="282"/>
      <c r="AQ90" s="282"/>
    </row>
    <row r="91" spans="1:54" ht="24" customHeight="1" thickBot="1" x14ac:dyDescent="0.25">
      <c r="A91" s="27" t="s">
        <v>34</v>
      </c>
      <c r="B91" s="28" t="s">
        <v>113</v>
      </c>
      <c r="C91" s="353" t="s">
        <v>36</v>
      </c>
      <c r="D91" s="354"/>
      <c r="E91" s="354"/>
      <c r="F91" s="354"/>
      <c r="G91" s="354"/>
      <c r="H91" s="355"/>
      <c r="I91" s="356">
        <v>2</v>
      </c>
      <c r="J91" s="357"/>
      <c r="K91" s="358" t="str">
        <f>"Pool "&amp;B91&amp;" - Round 1 - Court "&amp;I91</f>
        <v>Pool B - Round 1 - Court 2</v>
      </c>
      <c r="L91" s="359"/>
      <c r="M91" s="359"/>
      <c r="N91" s="359"/>
      <c r="O91" s="359"/>
      <c r="P91" s="359"/>
      <c r="Q91" s="359"/>
      <c r="R91" s="359"/>
      <c r="S91" s="359"/>
      <c r="T91" s="359"/>
      <c r="U91" s="359"/>
      <c r="V91" s="359"/>
      <c r="W91" s="359"/>
      <c r="X91" s="359"/>
      <c r="Y91" s="359"/>
      <c r="Z91" s="359"/>
      <c r="AA91" s="359"/>
      <c r="AB91" s="359"/>
      <c r="AC91" s="359"/>
      <c r="AD91" s="359"/>
      <c r="AE91" s="359"/>
      <c r="AF91" s="359"/>
      <c r="AG91" s="359"/>
      <c r="AH91" s="359"/>
      <c r="AI91" s="360"/>
      <c r="AJ91" s="8"/>
      <c r="AK91" s="8"/>
      <c r="AL91" s="8"/>
      <c r="AM91" s="8"/>
      <c r="AN91" s="8"/>
      <c r="AO91" s="8"/>
      <c r="AP91" s="8"/>
      <c r="AQ91" s="8"/>
    </row>
    <row r="92" spans="1:54" ht="27" customHeight="1" thickBot="1" x14ac:dyDescent="0.25">
      <c r="A92" s="29" t="s">
        <v>39</v>
      </c>
      <c r="B92" s="361" t="s">
        <v>10</v>
      </c>
      <c r="C92" s="362"/>
      <c r="D92" s="362"/>
      <c r="E92" s="362"/>
      <c r="F92" s="362"/>
      <c r="G92" s="362"/>
      <c r="H92" s="362"/>
      <c r="I92" s="362"/>
      <c r="J92" s="362"/>
      <c r="K92" s="362"/>
      <c r="L92" s="361" t="str">
        <f>IF($AK95=0,"Games Won","Matches Won")</f>
        <v>Matches Won</v>
      </c>
      <c r="M92" s="362"/>
      <c r="N92" s="362"/>
      <c r="O92" s="362"/>
      <c r="P92" s="362"/>
      <c r="Q92" s="363"/>
      <c r="R92" s="361" t="str">
        <f>IF($AK95=0,"Games Lost","Matches Lost")</f>
        <v>Matches Lost</v>
      </c>
      <c r="S92" s="364"/>
      <c r="T92" s="364"/>
      <c r="U92" s="364"/>
      <c r="V92" s="365"/>
      <c r="W92" s="366" t="s">
        <v>40</v>
      </c>
      <c r="X92" s="367"/>
      <c r="Y92" s="368"/>
      <c r="Z92" s="366" t="s">
        <v>41</v>
      </c>
      <c r="AA92" s="367"/>
      <c r="AB92" s="368"/>
      <c r="AC92" s="369" t="s">
        <v>42</v>
      </c>
      <c r="AD92" s="370"/>
      <c r="AE92" s="371"/>
      <c r="AF92" s="30" t="s">
        <v>43</v>
      </c>
      <c r="AG92" s="31" t="s">
        <v>9</v>
      </c>
      <c r="AH92" s="351" t="s">
        <v>44</v>
      </c>
      <c r="AI92" s="352"/>
      <c r="AJ92" s="32"/>
      <c r="AK92" s="33">
        <v>3</v>
      </c>
      <c r="AL92" s="34" t="s">
        <v>45</v>
      </c>
      <c r="AM92" s="34"/>
      <c r="AN92" s="34"/>
      <c r="AO92" s="34"/>
      <c r="AP92" s="34"/>
      <c r="AQ92" s="34"/>
      <c r="AR92" s="35"/>
    </row>
    <row r="93" spans="1:54" ht="18.75" customHeight="1" x14ac:dyDescent="0.2">
      <c r="A93" s="320" t="str">
        <f>IF($AK94&gt;0,"1","")</f>
        <v>1</v>
      </c>
      <c r="B93" s="348" t="s">
        <v>10</v>
      </c>
      <c r="C93" s="349"/>
      <c r="D93" s="350"/>
      <c r="E93" s="324" t="str">
        <f>AU4</f>
        <v>Magnum 18 Mizuno</v>
      </c>
      <c r="F93" s="325"/>
      <c r="G93" s="325"/>
      <c r="H93" s="325"/>
      <c r="I93" s="325"/>
      <c r="J93" s="325"/>
      <c r="K93" s="326"/>
      <c r="L93" s="327">
        <f>IF($AK95=0,AF149,AF131)</f>
        <v>3</v>
      </c>
      <c r="M93" s="328"/>
      <c r="N93" s="328"/>
      <c r="O93" s="328"/>
      <c r="P93" s="328"/>
      <c r="Q93" s="363"/>
      <c r="R93" s="327">
        <f>IF($AK95=0,AG149,AG131)</f>
        <v>0</v>
      </c>
      <c r="S93" s="328"/>
      <c r="T93" s="328"/>
      <c r="U93" s="328"/>
      <c r="V93" s="328"/>
      <c r="W93" s="327">
        <f>AQ109</f>
        <v>52</v>
      </c>
      <c r="X93" s="328"/>
      <c r="Y93" s="328"/>
      <c r="Z93" s="300">
        <f>IF(AF143&gt;0,(AQ109/AF143),0)</f>
        <v>0.31515151515151513</v>
      </c>
      <c r="AA93" s="301"/>
      <c r="AB93" s="301"/>
      <c r="AC93" s="304">
        <f>IF(AF157=0,0,(AF149/AF157))</f>
        <v>0.8571428571428571</v>
      </c>
      <c r="AD93" s="305"/>
      <c r="AE93" s="306"/>
      <c r="AF93" s="310">
        <v>1</v>
      </c>
      <c r="AG93" s="310">
        <v>1</v>
      </c>
      <c r="AH93" s="312">
        <v>2</v>
      </c>
      <c r="AI93" s="313"/>
      <c r="AJ93" s="32"/>
      <c r="AK93" s="33">
        <v>6</v>
      </c>
      <c r="AL93" s="34" t="s">
        <v>48</v>
      </c>
      <c r="AM93" s="34"/>
      <c r="AN93" s="34"/>
      <c r="AO93" s="34"/>
      <c r="AP93" s="34"/>
      <c r="AQ93" s="34"/>
      <c r="AR93" s="35"/>
    </row>
    <row r="94" spans="1:54" ht="18.75" customHeight="1" thickBot="1" x14ac:dyDescent="0.25">
      <c r="A94" s="321"/>
      <c r="B94" s="345" t="s">
        <v>11</v>
      </c>
      <c r="C94" s="346"/>
      <c r="D94" s="347"/>
      <c r="E94" s="341" t="str">
        <f>AV4</f>
        <v>fj8magnm1pm</v>
      </c>
      <c r="F94" s="342"/>
      <c r="G94" s="342"/>
      <c r="H94" s="342"/>
      <c r="I94" s="342"/>
      <c r="J94" s="342"/>
      <c r="K94" s="342"/>
      <c r="L94" s="343"/>
      <c r="M94" s="344"/>
      <c r="N94" s="344"/>
      <c r="O94" s="344"/>
      <c r="P94" s="344"/>
      <c r="Q94" s="363"/>
      <c r="R94" s="343"/>
      <c r="S94" s="344"/>
      <c r="T94" s="344"/>
      <c r="U94" s="344"/>
      <c r="V94" s="344"/>
      <c r="W94" s="343"/>
      <c r="X94" s="344"/>
      <c r="Y94" s="344"/>
      <c r="Z94" s="331"/>
      <c r="AA94" s="332"/>
      <c r="AB94" s="332"/>
      <c r="AC94" s="333"/>
      <c r="AD94" s="334"/>
      <c r="AE94" s="335"/>
      <c r="AF94" s="336"/>
      <c r="AG94" s="336"/>
      <c r="AH94" s="337"/>
      <c r="AI94" s="338"/>
      <c r="AJ94" s="32"/>
      <c r="AK94" s="33">
        <v>4</v>
      </c>
      <c r="AL94" s="34" t="s">
        <v>51</v>
      </c>
      <c r="AM94" s="32"/>
      <c r="AN94" s="32"/>
      <c r="AO94" s="32"/>
      <c r="AP94" s="32"/>
      <c r="AQ94" s="32"/>
      <c r="AR94" s="3"/>
    </row>
    <row r="95" spans="1:54" ht="18.75" customHeight="1" x14ac:dyDescent="0.2">
      <c r="A95" s="320" t="str">
        <f>IF($AK94&gt;1,"2","")</f>
        <v>2</v>
      </c>
      <c r="B95" s="348" t="s">
        <v>10</v>
      </c>
      <c r="C95" s="349"/>
      <c r="D95" s="350"/>
      <c r="E95" s="324" t="str">
        <f>AU5</f>
        <v>Lake Murray 18 Red</v>
      </c>
      <c r="F95" s="325"/>
      <c r="G95" s="325"/>
      <c r="H95" s="325"/>
      <c r="I95" s="325"/>
      <c r="J95" s="325"/>
      <c r="K95" s="326"/>
      <c r="L95" s="327">
        <f>IF($AK95=0,AF150,AF132)</f>
        <v>0</v>
      </c>
      <c r="M95" s="328"/>
      <c r="N95" s="328"/>
      <c r="O95" s="328"/>
      <c r="P95" s="328"/>
      <c r="Q95" s="363"/>
      <c r="R95" s="327">
        <f>IF($AK95=0,AG150,AG132)</f>
        <v>3</v>
      </c>
      <c r="S95" s="328"/>
      <c r="T95" s="328"/>
      <c r="U95" s="328"/>
      <c r="V95" s="328"/>
      <c r="W95" s="327">
        <f>AQ110</f>
        <v>-22</v>
      </c>
      <c r="X95" s="328"/>
      <c r="Y95" s="328"/>
      <c r="Z95" s="300">
        <f>IF(AF144&gt;0,(AQ110/AF144),0)</f>
        <v>-0.1116751269035533</v>
      </c>
      <c r="AA95" s="301"/>
      <c r="AB95" s="301"/>
      <c r="AC95" s="304">
        <f>IF(AF158=0,0,(AF150/AF158))</f>
        <v>0.33333333333333331</v>
      </c>
      <c r="AD95" s="305"/>
      <c r="AE95" s="306"/>
      <c r="AF95" s="310">
        <v>4</v>
      </c>
      <c r="AG95" s="310">
        <v>1</v>
      </c>
      <c r="AH95" s="312">
        <v>8</v>
      </c>
      <c r="AI95" s="313"/>
      <c r="AJ95" s="32"/>
      <c r="AK95" s="33">
        <v>1</v>
      </c>
      <c r="AL95" s="34" t="s">
        <v>54</v>
      </c>
      <c r="AM95" s="34"/>
      <c r="AN95" s="34"/>
      <c r="AO95" s="34"/>
      <c r="AP95" s="34"/>
      <c r="AQ95" s="34"/>
      <c r="AR95" s="35"/>
    </row>
    <row r="96" spans="1:54" ht="18.75" customHeight="1" thickBot="1" x14ac:dyDescent="0.25">
      <c r="A96" s="321"/>
      <c r="B96" s="339" t="s">
        <v>11</v>
      </c>
      <c r="C96" s="340"/>
      <c r="D96" s="340"/>
      <c r="E96" s="341" t="str">
        <f>AV5</f>
        <v>fj8lakem1pm</v>
      </c>
      <c r="F96" s="342"/>
      <c r="G96" s="342"/>
      <c r="H96" s="342"/>
      <c r="I96" s="342"/>
      <c r="J96" s="342"/>
      <c r="K96" s="342"/>
      <c r="L96" s="343"/>
      <c r="M96" s="344"/>
      <c r="N96" s="344"/>
      <c r="O96" s="344"/>
      <c r="P96" s="344"/>
      <c r="Q96" s="363"/>
      <c r="R96" s="343"/>
      <c r="S96" s="344"/>
      <c r="T96" s="344"/>
      <c r="U96" s="344"/>
      <c r="V96" s="344"/>
      <c r="W96" s="343"/>
      <c r="X96" s="344"/>
      <c r="Y96" s="344"/>
      <c r="Z96" s="331"/>
      <c r="AA96" s="332"/>
      <c r="AB96" s="332"/>
      <c r="AC96" s="333"/>
      <c r="AD96" s="334"/>
      <c r="AE96" s="335"/>
      <c r="AF96" s="336"/>
      <c r="AG96" s="336"/>
      <c r="AH96" s="337"/>
      <c r="AI96" s="338"/>
      <c r="AJ96" s="32"/>
      <c r="AK96" s="33">
        <v>1</v>
      </c>
      <c r="AL96" s="34" t="s">
        <v>56</v>
      </c>
      <c r="AM96" s="32"/>
      <c r="AN96" s="32"/>
      <c r="AO96" s="32"/>
      <c r="AP96" s="32"/>
      <c r="AQ96" s="32"/>
      <c r="AR96" s="3"/>
    </row>
    <row r="97" spans="1:44" ht="18.75" customHeight="1" x14ac:dyDescent="0.2">
      <c r="A97" s="320" t="str">
        <f>IF($AK94&gt;2,"3","")</f>
        <v>3</v>
      </c>
      <c r="B97" s="322" t="s">
        <v>10</v>
      </c>
      <c r="C97" s="323"/>
      <c r="D97" s="323"/>
      <c r="E97" s="324" t="str">
        <f>AU8</f>
        <v>Hurricane VBC 18 Storm</v>
      </c>
      <c r="F97" s="325"/>
      <c r="G97" s="325"/>
      <c r="H97" s="325"/>
      <c r="I97" s="325"/>
      <c r="J97" s="325"/>
      <c r="K97" s="326"/>
      <c r="L97" s="327">
        <f>IF($AK95=0,AF151,AF133)</f>
        <v>1</v>
      </c>
      <c r="M97" s="328"/>
      <c r="N97" s="328"/>
      <c r="O97" s="328"/>
      <c r="P97" s="328"/>
      <c r="Q97" s="363"/>
      <c r="R97" s="327">
        <f>IF($AK95=0,AG151,AG133)</f>
        <v>2</v>
      </c>
      <c r="S97" s="328"/>
      <c r="T97" s="328"/>
      <c r="U97" s="328"/>
      <c r="V97" s="328"/>
      <c r="W97" s="327">
        <f>AQ111</f>
        <v>-16</v>
      </c>
      <c r="X97" s="328"/>
      <c r="Y97" s="328"/>
      <c r="Z97" s="300">
        <f>IF(AF145&gt;0,(AQ111/AF145),0)</f>
        <v>-9.4674556213017749E-2</v>
      </c>
      <c r="AA97" s="301"/>
      <c r="AB97" s="301"/>
      <c r="AC97" s="304">
        <f>IF(AF159=0,0,(AF151/AF159))</f>
        <v>0.2857142857142857</v>
      </c>
      <c r="AD97" s="305"/>
      <c r="AE97" s="306"/>
      <c r="AF97" s="310">
        <v>3</v>
      </c>
      <c r="AG97" s="310">
        <v>1</v>
      </c>
      <c r="AH97" s="312">
        <v>7</v>
      </c>
      <c r="AI97" s="313"/>
      <c r="AJ97" s="43"/>
      <c r="AK97" s="33">
        <v>3</v>
      </c>
      <c r="AL97" s="44" t="s">
        <v>57</v>
      </c>
      <c r="AM97" s="34"/>
      <c r="AN97" s="34"/>
      <c r="AO97" s="34"/>
      <c r="AP97" s="34"/>
      <c r="AQ97" s="34"/>
      <c r="AR97" s="35"/>
    </row>
    <row r="98" spans="1:44" ht="18.75" customHeight="1" thickBot="1" x14ac:dyDescent="0.25">
      <c r="A98" s="321"/>
      <c r="B98" s="339" t="s">
        <v>11</v>
      </c>
      <c r="C98" s="340"/>
      <c r="D98" s="340"/>
      <c r="E98" s="341" t="str">
        <f>AV8</f>
        <v>fj8hurrc1pm</v>
      </c>
      <c r="F98" s="342"/>
      <c r="G98" s="342"/>
      <c r="H98" s="342"/>
      <c r="I98" s="342"/>
      <c r="J98" s="342"/>
      <c r="K98" s="342"/>
      <c r="L98" s="343"/>
      <c r="M98" s="344"/>
      <c r="N98" s="344"/>
      <c r="O98" s="344"/>
      <c r="P98" s="344"/>
      <c r="Q98" s="363"/>
      <c r="R98" s="343"/>
      <c r="S98" s="344"/>
      <c r="T98" s="344"/>
      <c r="U98" s="344"/>
      <c r="V98" s="344"/>
      <c r="W98" s="343"/>
      <c r="X98" s="344"/>
      <c r="Y98" s="344"/>
      <c r="Z98" s="331"/>
      <c r="AA98" s="332"/>
      <c r="AB98" s="332"/>
      <c r="AC98" s="333"/>
      <c r="AD98" s="334"/>
      <c r="AE98" s="335"/>
      <c r="AF98" s="336"/>
      <c r="AG98" s="336"/>
      <c r="AH98" s="337"/>
      <c r="AI98" s="338"/>
      <c r="AJ98" s="43"/>
      <c r="AK98" s="51"/>
      <c r="AL98" s="52"/>
      <c r="AM98" s="52"/>
      <c r="AN98" s="52"/>
      <c r="AO98" s="52"/>
      <c r="AP98" s="52"/>
      <c r="AQ98" s="32"/>
      <c r="AR98" s="3"/>
    </row>
    <row r="99" spans="1:44" ht="18.75" customHeight="1" x14ac:dyDescent="0.2">
      <c r="A99" s="320" t="str">
        <f>IF($AK94&gt;3,"4","")</f>
        <v>4</v>
      </c>
      <c r="B99" s="322" t="s">
        <v>10</v>
      </c>
      <c r="C99" s="323"/>
      <c r="D99" s="323"/>
      <c r="E99" s="324" t="str">
        <f>AU9</f>
        <v>SC Midlands 18 Perf</v>
      </c>
      <c r="F99" s="325"/>
      <c r="G99" s="325"/>
      <c r="H99" s="325"/>
      <c r="I99" s="325"/>
      <c r="J99" s="325"/>
      <c r="K99" s="326"/>
      <c r="L99" s="327">
        <f>IF($AK95=0,AF152,AF134)</f>
        <v>2</v>
      </c>
      <c r="M99" s="328"/>
      <c r="N99" s="328"/>
      <c r="O99" s="328"/>
      <c r="P99" s="328"/>
      <c r="Q99" s="363"/>
      <c r="R99" s="327">
        <f>IF($AK95=0,AG152,AG134)</f>
        <v>1</v>
      </c>
      <c r="S99" s="328"/>
      <c r="T99" s="328"/>
      <c r="U99" s="328"/>
      <c r="V99" s="328"/>
      <c r="W99" s="327">
        <f>AQ112</f>
        <v>-14</v>
      </c>
      <c r="X99" s="328"/>
      <c r="Y99" s="328"/>
      <c r="Z99" s="300">
        <f>IF(AF146&gt;0,(AQ112/AF146),0)</f>
        <v>-8.3832335329341312E-2</v>
      </c>
      <c r="AA99" s="301"/>
      <c r="AB99" s="301"/>
      <c r="AC99" s="304">
        <f>IF(AF160=0,0,(AF152/AF160))</f>
        <v>0.5714285714285714</v>
      </c>
      <c r="AD99" s="305"/>
      <c r="AE99" s="306"/>
      <c r="AF99" s="310">
        <v>2</v>
      </c>
      <c r="AG99" s="310">
        <v>1</v>
      </c>
      <c r="AH99" s="312">
        <v>4</v>
      </c>
      <c r="AI99" s="313"/>
      <c r="AJ99" s="8"/>
      <c r="AK99" s="52"/>
      <c r="AL99" s="52"/>
      <c r="AM99" s="52"/>
      <c r="AN99" s="52"/>
      <c r="AO99" s="52"/>
      <c r="AP99" s="52"/>
      <c r="AQ99" s="34"/>
      <c r="AR99" s="35"/>
    </row>
    <row r="100" spans="1:44" ht="18.75" customHeight="1" thickBot="1" x14ac:dyDescent="0.25">
      <c r="A100" s="321"/>
      <c r="B100" s="339" t="s">
        <v>11</v>
      </c>
      <c r="C100" s="340"/>
      <c r="D100" s="340"/>
      <c r="E100" s="341" t="str">
        <f>AV9</f>
        <v>fj8scmid1pm</v>
      </c>
      <c r="F100" s="342"/>
      <c r="G100" s="342"/>
      <c r="H100" s="342"/>
      <c r="I100" s="342"/>
      <c r="J100" s="342"/>
      <c r="K100" s="342"/>
      <c r="L100" s="343"/>
      <c r="M100" s="344"/>
      <c r="N100" s="344"/>
      <c r="O100" s="344"/>
      <c r="P100" s="344"/>
      <c r="Q100" s="363"/>
      <c r="R100" s="343"/>
      <c r="S100" s="344"/>
      <c r="T100" s="344"/>
      <c r="U100" s="344"/>
      <c r="V100" s="344"/>
      <c r="W100" s="343"/>
      <c r="X100" s="344"/>
      <c r="Y100" s="344"/>
      <c r="Z100" s="331"/>
      <c r="AA100" s="332"/>
      <c r="AB100" s="332"/>
      <c r="AC100" s="333"/>
      <c r="AD100" s="334"/>
      <c r="AE100" s="335"/>
      <c r="AF100" s="336"/>
      <c r="AG100" s="336"/>
      <c r="AH100" s="337"/>
      <c r="AI100" s="338"/>
      <c r="AJ100" s="8"/>
      <c r="AK100" s="52"/>
      <c r="AL100" s="52"/>
      <c r="AM100" s="52"/>
      <c r="AN100" s="52"/>
      <c r="AO100" s="52"/>
      <c r="AP100" s="52"/>
      <c r="AQ100" s="8"/>
      <c r="AR100" s="3"/>
    </row>
    <row r="101" spans="1:44" ht="18.75" customHeight="1" x14ac:dyDescent="0.2">
      <c r="A101" s="320" t="str">
        <f>IF($AK94&gt;4,"5","")</f>
        <v/>
      </c>
      <c r="B101" s="322" t="s">
        <v>10</v>
      </c>
      <c r="C101" s="323"/>
      <c r="D101" s="323"/>
      <c r="E101" s="324">
        <f>AU12</f>
        <v>0</v>
      </c>
      <c r="F101" s="325"/>
      <c r="G101" s="325"/>
      <c r="H101" s="325"/>
      <c r="I101" s="325"/>
      <c r="J101" s="325"/>
      <c r="K101" s="326"/>
      <c r="L101" s="327">
        <f>IF($AK95=0,AF153,AF135)</f>
        <v>0</v>
      </c>
      <c r="M101" s="328"/>
      <c r="N101" s="328"/>
      <c r="O101" s="328"/>
      <c r="P101" s="328"/>
      <c r="Q101" s="363"/>
      <c r="R101" s="327">
        <f>IF($AK95=0,AG153,AG135)</f>
        <v>0</v>
      </c>
      <c r="S101" s="328"/>
      <c r="T101" s="328"/>
      <c r="U101" s="328"/>
      <c r="V101" s="328"/>
      <c r="W101" s="327">
        <f>AQ113</f>
        <v>0</v>
      </c>
      <c r="X101" s="328"/>
      <c r="Y101" s="328"/>
      <c r="Z101" s="300">
        <f>IF(AF147&gt;0,(AQ113/AF147),0)</f>
        <v>0</v>
      </c>
      <c r="AA101" s="301"/>
      <c r="AB101" s="301"/>
      <c r="AC101" s="304">
        <f>IF(AF161=0,0,(AF153/AF161))</f>
        <v>0</v>
      </c>
      <c r="AD101" s="305"/>
      <c r="AE101" s="306"/>
      <c r="AF101" s="310"/>
      <c r="AG101" s="310"/>
      <c r="AH101" s="312"/>
      <c r="AI101" s="313"/>
      <c r="AJ101" s="8"/>
      <c r="AK101" s="52"/>
      <c r="AL101" s="52"/>
      <c r="AM101" s="52"/>
      <c r="AN101" s="52"/>
      <c r="AO101" s="52"/>
      <c r="AP101" s="52"/>
      <c r="AQ101" s="8"/>
      <c r="AR101" s="3"/>
    </row>
    <row r="102" spans="1:44" ht="18.75" customHeight="1" thickBot="1" x14ac:dyDescent="0.25">
      <c r="A102" s="321"/>
      <c r="B102" s="316" t="s">
        <v>11</v>
      </c>
      <c r="C102" s="317"/>
      <c r="D102" s="317"/>
      <c r="E102" s="318">
        <f>AV12</f>
        <v>0</v>
      </c>
      <c r="F102" s="319"/>
      <c r="G102" s="319"/>
      <c r="H102" s="319"/>
      <c r="I102" s="319"/>
      <c r="J102" s="319"/>
      <c r="K102" s="319"/>
      <c r="L102" s="329"/>
      <c r="M102" s="330"/>
      <c r="N102" s="330"/>
      <c r="O102" s="330"/>
      <c r="P102" s="330"/>
      <c r="Q102" s="363"/>
      <c r="R102" s="329"/>
      <c r="S102" s="330"/>
      <c r="T102" s="330"/>
      <c r="U102" s="330"/>
      <c r="V102" s="330"/>
      <c r="W102" s="329"/>
      <c r="X102" s="330"/>
      <c r="Y102" s="330"/>
      <c r="Z102" s="302"/>
      <c r="AA102" s="303"/>
      <c r="AB102" s="303"/>
      <c r="AC102" s="307"/>
      <c r="AD102" s="308"/>
      <c r="AE102" s="309"/>
      <c r="AF102" s="311"/>
      <c r="AG102" s="311"/>
      <c r="AH102" s="314"/>
      <c r="AI102" s="315"/>
      <c r="AJ102" s="8"/>
      <c r="AK102" s="52"/>
      <c r="AL102" s="52"/>
      <c r="AM102" s="52"/>
      <c r="AN102" s="52"/>
      <c r="AO102" s="52"/>
      <c r="AP102" s="52"/>
      <c r="AQ102" s="8"/>
      <c r="AR102" s="3"/>
    </row>
    <row r="103" spans="1:44" ht="21" customHeight="1" thickTop="1" thickBot="1" x14ac:dyDescent="0.25">
      <c r="A103" s="55"/>
      <c r="B103" s="297" t="s">
        <v>59</v>
      </c>
      <c r="C103" s="298"/>
      <c r="D103" s="298"/>
      <c r="E103" s="298"/>
      <c r="F103" s="298"/>
      <c r="G103" s="298"/>
      <c r="H103" s="298"/>
      <c r="I103" s="298"/>
      <c r="J103" s="298"/>
      <c r="K103" s="298"/>
      <c r="L103" s="298"/>
      <c r="M103" s="298"/>
      <c r="N103" s="298"/>
      <c r="O103" s="298"/>
      <c r="P103" s="298"/>
      <c r="Q103" s="298"/>
      <c r="R103" s="298"/>
      <c r="S103" s="298"/>
      <c r="T103" s="298"/>
      <c r="U103" s="298"/>
      <c r="V103" s="298"/>
      <c r="W103" s="298"/>
      <c r="X103" s="298"/>
      <c r="Y103" s="298"/>
      <c r="Z103" s="298"/>
      <c r="AA103" s="298"/>
      <c r="AB103" s="298"/>
      <c r="AC103" s="298"/>
      <c r="AD103" s="298"/>
      <c r="AE103" s="298"/>
      <c r="AF103" s="298"/>
      <c r="AG103" s="298"/>
      <c r="AH103" s="298"/>
      <c r="AI103" s="299"/>
      <c r="AJ103" s="8"/>
      <c r="AK103" s="52"/>
      <c r="AL103" s="52"/>
      <c r="AM103" s="52"/>
      <c r="AN103" s="52"/>
      <c r="AO103" s="52"/>
      <c r="AP103" s="52"/>
      <c r="AQ103" s="8"/>
      <c r="AR103" s="3"/>
    </row>
    <row r="104" spans="1:44" ht="13.5" customHeight="1" thickTop="1" x14ac:dyDescent="0.2">
      <c r="A104" s="4" t="s">
        <v>60</v>
      </c>
      <c r="B104" s="286">
        <v>0.35416666666666669</v>
      </c>
      <c r="C104" s="287"/>
      <c r="D104" s="288"/>
      <c r="E104" s="286">
        <v>0.39583333333333331</v>
      </c>
      <c r="F104" s="287"/>
      <c r="G104" s="288"/>
      <c r="H104" s="286">
        <v>0.4375</v>
      </c>
      <c r="I104" s="287"/>
      <c r="J104" s="288"/>
      <c r="K104" s="286">
        <v>0.5</v>
      </c>
      <c r="L104" s="287"/>
      <c r="M104" s="288"/>
      <c r="N104" s="286">
        <v>4.1666666666666664E-2</v>
      </c>
      <c r="O104" s="287"/>
      <c r="P104" s="288"/>
      <c r="Q104" s="286">
        <v>8.3333333333333329E-2</v>
      </c>
      <c r="R104" s="287"/>
      <c r="S104" s="288"/>
      <c r="T104" s="286">
        <v>4.1666666666666664E-2</v>
      </c>
      <c r="U104" s="287"/>
      <c r="V104" s="288"/>
      <c r="W104" s="286">
        <v>7.2916666666666671E-2</v>
      </c>
      <c r="X104" s="287"/>
      <c r="Y104" s="288"/>
      <c r="Z104" s="286">
        <v>0.10416666666666667</v>
      </c>
      <c r="AA104" s="287"/>
      <c r="AB104" s="288"/>
      <c r="AC104" s="286">
        <v>0.13541666666666666</v>
      </c>
      <c r="AD104" s="287"/>
      <c r="AE104" s="288"/>
      <c r="AF104" s="289" t="s">
        <v>61</v>
      </c>
      <c r="AG104" s="290"/>
      <c r="AH104" s="290"/>
      <c r="AI104" s="290"/>
      <c r="AJ104" s="291"/>
      <c r="AK104" s="291"/>
      <c r="AL104" s="291"/>
      <c r="AM104" s="291"/>
      <c r="AN104" s="291"/>
      <c r="AO104" s="291"/>
      <c r="AP104" s="291"/>
      <c r="AQ104" s="292"/>
    </row>
    <row r="105" spans="1:44" x14ac:dyDescent="0.2">
      <c r="A105" s="56" t="s">
        <v>62</v>
      </c>
      <c r="B105" s="283">
        <v>0.35416666666666669</v>
      </c>
      <c r="C105" s="284"/>
      <c r="D105" s="285"/>
      <c r="E105" s="283">
        <v>0.40763888888888888</v>
      </c>
      <c r="F105" s="284"/>
      <c r="G105" s="285"/>
      <c r="H105" s="283">
        <v>0.44305555555555554</v>
      </c>
      <c r="I105" s="284"/>
      <c r="J105" s="285"/>
      <c r="K105" s="283">
        <v>0.5</v>
      </c>
      <c r="L105" s="284"/>
      <c r="M105" s="285"/>
      <c r="N105" s="283">
        <v>0.52430555555555558</v>
      </c>
      <c r="O105" s="284"/>
      <c r="P105" s="285"/>
      <c r="Q105" s="283">
        <v>0.5625</v>
      </c>
      <c r="R105" s="284"/>
      <c r="S105" s="285"/>
      <c r="T105" s="283"/>
      <c r="U105" s="284"/>
      <c r="V105" s="285"/>
      <c r="W105" s="283"/>
      <c r="X105" s="284"/>
      <c r="Y105" s="285"/>
      <c r="Z105" s="283"/>
      <c r="AA105" s="284"/>
      <c r="AB105" s="285"/>
      <c r="AC105" s="283"/>
      <c r="AD105" s="284"/>
      <c r="AE105" s="285"/>
      <c r="AF105" s="289"/>
      <c r="AG105" s="290"/>
      <c r="AH105" s="290"/>
      <c r="AI105" s="290"/>
      <c r="AJ105" s="290"/>
      <c r="AK105" s="290"/>
      <c r="AL105" s="290"/>
      <c r="AM105" s="290"/>
      <c r="AN105" s="290"/>
      <c r="AO105" s="290"/>
      <c r="AP105" s="290"/>
      <c r="AQ105" s="293"/>
    </row>
    <row r="106" spans="1:44" x14ac:dyDescent="0.2">
      <c r="A106" s="56" t="s">
        <v>63</v>
      </c>
      <c r="B106" s="283">
        <v>0.40277777777777773</v>
      </c>
      <c r="C106" s="284"/>
      <c r="D106" s="285"/>
      <c r="E106" s="283">
        <v>0.43402777777777773</v>
      </c>
      <c r="F106" s="284"/>
      <c r="G106" s="285"/>
      <c r="H106" s="283">
        <v>0.4826388888888889</v>
      </c>
      <c r="I106" s="284"/>
      <c r="J106" s="285"/>
      <c r="K106" s="283">
        <v>0.51736111111111105</v>
      </c>
      <c r="L106" s="284"/>
      <c r="M106" s="285"/>
      <c r="N106" s="283">
        <v>0.55486111111111114</v>
      </c>
      <c r="O106" s="284"/>
      <c r="P106" s="285"/>
      <c r="Q106" s="283">
        <v>0.59652777777777777</v>
      </c>
      <c r="R106" s="284"/>
      <c r="S106" s="285"/>
      <c r="T106" s="283"/>
      <c r="U106" s="284"/>
      <c r="V106" s="285"/>
      <c r="W106" s="283"/>
      <c r="X106" s="284"/>
      <c r="Y106" s="285"/>
      <c r="Z106" s="283"/>
      <c r="AA106" s="284"/>
      <c r="AB106" s="285"/>
      <c r="AC106" s="283"/>
      <c r="AD106" s="284"/>
      <c r="AE106" s="285"/>
      <c r="AF106" s="289"/>
      <c r="AG106" s="290"/>
      <c r="AH106" s="290"/>
      <c r="AI106" s="290"/>
      <c r="AJ106" s="290"/>
      <c r="AK106" s="290"/>
      <c r="AL106" s="290"/>
      <c r="AM106" s="290"/>
      <c r="AN106" s="290"/>
      <c r="AO106" s="290"/>
      <c r="AP106" s="290"/>
      <c r="AQ106" s="293"/>
    </row>
    <row r="107" spans="1:44" ht="13.5" thickBot="1" x14ac:dyDescent="0.25">
      <c r="A107" s="8"/>
      <c r="B107" s="173" t="s">
        <v>64</v>
      </c>
      <c r="C107" s="174"/>
      <c r="D107" s="180"/>
      <c r="E107" s="173" t="str">
        <f>IF(AK93&gt;1,"Match 2","")</f>
        <v>Match 2</v>
      </c>
      <c r="F107" s="174"/>
      <c r="G107" s="180"/>
      <c r="H107" s="173" t="str">
        <f>IF(AK93&gt;2,"Match 3","")</f>
        <v>Match 3</v>
      </c>
      <c r="I107" s="174"/>
      <c r="J107" s="180"/>
      <c r="K107" s="173" t="str">
        <f>IF(AK93&gt;3,"Match 4","")</f>
        <v>Match 4</v>
      </c>
      <c r="L107" s="174"/>
      <c r="M107" s="180"/>
      <c r="N107" s="173" t="str">
        <f>IF(AK93&gt;4,"Match 5","")</f>
        <v>Match 5</v>
      </c>
      <c r="O107" s="174"/>
      <c r="P107" s="180"/>
      <c r="Q107" s="173" t="str">
        <f>IF(AK93&gt;5,"Match 6","")</f>
        <v>Match 6</v>
      </c>
      <c r="R107" s="174"/>
      <c r="S107" s="180"/>
      <c r="T107" s="173" t="str">
        <f>IF(AK93&gt;6,"Match 7","")</f>
        <v/>
      </c>
      <c r="U107" s="174"/>
      <c r="V107" s="180"/>
      <c r="W107" s="173" t="str">
        <f>IF(AK93&gt;7,"Match 8","")</f>
        <v/>
      </c>
      <c r="X107" s="174"/>
      <c r="Y107" s="180"/>
      <c r="Z107" s="173" t="str">
        <f>IF(AK93&gt;8,"Match 9","")</f>
        <v/>
      </c>
      <c r="AA107" s="174"/>
      <c r="AB107" s="180"/>
      <c r="AC107" s="173" t="str">
        <f>IF(AK93&gt;9,"Match 10","")</f>
        <v/>
      </c>
      <c r="AD107" s="174"/>
      <c r="AE107" s="180"/>
      <c r="AF107" s="294"/>
      <c r="AG107" s="295"/>
      <c r="AH107" s="295"/>
      <c r="AI107" s="295"/>
      <c r="AJ107" s="295"/>
      <c r="AK107" s="295"/>
      <c r="AL107" s="295"/>
      <c r="AM107" s="295"/>
      <c r="AN107" s="295"/>
      <c r="AO107" s="295"/>
      <c r="AP107" s="295"/>
      <c r="AQ107" s="296"/>
    </row>
    <row r="108" spans="1:44" ht="15.75" x14ac:dyDescent="0.25">
      <c r="A108" s="8"/>
      <c r="B108" s="277" t="s">
        <v>65</v>
      </c>
      <c r="C108" s="278"/>
      <c r="D108" s="279"/>
      <c r="E108" s="277" t="s">
        <v>66</v>
      </c>
      <c r="F108" s="278"/>
      <c r="G108" s="279"/>
      <c r="H108" s="277" t="s">
        <v>67</v>
      </c>
      <c r="I108" s="278"/>
      <c r="J108" s="279"/>
      <c r="K108" s="277" t="s">
        <v>68</v>
      </c>
      <c r="L108" s="278"/>
      <c r="M108" s="279"/>
      <c r="N108" s="277" t="s">
        <v>66</v>
      </c>
      <c r="O108" s="278"/>
      <c r="P108" s="279"/>
      <c r="Q108" s="277" t="s">
        <v>67</v>
      </c>
      <c r="R108" s="278"/>
      <c r="S108" s="279"/>
      <c r="T108" s="277" t="s">
        <v>68</v>
      </c>
      <c r="U108" s="278"/>
      <c r="V108" s="279"/>
      <c r="W108" s="277" t="s">
        <v>66</v>
      </c>
      <c r="X108" s="278"/>
      <c r="Y108" s="279"/>
      <c r="Z108" s="277" t="s">
        <v>69</v>
      </c>
      <c r="AA108" s="278"/>
      <c r="AB108" s="279"/>
      <c r="AC108" s="277" t="s">
        <v>67</v>
      </c>
      <c r="AD108" s="278"/>
      <c r="AE108" s="279"/>
      <c r="AF108" s="57" t="s">
        <v>70</v>
      </c>
      <c r="AG108" s="58">
        <v>1</v>
      </c>
      <c r="AH108" s="58">
        <v>2</v>
      </c>
      <c r="AI108" s="58">
        <v>3</v>
      </c>
      <c r="AJ108" s="58">
        <v>4</v>
      </c>
      <c r="AK108" s="58">
        <v>5</v>
      </c>
      <c r="AL108" s="58">
        <v>6</v>
      </c>
      <c r="AM108" s="58">
        <v>7</v>
      </c>
      <c r="AN108" s="58">
        <v>8</v>
      </c>
      <c r="AO108" s="58">
        <v>9</v>
      </c>
      <c r="AP108" s="58">
        <v>10</v>
      </c>
      <c r="AQ108" s="59" t="s">
        <v>71</v>
      </c>
    </row>
    <row r="109" spans="1:44" ht="15.75" x14ac:dyDescent="0.25">
      <c r="A109" s="8"/>
      <c r="B109" s="61">
        <v>2</v>
      </c>
      <c r="C109" s="62" t="s">
        <v>72</v>
      </c>
      <c r="D109" s="63">
        <v>3</v>
      </c>
      <c r="E109" s="61">
        <v>1</v>
      </c>
      <c r="F109" s="62" t="str">
        <f>IF(AK93&gt;1,"v","")</f>
        <v>v</v>
      </c>
      <c r="G109" s="63">
        <v>4</v>
      </c>
      <c r="H109" s="61">
        <v>2</v>
      </c>
      <c r="I109" s="62" t="str">
        <f>IF(AK93&gt;2,"v","")</f>
        <v>v</v>
      </c>
      <c r="J109" s="63">
        <v>4</v>
      </c>
      <c r="K109" s="61">
        <v>1</v>
      </c>
      <c r="L109" s="62" t="str">
        <f>IF(AK93&gt;3,"v","")</f>
        <v>v</v>
      </c>
      <c r="M109" s="63">
        <v>3</v>
      </c>
      <c r="N109" s="61">
        <v>3</v>
      </c>
      <c r="O109" s="62" t="str">
        <f>IF(AK93&gt;4,"v","")</f>
        <v>v</v>
      </c>
      <c r="P109" s="63">
        <v>4</v>
      </c>
      <c r="Q109" s="61">
        <v>1</v>
      </c>
      <c r="R109" s="62" t="str">
        <f>IF(AK93&gt;5,"v","")</f>
        <v>v</v>
      </c>
      <c r="S109" s="63">
        <v>2</v>
      </c>
      <c r="T109" s="61">
        <v>2</v>
      </c>
      <c r="U109" s="62" t="str">
        <f>IF(AK93&gt;6,"v","")</f>
        <v/>
      </c>
      <c r="V109" s="63">
        <v>3</v>
      </c>
      <c r="W109" s="61">
        <v>1</v>
      </c>
      <c r="X109" s="62" t="str">
        <f>IF(AK93&gt;7,"v","")</f>
        <v/>
      </c>
      <c r="Y109" s="63">
        <v>5</v>
      </c>
      <c r="Z109" s="61">
        <v>3</v>
      </c>
      <c r="AA109" s="62" t="str">
        <f>IF(AK93&gt;8,"v","")</f>
        <v/>
      </c>
      <c r="AB109" s="63">
        <v>4</v>
      </c>
      <c r="AC109" s="61">
        <v>1</v>
      </c>
      <c r="AD109" s="62" t="str">
        <f>IF(AK93&gt;9,"v","")</f>
        <v/>
      </c>
      <c r="AE109" s="63">
        <v>2</v>
      </c>
      <c r="AF109" s="57" t="str">
        <f>IF(AK94&gt;0,"Team 1","")</f>
        <v>Team 1</v>
      </c>
      <c r="AG109" s="64" t="str">
        <f>IF(AK94&lt;1,"",IF(AK93&lt;1,"",IF(B109=1,B115-D115,IF(D109=1,D115-B115,""))))</f>
        <v/>
      </c>
      <c r="AH109" s="64">
        <f>IF(AK94&lt;1,"",IF(AK93&lt;2,"",IF(E109=1,E115-G115,IF(G109=1,G115-E115,""))))</f>
        <v>19</v>
      </c>
      <c r="AI109" s="64" t="str">
        <f>IF(AK94&lt;1,"",IF(AK93&lt;3,"",IF(H109=1,H115-J115,IF(J109=1,J115-H115,""))))</f>
        <v/>
      </c>
      <c r="AJ109" s="64">
        <f>IF(AK94&lt;1,"",IF(AK93&lt;4,"",IF(K109=1,K115-M115,IF(M109=1,M115-K115,""))))</f>
        <v>11</v>
      </c>
      <c r="AK109" s="64" t="str">
        <f>IF(AK94&lt;1,"",IF(AK93&lt;5,"",IF(N109=1,N115-P115,IF(P109=1,P115-N115,""))))</f>
        <v/>
      </c>
      <c r="AL109" s="64">
        <f>IF(AK94&lt;1,"",IF(AK93&lt;6,"",IF(Q109=1,Q115-S115,IF(S109=1,S115-Q115,""))))</f>
        <v>22</v>
      </c>
      <c r="AM109" s="64" t="str">
        <f>IF(AK94&lt;1,"",IF(AK93&lt;7,"",IF(T109=1,T115-V115,IF(V109=1,V115-T115,""))))</f>
        <v/>
      </c>
      <c r="AN109" s="64" t="str">
        <f>IF(AK94&lt;1,"",IF(AK93&lt;8,"",IF(W109=1,W115-Y115,IF(Y109=1,Y115-W115,""))))</f>
        <v/>
      </c>
      <c r="AO109" s="64" t="str">
        <f>IF(AK94&lt;1,"",IF(AK93&lt;9,"",IF(Z109=1,Z115-AB115,IF(AB109=1,AB115-Z115,""))))</f>
        <v/>
      </c>
      <c r="AP109" s="64" t="str">
        <f>IF(AK94&lt;1,"",IF(AK93&lt;10,"",IF(AC109=1,AC115-AE115,IF(AE109=1,AE115-AC115,""))))</f>
        <v/>
      </c>
      <c r="AQ109" s="59">
        <f>SUM(AG109:AP109)</f>
        <v>52</v>
      </c>
    </row>
    <row r="110" spans="1:44" ht="15" x14ac:dyDescent="0.2">
      <c r="A110" s="4" t="s">
        <v>73</v>
      </c>
      <c r="B110" s="65">
        <v>20</v>
      </c>
      <c r="C110" s="66" t="s">
        <v>74</v>
      </c>
      <c r="D110" s="67">
        <v>25</v>
      </c>
      <c r="E110" s="65">
        <v>25</v>
      </c>
      <c r="F110" s="66" t="str">
        <f>IF(AK93&gt;1,"/","")</f>
        <v>/</v>
      </c>
      <c r="G110" s="67">
        <v>11</v>
      </c>
      <c r="H110" s="65">
        <v>22</v>
      </c>
      <c r="I110" s="66" t="str">
        <f>IF(AK93&gt;2,"/","")</f>
        <v>/</v>
      </c>
      <c r="J110" s="67">
        <v>25</v>
      </c>
      <c r="K110" s="65">
        <v>25</v>
      </c>
      <c r="L110" s="66" t="str">
        <f>IF(AK93&gt;3,"/","")</f>
        <v>/</v>
      </c>
      <c r="M110" s="67">
        <v>17</v>
      </c>
      <c r="N110" s="65">
        <v>25</v>
      </c>
      <c r="O110" s="66" t="str">
        <f>IF(AK93&gt;4,"/","")</f>
        <v>/</v>
      </c>
      <c r="P110" s="67">
        <v>27</v>
      </c>
      <c r="Q110" s="65">
        <v>20</v>
      </c>
      <c r="R110" s="66" t="str">
        <f>IF(AK93&gt;5,"/","")</f>
        <v>/</v>
      </c>
      <c r="S110" s="67">
        <v>25</v>
      </c>
      <c r="T110" s="65"/>
      <c r="U110" s="66" t="str">
        <f>IF(AK93&gt;6,"/","")</f>
        <v/>
      </c>
      <c r="V110" s="67"/>
      <c r="W110" s="65"/>
      <c r="X110" s="66" t="str">
        <f>IF(AK93&gt;7,"/","")</f>
        <v/>
      </c>
      <c r="Y110" s="67"/>
      <c r="Z110" s="65"/>
      <c r="AA110" s="66" t="str">
        <f>IF(AK93&gt;8,"/","")</f>
        <v/>
      </c>
      <c r="AB110" s="67"/>
      <c r="AC110" s="65"/>
      <c r="AD110" s="66" t="str">
        <f>IF(AK93&gt;9,"/","")</f>
        <v/>
      </c>
      <c r="AE110" s="67"/>
      <c r="AF110" s="57" t="str">
        <f>IF(AK94&gt;1,"Team 2","")</f>
        <v>Team 2</v>
      </c>
      <c r="AG110" s="64">
        <f>IF(AK94&lt;2,"",IF(AK93&lt;1,"",IF(B109=2,B115-D115,IF(D109=2,D115-B115,""))))</f>
        <v>-3</v>
      </c>
      <c r="AH110" s="64" t="str">
        <f>IF(AK94&lt;2,"",IF(AK93&lt;2,"",IF(E109=2,E115-G115,IF(G109=2,G115-E115,""))))</f>
        <v/>
      </c>
      <c r="AI110" s="64">
        <f>IF(AK94&lt;2,"",IF(AK93&lt;3,"",IF(H109=2,H115-J115,IF(J109=2,J115-H115,""))))</f>
        <v>3</v>
      </c>
      <c r="AJ110" s="64" t="str">
        <f>IF(AK94&lt;2,"",IF(AK93&lt;4,"",IF(K109=2,K115-M115,IF(M109=2,M115-K115,""))))</f>
        <v/>
      </c>
      <c r="AK110" s="64" t="str">
        <f>IF(AK94&lt;2,"",IF(AK93&lt;5,"",IF(N109=2,N115-P115,IF(P109=2,P115-N115,""))))</f>
        <v/>
      </c>
      <c r="AL110" s="64">
        <f>IF(AK94&lt;2,"",IF(AK93&lt;6,"",IF(Q109=2,Q115-S115,IF(S109=2,S115-Q115,""))))</f>
        <v>-22</v>
      </c>
      <c r="AM110" s="64" t="str">
        <f>IF(AK94&lt;2,"",IF(AK93&lt;7,"",IF(T109=2,T115-V115,IF(V109=2,V115-T115,""))))</f>
        <v/>
      </c>
      <c r="AN110" s="64" t="str">
        <f>IF(AK94&lt;2,"",IF(AK93&lt;8,"",IF(W109=2,W115-Y115,IF(Y109=2,Y115-W115,""))))</f>
        <v/>
      </c>
      <c r="AO110" s="64" t="str">
        <f>IF(AK94&lt;2,"",IF(AK93&lt;9,"",IF(Z109=2,Z115-AB115,IF(AB109=2,AB115-Z115,""))))</f>
        <v/>
      </c>
      <c r="AP110" s="64" t="str">
        <f>IF(AK94&lt;2,"",IF(AK93&lt;10,"",IF(AC109=2,AC115-AE115,IF(AE109=2,AE115-AC115,""))))</f>
        <v/>
      </c>
      <c r="AQ110" s="59">
        <f>SUM(AG110:AP110)</f>
        <v>-22</v>
      </c>
    </row>
    <row r="111" spans="1:44" ht="15" x14ac:dyDescent="0.2">
      <c r="A111" s="3" t="str">
        <f>IF(AK92&gt;1,"Game 2","")</f>
        <v>Game 2</v>
      </c>
      <c r="B111" s="65">
        <v>25</v>
      </c>
      <c r="C111" s="66" t="s">
        <v>74</v>
      </c>
      <c r="D111" s="67">
        <v>22</v>
      </c>
      <c r="E111" s="65">
        <v>25</v>
      </c>
      <c r="F111" s="66" t="str">
        <f>IF(AK93&gt;1,IF(AK92&gt;1,"/",""),"")</f>
        <v>/</v>
      </c>
      <c r="G111" s="67">
        <v>20</v>
      </c>
      <c r="H111" s="65">
        <v>25</v>
      </c>
      <c r="I111" s="66" t="str">
        <f>IF(AK93&gt;2,IF(AK92&gt;1,"/",""),"")</f>
        <v>/</v>
      </c>
      <c r="J111" s="67">
        <v>17</v>
      </c>
      <c r="K111" s="65">
        <v>25</v>
      </c>
      <c r="L111" s="66" t="str">
        <f>IF(AK93&gt;3,IF(AK92&gt;1,"/",""),"")</f>
        <v>/</v>
      </c>
      <c r="M111" s="67">
        <v>22</v>
      </c>
      <c r="N111" s="65">
        <v>19</v>
      </c>
      <c r="O111" s="66" t="str">
        <f>IF(AK93&gt;4,IF(AK92&gt;1,"/",""),"")</f>
        <v>/</v>
      </c>
      <c r="P111" s="67">
        <v>25</v>
      </c>
      <c r="Q111" s="65">
        <v>25</v>
      </c>
      <c r="R111" s="66" t="str">
        <f>IF(AK93&gt;5,IF(AK92&gt;1,"/",""),"")</f>
        <v>/</v>
      </c>
      <c r="S111" s="67">
        <v>10</v>
      </c>
      <c r="T111" s="65"/>
      <c r="U111" s="66" t="str">
        <f>IF(AK93&gt;6,IF(AK92&gt;1,"/",""),"")</f>
        <v/>
      </c>
      <c r="V111" s="67"/>
      <c r="W111" s="65"/>
      <c r="X111" s="66" t="str">
        <f>IF(AK93&gt;7,IF(AK92&gt;1,"/",""),"")</f>
        <v/>
      </c>
      <c r="Y111" s="67"/>
      <c r="Z111" s="65"/>
      <c r="AA111" s="66" t="str">
        <f>IF(AK93&gt;8,IF(AK92&gt;1,"/",""),"")</f>
        <v/>
      </c>
      <c r="AB111" s="67"/>
      <c r="AC111" s="65"/>
      <c r="AD111" s="66" t="str">
        <f>IF(AK93&gt;9,IF(AK92&gt;1,"/",""),"")</f>
        <v/>
      </c>
      <c r="AE111" s="67"/>
      <c r="AF111" s="57" t="str">
        <f>IF(AK94&gt;2,"Team 3","")</f>
        <v>Team 3</v>
      </c>
      <c r="AG111" s="64">
        <f>IF(AK94&lt;3,"",IF(AK93&lt;1,"",IF(B109=3,B115-D115,IF(D109=3,D115-B115,""))))</f>
        <v>3</v>
      </c>
      <c r="AH111" s="64" t="str">
        <f>IF(AK94&lt;3,"",IF(AK93&lt;2,"",IF(E109=3,E115-G115,IF(G109=3,G115-E115,""))))</f>
        <v/>
      </c>
      <c r="AI111" s="64" t="str">
        <f>IF(AK94&lt;3,"",IF(AK93&lt;3,"",IF(H109=3,H115-J115,IF(J109=3,J115-H115,""))))</f>
        <v/>
      </c>
      <c r="AJ111" s="64">
        <f>IF(AK94&lt;3,"",IF(AK93&lt;4,"",IF(K109=3,K115-M115,IF(M109=3,M115-K115,""))))</f>
        <v>-11</v>
      </c>
      <c r="AK111" s="64">
        <f>IF(AK94&lt;3,"",IF(AK93&lt;5,"",IF(N109=3,N115-P115,IF(P109=3,P115-N115,""))))</f>
        <v>-8</v>
      </c>
      <c r="AL111" s="64" t="str">
        <f>IF(AK94&lt;3,"",IF(AK93&lt;6,"",IF(Q109=3,Q115-S115,IF(S109=3,S115-Q115,""))))</f>
        <v/>
      </c>
      <c r="AM111" s="64" t="str">
        <f>IF(AK94&lt;3,"",IF(AK93&lt;7,"",IF(T109=3,T115-V115,IF(V109=3,V115-T115,""))))</f>
        <v/>
      </c>
      <c r="AN111" s="64" t="str">
        <f>IF(AK94&lt;3,"",IF(AK93&lt;8,"",IF(W109=3,W115-Y115,IF(Y109=3,Y115-W115,""))))</f>
        <v/>
      </c>
      <c r="AO111" s="64" t="str">
        <f>IF(AK94&lt;3,"",IF(AK93&lt;9,"",IF(Z109=3,Z115-AB115,IF(AB109=3,AB115-Z115,""))))</f>
        <v/>
      </c>
      <c r="AP111" s="64" t="str">
        <f>IF(AK94&lt;3,"",IF(AK93&lt;9,"",IF(AC109=3,AC115-AE115,IF(AE109=3,AE115-AC115,""))))</f>
        <v/>
      </c>
      <c r="AQ111" s="59">
        <f>SUM(AG111:AP111)</f>
        <v>-16</v>
      </c>
    </row>
    <row r="112" spans="1:44" ht="15" x14ac:dyDescent="0.2">
      <c r="A112" s="3" t="str">
        <f>IF(AK92&gt;2,"Game 3","")</f>
        <v>Game 3</v>
      </c>
      <c r="B112" s="65">
        <v>16</v>
      </c>
      <c r="C112" s="66" t="s">
        <v>74</v>
      </c>
      <c r="D112" s="67">
        <v>17</v>
      </c>
      <c r="E112" s="65"/>
      <c r="F112" s="66" t="str">
        <f>IF(AK93&gt;1,IF(AK92&gt;2,"/",""),"")</f>
        <v>/</v>
      </c>
      <c r="G112" s="67"/>
      <c r="H112" s="65">
        <v>13</v>
      </c>
      <c r="I112" s="66" t="str">
        <f>IF(AK93&gt;2,IF(AK92&gt;2,"/",""),"")</f>
        <v>/</v>
      </c>
      <c r="J112" s="67">
        <v>15</v>
      </c>
      <c r="K112" s="65"/>
      <c r="L112" s="66" t="str">
        <f>IF(AK93&gt;3,IF(AK92&gt;2,"/",""),"")</f>
        <v>/</v>
      </c>
      <c r="M112" s="67"/>
      <c r="N112" s="65"/>
      <c r="O112" s="66" t="str">
        <f>IF(AK93&gt;4,IF(AK92&gt;2,"/",""),"")</f>
        <v>/</v>
      </c>
      <c r="P112" s="67"/>
      <c r="Q112" s="65">
        <v>15</v>
      </c>
      <c r="R112" s="66" t="str">
        <f>IF(AK93&gt;5,IF(AK92&gt;2,"/",""),"")</f>
        <v>/</v>
      </c>
      <c r="S112" s="67">
        <v>3</v>
      </c>
      <c r="T112" s="65"/>
      <c r="U112" s="66" t="str">
        <f>IF(AK93&gt;6,IF(AK92&gt;2,"/",""),"")</f>
        <v/>
      </c>
      <c r="V112" s="67"/>
      <c r="W112" s="65"/>
      <c r="X112" s="66" t="str">
        <f>IF(AK93&gt;7,IF(AK92&gt;2,"/",""),"")</f>
        <v/>
      </c>
      <c r="Y112" s="67"/>
      <c r="Z112" s="65"/>
      <c r="AA112" s="66" t="str">
        <f>IF(AK93&gt;8,IF(AK92&gt;2,"/",""),"")</f>
        <v/>
      </c>
      <c r="AB112" s="67"/>
      <c r="AC112" s="65"/>
      <c r="AD112" s="66" t="str">
        <f>IF(AK93&gt;9,IF(AK92&gt;2,"/",""),"")</f>
        <v/>
      </c>
      <c r="AE112" s="67"/>
      <c r="AF112" s="57" t="str">
        <f>IF(AK94&gt;3,"Team 4","")</f>
        <v>Team 4</v>
      </c>
      <c r="AG112" s="64" t="str">
        <f>IF(AK94&lt;4,"",IF(AK93&lt;1,"",IF(B109=4,B115-D115,IF(D109=4,D115-B115,""))))</f>
        <v/>
      </c>
      <c r="AH112" s="64">
        <f>IF(AK94&lt;4,"",IF(AK93&lt;2,"",IF(E109=4,E115-G115,IF(G109=4,G115-E115,""))))</f>
        <v>-19</v>
      </c>
      <c r="AI112" s="64">
        <f>IF(AK94&lt;4,"",IF(AK93&lt;3,"",IF(H109=4,H115-J115,IF(J109=4,J115-H115,""))))</f>
        <v>-3</v>
      </c>
      <c r="AJ112" s="64" t="str">
        <f>IF(AK94&lt;4,"",IF(AK93&lt;4,"",IF(K109=4,K115-M115,IF(M109=4,M115-K115,""))))</f>
        <v/>
      </c>
      <c r="AK112" s="64">
        <f>IF(AK94&lt;4,"",IF(AK93&lt;5,"",IF(N109=4,N115-P115,IF(P109=4,P115-N115,""))))</f>
        <v>8</v>
      </c>
      <c r="AL112" s="64" t="str">
        <f>IF(AK94&lt;4,"",IF(AK93&lt;6,"",IF(Q109=4,Q115-S115,IF(S109=4,S115-Q115,""))))</f>
        <v/>
      </c>
      <c r="AM112" s="64" t="str">
        <f>IF(AK94&lt;4,"",IF(AK93&lt;7,"",IF(T109=4,T115-V115,IF(V109=4,V115-T115,""))))</f>
        <v/>
      </c>
      <c r="AN112" s="64" t="str">
        <f>IF(AK94&lt;4,"",IF(AK93&lt;8,"",IF(W109=4,W115-Y115,IF(Y109=4,Y115-W115,""))))</f>
        <v/>
      </c>
      <c r="AO112" s="64" t="str">
        <f>IF(AK94&lt;4,"",IF(AK93&lt;9,"",IF(Z109=4,Z115-AB115,IF(AB109=4,AB115-Z115,""))))</f>
        <v/>
      </c>
      <c r="AP112" s="64" t="str">
        <f>IF(AK94&lt;4,"",IF(AK93&lt;10,"",IF(AC109=4,AC115-AE115,IF(AE109=4,AE115-AC115,""))))</f>
        <v/>
      </c>
      <c r="AQ112" s="59">
        <f>SUM(AG112:AP112)</f>
        <v>-14</v>
      </c>
    </row>
    <row r="113" spans="1:43" ht="15" x14ac:dyDescent="0.2">
      <c r="A113" s="3" t="str">
        <f>IF(AK92&gt;3,"Game 4","")</f>
        <v/>
      </c>
      <c r="B113" s="65"/>
      <c r="C113" s="66" t="s">
        <v>74</v>
      </c>
      <c r="D113" s="67"/>
      <c r="E113" s="65"/>
      <c r="F113" s="66" t="str">
        <f>IF(AK93&gt;1,IF(AK92&gt;3,"/",""),"")</f>
        <v/>
      </c>
      <c r="G113" s="67"/>
      <c r="H113" s="65"/>
      <c r="I113" s="66" t="str">
        <f>IF(AK93&gt;2,IF(AK92&gt;3,"/",""),"")</f>
        <v/>
      </c>
      <c r="J113" s="67"/>
      <c r="K113" s="65"/>
      <c r="L113" s="66" t="str">
        <f>IF(AK93&gt;3,IF(AK92&gt;3,"/",""),"")</f>
        <v/>
      </c>
      <c r="M113" s="67"/>
      <c r="N113" s="65"/>
      <c r="O113" s="66" t="str">
        <f>IF(AK93&gt;4,IF(AK92&gt;3,"/",""),"")</f>
        <v/>
      </c>
      <c r="P113" s="67"/>
      <c r="Q113" s="65"/>
      <c r="R113" s="66" t="str">
        <f>IF(AK93&gt;5,IF(AK92&gt;3,"/",""),"")</f>
        <v/>
      </c>
      <c r="S113" s="67"/>
      <c r="T113" s="65"/>
      <c r="U113" s="66" t="str">
        <f>IF(AK93&gt;6,IF(AK92&gt;3,"/",""),"")</f>
        <v/>
      </c>
      <c r="V113" s="67"/>
      <c r="W113" s="65"/>
      <c r="X113" s="66" t="str">
        <f>IF(AK93&gt;7,IF(AK92&gt;3,"/",""),"")</f>
        <v/>
      </c>
      <c r="Y113" s="67"/>
      <c r="Z113" s="65"/>
      <c r="AA113" s="66" t="str">
        <f>IF(AK93&gt;8,IF(AK92&gt;3,"/",""),"")</f>
        <v/>
      </c>
      <c r="AB113" s="67"/>
      <c r="AC113" s="65"/>
      <c r="AD113" s="66" t="str">
        <f>IF(AK93&gt;9,IF(AK92&gt;3,"/",""),"")</f>
        <v/>
      </c>
      <c r="AE113" s="67"/>
      <c r="AF113" s="57" t="str">
        <f>IF(AK94&gt;4,"Team 5","")</f>
        <v/>
      </c>
      <c r="AG113" s="68" t="str">
        <f>IF(AK94&lt;5,"",IF(AK93&lt;1,"",IF(B109=5,B115-D115,IF(D109=5,D115-B115,""))))</f>
        <v/>
      </c>
      <c r="AH113" s="64" t="str">
        <f>IF(AK94&lt;5,"",IF(AK93&lt;2,"",IF(E109=5,E115-G115,IF(G109=5,G115-E115,""))))</f>
        <v/>
      </c>
      <c r="AI113" s="64" t="str">
        <f>IF(AK94&lt;5,"",IF(AK93&lt;3,"",IF(H109=5,H115-J115,IF(J109=5,J115-H115,""))))</f>
        <v/>
      </c>
      <c r="AJ113" s="64" t="str">
        <f>IF(AK94&lt;5,"",IF(AK93&lt;4,"",IF(K109=5,K115-M115,IF(M109=5,M115-K115,""))))</f>
        <v/>
      </c>
      <c r="AK113" s="64" t="str">
        <f>IF(AK94&lt;5,"",IF(AK93&lt;5,"",IF(N109=5,N115-P115,IF(P109=5,P115-N115,""))))</f>
        <v/>
      </c>
      <c r="AL113" s="64" t="str">
        <f>IF(AK94&lt;5,"",IF(AK93&lt;6,"",IF(Q109=5,Q115-S115,IF(S109=5,S115-Q115,""))))</f>
        <v/>
      </c>
      <c r="AM113" s="64" t="str">
        <f>IF(AK94&lt;5,"",IF(AK93&lt;7,"",IF(T109=5,T115-V115,IF(V109=5,V115-T115,""))))</f>
        <v/>
      </c>
      <c r="AN113" s="64" t="str">
        <f>IF(AK94&lt;5,"",IF(AK93&lt;8,"",IF(W109=5,W115-Y115,IF(Y109=5,Y115-W115,""))))</f>
        <v/>
      </c>
      <c r="AO113" s="64" t="str">
        <f>IF(AK94&lt;5,"",IF(AK93&lt;9,"",IF(Z109=5,Z115-AB115,IF(AB109=5,AB115-Z115,""))))</f>
        <v/>
      </c>
      <c r="AP113" s="64" t="str">
        <f>IF(AK94&lt;5,"",IF(AK93&lt;10,"",IF(AC109=5,AC115-AE115,IF(AE109=5,AE115-AC115,""))))</f>
        <v/>
      </c>
      <c r="AQ113" s="59">
        <f>SUM(AG113:AP113)</f>
        <v>0</v>
      </c>
    </row>
    <row r="114" spans="1:43" ht="15" x14ac:dyDescent="0.2">
      <c r="A114" s="3" t="str">
        <f>IF(AK92&gt;4,"Game 5","")</f>
        <v/>
      </c>
      <c r="B114" s="65"/>
      <c r="C114" s="66" t="s">
        <v>74</v>
      </c>
      <c r="D114" s="67"/>
      <c r="E114" s="65"/>
      <c r="F114" s="66" t="str">
        <f>IF(AK93&gt;1,IF(AK92&gt;4,"/",""),"")</f>
        <v/>
      </c>
      <c r="G114" s="67"/>
      <c r="H114" s="65"/>
      <c r="I114" s="66" t="str">
        <f>IF(AK93&gt;2,IF(AK92&gt;4,"/",""),"")</f>
        <v/>
      </c>
      <c r="J114" s="67"/>
      <c r="K114" s="65"/>
      <c r="L114" s="66" t="str">
        <f>IF(AK93&gt;3,IF(AK92&gt;4,"/",""),"")</f>
        <v/>
      </c>
      <c r="M114" s="67"/>
      <c r="N114" s="65"/>
      <c r="O114" s="66" t="str">
        <f>IF(AK93&gt;4,IF(AK92&gt;4,"/",""),"")</f>
        <v/>
      </c>
      <c r="P114" s="67"/>
      <c r="Q114" s="65"/>
      <c r="R114" s="66" t="str">
        <f>IF(AK93&gt;5,IF(AK92&gt;4,"/",""),"")</f>
        <v/>
      </c>
      <c r="S114" s="67"/>
      <c r="T114" s="65"/>
      <c r="U114" s="66" t="str">
        <f>IF(AK93&gt;6,IF(AK92&gt;4,"/",""),"")</f>
        <v/>
      </c>
      <c r="V114" s="67"/>
      <c r="W114" s="65"/>
      <c r="X114" s="66" t="str">
        <f>IF(AK93&gt;7,IF(AK92&gt;4,"/",""),"")</f>
        <v/>
      </c>
      <c r="Y114" s="67"/>
      <c r="Z114" s="65"/>
      <c r="AA114" s="66" t="str">
        <f>IF(AK93&gt;8,IF(AK92&gt;4,"/",""),"")</f>
        <v/>
      </c>
      <c r="AB114" s="67"/>
      <c r="AC114" s="65"/>
      <c r="AD114" s="66" t="str">
        <f>IF(AK93&gt;9,IF(AK92&gt;4,"/",""),"")</f>
        <v/>
      </c>
      <c r="AE114" s="67"/>
      <c r="AF114" s="8"/>
      <c r="AG114" s="8"/>
      <c r="AH114" s="8"/>
      <c r="AI114" s="8"/>
      <c r="AJ114" s="8"/>
      <c r="AK114" s="8"/>
      <c r="AL114" s="8"/>
      <c r="AM114" s="8"/>
      <c r="AN114" s="8"/>
      <c r="AO114" s="8"/>
      <c r="AP114" s="8"/>
      <c r="AQ114" s="8"/>
    </row>
    <row r="115" spans="1:43" hidden="1" x14ac:dyDescent="0.2">
      <c r="A115" s="69"/>
      <c r="B115" s="69">
        <f>IF($AK92=5,SUM(B110:B114),IF($AK92=4,SUM(B110:B113),IF($AK92=3,SUM(B110:B112),IF($AK92=2,SUM(B110:B111),B110))))</f>
        <v>61</v>
      </c>
      <c r="C115" s="69"/>
      <c r="D115" s="69">
        <f>IF($AK92=5,SUM(D110:D114),IF($AK92=4,SUM(D110:D113),IF($AK92=3,SUM(D110:D112),IF($AK92=2,SUM(D110:D111),D110))))</f>
        <v>64</v>
      </c>
      <c r="E115" s="69">
        <f>IF($AK92=5,SUM(E110:E114),IF($AK92=4,SUM(E110:E113),IF($AK92=3,SUM(E110:E112),IF($AK92=2,SUM(E110:E111),E110))))</f>
        <v>50</v>
      </c>
      <c r="F115" s="69"/>
      <c r="G115" s="69">
        <f>IF($AK92=5,SUM(G110:G114),IF($AK92=4,SUM(G110:G113),IF($AK92=3,SUM(G110:G112),IF($AK92=2,SUM(G110:G111),G110))))</f>
        <v>31</v>
      </c>
      <c r="H115" s="69">
        <f>IF($AK92=5,SUM(H110:H114),IF($AK92=4,SUM(H110:H113),IF($AK92=3,SUM(H110:H112),IF($AK92=2,SUM(H110:H111),H110))))</f>
        <v>60</v>
      </c>
      <c r="I115" s="69"/>
      <c r="J115" s="69">
        <f>IF($AK92=5,SUM(J110:J114),IF($AK92=4,SUM(J110:J113),IF($AK92=3,SUM(J110:J112),IF($AK92=2,SUM(J110:J111),J110))))</f>
        <v>57</v>
      </c>
      <c r="K115" s="69">
        <f>IF($AK92=5,SUM(K110:K114),IF($AK92=4,SUM(K110:K113),IF($AK92=3,SUM(K110:K112),IF($AK92=2,SUM(K110:K111),K110))))</f>
        <v>50</v>
      </c>
      <c r="L115" s="69"/>
      <c r="M115" s="69">
        <f>IF($AK92=5,SUM(M110:M114),IF($AK92=4,SUM(M110:M113),IF($AK92=3,SUM(M110:M112),IF($AK92=2,SUM(M110:M111),M110))))</f>
        <v>39</v>
      </c>
      <c r="N115" s="69">
        <f>IF($AK92=5,SUM(N110:N114),IF($AK92=4,SUM(N110:N113),IF($AK92=3,SUM(N110:N112),IF($AK92=2,SUM(N110:N111),N110))))</f>
        <v>44</v>
      </c>
      <c r="O115" s="69"/>
      <c r="P115" s="69">
        <f>IF($AK92=5,SUM(P110:P114),IF($AK92=4,SUM(P110:P113),IF($AK92=3,SUM(P110:P112),IF($AK92=2,SUM(P110:P111),P110))))</f>
        <v>52</v>
      </c>
      <c r="Q115" s="69">
        <f>IF($AK92=5,SUM(Q110:Q114),IF($AK92=4,SUM(Q110:Q113),IF($AK92=3,SUM(Q110:Q112),IF($AK92=2,SUM(Q110:Q111),Q110))))</f>
        <v>60</v>
      </c>
      <c r="R115" s="69"/>
      <c r="S115" s="69">
        <f>IF($AK92=5,SUM(S110:S114),IF($AK92=4,SUM(S110:S113),IF($AK92=3,SUM(S110:S112),IF($AK92=2,SUM(S110:S111),S110))))</f>
        <v>38</v>
      </c>
      <c r="T115" s="69">
        <f>IF($AK92=5,SUM(T110:T114),IF($AK92=4,SUM(T110:T113),IF($AK92=3,SUM(T110:T112),IF($AK92=2,SUM(T110:T111),T110))))</f>
        <v>0</v>
      </c>
      <c r="U115" s="69"/>
      <c r="V115" s="69">
        <f>IF($AK92=5,SUM(V110:V114),IF($AK92=4,SUM(V110:V113),IF($AK92=3,SUM(V110:V112),IF($AK92=2,SUM(V110:V111),V110))))</f>
        <v>0</v>
      </c>
      <c r="W115" s="69">
        <f>IF($AK92=5,SUM(W110:W114),IF($AK92=4,SUM(W110:W113),IF($AK92=3,SUM(W110:W112),IF($AK92=2,SUM(W110:W111),W110))))</f>
        <v>0</v>
      </c>
      <c r="X115" s="69"/>
      <c r="Y115" s="69">
        <f>IF($AK92=5,SUM(Y110:Y114),IF($AK92=4,SUM(Y110:Y113),IF($AK92=3,SUM(Y110:Y112),IF($AK92=2,SUM(Y110:Y111),Y110))))</f>
        <v>0</v>
      </c>
      <c r="Z115" s="69">
        <f>IF($AK92=5,SUM(Z110:Z114),IF($AK92=4,SUM(Z110:Z113),IF($AK92=3,SUM(Z110:Z112),IF($AK92=2,SUM(Z110:Z111),Z110))))</f>
        <v>0</v>
      </c>
      <c r="AA115" s="69"/>
      <c r="AB115" s="69">
        <f>IF($AK92=5,SUM(AB110:AB114),IF($AK92=4,SUM(AB110:AB113),IF($AK92=3,SUM(AB110:AB112),IF($AK92=2,SUM(AB110:AB111),AB110))))</f>
        <v>0</v>
      </c>
      <c r="AC115" s="69">
        <f>IF($AK92=5,SUM(AC110:AC114),IF($AK92=4,SUM(AC110:AC113),IF($AK92=3,SUM(AC110:AC112),IF($AK92=2,SUM(AC110:AC111),AC110))))</f>
        <v>0</v>
      </c>
      <c r="AD115" s="69"/>
      <c r="AE115" s="69">
        <f>IF($AK92=5,SUM(AE110:AE114),IF($AK92=4,SUM(AE110:AE113),IF($AK92=3,SUM(AE110:AE112),IF($AK92=2,SUM(AE110:AE111),AE110))))</f>
        <v>0</v>
      </c>
      <c r="AF115" s="8"/>
      <c r="AG115" s="8"/>
      <c r="AH115" s="8"/>
      <c r="AI115" s="8"/>
      <c r="AJ115" s="8"/>
      <c r="AK115" s="8"/>
      <c r="AL115" s="8"/>
      <c r="AM115" s="8"/>
      <c r="AN115" s="8"/>
      <c r="AO115" s="8"/>
      <c r="AP115" s="8"/>
      <c r="AQ115" s="8"/>
    </row>
    <row r="116" spans="1:43" s="70" customFormat="1" ht="12.75" hidden="1" customHeight="1" x14ac:dyDescent="0.2">
      <c r="A116" s="70" t="s">
        <v>75</v>
      </c>
      <c r="B116" s="71">
        <f>IF(AND(B110&gt;D110,$AK93&gt;0,ISNUMBER(B110),ISNUMBER(D110)),1,0)</f>
        <v>0</v>
      </c>
      <c r="C116" s="71"/>
      <c r="D116" s="72">
        <f>IF(AND(D110&gt;B110,$AK93&gt;0,ISNUMBER(B110),ISNUMBER(D110)),1,0)</f>
        <v>1</v>
      </c>
      <c r="E116" s="71">
        <f>IF(AND(E110&gt;G110,$AK93&gt;1,ISNUMBER(E110),ISNUMBER(G110)),1,0)</f>
        <v>1</v>
      </c>
      <c r="F116" s="71"/>
      <c r="G116" s="72">
        <f>IF(AND(G110&gt;E110,$AK93&gt;1,ISNUMBER(E110),ISNUMBER(G110)),1,0)</f>
        <v>0</v>
      </c>
      <c r="H116" s="71">
        <f>IF(AND(H110&gt;J110,$AK93&gt;2,ISNUMBER(H110),ISNUMBER(J110)),1,0)</f>
        <v>0</v>
      </c>
      <c r="I116" s="71"/>
      <c r="J116" s="72">
        <f>IF(AND(J110&gt;H110,$AK93&gt;2,ISNUMBER(H110),ISNUMBER(J110)),1,0)</f>
        <v>1</v>
      </c>
      <c r="K116" s="71">
        <f>IF(AND(K110&gt;M110,$AK93&gt;3,ISNUMBER(K110),ISNUMBER(M110)),1,0)</f>
        <v>1</v>
      </c>
      <c r="L116" s="71"/>
      <c r="M116" s="72">
        <f>IF(AND(M110&gt;K110,$AK93&gt;3,ISNUMBER(K110),ISNUMBER(M110)),1,0)</f>
        <v>0</v>
      </c>
      <c r="N116" s="71">
        <f>IF(AND(N110&gt;P110,$AK93&gt;4,ISNUMBER(N110),ISNUMBER(P110)),1,0)</f>
        <v>0</v>
      </c>
      <c r="O116" s="71"/>
      <c r="P116" s="72">
        <f>IF(AND(P110&gt;N110,$AK93&gt;4,ISNUMBER(N110),ISNUMBER(P110)),1,0)</f>
        <v>1</v>
      </c>
      <c r="Q116" s="71">
        <f>IF(AND(Q110&gt;S110,$AK93&gt;5,ISNUMBER(Q110),ISNUMBER(S110)),1,0)</f>
        <v>0</v>
      </c>
      <c r="R116" s="71"/>
      <c r="S116" s="72">
        <f>IF(AND(S110&gt;Q110,$AK93&gt;5,ISNUMBER(Q110),ISNUMBER(S110)),1,0)</f>
        <v>1</v>
      </c>
      <c r="T116" s="71">
        <f>IF(AND(T110&gt;V110,$AK93&gt;6,ISNUMBER(T110),ISNUMBER(V110)),1,0)</f>
        <v>0</v>
      </c>
      <c r="U116" s="71"/>
      <c r="V116" s="72">
        <f>IF(AND(V110&gt;T110,$AK93&gt;6,ISNUMBER(T110),ISNUMBER(V110)),1,0)</f>
        <v>0</v>
      </c>
      <c r="W116" s="71">
        <f>IF(AND(W110&gt;Y110,$AK93&gt;7,ISNUMBER(W110),ISNUMBER(Y110)),1,0)</f>
        <v>0</v>
      </c>
      <c r="X116" s="71"/>
      <c r="Y116" s="72">
        <f>IF(AND(Y110&gt;W110,$AK93&gt;7,ISNUMBER(W110),ISNUMBER(Y110)),1,0)</f>
        <v>0</v>
      </c>
      <c r="Z116" s="71">
        <f>IF(AND(Z110&gt;AB110,$AK93&gt;8,ISNUMBER(Z110),ISNUMBER(AB110)),1,0)</f>
        <v>0</v>
      </c>
      <c r="AA116" s="71"/>
      <c r="AB116" s="72">
        <f>IF(AND(AB110&gt;Z110,$AK93&gt;8,ISNUMBER(Z110),ISNUMBER(AB110)),1,0)</f>
        <v>0</v>
      </c>
      <c r="AC116" s="71">
        <f>IF(AND(AC110&gt;AE110,$AK93&gt;9,ISNUMBER(AC110),ISNUMBER(AE110)),1,0)</f>
        <v>0</v>
      </c>
      <c r="AD116" s="71"/>
      <c r="AE116" s="72">
        <f>IF(AND(AE110&gt;AC110,$AK93&gt;9,ISNUMBER(AC110),ISNUMBER(AE110)),1,0)</f>
        <v>0</v>
      </c>
    </row>
    <row r="117" spans="1:43" s="70" customFormat="1" ht="12.75" hidden="1" customHeight="1" x14ac:dyDescent="0.2">
      <c r="A117" s="70" t="s">
        <v>76</v>
      </c>
      <c r="B117" s="71">
        <f>IF(AND(B111&gt;D111,$AK93&gt;0,$AK92&gt;1,ISNUMBER(B111),ISNUMBER(D111)),1,0)</f>
        <v>1</v>
      </c>
      <c r="C117" s="71"/>
      <c r="D117" s="72">
        <f>IF(AND(D111&gt;B111,$AK93&gt;0,$AK92&gt;1,ISNUMBER(B111),ISNUMBER(D111)),1,0)</f>
        <v>0</v>
      </c>
      <c r="E117" s="71">
        <f>IF(AND(E111&gt;G111,$AK93&gt;1,$AK92&gt;1,ISNUMBER(E111),ISNUMBER(G111)),1,0)</f>
        <v>1</v>
      </c>
      <c r="F117" s="71"/>
      <c r="G117" s="72">
        <f>IF(AND(G111&gt;E111,$AK93&gt;1,$AK92&gt;1,ISNUMBER(E111),ISNUMBER(G111)),1,0)</f>
        <v>0</v>
      </c>
      <c r="H117" s="71">
        <f>IF(AND(H111&gt;J111,$AK93&gt;2,$AK92&gt;1,ISNUMBER(H111),ISNUMBER(J111)),1,0)</f>
        <v>1</v>
      </c>
      <c r="I117" s="71"/>
      <c r="J117" s="72">
        <f>IF(AND(J111&gt;H111,$AK93&gt;2,$AK92&gt;1,ISNUMBER(H111),ISNUMBER(J111)),1,0)</f>
        <v>0</v>
      </c>
      <c r="K117" s="71">
        <f>IF(AND(K111&gt;M111,$AK93&gt;3,$AK92&gt;1,ISNUMBER(K111),ISNUMBER(M111)),1,0)</f>
        <v>1</v>
      </c>
      <c r="L117" s="71"/>
      <c r="M117" s="72">
        <f>IF(AND(M111&gt;K111,$AK93&gt;3,$AK92&gt;1,ISNUMBER(K111),ISNUMBER(M111)),1,0)</f>
        <v>0</v>
      </c>
      <c r="N117" s="71">
        <f>IF(AND(N111&gt;P111,$AK93&gt;4,$AK92&gt;1,ISNUMBER(N111),ISNUMBER(P111)),1,0)</f>
        <v>0</v>
      </c>
      <c r="O117" s="71"/>
      <c r="P117" s="72">
        <f>IF(AND(P111&gt;N111,$AK93&gt;4,$AK92&gt;1,ISNUMBER(N111),ISNUMBER(P111)),1,0)</f>
        <v>1</v>
      </c>
      <c r="Q117" s="71">
        <f>IF(AND(Q111&gt;S111,$AK93&gt;5,$AK92&gt;1,ISNUMBER(Q111),ISNUMBER(S111)),1,0)</f>
        <v>1</v>
      </c>
      <c r="R117" s="71"/>
      <c r="S117" s="72">
        <f>IF(AND(S111&gt;Q111,$AK93&gt;5,$AK92&gt;1,ISNUMBER(Q111),ISNUMBER(S111)),1,0)</f>
        <v>0</v>
      </c>
      <c r="T117" s="71">
        <f>IF(AND(T111&gt;V111,$AK93&gt;6,$AK92&gt;1,ISNUMBER(T111),ISNUMBER(V111)),1,0)</f>
        <v>0</v>
      </c>
      <c r="U117" s="71"/>
      <c r="V117" s="72">
        <f>IF(AND(V111&gt;T111,$AK93&gt;6,$AK92&gt;1,ISNUMBER(T111),ISNUMBER(V111)),1,0)</f>
        <v>0</v>
      </c>
      <c r="W117" s="71">
        <f>IF(AND(W111&gt;Y111,$AK93&gt;7,$AK92&gt;1,ISNUMBER(W111),ISNUMBER(Y111)),1,0)</f>
        <v>0</v>
      </c>
      <c r="X117" s="71"/>
      <c r="Y117" s="72">
        <f>IF(AND(Y111&gt;W111,$AK93&gt;7,$AK92&gt;1,ISNUMBER(W111),ISNUMBER(Y111)),1,0)</f>
        <v>0</v>
      </c>
      <c r="Z117" s="71">
        <f>IF(AND(Z111&gt;AB111,$AK93&gt;8,$AK92&gt;1,ISNUMBER(Z111),ISNUMBER(AB111)),1,0)</f>
        <v>0</v>
      </c>
      <c r="AA117" s="71"/>
      <c r="AB117" s="72">
        <f>IF(AND(AB111&gt;Z111,$AK93&gt;8,$AK92&gt;1,ISNUMBER(Z111),ISNUMBER(AB111)),1,0)</f>
        <v>0</v>
      </c>
      <c r="AC117" s="71">
        <f>IF(AND(AC111&gt;AE111,$AK93&gt;9,$AK92&gt;1,ISNUMBER(AC111),ISNUMBER(AE111)),1,0)</f>
        <v>0</v>
      </c>
      <c r="AD117" s="71"/>
      <c r="AE117" s="72">
        <f>IF(AND(AE111&gt;AC111,$AK93&gt;9,$AK92&gt;1,ISNUMBER(AC111),ISNUMBER(AE111)),1,0)</f>
        <v>0</v>
      </c>
    </row>
    <row r="118" spans="1:43" s="70" customFormat="1" ht="12.75" hidden="1" customHeight="1" x14ac:dyDescent="0.2">
      <c r="A118" s="70" t="s">
        <v>77</v>
      </c>
      <c r="B118" s="71">
        <f>IF(AND(B112&gt;D112,$AK93&gt;0,$AK92&gt;2,ISNUMBER(B112),ISNUMBER(D112)),1,0)</f>
        <v>0</v>
      </c>
      <c r="C118" s="71"/>
      <c r="D118" s="72">
        <f>IF(AND(D112&gt;B112,$AK93&gt;0,$AK92&gt;2,ISNUMBER(B112),ISNUMBER(D112)),1,0)</f>
        <v>1</v>
      </c>
      <c r="E118" s="71">
        <f>IF(AND(E112&gt;G112,$AK93&gt;1,$AK92&gt;2,ISNUMBER(E112),ISNUMBER(G112)),1,0)</f>
        <v>0</v>
      </c>
      <c r="F118" s="71"/>
      <c r="G118" s="72">
        <f>IF(AND(G112&gt;E112,$AK93&gt;1,$AK92&gt;2,ISNUMBER(E112),ISNUMBER(G112)),1,0)</f>
        <v>0</v>
      </c>
      <c r="H118" s="71">
        <f>IF(AND(H112&gt;J112,$AK93&gt;2,$AK92&gt;2,ISNUMBER(H112),ISNUMBER(J112)),1,0)</f>
        <v>0</v>
      </c>
      <c r="I118" s="71"/>
      <c r="J118" s="72">
        <f>IF(AND(J112&gt;H112,$AK93&gt;2,$AK92&gt;2,ISNUMBER(H112),ISNUMBER(J112)),1,0)</f>
        <v>1</v>
      </c>
      <c r="K118" s="71">
        <f>IF(AND(K112&gt;M112,$AK93&gt;3,$AK92&gt;2,ISNUMBER(K112),ISNUMBER(M112)),1,0)</f>
        <v>0</v>
      </c>
      <c r="L118" s="71"/>
      <c r="M118" s="72">
        <f>IF(AND(M112&gt;K112,$AK93&gt;3,$AK92&gt;2,ISNUMBER(K112),ISNUMBER(M112)),1,0)</f>
        <v>0</v>
      </c>
      <c r="N118" s="71">
        <f>IF(AND(N112&gt;P112,$AK93&gt;4,$AK92&gt;2,ISNUMBER(N112),ISNUMBER(P112)),1,0)</f>
        <v>0</v>
      </c>
      <c r="O118" s="71"/>
      <c r="P118" s="72">
        <f>IF(AND(P112&gt;N112,$AK93&gt;4,$AK92&gt;2,ISNUMBER(N112),ISNUMBER(P112)),1,0)</f>
        <v>0</v>
      </c>
      <c r="Q118" s="71">
        <f>IF(AND(Q112&gt;S112,$AK93&gt;5,$AK92&gt;2,ISNUMBER(Q112),ISNUMBER(S112)),1,0)</f>
        <v>1</v>
      </c>
      <c r="R118" s="71"/>
      <c r="S118" s="72">
        <f>IF(AND(S112&gt;Q112,$AK93&gt;5,$AK92&gt;2,ISNUMBER(Q112),ISNUMBER(S112)),1,0)</f>
        <v>0</v>
      </c>
      <c r="T118" s="71">
        <f>IF(AND(T112&gt;V112,$AK93&gt;6,$AK92&gt;2,ISNUMBER(T112),ISNUMBER(V112)),1,0)</f>
        <v>0</v>
      </c>
      <c r="U118" s="71"/>
      <c r="V118" s="72">
        <f>IF(AND(V112&gt;T112,$AK93&gt;6,$AK92&gt;2,ISNUMBER(T112),ISNUMBER(V112)),1,0)</f>
        <v>0</v>
      </c>
      <c r="W118" s="71">
        <f>IF(AND(W112&gt;Y112,$AK93&gt;7,$AK92&gt;2,ISNUMBER(W112),ISNUMBER(Y112)),1,0)</f>
        <v>0</v>
      </c>
      <c r="X118" s="71"/>
      <c r="Y118" s="72">
        <f>IF(AND(Y112&gt;W112,$AK93&gt;7,$AK92&gt;2,ISNUMBER(W112),ISNUMBER(Y112)),1,0)</f>
        <v>0</v>
      </c>
      <c r="Z118" s="71">
        <f>IF(AND(Z112&gt;AB112,$AK93&gt;8,$AK92&gt;2,ISNUMBER(Z112),ISNUMBER(AB112)),1,0)</f>
        <v>0</v>
      </c>
      <c r="AA118" s="71"/>
      <c r="AB118" s="72">
        <f>IF(AND(AB112&gt;Z112,$AK93&gt;8,$AK92&gt;2,ISNUMBER(Z112),ISNUMBER(AB112)),1,0)</f>
        <v>0</v>
      </c>
      <c r="AC118" s="71">
        <f>IF(AND(AC112&gt;AE112,$AK93&gt;9,$AK92&gt;2,ISNUMBER(AC112),ISNUMBER(AE112)),1,0)</f>
        <v>0</v>
      </c>
      <c r="AD118" s="71"/>
      <c r="AE118" s="72">
        <f>IF(AND(AE112&gt;AC112,$AK93&gt;9,$AK92&gt;2,ISNUMBER(AC112),ISNUMBER(AE112)),1,0)</f>
        <v>0</v>
      </c>
    </row>
    <row r="119" spans="1:43" s="70" customFormat="1" ht="12.75" hidden="1" customHeight="1" x14ac:dyDescent="0.2">
      <c r="A119" s="70" t="s">
        <v>78</v>
      </c>
      <c r="B119" s="71">
        <f>IF(AND(B113&gt;D113,$AK93&gt;0,$AK92&gt;3,ISNUMBER(B113),ISNUMBER(D113)),1,0)</f>
        <v>0</v>
      </c>
      <c r="C119" s="71"/>
      <c r="D119" s="72">
        <f>IF(AND(D113&gt;B113,$AK93&gt;0,$AK92&gt;3,ISNUMBER(B113),ISNUMBER(D113)),1,0)</f>
        <v>0</v>
      </c>
      <c r="E119" s="71">
        <f>IF(AND(E113&gt;G113,$AK93&gt;1,$AK92&gt;3,ISNUMBER(E113),ISNUMBER(G113)),1,0)</f>
        <v>0</v>
      </c>
      <c r="F119" s="71"/>
      <c r="G119" s="72">
        <f>IF(AND(G113&gt;E113,$AK93&gt;1,$AK92&gt;3,ISNUMBER(E113),ISNUMBER(G113)),1,0)</f>
        <v>0</v>
      </c>
      <c r="H119" s="71">
        <f>IF(AND(H113&gt;J113,$AK93&gt;2,$AK92&gt;3,ISNUMBER(H113),ISNUMBER(J113)),1,0)</f>
        <v>0</v>
      </c>
      <c r="I119" s="71"/>
      <c r="J119" s="72">
        <f>IF(AND(J113&gt;H113,$AK93&gt;2,$AK92&gt;3,ISNUMBER(H113),ISNUMBER(J113)),1,0)</f>
        <v>0</v>
      </c>
      <c r="K119" s="71">
        <f>IF(AND(K113&gt;M113,$AK93&gt;3,$AK92&gt;3,ISNUMBER(K113),ISNUMBER(M113)),1,0)</f>
        <v>0</v>
      </c>
      <c r="L119" s="71"/>
      <c r="M119" s="72">
        <f>IF(AND(M113&gt;K113,$AK93&gt;3,$AK92&gt;3,ISNUMBER(K113),ISNUMBER(M113)),1,0)</f>
        <v>0</v>
      </c>
      <c r="N119" s="71">
        <f>IF(AND(N113&gt;P113,$AK93&gt;4,$AK92&gt;3,ISNUMBER(N113),ISNUMBER(P113)),1,0)</f>
        <v>0</v>
      </c>
      <c r="O119" s="71"/>
      <c r="P119" s="72">
        <f>IF(AND(P113&gt;N113,$AK93&gt;4,$AK92&gt;3,ISNUMBER(N113),ISNUMBER(P113)),1,0)</f>
        <v>0</v>
      </c>
      <c r="Q119" s="71">
        <f>IF(AND(Q113&gt;S113,$AK93&gt;5,$AK92&gt;3,ISNUMBER(Q113),ISNUMBER(S113)),1,0)</f>
        <v>0</v>
      </c>
      <c r="R119" s="71"/>
      <c r="S119" s="72">
        <f>IF(AND(S113&gt;Q113,$AK93&gt;5,$AK92&gt;3,ISNUMBER(Q113),ISNUMBER(S113)),1,0)</f>
        <v>0</v>
      </c>
      <c r="T119" s="71">
        <f>IF(AND(T113&gt;V113,$AK93&gt;6,$AK92&gt;3,ISNUMBER(T113),ISNUMBER(V113)),1,0)</f>
        <v>0</v>
      </c>
      <c r="U119" s="71"/>
      <c r="V119" s="72">
        <f>IF(AND(V113&gt;T113,$AK93&gt;6,$AK92&gt;3,ISNUMBER(T113),ISNUMBER(V113)),1,0)</f>
        <v>0</v>
      </c>
      <c r="W119" s="71">
        <f>IF(AND(W113&gt;Y113,$AK93&gt;7,$AK92&gt;3,ISNUMBER(W113),ISNUMBER(Y113)),1,0)</f>
        <v>0</v>
      </c>
      <c r="X119" s="71"/>
      <c r="Y119" s="72">
        <f>IF(AND(Y113&gt;W113,$AK93&gt;7,$AK92&gt;3,ISNUMBER(W113),ISNUMBER(Y113)),1,0)</f>
        <v>0</v>
      </c>
      <c r="Z119" s="71">
        <f>IF(AND(Z113&gt;AB113,$AK93&gt;8,$AK92&gt;3,ISNUMBER(Z113),ISNUMBER(AB113)),1,0)</f>
        <v>0</v>
      </c>
      <c r="AA119" s="71"/>
      <c r="AB119" s="72">
        <f>IF(AND(AB113&gt;Z113,$AK93&gt;8,$AK92&gt;3,ISNUMBER(Z113),ISNUMBER(AB113)),1,0)</f>
        <v>0</v>
      </c>
      <c r="AC119" s="71">
        <f>IF(AND(AC113&gt;AE113,$AK93&gt;9,$AK92&gt;3,ISNUMBER(AC113),ISNUMBER(AE113)),1,0)</f>
        <v>0</v>
      </c>
      <c r="AD119" s="71"/>
      <c r="AE119" s="72">
        <f>IF(AND(AE113&gt;AC113,$AK93&gt;9,$AK92&gt;3,ISNUMBER(AC113),ISNUMBER(AE113)),1,0)</f>
        <v>0</v>
      </c>
    </row>
    <row r="120" spans="1:43" s="70" customFormat="1" ht="12.75" hidden="1" customHeight="1" x14ac:dyDescent="0.2">
      <c r="A120" s="70" t="s">
        <v>79</v>
      </c>
      <c r="B120" s="71">
        <f>IF(AND(B114&gt;D114,$AK93&gt;0,$AK92&gt;4,ISNUMBER(B114),ISNUMBER(D114)),1,0)</f>
        <v>0</v>
      </c>
      <c r="C120" s="71"/>
      <c r="D120" s="72">
        <f>IF(AND(D114&gt;B114,$AK93&gt;0,$AK92&gt;4,ISNUMBER(B114),ISNUMBER(D114)),1,0)</f>
        <v>0</v>
      </c>
      <c r="E120" s="71">
        <f>IF(AND(E114&gt;G114,$AK93&gt;1,$AK92&gt;4,ISNUMBER(E114),ISNUMBER(G114)),1,0)</f>
        <v>0</v>
      </c>
      <c r="F120" s="71"/>
      <c r="G120" s="72">
        <f>IF(AND(G114&gt;E114,$AK93&gt;1,$AK92&gt;4,ISNUMBER(E114),ISNUMBER(G114)),1,0)</f>
        <v>0</v>
      </c>
      <c r="H120" s="71">
        <f>IF(AND(H114&gt;J114,$AK93&gt;2,$AK92&gt;4,ISNUMBER(H114),ISNUMBER(J114)),1,0)</f>
        <v>0</v>
      </c>
      <c r="I120" s="71"/>
      <c r="J120" s="72">
        <f>IF(AND(J114&gt;H114,$AK93&gt;2,$AK92&gt;4,ISNUMBER(H114),ISNUMBER(J114)),1,0)</f>
        <v>0</v>
      </c>
      <c r="K120" s="71">
        <f>IF(AND(K114&gt;M114,$AK93&gt;3,$AK92&gt;4,ISNUMBER(K114),ISNUMBER(M114)),1,0)</f>
        <v>0</v>
      </c>
      <c r="L120" s="71"/>
      <c r="M120" s="72">
        <f>IF(AND(M114&gt;K114,$AK93&gt;3,$AK92&gt;4,ISNUMBER(K114),ISNUMBER(M114)),1,0)</f>
        <v>0</v>
      </c>
      <c r="N120" s="71">
        <f>IF(AND(N114&gt;P114,$AK93&gt;4,$AK92&gt;4,ISNUMBER(N114),ISNUMBER(P114)),1,0)</f>
        <v>0</v>
      </c>
      <c r="O120" s="71"/>
      <c r="P120" s="72">
        <f>IF(AND(P114&gt;N114,$AK93&gt;4,$AK92&gt;4,ISNUMBER(N114),ISNUMBER(P114)),1,0)</f>
        <v>0</v>
      </c>
      <c r="Q120" s="71">
        <f>IF(AND(Q114&gt;S114,$AK93&gt;5,$AK92&gt;4,ISNUMBER(Q114),ISNUMBER(S114)),1,0)</f>
        <v>0</v>
      </c>
      <c r="R120" s="71"/>
      <c r="S120" s="72">
        <f>IF(AND(S114&gt;Q114,$AK93&gt;5,$AK92&gt;4,ISNUMBER(Q114),ISNUMBER(S114)),1,0)</f>
        <v>0</v>
      </c>
      <c r="T120" s="71">
        <f>IF(AND(T114&gt;V114,$AK93&gt;6,$AK92&gt;4,ISNUMBER(T114),ISNUMBER(V114)),1,0)</f>
        <v>0</v>
      </c>
      <c r="U120" s="71"/>
      <c r="V120" s="72">
        <f>IF(AND(V114&gt;T114,$AK93&gt;6,$AK92&gt;4,ISNUMBER(T114),ISNUMBER(V114)),1,0)</f>
        <v>0</v>
      </c>
      <c r="W120" s="71">
        <f>IF(AND(W114&gt;Y114,$AK93&gt;7,$AK92&gt;4,ISNUMBER(W114),ISNUMBER(Y114)),1,0)</f>
        <v>0</v>
      </c>
      <c r="X120" s="71"/>
      <c r="Y120" s="72">
        <f>IF(AND(Y114&gt;W114,$AK93&gt;7,$AK92&gt;4,ISNUMBER(W114),ISNUMBER(Y114)),1,0)</f>
        <v>0</v>
      </c>
      <c r="Z120" s="71">
        <f>IF(AND(Z114&gt;AB114,$AK93&gt;8,$AK92&gt;4,ISNUMBER(Z114),ISNUMBER(AB114)),1,0)</f>
        <v>0</v>
      </c>
      <c r="AA120" s="71"/>
      <c r="AB120" s="72">
        <f>IF(AND(AB114&gt;Z114,$AK93&gt;8,$AK92&gt;4,ISNUMBER(Z114),ISNUMBER(AB114)),1,0)</f>
        <v>0</v>
      </c>
      <c r="AC120" s="71">
        <f>IF(AND(AC114&gt;AE114,$AK93&gt;9,$AK92&gt;4,ISNUMBER(AC114),ISNUMBER(AE114)),1,0)</f>
        <v>0</v>
      </c>
      <c r="AD120" s="71"/>
      <c r="AE120" s="72">
        <f>IF(AND(AE114&gt;AC114,$AK93&gt;9,$AK92&gt;4,ISNUMBER(AC114),ISNUMBER(AE114)),1,0)</f>
        <v>0</v>
      </c>
    </row>
    <row r="121" spans="1:43" s="70" customFormat="1" ht="38.25" hidden="1" customHeight="1" x14ac:dyDescent="0.2">
      <c r="A121" s="73" t="s">
        <v>80</v>
      </c>
      <c r="B121" s="70">
        <f>SUM(B116:B120)</f>
        <v>1</v>
      </c>
      <c r="D121" s="74">
        <f>SUM(D116:D120)</f>
        <v>2</v>
      </c>
      <c r="E121" s="70">
        <f>SUM(E116:E120)</f>
        <v>2</v>
      </c>
      <c r="G121" s="74">
        <f>SUM(G116:G120)</f>
        <v>0</v>
      </c>
      <c r="H121" s="70">
        <f>SUM(H116:H120)</f>
        <v>1</v>
      </c>
      <c r="J121" s="74">
        <f>SUM(J116:J120)</f>
        <v>2</v>
      </c>
      <c r="K121" s="70">
        <f>SUM(K116:K120)</f>
        <v>2</v>
      </c>
      <c r="M121" s="74">
        <f>SUM(M116:M120)</f>
        <v>0</v>
      </c>
      <c r="N121" s="70">
        <f>SUM(N116:N120)</f>
        <v>0</v>
      </c>
      <c r="P121" s="74">
        <f>SUM(P116:P120)</f>
        <v>2</v>
      </c>
      <c r="Q121" s="70">
        <f>SUM(Q116:Q120)</f>
        <v>2</v>
      </c>
      <c r="S121" s="74">
        <f>SUM(S116:S120)</f>
        <v>1</v>
      </c>
      <c r="T121" s="70">
        <f>SUM(T116:T120)</f>
        <v>0</v>
      </c>
      <c r="V121" s="74">
        <f>SUM(V116:V120)</f>
        <v>0</v>
      </c>
      <c r="W121" s="70">
        <f>SUM(W116:W120)</f>
        <v>0</v>
      </c>
      <c r="Y121" s="74">
        <f>SUM(Y116:Y120)</f>
        <v>0</v>
      </c>
      <c r="Z121" s="70">
        <f>SUM(Z116:Z120)</f>
        <v>0</v>
      </c>
      <c r="AB121" s="74">
        <f>SUM(AB116:AB120)</f>
        <v>0</v>
      </c>
      <c r="AC121" s="70">
        <f>SUM(AC116:AC120)</f>
        <v>0</v>
      </c>
      <c r="AE121" s="74">
        <f>SUM(AE116:AE120)</f>
        <v>0</v>
      </c>
    </row>
    <row r="122" spans="1:43" s="70" customFormat="1" ht="25.5" hidden="1" customHeight="1" x14ac:dyDescent="0.2">
      <c r="A122" s="73" t="s">
        <v>81</v>
      </c>
      <c r="B122" s="70">
        <f>IF(B121&gt;D121,IF(C156=AK92,1,IF(C156=AK92-1,1,0)),0)</f>
        <v>0</v>
      </c>
      <c r="C122" s="70">
        <f>B122+D122</f>
        <v>1</v>
      </c>
      <c r="D122" s="74">
        <f>IF(D121&gt;B121,IF(C156=AK92,1,IF(C156=AK92-1,1,0)),0)</f>
        <v>1</v>
      </c>
      <c r="E122" s="70">
        <f>IF(E121&gt;G121,IF(F156=AK92,1,IF(F156=AK92-1,1,0)),0)</f>
        <v>1</v>
      </c>
      <c r="F122" s="70">
        <f>E122+G122</f>
        <v>1</v>
      </c>
      <c r="G122" s="74">
        <f>IF(G121&gt;E121,IF(F156=AK92,1,IF(F156=AK92-1,1,0)),0)</f>
        <v>0</v>
      </c>
      <c r="H122" s="70">
        <f>IF(H121&gt;J121,IF(I156=AK92,1,IF(I156=AK92-1,1,0)),0)</f>
        <v>0</v>
      </c>
      <c r="I122" s="70">
        <f>H122+J122</f>
        <v>1</v>
      </c>
      <c r="J122" s="74">
        <f>IF(J121&gt;H121,IF(I156=AK92,1,IF(I156=AK92-1,1,0)),0)</f>
        <v>1</v>
      </c>
      <c r="K122" s="70">
        <f>IF(K121&gt;M121,IF(L156=AK92,1,IF(L156=AK92-1,1,0)),0)</f>
        <v>1</v>
      </c>
      <c r="L122" s="70">
        <f>K122+M122</f>
        <v>1</v>
      </c>
      <c r="M122" s="74">
        <f>IF(M121&gt;K121,IF(L156=AK92,1,IF(L156=AK92-1,1,0)),0)</f>
        <v>0</v>
      </c>
      <c r="N122" s="70">
        <f>IF(N121&gt;P121,IF(O156=AK92,1,IF(O156=AK92-1,1,0)),0)</f>
        <v>0</v>
      </c>
      <c r="O122" s="70">
        <f>N122+P122</f>
        <v>1</v>
      </c>
      <c r="P122" s="74">
        <f>IF(P121&gt;N121,IF(O156=AK92,1,IF(O156=AK92-1,1,0)),0)</f>
        <v>1</v>
      </c>
      <c r="Q122" s="70">
        <f>IF(Q121&gt;S121,IF(R156=AK92,1,IF(R156=AK92-1,1,0)),0)</f>
        <v>1</v>
      </c>
      <c r="R122" s="70">
        <f>Q122+S122</f>
        <v>1</v>
      </c>
      <c r="S122" s="74">
        <f>IF(S121&gt;Q121,IF(R156=AK92,1,IF(R156=AK92-1,1,0)),0)</f>
        <v>0</v>
      </c>
      <c r="T122" s="70">
        <f>IF(T121&gt;V121,IF(U156=AK92,1,IF(U156=AK92-1,1,0)),0)</f>
        <v>0</v>
      </c>
      <c r="U122" s="70">
        <f>T122+V122</f>
        <v>0</v>
      </c>
      <c r="V122" s="74">
        <f>IF(V121&gt;T121,IF(U156=AK92,1,IF(U156=AK92-1,1,0)),0)</f>
        <v>0</v>
      </c>
      <c r="W122" s="70">
        <f>IF(W121&gt;Y121,IF(X156=AK92,1,IF(X156=AK92-1,1,0)),0)</f>
        <v>0</v>
      </c>
      <c r="X122" s="70">
        <f>W122+Y122</f>
        <v>0</v>
      </c>
      <c r="Y122" s="74">
        <f>IF(Y121&gt;W121,IF(X156=AK92,1,IF(X156=AK92-1,1,0)),0)</f>
        <v>0</v>
      </c>
      <c r="Z122" s="70">
        <f>IF(Z121&gt;AB121,IF(AA156=AK92,1,IF(AA156=AK92-1,1,0)),0)</f>
        <v>0</v>
      </c>
      <c r="AA122" s="70">
        <f>Z122+AB122</f>
        <v>0</v>
      </c>
      <c r="AB122" s="74">
        <f>IF(AB121&gt;Z121,IF(AA156=AK92,1,IF(AA156=AK92-1,1,0)),0)</f>
        <v>0</v>
      </c>
      <c r="AC122" s="70">
        <f>IF(AC121&gt;AE121,IF(AD156=AK92,1,IF(AD156=AK92-1,1,0)),0)</f>
        <v>0</v>
      </c>
      <c r="AD122" s="70">
        <f>AC122+AE122</f>
        <v>0</v>
      </c>
      <c r="AE122" s="74">
        <f>IF(AE121&gt;AC121,IF(AD156=AK92,1,IF(AD156=AK92-1,1,0)),0)</f>
        <v>0</v>
      </c>
    </row>
    <row r="123" spans="1:43" s="70" customFormat="1" ht="25.5" hidden="1" customHeight="1" x14ac:dyDescent="0.2">
      <c r="A123" s="73"/>
      <c r="D123" s="74"/>
      <c r="G123" s="74"/>
      <c r="J123" s="74"/>
      <c r="M123" s="74"/>
      <c r="P123" s="74"/>
      <c r="S123" s="74"/>
      <c r="V123" s="74"/>
      <c r="Y123" s="74"/>
      <c r="AB123" s="74"/>
      <c r="AE123" s="74"/>
    </row>
    <row r="124" spans="1:43" s="70" customFormat="1" ht="12.75" hidden="1" customHeight="1" x14ac:dyDescent="0.2">
      <c r="A124" s="70" t="s">
        <v>82</v>
      </c>
      <c r="B124" s="70">
        <f>IF(B116=1,B110,0)</f>
        <v>0</v>
      </c>
      <c r="D124" s="74">
        <f t="shared" ref="D124:E128" si="11">IF(D116=1,D110,0)</f>
        <v>25</v>
      </c>
      <c r="E124" s="70">
        <f t="shared" si="11"/>
        <v>25</v>
      </c>
      <c r="G124" s="74">
        <f t="shared" ref="G124:H128" si="12">IF(G116=1,G110,0)</f>
        <v>0</v>
      </c>
      <c r="H124" s="70">
        <f t="shared" si="12"/>
        <v>0</v>
      </c>
      <c r="J124" s="74">
        <f t="shared" ref="J124:K128" si="13">IF(J116=1,J110,0)</f>
        <v>25</v>
      </c>
      <c r="K124" s="70">
        <f t="shared" si="13"/>
        <v>25</v>
      </c>
      <c r="M124" s="74">
        <f t="shared" ref="M124:N128" si="14">IF(M116=1,M110,0)</f>
        <v>0</v>
      </c>
      <c r="N124" s="70">
        <f t="shared" si="14"/>
        <v>0</v>
      </c>
      <c r="P124" s="74">
        <f t="shared" ref="P124:Q128" si="15">IF(P116=1,P110,0)</f>
        <v>27</v>
      </c>
      <c r="Q124" s="70">
        <f t="shared" si="15"/>
        <v>0</v>
      </c>
      <c r="S124" s="74">
        <f t="shared" ref="S124:T128" si="16">IF(S116=1,S110,0)</f>
        <v>25</v>
      </c>
      <c r="T124" s="70">
        <f t="shared" si="16"/>
        <v>0</v>
      </c>
      <c r="V124" s="74">
        <f t="shared" ref="V124:W128" si="17">IF(V116=1,V110,0)</f>
        <v>0</v>
      </c>
      <c r="W124" s="70">
        <f t="shared" si="17"/>
        <v>0</v>
      </c>
      <c r="Y124" s="74">
        <f t="shared" ref="Y124:Z128" si="18">IF(Y116=1,Y110,0)</f>
        <v>0</v>
      </c>
      <c r="Z124" s="70">
        <f t="shared" si="18"/>
        <v>0</v>
      </c>
      <c r="AB124" s="74">
        <f t="shared" ref="AB124:AC128" si="19">IF(AB116=1,AB110,0)</f>
        <v>0</v>
      </c>
      <c r="AC124" s="70">
        <f t="shared" si="19"/>
        <v>0</v>
      </c>
      <c r="AE124" s="74">
        <f>IF(AE116=1,AE110,0)</f>
        <v>0</v>
      </c>
    </row>
    <row r="125" spans="1:43" s="70" customFormat="1" ht="12.75" hidden="1" customHeight="1" x14ac:dyDescent="0.2">
      <c r="A125" s="70" t="s">
        <v>83</v>
      </c>
      <c r="B125" s="70">
        <f>IF(B117=1,B111,0)</f>
        <v>25</v>
      </c>
      <c r="D125" s="74">
        <f t="shared" si="11"/>
        <v>0</v>
      </c>
      <c r="E125" s="70">
        <f t="shared" si="11"/>
        <v>25</v>
      </c>
      <c r="G125" s="74">
        <f t="shared" si="12"/>
        <v>0</v>
      </c>
      <c r="H125" s="70">
        <f t="shared" si="12"/>
        <v>25</v>
      </c>
      <c r="J125" s="74">
        <f t="shared" si="13"/>
        <v>0</v>
      </c>
      <c r="K125" s="70">
        <f t="shared" si="13"/>
        <v>25</v>
      </c>
      <c r="M125" s="74">
        <f t="shared" si="14"/>
        <v>0</v>
      </c>
      <c r="N125" s="70">
        <f t="shared" si="14"/>
        <v>0</v>
      </c>
      <c r="P125" s="74">
        <f t="shared" si="15"/>
        <v>25</v>
      </c>
      <c r="Q125" s="70">
        <f t="shared" si="15"/>
        <v>25</v>
      </c>
      <c r="S125" s="74">
        <f t="shared" si="16"/>
        <v>0</v>
      </c>
      <c r="T125" s="70">
        <f t="shared" si="16"/>
        <v>0</v>
      </c>
      <c r="V125" s="74">
        <f t="shared" si="17"/>
        <v>0</v>
      </c>
      <c r="W125" s="70">
        <f t="shared" si="17"/>
        <v>0</v>
      </c>
      <c r="Y125" s="74">
        <f t="shared" si="18"/>
        <v>0</v>
      </c>
      <c r="Z125" s="70">
        <f t="shared" si="18"/>
        <v>0</v>
      </c>
      <c r="AB125" s="74">
        <f t="shared" si="19"/>
        <v>0</v>
      </c>
      <c r="AC125" s="70">
        <f t="shared" si="19"/>
        <v>0</v>
      </c>
      <c r="AE125" s="74">
        <f>IF(AE117=1,AE111,0)</f>
        <v>0</v>
      </c>
    </row>
    <row r="126" spans="1:43" s="70" customFormat="1" ht="12.75" hidden="1" customHeight="1" x14ac:dyDescent="0.2">
      <c r="A126" s="70" t="s">
        <v>84</v>
      </c>
      <c r="B126" s="70">
        <f>IF(B118=1,B112,0)</f>
        <v>0</v>
      </c>
      <c r="D126" s="74">
        <f t="shared" si="11"/>
        <v>17</v>
      </c>
      <c r="E126" s="70">
        <f t="shared" si="11"/>
        <v>0</v>
      </c>
      <c r="G126" s="74">
        <f t="shared" si="12"/>
        <v>0</v>
      </c>
      <c r="H126" s="70">
        <f t="shared" si="12"/>
        <v>0</v>
      </c>
      <c r="J126" s="74">
        <f t="shared" si="13"/>
        <v>15</v>
      </c>
      <c r="K126" s="70">
        <f t="shared" si="13"/>
        <v>0</v>
      </c>
      <c r="M126" s="74">
        <f t="shared" si="14"/>
        <v>0</v>
      </c>
      <c r="N126" s="70">
        <f t="shared" si="14"/>
        <v>0</v>
      </c>
      <c r="P126" s="74">
        <f t="shared" si="15"/>
        <v>0</v>
      </c>
      <c r="Q126" s="70">
        <f t="shared" si="15"/>
        <v>15</v>
      </c>
      <c r="S126" s="74">
        <f t="shared" si="16"/>
        <v>0</v>
      </c>
      <c r="T126" s="70">
        <f t="shared" si="16"/>
        <v>0</v>
      </c>
      <c r="V126" s="74">
        <f t="shared" si="17"/>
        <v>0</v>
      </c>
      <c r="W126" s="70">
        <f t="shared" si="17"/>
        <v>0</v>
      </c>
      <c r="Y126" s="74">
        <f t="shared" si="18"/>
        <v>0</v>
      </c>
      <c r="Z126" s="70">
        <f t="shared" si="18"/>
        <v>0</v>
      </c>
      <c r="AB126" s="74">
        <f t="shared" si="19"/>
        <v>0</v>
      </c>
      <c r="AC126" s="70">
        <f t="shared" si="19"/>
        <v>0</v>
      </c>
      <c r="AE126" s="74">
        <f>IF(AE118=1,AE112,0)</f>
        <v>0</v>
      </c>
    </row>
    <row r="127" spans="1:43" s="70" customFormat="1" ht="12.75" hidden="1" customHeight="1" x14ac:dyDescent="0.2">
      <c r="A127" s="70" t="s">
        <v>85</v>
      </c>
      <c r="B127" s="70">
        <f>IF(B119=1,B113,0)</f>
        <v>0</v>
      </c>
      <c r="D127" s="74">
        <f t="shared" si="11"/>
        <v>0</v>
      </c>
      <c r="E127" s="70">
        <f t="shared" si="11"/>
        <v>0</v>
      </c>
      <c r="G127" s="74">
        <f t="shared" si="12"/>
        <v>0</v>
      </c>
      <c r="H127" s="70">
        <f t="shared" si="12"/>
        <v>0</v>
      </c>
      <c r="J127" s="74">
        <f t="shared" si="13"/>
        <v>0</v>
      </c>
      <c r="K127" s="70">
        <f t="shared" si="13"/>
        <v>0</v>
      </c>
      <c r="M127" s="74">
        <f t="shared" si="14"/>
        <v>0</v>
      </c>
      <c r="N127" s="70">
        <f t="shared" si="14"/>
        <v>0</v>
      </c>
      <c r="P127" s="74">
        <f t="shared" si="15"/>
        <v>0</v>
      </c>
      <c r="Q127" s="70">
        <f t="shared" si="15"/>
        <v>0</v>
      </c>
      <c r="S127" s="74">
        <f t="shared" si="16"/>
        <v>0</v>
      </c>
      <c r="T127" s="70">
        <f t="shared" si="16"/>
        <v>0</v>
      </c>
      <c r="V127" s="74">
        <f t="shared" si="17"/>
        <v>0</v>
      </c>
      <c r="W127" s="70">
        <f t="shared" si="17"/>
        <v>0</v>
      </c>
      <c r="Y127" s="74">
        <f t="shared" si="18"/>
        <v>0</v>
      </c>
      <c r="Z127" s="70">
        <f t="shared" si="18"/>
        <v>0</v>
      </c>
      <c r="AB127" s="74">
        <f t="shared" si="19"/>
        <v>0</v>
      </c>
      <c r="AC127" s="70">
        <f t="shared" si="19"/>
        <v>0</v>
      </c>
      <c r="AE127" s="74">
        <f>IF(AE119=1,AE113,0)</f>
        <v>0</v>
      </c>
    </row>
    <row r="128" spans="1:43" s="70" customFormat="1" ht="12.75" hidden="1" customHeight="1" x14ac:dyDescent="0.2">
      <c r="A128" s="70" t="s">
        <v>86</v>
      </c>
      <c r="B128" s="70">
        <f>IF(B120=1,B114,0)</f>
        <v>0</v>
      </c>
      <c r="D128" s="74">
        <f t="shared" si="11"/>
        <v>0</v>
      </c>
      <c r="E128" s="70">
        <f t="shared" si="11"/>
        <v>0</v>
      </c>
      <c r="G128" s="74">
        <f t="shared" si="12"/>
        <v>0</v>
      </c>
      <c r="H128" s="70">
        <f t="shared" si="12"/>
        <v>0</v>
      </c>
      <c r="J128" s="74">
        <f t="shared" si="13"/>
        <v>0</v>
      </c>
      <c r="K128" s="70">
        <f t="shared" si="13"/>
        <v>0</v>
      </c>
      <c r="M128" s="74">
        <f t="shared" si="14"/>
        <v>0</v>
      </c>
      <c r="N128" s="70">
        <f t="shared" si="14"/>
        <v>0</v>
      </c>
      <c r="P128" s="74">
        <f t="shared" si="15"/>
        <v>0</v>
      </c>
      <c r="Q128" s="70">
        <f t="shared" si="15"/>
        <v>0</v>
      </c>
      <c r="S128" s="74">
        <f t="shared" si="16"/>
        <v>0</v>
      </c>
      <c r="T128" s="70">
        <f t="shared" si="16"/>
        <v>0</v>
      </c>
      <c r="V128" s="74">
        <f t="shared" si="17"/>
        <v>0</v>
      </c>
      <c r="W128" s="70">
        <f t="shared" si="17"/>
        <v>0</v>
      </c>
      <c r="Y128" s="74">
        <f t="shared" si="18"/>
        <v>0</v>
      </c>
      <c r="Z128" s="70">
        <f t="shared" si="18"/>
        <v>0</v>
      </c>
      <c r="AB128" s="74">
        <f t="shared" si="19"/>
        <v>0</v>
      </c>
      <c r="AC128" s="70">
        <f t="shared" si="19"/>
        <v>0</v>
      </c>
      <c r="AE128" s="74">
        <f>IF(AE120=1,AE114,0)</f>
        <v>0</v>
      </c>
    </row>
    <row r="129" spans="1:37" s="70" customFormat="1" ht="38.25" hidden="1" customHeight="1" x14ac:dyDescent="0.2">
      <c r="A129" s="73" t="s">
        <v>87</v>
      </c>
      <c r="B129" s="70">
        <f>SUM(B124:D128)</f>
        <v>67</v>
      </c>
      <c r="D129" s="74"/>
      <c r="E129" s="70">
        <f>SUM(E124:G128)</f>
        <v>50</v>
      </c>
      <c r="G129" s="74"/>
      <c r="H129" s="70">
        <f>SUM(H124:J128)</f>
        <v>65</v>
      </c>
      <c r="J129" s="74"/>
      <c r="K129" s="70">
        <f>SUM(K124:M128)</f>
        <v>50</v>
      </c>
      <c r="M129" s="74"/>
      <c r="N129" s="70">
        <f>SUM(N124:P128)</f>
        <v>52</v>
      </c>
      <c r="P129" s="74"/>
      <c r="Q129" s="70">
        <f>SUM(Q124:S128)</f>
        <v>65</v>
      </c>
      <c r="S129" s="74"/>
      <c r="T129" s="70">
        <f>SUM(T124:V128)</f>
        <v>0</v>
      </c>
      <c r="V129" s="74"/>
      <c r="W129" s="70">
        <f>SUM(W124:Y128)</f>
        <v>0</v>
      </c>
      <c r="Y129" s="74"/>
      <c r="Z129" s="70">
        <f>SUM(Z124:AB128)</f>
        <v>0</v>
      </c>
      <c r="AB129" s="74"/>
      <c r="AC129" s="70">
        <f>SUM(AC124:AE128)</f>
        <v>0</v>
      </c>
      <c r="AE129" s="74"/>
    </row>
    <row r="130" spans="1:37" s="70" customFormat="1" ht="38.25" hidden="1" customHeight="1" x14ac:dyDescent="0.2">
      <c r="A130" s="70" t="s">
        <v>88</v>
      </c>
      <c r="D130" s="74"/>
      <c r="G130" s="74"/>
      <c r="J130" s="74"/>
      <c r="M130" s="74"/>
      <c r="P130" s="74"/>
      <c r="S130" s="74"/>
      <c r="V130" s="74"/>
      <c r="Y130" s="74"/>
      <c r="AB130" s="74"/>
      <c r="AE130" s="74"/>
      <c r="AF130" s="73" t="s">
        <v>89</v>
      </c>
      <c r="AG130" s="70" t="s">
        <v>90</v>
      </c>
    </row>
    <row r="131" spans="1:37" s="70" customFormat="1" ht="12.75" hidden="1" customHeight="1" x14ac:dyDescent="0.2">
      <c r="A131" s="70" t="s">
        <v>91</v>
      </c>
      <c r="B131" s="70">
        <f>IF(B109=1,IF(B122=1,1,0),0)</f>
        <v>0</v>
      </c>
      <c r="D131" s="74">
        <f>IF(D109=1,IF(D122=1,1,0),0)</f>
        <v>0</v>
      </c>
      <c r="E131" s="70">
        <f>IF(E109=1,IF(E122=1,1,0),0)</f>
        <v>1</v>
      </c>
      <c r="G131" s="74">
        <f>IF(G109=1,IF(G122=1,1,0),0)</f>
        <v>0</v>
      </c>
      <c r="H131" s="70">
        <f>IF(H109=1,IF(H122=1,1,0),0)</f>
        <v>0</v>
      </c>
      <c r="J131" s="74">
        <f>IF(J109=1,IF(J122=1,1,0),0)</f>
        <v>0</v>
      </c>
      <c r="K131" s="70">
        <f>IF(K109=1,IF(K122=1,1,0),0)</f>
        <v>1</v>
      </c>
      <c r="M131" s="74">
        <f>IF(M109=1,IF(M122=1,1,0),0)</f>
        <v>0</v>
      </c>
      <c r="N131" s="70">
        <f>IF(N109=1,IF(N122=1,1,0),0)</f>
        <v>0</v>
      </c>
      <c r="P131" s="74">
        <f>IF(P109=1,IF(P122=1,1,0),0)</f>
        <v>0</v>
      </c>
      <c r="Q131" s="70">
        <f>IF(Q109=1,IF(Q122=1,1,0),0)</f>
        <v>1</v>
      </c>
      <c r="S131" s="74">
        <f>IF(S109=1,IF(S122=1,1,0),0)</f>
        <v>0</v>
      </c>
      <c r="T131" s="70">
        <f>IF(T109=1,IF(T122=1,1,0),0)</f>
        <v>0</v>
      </c>
      <c r="V131" s="74">
        <f>IF(V109=1,IF(V122=1,1,0),0)</f>
        <v>0</v>
      </c>
      <c r="W131" s="70">
        <f>IF(W109=1,IF(W122=1,1,0),0)</f>
        <v>0</v>
      </c>
      <c r="Y131" s="74">
        <f>IF(Y109=1,IF(Y122=1,1,0),0)</f>
        <v>0</v>
      </c>
      <c r="Z131" s="70">
        <f>IF(Z109=1,IF(Z122=1,1,0),0)</f>
        <v>0</v>
      </c>
      <c r="AB131" s="74">
        <f>IF(AB109=1,IF(AB122=1,1,0),0)</f>
        <v>0</v>
      </c>
      <c r="AC131" s="70">
        <f>IF(AC109=1,IF(AC122=1,1,0),0)</f>
        <v>0</v>
      </c>
      <c r="AE131" s="74">
        <f>IF(AE109=1,IF(AE122=1,1,0),0)</f>
        <v>0</v>
      </c>
      <c r="AF131" s="70">
        <f>SUM(B131:AE131)</f>
        <v>3</v>
      </c>
      <c r="AG131" s="70">
        <f>AF137-AF131</f>
        <v>0</v>
      </c>
    </row>
    <row r="132" spans="1:37" s="70" customFormat="1" ht="12.75" hidden="1" customHeight="1" x14ac:dyDescent="0.2">
      <c r="A132" s="70" t="s">
        <v>92</v>
      </c>
      <c r="B132" s="70">
        <f>IF(B109=2,IF(B122=1,1,0),0)</f>
        <v>0</v>
      </c>
      <c r="D132" s="74">
        <f>IF(D109=2,IF(D122=1,1,0),0)</f>
        <v>0</v>
      </c>
      <c r="E132" s="70">
        <f>IF(E109=2,IF(E122=1,1,0),0)</f>
        <v>0</v>
      </c>
      <c r="G132" s="74">
        <f>IF(G109=2,IF(G122=1,1,0),0)</f>
        <v>0</v>
      </c>
      <c r="H132" s="70">
        <f>IF(H109=2,IF(H122=1,1,0),0)</f>
        <v>0</v>
      </c>
      <c r="J132" s="74">
        <f>IF(J109=2,IF(J122=1,1,0),0)</f>
        <v>0</v>
      </c>
      <c r="K132" s="70">
        <f>IF(K109=2,IF(K122=1,1,0),0)</f>
        <v>0</v>
      </c>
      <c r="M132" s="74">
        <f>IF(M109=2,IF(M122=1,1,0),0)</f>
        <v>0</v>
      </c>
      <c r="N132" s="70">
        <f>IF(N109=2,IF(N122=1,1,0),0)</f>
        <v>0</v>
      </c>
      <c r="P132" s="74">
        <f>IF(P109=2,IF(P122=1,1,0),0)</f>
        <v>0</v>
      </c>
      <c r="Q132" s="70">
        <f>IF(Q109=2,IF(Q122=1,1,0),0)</f>
        <v>0</v>
      </c>
      <c r="S132" s="74">
        <f>IF(S109=2,IF(S122=1,1,0),0)</f>
        <v>0</v>
      </c>
      <c r="T132" s="70">
        <f>IF(T109=2,IF(T122=1,1,0),0)</f>
        <v>0</v>
      </c>
      <c r="V132" s="74">
        <f>IF(V109=2,IF(V122=1,1,0),0)</f>
        <v>0</v>
      </c>
      <c r="W132" s="70">
        <f>IF(W109=2,IF(W122=1,1,0),0)</f>
        <v>0</v>
      </c>
      <c r="Y132" s="74">
        <f>IF(Y109=2,IF(Y122=1,1,0),0)</f>
        <v>0</v>
      </c>
      <c r="Z132" s="70">
        <f>IF(Z109=2,IF(Z122=1,1,0),0)</f>
        <v>0</v>
      </c>
      <c r="AB132" s="74">
        <f>IF(AB109=2,IF(AB122=1,1,0),0)</f>
        <v>0</v>
      </c>
      <c r="AC132" s="70">
        <f>IF(AC109=2,IF(AC122=1,1,0),0)</f>
        <v>0</v>
      </c>
      <c r="AE132" s="74">
        <f>IF(AE109=2,IF(AE122=1,1,0),0)</f>
        <v>0</v>
      </c>
      <c r="AF132" s="70">
        <f>SUM(B132:AE132)</f>
        <v>0</v>
      </c>
      <c r="AG132" s="70">
        <f>AF138-AF132</f>
        <v>3</v>
      </c>
    </row>
    <row r="133" spans="1:37" s="70" customFormat="1" ht="12.75" hidden="1" customHeight="1" x14ac:dyDescent="0.2">
      <c r="A133" s="70" t="s">
        <v>93</v>
      </c>
      <c r="B133" s="70">
        <f>IF(B109=3,IF(B122=1,1,0),0)</f>
        <v>0</v>
      </c>
      <c r="D133" s="74">
        <f>IF(D109=3,IF(D122=1,1,0),0)</f>
        <v>1</v>
      </c>
      <c r="E133" s="70">
        <f>IF(E109=3,IF(E122=1,1,0),0)</f>
        <v>0</v>
      </c>
      <c r="G133" s="74">
        <f>IF(G109=3,IF(G122=1,1,0),0)</f>
        <v>0</v>
      </c>
      <c r="H133" s="70">
        <f>IF(H109=3,IF(H122=1,1,0),0)</f>
        <v>0</v>
      </c>
      <c r="J133" s="74">
        <f>IF(J109=3,IF(J122=1,1,0),0)</f>
        <v>0</v>
      </c>
      <c r="K133" s="70">
        <f>IF(K109=3,IF(K122=1,1,0),0)</f>
        <v>0</v>
      </c>
      <c r="M133" s="74">
        <f>IF(M109=3,IF(M122=1,1,0),0)</f>
        <v>0</v>
      </c>
      <c r="N133" s="70">
        <f>IF(N109=3,IF(N122=1,1,0),0)</f>
        <v>0</v>
      </c>
      <c r="P133" s="74">
        <f>IF(P109=3,IF(P122=1,1,0),0)</f>
        <v>0</v>
      </c>
      <c r="Q133" s="70">
        <f>IF(Q109=3,IF(Q122=1,1,0),0)</f>
        <v>0</v>
      </c>
      <c r="S133" s="74">
        <f>IF(S109=3,IF(S122=1,1,0),0)</f>
        <v>0</v>
      </c>
      <c r="T133" s="70">
        <f>IF(T109=3,IF(T122=1,1,0),0)</f>
        <v>0</v>
      </c>
      <c r="V133" s="74">
        <f>IF(V109=3,IF(V122=1,1,0),0)</f>
        <v>0</v>
      </c>
      <c r="W133" s="70">
        <f>IF(W109=3,IF(W122=1,1,0),0)</f>
        <v>0</v>
      </c>
      <c r="Y133" s="74">
        <f>IF(Y109=3,IF(Y122=1,1,0),0)</f>
        <v>0</v>
      </c>
      <c r="Z133" s="70">
        <f>IF(Z109=3,IF(Z122=1,1,0),0)</f>
        <v>0</v>
      </c>
      <c r="AB133" s="74">
        <f>IF(AB109=3,IF(AB122=1,1,0),0)</f>
        <v>0</v>
      </c>
      <c r="AC133" s="70">
        <f>IF(AC109=3,IF(AC122=1,1,0),0)</f>
        <v>0</v>
      </c>
      <c r="AE133" s="74">
        <f>IF(AE109=3,IF(AE122=1,1,0),0)</f>
        <v>0</v>
      </c>
      <c r="AF133" s="70">
        <f>SUM(B133:AE133)</f>
        <v>1</v>
      </c>
      <c r="AG133" s="70">
        <f>AF139-AF133</f>
        <v>2</v>
      </c>
    </row>
    <row r="134" spans="1:37" s="70" customFormat="1" ht="12.75" hidden="1" customHeight="1" x14ac:dyDescent="0.2">
      <c r="A134" s="70" t="s">
        <v>94</v>
      </c>
      <c r="B134" s="70">
        <f>IF(B109=4,IF(B122=1,1,0),0)</f>
        <v>0</v>
      </c>
      <c r="D134" s="74">
        <f>IF(D109=4,IF(D122=1,1,0),0)</f>
        <v>0</v>
      </c>
      <c r="E134" s="70">
        <f>IF(E109=4,IF(E122=1,1,0),0)</f>
        <v>0</v>
      </c>
      <c r="G134" s="74">
        <f>IF(G109=4,IF(G122=1,1,0),0)</f>
        <v>0</v>
      </c>
      <c r="H134" s="70">
        <f>IF(H109=4,IF(H122=1,1,0),0)</f>
        <v>0</v>
      </c>
      <c r="J134" s="74">
        <f>IF(J109=4,IF(J122=1,1,0),0)</f>
        <v>1</v>
      </c>
      <c r="K134" s="70">
        <f>IF(K109=4,IF(K122=1,1,0),0)</f>
        <v>0</v>
      </c>
      <c r="M134" s="74">
        <f>IF(M109=4,IF(M122=1,1,0),0)</f>
        <v>0</v>
      </c>
      <c r="N134" s="70">
        <f>IF(N109=4,IF(N122=1,1,0),0)</f>
        <v>0</v>
      </c>
      <c r="P134" s="74">
        <f>IF(P109=4,IF(P122=1,1,0),0)</f>
        <v>1</v>
      </c>
      <c r="Q134" s="70">
        <f>IF(Q109=4,IF(Q122=1,1,0),0)</f>
        <v>0</v>
      </c>
      <c r="S134" s="74">
        <f>IF(S109=4,IF(S122=1,1,0),0)</f>
        <v>0</v>
      </c>
      <c r="T134" s="70">
        <f>IF(T109=4,IF(T122=1,1,0),0)</f>
        <v>0</v>
      </c>
      <c r="V134" s="74">
        <f>IF(V109=4,IF(V122=1,1,0),0)</f>
        <v>0</v>
      </c>
      <c r="W134" s="70">
        <f>IF(W109=4,IF(W122=1,1,0),0)</f>
        <v>0</v>
      </c>
      <c r="Y134" s="74">
        <f>IF(Y109=4,IF(Y122=1,1,0),0)</f>
        <v>0</v>
      </c>
      <c r="Z134" s="70">
        <f>IF(Z109=4,IF(Z122=1,1,0),0)</f>
        <v>0</v>
      </c>
      <c r="AB134" s="74">
        <f>IF(AB109=4,IF(AB122=1,1,0),0)</f>
        <v>0</v>
      </c>
      <c r="AC134" s="70">
        <f>IF(AC109=4,IF(AC122=1,1,0),0)</f>
        <v>0</v>
      </c>
      <c r="AE134" s="74">
        <f>IF(AE109=4,IF(AE122=1,1,0),0)</f>
        <v>0</v>
      </c>
      <c r="AF134" s="70">
        <f>SUM(B134:AE134)</f>
        <v>2</v>
      </c>
      <c r="AG134" s="70">
        <f>AF140-AF134</f>
        <v>1</v>
      </c>
    </row>
    <row r="135" spans="1:37" s="70" customFormat="1" ht="12.75" hidden="1" customHeight="1" x14ac:dyDescent="0.2">
      <c r="A135" s="70" t="s">
        <v>95</v>
      </c>
      <c r="B135" s="70">
        <f>IF(B109=5,IF(B122=1,1,0),0)</f>
        <v>0</v>
      </c>
      <c r="D135" s="74">
        <f>IF(D109=5,IF(D122=1,1,0),0)</f>
        <v>0</v>
      </c>
      <c r="E135" s="70">
        <f>IF(E109=5,IF(E122=1,1,0),0)</f>
        <v>0</v>
      </c>
      <c r="G135" s="74">
        <f>IF(G109=5,IF(G122=1,1,0),0)</f>
        <v>0</v>
      </c>
      <c r="H135" s="70">
        <f>IF(H109=5,IF(H122=1,1,0),0)</f>
        <v>0</v>
      </c>
      <c r="J135" s="74">
        <f>IF(J109=5,IF(J122=1,1,0),0)</f>
        <v>0</v>
      </c>
      <c r="K135" s="70">
        <f>IF(K109=5,IF(K122=1,1,0),0)</f>
        <v>0</v>
      </c>
      <c r="M135" s="74">
        <f>IF(M109=5,IF(M122=1,1,0),0)</f>
        <v>0</v>
      </c>
      <c r="N135" s="70">
        <f>IF(N109=5,IF(N122=1,1,0),0)</f>
        <v>0</v>
      </c>
      <c r="P135" s="74">
        <f>IF(P109=5,IF(P122=1,1,0),0)</f>
        <v>0</v>
      </c>
      <c r="Q135" s="70">
        <f>IF(Q109=5,IF(Q122=1,1,0),0)</f>
        <v>0</v>
      </c>
      <c r="S135" s="74">
        <f>IF(S109=5,IF(S122=1,1,0),0)</f>
        <v>0</v>
      </c>
      <c r="T135" s="70">
        <f>IF(T109=5,IF(T122=1,1,0),0)</f>
        <v>0</v>
      </c>
      <c r="V135" s="74">
        <f>IF(V109=5,IF(V122=1,1,0),0)</f>
        <v>0</v>
      </c>
      <c r="W135" s="70">
        <f>IF(W109=5,IF(W122=1,1,0),0)</f>
        <v>0</v>
      </c>
      <c r="Y135" s="74">
        <f>IF(Y109=5,IF(Y122=1,1,0),0)</f>
        <v>0</v>
      </c>
      <c r="Z135" s="70">
        <f>IF(Z109=5,IF(Z122=1,1,0),0)</f>
        <v>0</v>
      </c>
      <c r="AB135" s="74">
        <f>IF(AB109=5,IF(AB122=1,1,0),0)</f>
        <v>0</v>
      </c>
      <c r="AC135" s="70">
        <f>IF(AC109=5,IF(AC122=1,1,0),0)</f>
        <v>0</v>
      </c>
      <c r="AE135" s="74">
        <f>IF(AE109=5,IF(AE122=1,1,0),0)</f>
        <v>0</v>
      </c>
      <c r="AF135" s="70">
        <f>SUM(B135:AE135)</f>
        <v>0</v>
      </c>
      <c r="AG135" s="70">
        <f>AF141-AF135</f>
        <v>0</v>
      </c>
    </row>
    <row r="136" spans="1:37" s="70" customFormat="1" ht="38.25" hidden="1" customHeight="1" x14ac:dyDescent="0.2">
      <c r="A136" s="73"/>
      <c r="D136" s="74"/>
      <c r="G136" s="74"/>
      <c r="J136" s="74"/>
      <c r="M136" s="74"/>
      <c r="P136" s="74"/>
      <c r="S136" s="74"/>
      <c r="V136" s="74"/>
      <c r="Y136" s="74"/>
      <c r="AB136" s="74"/>
      <c r="AE136" s="74"/>
      <c r="AF136" s="73" t="s">
        <v>96</v>
      </c>
    </row>
    <row r="137" spans="1:37" s="70" customFormat="1" ht="12.75" hidden="1" customHeight="1" x14ac:dyDescent="0.2">
      <c r="A137" s="70" t="s">
        <v>97</v>
      </c>
      <c r="B137" s="70">
        <f>IF(B109=1,IF(C122=1,1,0),0)</f>
        <v>0</v>
      </c>
      <c r="D137" s="74">
        <f>IF(D109=1,IF(C122=1,1,0),0)</f>
        <v>0</v>
      </c>
      <c r="E137" s="70">
        <f>IF(E109=1,IF(F122=1,1,0),0)</f>
        <v>1</v>
      </c>
      <c r="G137" s="74">
        <f>IF(G109=1,IF(F122=1,1,0),0)</f>
        <v>0</v>
      </c>
      <c r="H137" s="70">
        <f>IF(H109=1,IF(I122=1,1,0),0)</f>
        <v>0</v>
      </c>
      <c r="J137" s="74">
        <f>IF(J109=1,IF(I122=1,1,0),0)</f>
        <v>0</v>
      </c>
      <c r="K137" s="70">
        <f>IF(K109=1,IF(L122=1,1,0),0)</f>
        <v>1</v>
      </c>
      <c r="M137" s="74">
        <f>IF(M109=1,IF(L122=1,1,0),0)</f>
        <v>0</v>
      </c>
      <c r="N137" s="70">
        <f>IF(N109=1,IF(O122=1,1,0),0)</f>
        <v>0</v>
      </c>
      <c r="P137" s="74">
        <f>IF(P109=1,IF(O122=1,1,0),0)</f>
        <v>0</v>
      </c>
      <c r="Q137" s="70">
        <f>IF(Q109=1,IF(R122=1,1,0),0)</f>
        <v>1</v>
      </c>
      <c r="S137" s="74">
        <f>IF(S109=1,IF(R122=1,1,0),0)</f>
        <v>0</v>
      </c>
      <c r="T137" s="70">
        <f>IF(T109=1,IF(U122=1,1,0),0)</f>
        <v>0</v>
      </c>
      <c r="V137" s="74">
        <f>IF(V109=1,IF(U122=1,1,0),0)</f>
        <v>0</v>
      </c>
      <c r="W137" s="70">
        <f>IF(W109=1,IF(X122=1,1,0),0)</f>
        <v>0</v>
      </c>
      <c r="Y137" s="74">
        <f>IF(Y109=1,IF(X122=1,1,0),0)</f>
        <v>0</v>
      </c>
      <c r="Z137" s="70">
        <f>IF(Z109=1,IF(AA122=1,1,0),0)</f>
        <v>0</v>
      </c>
      <c r="AB137" s="74">
        <f>IF(AB109=1,IF(AA122=1,1,0),0)</f>
        <v>0</v>
      </c>
      <c r="AC137" s="70">
        <f>IF(AC109=1,IF(AD122=1,1,0),0)</f>
        <v>0</v>
      </c>
      <c r="AE137" s="74">
        <f>IF(AE109=1,IF(AD122=1,1,0),0)</f>
        <v>0</v>
      </c>
      <c r="AF137" s="70">
        <f>SUM(B137:AE137)</f>
        <v>3</v>
      </c>
    </row>
    <row r="138" spans="1:37" s="70" customFormat="1" ht="12.75" hidden="1" customHeight="1" x14ac:dyDescent="0.2">
      <c r="A138" s="70" t="s">
        <v>98</v>
      </c>
      <c r="B138" s="70">
        <f>IF(B109=2,IF(C122=1,1,0),0)</f>
        <v>1</v>
      </c>
      <c r="D138" s="74">
        <f>IF(D109=2,IF(C122=1,1,0),0)</f>
        <v>0</v>
      </c>
      <c r="E138" s="70">
        <f>IF(E109=2,IF(F122=1,1,0),0)</f>
        <v>0</v>
      </c>
      <c r="G138" s="74">
        <f>IF(G109=2,IF(F122=1,1,0),0)</f>
        <v>0</v>
      </c>
      <c r="H138" s="70">
        <f>IF(H109=2,IF(I122=1,1,0),0)</f>
        <v>1</v>
      </c>
      <c r="J138" s="74">
        <f>IF(J109=2,IF(I122=1,1,0),0)</f>
        <v>0</v>
      </c>
      <c r="K138" s="70">
        <f>IF(K109=2,IF(L122=1,1,0),0)</f>
        <v>0</v>
      </c>
      <c r="M138" s="74">
        <f>IF(M109=2,IF(L122=1,1,0),0)</f>
        <v>0</v>
      </c>
      <c r="N138" s="70">
        <f>IF(N109=2,IF(O122=1,1,0),0)</f>
        <v>0</v>
      </c>
      <c r="P138" s="74">
        <f>IF(P109=2,IF(O122=1,1,0),0)</f>
        <v>0</v>
      </c>
      <c r="Q138" s="70">
        <f>IF(Q109=2,IF(R122=1,1,0),0)</f>
        <v>0</v>
      </c>
      <c r="S138" s="74">
        <f>IF(S109=2,IF(R122=1,1,0),0)</f>
        <v>1</v>
      </c>
      <c r="T138" s="70">
        <f>IF(T109=2,IF(U122=1,1,0),0)</f>
        <v>0</v>
      </c>
      <c r="V138" s="74">
        <f>IF(V109=2,IF(U122=1,1,0),0)</f>
        <v>0</v>
      </c>
      <c r="W138" s="70">
        <f>IF(W109=2,IF(X122=1,1,0),0)</f>
        <v>0</v>
      </c>
      <c r="Y138" s="74">
        <f>IF(Y109=2,IF(X122=1,1,0),0)</f>
        <v>0</v>
      </c>
      <c r="Z138" s="70">
        <f>IF(Z109=2,IF(AA122=1,1,0),0)</f>
        <v>0</v>
      </c>
      <c r="AB138" s="74">
        <f>IF(AB109=2,IF(AA122=1,1,0),0)</f>
        <v>0</v>
      </c>
      <c r="AC138" s="70">
        <f>IF(AC109=2,IF(AD122=1,1,0),0)</f>
        <v>0</v>
      </c>
      <c r="AE138" s="74">
        <f>IF(AE109=2,IF(AD122=1,1,0),0)</f>
        <v>0</v>
      </c>
      <c r="AF138" s="70">
        <f>SUM(B138:AE138)</f>
        <v>3</v>
      </c>
    </row>
    <row r="139" spans="1:37" s="70" customFormat="1" ht="12.75" hidden="1" customHeight="1" x14ac:dyDescent="0.2">
      <c r="A139" s="70" t="s">
        <v>99</v>
      </c>
      <c r="B139" s="70">
        <f>IF(B109=3,IF(C122=1,1,0),0)</f>
        <v>0</v>
      </c>
      <c r="D139" s="74">
        <f>IF(D109=3,IF(C122=1,1,0),0)</f>
        <v>1</v>
      </c>
      <c r="E139" s="70">
        <f>IF(E109=3,IF(F122=1,1,0),0)</f>
        <v>0</v>
      </c>
      <c r="G139" s="74">
        <f>IF(G109=3,IF(F122=1,1,0),0)</f>
        <v>0</v>
      </c>
      <c r="H139" s="70">
        <f>IF(H109=3,IF(I122=1,1,0),0)</f>
        <v>0</v>
      </c>
      <c r="J139" s="74">
        <f>IF(J109=3,IF(I122=1,1,0),0)</f>
        <v>0</v>
      </c>
      <c r="K139" s="70">
        <f>IF(K109=3,IF(L122=1,1,0),0)</f>
        <v>0</v>
      </c>
      <c r="M139" s="74">
        <f>IF(M109=3,IF(L122=1,1,0),0)</f>
        <v>1</v>
      </c>
      <c r="N139" s="70">
        <f>IF(N109=3,IF(O122=1,1,0),0)</f>
        <v>1</v>
      </c>
      <c r="P139" s="74">
        <f>IF(P109=3,IF(O122=1,1,0),0)</f>
        <v>0</v>
      </c>
      <c r="Q139" s="70">
        <f>IF(Q109=3,IF(R122=1,1,0),0)</f>
        <v>0</v>
      </c>
      <c r="S139" s="74">
        <f>IF(S109=3,IF(R122=1,1,0),0)</f>
        <v>0</v>
      </c>
      <c r="T139" s="70">
        <f>IF(T109=3,IF(U122=1,1,0),0)</f>
        <v>0</v>
      </c>
      <c r="V139" s="74">
        <f>IF(V109=3,IF(U122=1,1,0),0)</f>
        <v>0</v>
      </c>
      <c r="W139" s="70">
        <f>IF(W109=3,IF(X122=1,1,0),0)</f>
        <v>0</v>
      </c>
      <c r="Y139" s="74">
        <f>IF(Y109=3,IF(X122=1,1,0),0)</f>
        <v>0</v>
      </c>
      <c r="Z139" s="70">
        <f>IF(Z109=3,IF(AA122=1,1,0),0)</f>
        <v>0</v>
      </c>
      <c r="AB139" s="74">
        <f>IF(AB109=3,IF(AA122=1,1,0),0)</f>
        <v>0</v>
      </c>
      <c r="AC139" s="70">
        <f>IF(AC109=3,IF(AD122=1,1,0),0)</f>
        <v>0</v>
      </c>
      <c r="AE139" s="74">
        <f>IF(AE109=3,IF(AD122=1,1,0),0)</f>
        <v>0</v>
      </c>
      <c r="AF139" s="70">
        <f>SUM(B139:AE139)</f>
        <v>3</v>
      </c>
    </row>
    <row r="140" spans="1:37" s="70" customFormat="1" ht="12.75" hidden="1" customHeight="1" x14ac:dyDescent="0.2">
      <c r="A140" s="70" t="s">
        <v>100</v>
      </c>
      <c r="B140" s="70">
        <f>IF(B109=4,IF(C122=1,1,0),0)</f>
        <v>0</v>
      </c>
      <c r="D140" s="74">
        <f>IF(D109=4,IF(C122=1,1,0),0)</f>
        <v>0</v>
      </c>
      <c r="E140" s="70">
        <f>IF(E109=4,IF(F122=1,1,0),0)</f>
        <v>0</v>
      </c>
      <c r="G140" s="74">
        <f>IF(G109=4,IF(F122=1,1,0),0)</f>
        <v>1</v>
      </c>
      <c r="H140" s="70">
        <f>IF(H109=4,IF(I122=1,1,0),0)</f>
        <v>0</v>
      </c>
      <c r="J140" s="74">
        <f>IF(J109=4,IF(I122=1,1,0),0)</f>
        <v>1</v>
      </c>
      <c r="K140" s="70">
        <f>IF(K109=4,IF(L122=1,1,0),0)</f>
        <v>0</v>
      </c>
      <c r="M140" s="74">
        <f>IF(M109=4,IF(L122=1,1,0),0)</f>
        <v>0</v>
      </c>
      <c r="N140" s="70">
        <f>IF(N109=4,IF(O122=1,1,0),0)</f>
        <v>0</v>
      </c>
      <c r="P140" s="74">
        <f>IF(P109=4,IF(O122=1,1,0),0)</f>
        <v>1</v>
      </c>
      <c r="Q140" s="70">
        <f>IF(Q109=4,IF(R122=1,1,0),0)</f>
        <v>0</v>
      </c>
      <c r="S140" s="74">
        <f>IF(S109=4,IF(R122=1,1,0),0)</f>
        <v>0</v>
      </c>
      <c r="T140" s="70">
        <f>IF(T109=4,IF(U122=1,1,0),0)</f>
        <v>0</v>
      </c>
      <c r="V140" s="74">
        <f>IF(V109=4,IF(U122=1,1,0),0)</f>
        <v>0</v>
      </c>
      <c r="W140" s="70">
        <f>IF(W109=4,IF(X122=1,1,0),0)</f>
        <v>0</v>
      </c>
      <c r="Y140" s="74">
        <f>IF(Y109=4,IF(X122=1,1,0),0)</f>
        <v>0</v>
      </c>
      <c r="Z140" s="70">
        <f>IF(Z109=4,IF(AA122=1,1,0),0)</f>
        <v>0</v>
      </c>
      <c r="AB140" s="74">
        <f>IF(AB109=4,IF(AA122=1,1,0),0)</f>
        <v>0</v>
      </c>
      <c r="AC140" s="70">
        <f>IF(AC109=4,IF(AD122=1,1,0),0)</f>
        <v>0</v>
      </c>
      <c r="AE140" s="74">
        <f>IF(AE109=4,IF(AD122=1,1,0),0)</f>
        <v>0</v>
      </c>
      <c r="AF140" s="70">
        <f>SUM(B140:AE140)</f>
        <v>3</v>
      </c>
    </row>
    <row r="141" spans="1:37" s="70" customFormat="1" ht="12.75" hidden="1" customHeight="1" x14ac:dyDescent="0.2">
      <c r="A141" s="70" t="s">
        <v>101</v>
      </c>
      <c r="B141" s="70">
        <f>IF(B109=5,IF(C122=1,1,0),0)</f>
        <v>0</v>
      </c>
      <c r="D141" s="74">
        <f>IF(D109=5,IF(C122=1,1,0),0)</f>
        <v>0</v>
      </c>
      <c r="E141" s="70">
        <f>IF(E109=5,IF(F122=1,1,0),0)</f>
        <v>0</v>
      </c>
      <c r="G141" s="74">
        <f>IF(G109=5,IF(F122=1,1,0),0)</f>
        <v>0</v>
      </c>
      <c r="H141" s="70">
        <f>IF(H109=5,IF(I122=1,1,0),0)</f>
        <v>0</v>
      </c>
      <c r="J141" s="74">
        <f>IF(J109=5,IF(I122=1,1,0),0)</f>
        <v>0</v>
      </c>
      <c r="K141" s="70">
        <f>IF(K109=5,IF(L122=1,1,0),0)</f>
        <v>0</v>
      </c>
      <c r="M141" s="74">
        <f>IF(M109=5,IF(L122=1,1,0),0)</f>
        <v>0</v>
      </c>
      <c r="N141" s="70">
        <f>IF(N109=5,IF(O122=1,1,0),0)</f>
        <v>0</v>
      </c>
      <c r="P141" s="74">
        <f>IF(P109=5,IF(O122=1,1,0),0)</f>
        <v>0</v>
      </c>
      <c r="Q141" s="70">
        <f>IF(Q109=5,IF(R122=1,1,0),0)</f>
        <v>0</v>
      </c>
      <c r="S141" s="74">
        <f>IF(S109=5,IF(R122=1,1,0),0)</f>
        <v>0</v>
      </c>
      <c r="T141" s="70">
        <f>IF(T109=5,IF(U122=1,1,0),0)</f>
        <v>0</v>
      </c>
      <c r="V141" s="74">
        <f>IF(V109=5,IF(U122=1,1,0),0)</f>
        <v>0</v>
      </c>
      <c r="W141" s="70">
        <f>IF(W109=5,IF(X122=1,1,0),0)</f>
        <v>0</v>
      </c>
      <c r="Y141" s="74">
        <f>IF(Y109=5,IF(X122=1,1,0),0)</f>
        <v>0</v>
      </c>
      <c r="Z141" s="70">
        <f>IF(Z109=5,IF(AA122=1,1,0),0)</f>
        <v>0</v>
      </c>
      <c r="AB141" s="74">
        <f>IF(AB109=5,IF(AA122=1,1,0),0)</f>
        <v>0</v>
      </c>
      <c r="AC141" s="70">
        <f>IF(AC109=5,IF(AD122=1,1,0),0)</f>
        <v>0</v>
      </c>
      <c r="AE141" s="74">
        <f>IF(AE109=5,IF(AD122=1,1,0),0)</f>
        <v>0</v>
      </c>
      <c r="AF141" s="70">
        <f>SUM(B141:AE141)</f>
        <v>0</v>
      </c>
    </row>
    <row r="142" spans="1:37" s="70" customFormat="1" ht="38.25" hidden="1" customHeight="1" x14ac:dyDescent="0.2">
      <c r="A142" s="73"/>
      <c r="D142" s="74"/>
      <c r="G142" s="74"/>
      <c r="J142" s="74"/>
      <c r="M142" s="74"/>
      <c r="P142" s="74"/>
      <c r="S142" s="74"/>
      <c r="V142" s="74"/>
      <c r="Y142" s="74"/>
      <c r="AB142" s="74"/>
      <c r="AE142" s="74"/>
      <c r="AF142" s="73" t="s">
        <v>102</v>
      </c>
      <c r="AG142" s="280"/>
      <c r="AH142" s="280"/>
      <c r="AI142" s="280"/>
      <c r="AJ142" s="280"/>
      <c r="AK142" s="280"/>
    </row>
    <row r="143" spans="1:37" s="70" customFormat="1" ht="12.75" hidden="1" customHeight="1" x14ac:dyDescent="0.2">
      <c r="A143" s="70" t="s">
        <v>97</v>
      </c>
      <c r="B143" s="70">
        <f>IF(B109=1,B129,0)</f>
        <v>0</v>
      </c>
      <c r="D143" s="74">
        <f>IF(D109=1,B129,0)</f>
        <v>0</v>
      </c>
      <c r="E143" s="70">
        <f>IF(E109=1,E129,0)</f>
        <v>50</v>
      </c>
      <c r="G143" s="74">
        <f>IF(G109=1,E129,0)</f>
        <v>0</v>
      </c>
      <c r="H143" s="70">
        <f>IF(H109=1,H129,0)</f>
        <v>0</v>
      </c>
      <c r="J143" s="74">
        <f>IF(J109=1,H129,0)</f>
        <v>0</v>
      </c>
      <c r="K143" s="70">
        <f>IF(K109=1,K129,0)</f>
        <v>50</v>
      </c>
      <c r="M143" s="74">
        <f>IF(M109=1,K129,0)</f>
        <v>0</v>
      </c>
      <c r="N143" s="70">
        <f>IF(N109=1,N129,0)</f>
        <v>0</v>
      </c>
      <c r="P143" s="74">
        <f>IF(P109=1,N129,0)</f>
        <v>0</v>
      </c>
      <c r="Q143" s="70">
        <f>IF(Q109=1,Q129,0)</f>
        <v>65</v>
      </c>
      <c r="S143" s="74">
        <f>IF(S109=1,Q129,0)</f>
        <v>0</v>
      </c>
      <c r="T143" s="70">
        <f>IF(T109=1,T129,0)</f>
        <v>0</v>
      </c>
      <c r="V143" s="74">
        <f>IF(V109=1,T129,0)</f>
        <v>0</v>
      </c>
      <c r="W143" s="70">
        <f>IF(W109=1,W129,0)</f>
        <v>0</v>
      </c>
      <c r="Y143" s="74">
        <f>IF(Y109=1,W129,0)</f>
        <v>0</v>
      </c>
      <c r="Z143" s="70">
        <f>IF(Z109=1,Z129,0)</f>
        <v>0</v>
      </c>
      <c r="AB143" s="74">
        <f>IF(AB109=1,Z129,0)</f>
        <v>0</v>
      </c>
      <c r="AC143" s="70">
        <f>IF(AC109=1,AC129,0)</f>
        <v>0</v>
      </c>
      <c r="AE143" s="74">
        <f>IF(AE109=1,AC129,0)</f>
        <v>0</v>
      </c>
      <c r="AF143" s="70">
        <f>SUM(B143:AE143)</f>
        <v>165</v>
      </c>
    </row>
    <row r="144" spans="1:37" s="70" customFormat="1" ht="12.75" hidden="1" customHeight="1" x14ac:dyDescent="0.2">
      <c r="A144" s="70" t="s">
        <v>98</v>
      </c>
      <c r="B144" s="70">
        <f>IF(B109=2,B129,0)</f>
        <v>67</v>
      </c>
      <c r="D144" s="74">
        <f>IF(D109=2,B129,0)</f>
        <v>0</v>
      </c>
      <c r="E144" s="70">
        <f>IF(E109=2,E129,0)</f>
        <v>0</v>
      </c>
      <c r="G144" s="74">
        <f>IF(G109=2,E129,0)</f>
        <v>0</v>
      </c>
      <c r="H144" s="70">
        <f>IF(H109=2,H129,0)</f>
        <v>65</v>
      </c>
      <c r="J144" s="74">
        <f>IF(J109=2,H129,0)</f>
        <v>0</v>
      </c>
      <c r="K144" s="70">
        <f>IF(K109=2,K129,0)</f>
        <v>0</v>
      </c>
      <c r="M144" s="74">
        <f>IF(M109=2,K129,0)</f>
        <v>0</v>
      </c>
      <c r="N144" s="70">
        <f>IF(N109=2,N129,0)</f>
        <v>0</v>
      </c>
      <c r="P144" s="74">
        <f>IF(P109=2,N129,0)</f>
        <v>0</v>
      </c>
      <c r="Q144" s="70">
        <f>IF(Q109=2,Q129,0)</f>
        <v>0</v>
      </c>
      <c r="S144" s="74">
        <f>IF(S109=2,Q129,0)</f>
        <v>65</v>
      </c>
      <c r="T144" s="70">
        <f>IF(T109=2,T129,0)</f>
        <v>0</v>
      </c>
      <c r="V144" s="74">
        <f>IF(V109=2,T129,0)</f>
        <v>0</v>
      </c>
      <c r="W144" s="70">
        <f>IF(W109=2,W129,0)</f>
        <v>0</v>
      </c>
      <c r="Y144" s="74">
        <f>IF(Y109=2,W129,0)</f>
        <v>0</v>
      </c>
      <c r="Z144" s="70">
        <f>IF(Z109=2,Z129,0)</f>
        <v>0</v>
      </c>
      <c r="AB144" s="74">
        <f>IF(AB109=2,Z129,0)</f>
        <v>0</v>
      </c>
      <c r="AC144" s="70">
        <f>IF(AC109=2,AC129,0)</f>
        <v>0</v>
      </c>
      <c r="AE144" s="74">
        <f>IF(AE109=2,AC129,0)</f>
        <v>0</v>
      </c>
      <c r="AF144" s="70">
        <f>SUM(B144:AE144)</f>
        <v>197</v>
      </c>
    </row>
    <row r="145" spans="1:33" s="70" customFormat="1" ht="12.75" hidden="1" customHeight="1" x14ac:dyDescent="0.2">
      <c r="A145" s="70" t="s">
        <v>99</v>
      </c>
      <c r="B145" s="70">
        <f>IF(B109=3,B129,0)</f>
        <v>0</v>
      </c>
      <c r="D145" s="74">
        <f>IF(D109=3,B129,0)</f>
        <v>67</v>
      </c>
      <c r="E145" s="70">
        <f>IF(E109=3,E129,0)</f>
        <v>0</v>
      </c>
      <c r="G145" s="74">
        <f>IF(G109=3,E129,0)</f>
        <v>0</v>
      </c>
      <c r="H145" s="70">
        <f>IF(H109=3,H129,0)</f>
        <v>0</v>
      </c>
      <c r="J145" s="74">
        <f>IF(J109=3,H129,0)</f>
        <v>0</v>
      </c>
      <c r="K145" s="70">
        <f>IF(K109=3,K129,0)</f>
        <v>0</v>
      </c>
      <c r="M145" s="74">
        <f>IF(M109=3,K129,0)</f>
        <v>50</v>
      </c>
      <c r="N145" s="70">
        <f>IF(N109=3,N129,0)</f>
        <v>52</v>
      </c>
      <c r="P145" s="74">
        <f>IF(P109=3,N129,0)</f>
        <v>0</v>
      </c>
      <c r="Q145" s="70">
        <f>IF(Q109=3,Q129,0)</f>
        <v>0</v>
      </c>
      <c r="S145" s="74">
        <f>IF(S109=3,Q129,0)</f>
        <v>0</v>
      </c>
      <c r="T145" s="70">
        <f>IF(T109=3,T129,0)</f>
        <v>0</v>
      </c>
      <c r="V145" s="74">
        <f>IF(V109=3,T129,0)</f>
        <v>0</v>
      </c>
      <c r="W145" s="70">
        <f>IF(W109=3,W129,0)</f>
        <v>0</v>
      </c>
      <c r="Y145" s="74">
        <f>IF(Y109=3,W129,0)</f>
        <v>0</v>
      </c>
      <c r="Z145" s="70">
        <f>IF(Z109=3,Z129,0)</f>
        <v>0</v>
      </c>
      <c r="AB145" s="74">
        <f>IF(AB109=3,Z129,0)</f>
        <v>0</v>
      </c>
      <c r="AC145" s="70">
        <f>IF(AC109=3,AC129,0)</f>
        <v>0</v>
      </c>
      <c r="AE145" s="74">
        <f>IF(AE109=3,AC129,0)</f>
        <v>0</v>
      </c>
      <c r="AF145" s="70">
        <f>SUM(B145:AE145)</f>
        <v>169</v>
      </c>
    </row>
    <row r="146" spans="1:33" s="70" customFormat="1" ht="12.75" hidden="1" customHeight="1" x14ac:dyDescent="0.2">
      <c r="A146" s="70" t="s">
        <v>100</v>
      </c>
      <c r="B146" s="70">
        <f>IF(B109=4,B129,0)</f>
        <v>0</v>
      </c>
      <c r="D146" s="74">
        <f>IF(D109=4,B129,0)</f>
        <v>0</v>
      </c>
      <c r="E146" s="70">
        <f>IF(E109=4,E129,0)</f>
        <v>0</v>
      </c>
      <c r="G146" s="74">
        <f>IF(G109=4,E129,0)</f>
        <v>50</v>
      </c>
      <c r="H146" s="70">
        <f>IF(H109=4,H129,0)</f>
        <v>0</v>
      </c>
      <c r="J146" s="74">
        <f>IF(J109=4,H129,0)</f>
        <v>65</v>
      </c>
      <c r="K146" s="70">
        <f>IF(K109=4,K129,0)</f>
        <v>0</v>
      </c>
      <c r="M146" s="74">
        <f>IF(M109=4,K129,0)</f>
        <v>0</v>
      </c>
      <c r="N146" s="70">
        <f>IF(N109=4,N129,0)</f>
        <v>0</v>
      </c>
      <c r="P146" s="74">
        <f>IF(P109=4,N129,0)</f>
        <v>52</v>
      </c>
      <c r="Q146" s="70">
        <f>IF(Q109=4,Q129,0)</f>
        <v>0</v>
      </c>
      <c r="S146" s="74">
        <f>IF(S109=4,Q129,0)</f>
        <v>0</v>
      </c>
      <c r="T146" s="70">
        <f>IF(T109=4,T129,0)</f>
        <v>0</v>
      </c>
      <c r="V146" s="74">
        <f>IF(V109=4,T129,0)</f>
        <v>0</v>
      </c>
      <c r="W146" s="70">
        <f>IF(W109=4,W129,0)</f>
        <v>0</v>
      </c>
      <c r="Y146" s="74">
        <f>IF(Y109=4,W129,0)</f>
        <v>0</v>
      </c>
      <c r="Z146" s="70">
        <f>IF(Z109=4,Z129,0)</f>
        <v>0</v>
      </c>
      <c r="AB146" s="74">
        <f>IF(AB109=4,Z129,0)</f>
        <v>0</v>
      </c>
      <c r="AC146" s="70">
        <f>IF(AC109=4,AC129,0)</f>
        <v>0</v>
      </c>
      <c r="AE146" s="74">
        <f>IF(AE109=4,AC129,0)</f>
        <v>0</v>
      </c>
      <c r="AF146" s="70">
        <f>SUM(B146:AE146)</f>
        <v>167</v>
      </c>
    </row>
    <row r="147" spans="1:33" s="70" customFormat="1" ht="12.75" hidden="1" customHeight="1" x14ac:dyDescent="0.2">
      <c r="A147" s="70" t="s">
        <v>101</v>
      </c>
      <c r="B147" s="70">
        <f>IF(B109=5,B129,0)</f>
        <v>0</v>
      </c>
      <c r="D147" s="74">
        <f>IF(D109=5,B129,0)</f>
        <v>0</v>
      </c>
      <c r="E147" s="70">
        <f>IF(E109=5,E129,0)</f>
        <v>0</v>
      </c>
      <c r="G147" s="74">
        <f>IF(G109=5,E129,0)</f>
        <v>0</v>
      </c>
      <c r="H147" s="70">
        <f>IF(H109=5,H129,0)</f>
        <v>0</v>
      </c>
      <c r="J147" s="74">
        <f>IF(J109=5,H129,0)</f>
        <v>0</v>
      </c>
      <c r="K147" s="70">
        <f>IF(K109=5,K129,0)</f>
        <v>0</v>
      </c>
      <c r="M147" s="74">
        <f>IF(M109=5,K129,0)</f>
        <v>0</v>
      </c>
      <c r="N147" s="70">
        <f>IF(N109=5,N129,0)</f>
        <v>0</v>
      </c>
      <c r="P147" s="74">
        <f>IF(P109=5,N129,0)</f>
        <v>0</v>
      </c>
      <c r="Q147" s="70">
        <f>IF(Q109=5,Q129,0)</f>
        <v>0</v>
      </c>
      <c r="S147" s="74">
        <f>IF(S109=5,Q129,0)</f>
        <v>0</v>
      </c>
      <c r="T147" s="70">
        <f>IF(T109=5,T129,0)</f>
        <v>0</v>
      </c>
      <c r="V147" s="74">
        <f>IF(V109=5,T129,0)</f>
        <v>0</v>
      </c>
      <c r="W147" s="70">
        <f>IF(W109=5,W129,0)</f>
        <v>0</v>
      </c>
      <c r="Y147" s="74">
        <f>IF(Y109=5,W129,0)</f>
        <v>0</v>
      </c>
      <c r="Z147" s="70">
        <f>IF(Z109=5,Z129,0)</f>
        <v>0</v>
      </c>
      <c r="AB147" s="74">
        <f>IF(AB109=5,Z129,0)</f>
        <v>0</v>
      </c>
      <c r="AC147" s="70">
        <f>IF(AC109=5,AC129,0)</f>
        <v>0</v>
      </c>
      <c r="AE147" s="74">
        <f>IF(AE109=5,AC129,0)</f>
        <v>0</v>
      </c>
      <c r="AF147" s="70">
        <f>SUM(B147:AE147)</f>
        <v>0</v>
      </c>
    </row>
    <row r="148" spans="1:33" s="70" customFormat="1" ht="38.25" hidden="1" customHeight="1" x14ac:dyDescent="0.2">
      <c r="A148" s="70" t="s">
        <v>103</v>
      </c>
      <c r="D148" s="74"/>
      <c r="G148" s="74"/>
      <c r="J148" s="74"/>
      <c r="M148" s="74"/>
      <c r="P148" s="74"/>
      <c r="S148" s="74"/>
      <c r="V148" s="74"/>
      <c r="Y148" s="74"/>
      <c r="AB148" s="74"/>
      <c r="AE148" s="74"/>
      <c r="AF148" s="73" t="s">
        <v>104</v>
      </c>
      <c r="AG148" s="70" t="s">
        <v>105</v>
      </c>
    </row>
    <row r="149" spans="1:33" s="70" customFormat="1" ht="12.75" hidden="1" customHeight="1" x14ac:dyDescent="0.2">
      <c r="A149" s="70" t="s">
        <v>91</v>
      </c>
      <c r="B149" s="70">
        <f>IF(B109=1,SUMIF(B116:B120,"&gt;0"),0)</f>
        <v>0</v>
      </c>
      <c r="D149" s="74">
        <f>IF(D109=1,SUMIF(D116:D120,"&gt;0"),0)</f>
        <v>0</v>
      </c>
      <c r="E149" s="70">
        <f>IF(E109=1,SUMIF(E116:E120,"&gt;0"),0)</f>
        <v>2</v>
      </c>
      <c r="G149" s="74">
        <f>IF(G109=1,SUMIF(G116:G120,"&gt;0"),0)</f>
        <v>0</v>
      </c>
      <c r="H149" s="70">
        <f>IF(H109=1,SUMIF(H116:H120,"&gt;0"),0)</f>
        <v>0</v>
      </c>
      <c r="J149" s="74">
        <f>IF(J109=1,SUMIF(J116:J120,"&gt;0"),0)</f>
        <v>0</v>
      </c>
      <c r="K149" s="70">
        <f>IF(K109=1,SUMIF(K116:K120,"&gt;0"),0)</f>
        <v>2</v>
      </c>
      <c r="M149" s="74">
        <f>IF(M109=1,SUMIF(M116:M120,"&gt;0"),0)</f>
        <v>0</v>
      </c>
      <c r="N149" s="70">
        <f>IF(N109=1,SUMIF(N116:N120,"&gt;0"),0)</f>
        <v>0</v>
      </c>
      <c r="P149" s="74">
        <f>IF(P109=1,SUMIF(P116:P120,"&gt;0"),0)</f>
        <v>0</v>
      </c>
      <c r="Q149" s="70">
        <f>IF(Q109=1,SUMIF(Q116:Q120,"&gt;0"),0)</f>
        <v>2</v>
      </c>
      <c r="S149" s="74">
        <f>IF(S109=1,SUMIF(S116:S120,"&gt;0"),0)</f>
        <v>0</v>
      </c>
      <c r="T149" s="70">
        <f>IF(T109=1,SUMIF(T116:T120,"&gt;0"),0)</f>
        <v>0</v>
      </c>
      <c r="V149" s="74">
        <f>IF(V109=1,SUMIF(V116:V120,"&gt;0"),0)</f>
        <v>0</v>
      </c>
      <c r="W149" s="70">
        <f>IF(W109=1,SUMIF(W116:W120,"&gt;0"),0)</f>
        <v>0</v>
      </c>
      <c r="Y149" s="74">
        <f>IF(Y109=1,SUMIF(Y116:Y120,"&gt;0"),0)</f>
        <v>0</v>
      </c>
      <c r="Z149" s="70">
        <f>IF(Z109=1,SUMIF(Z116:Z120,"&gt;0"),0)</f>
        <v>0</v>
      </c>
      <c r="AB149" s="74">
        <f>IF(AB109=1,SUMIF(AB116:AB120,"&gt;0"),0)</f>
        <v>0</v>
      </c>
      <c r="AC149" s="70">
        <f>IF(AC109=1,SUMIF(AC116:AC120,"&gt;0"),0)</f>
        <v>0</v>
      </c>
      <c r="AE149" s="74">
        <f>IF(AE109=1,SUMIF(AE116:AE120,"&gt;0"),0)</f>
        <v>0</v>
      </c>
      <c r="AF149" s="70">
        <f>SUM(B149:AE149)</f>
        <v>6</v>
      </c>
      <c r="AG149" s="70">
        <f>AF157-AF149</f>
        <v>1</v>
      </c>
    </row>
    <row r="150" spans="1:33" s="70" customFormat="1" ht="12.75" hidden="1" customHeight="1" x14ac:dyDescent="0.2">
      <c r="A150" s="70" t="s">
        <v>92</v>
      </c>
      <c r="B150" s="70">
        <f>IF(B109=2,SUMIF(B116:B120,"&gt;0"),0)</f>
        <v>1</v>
      </c>
      <c r="D150" s="74">
        <f>IF(D109=2,SUMIF(D116:D120,"&gt;0"),0)</f>
        <v>0</v>
      </c>
      <c r="E150" s="70">
        <f>IF(E109=2,SUMIF(E116:E120,"&gt;0"),0)</f>
        <v>0</v>
      </c>
      <c r="G150" s="74">
        <f>IF(G109=2,SUMIF(G116:G120,"&gt;0"),0)</f>
        <v>0</v>
      </c>
      <c r="H150" s="70">
        <f>IF(H109=2,SUMIF(H116:H120,"&gt;0"),0)</f>
        <v>1</v>
      </c>
      <c r="J150" s="74">
        <f>IF(J109=2,SUMIF(J116:J120,"&gt;0"),0)</f>
        <v>0</v>
      </c>
      <c r="K150" s="70">
        <f>IF(K109=2,SUMIF(K116:K120,"&gt;0"),0)</f>
        <v>0</v>
      </c>
      <c r="M150" s="74">
        <f>IF(M109=2,SUMIF(M116:M120,"&gt;0"),0)</f>
        <v>0</v>
      </c>
      <c r="N150" s="70">
        <f>IF(N109=2,SUMIF(N116:N120,"&gt;0"),0)</f>
        <v>0</v>
      </c>
      <c r="P150" s="74">
        <f>IF(P109=2,SUMIF(P116:P120,"&gt;0"),0)</f>
        <v>0</v>
      </c>
      <c r="Q150" s="70">
        <f>IF(Q109=2,SUMIF(Q116:Q120,"&gt;0"),0)</f>
        <v>0</v>
      </c>
      <c r="S150" s="74">
        <f>IF(S109=2,SUMIF(S116:S120,"&gt;0"),0)</f>
        <v>1</v>
      </c>
      <c r="T150" s="70">
        <f>IF(T109=2,SUMIF(T116:T120,"&gt;0"),0)</f>
        <v>0</v>
      </c>
      <c r="V150" s="74">
        <f>IF(V109=2,SUMIF(V116:V120,"&gt;0"),0)</f>
        <v>0</v>
      </c>
      <c r="W150" s="70">
        <f>IF(W109=2,SUMIF(W116:W120,"&gt;0"),0)</f>
        <v>0</v>
      </c>
      <c r="Y150" s="74">
        <f>IF(Y109=2,SUMIF(Y116:Y120,"&gt;0"),0)</f>
        <v>0</v>
      </c>
      <c r="Z150" s="70">
        <f>IF(Z109=2,SUMIF(Z116:Z120,"&gt;0"),0)</f>
        <v>0</v>
      </c>
      <c r="AB150" s="74">
        <f>IF(AB109=2,SUMIF(AB116:AB120,"&gt;0"),0)</f>
        <v>0</v>
      </c>
      <c r="AC150" s="70">
        <f>IF(AC109=2,SUMIF(AC116:AC120,"&gt;0"),0)</f>
        <v>0</v>
      </c>
      <c r="AE150" s="74">
        <f>IF(AE109=2,SUMIF(AE116:AE120,"&gt;0"),0)</f>
        <v>0</v>
      </c>
      <c r="AF150" s="70">
        <f>SUM(B150:AE150)</f>
        <v>3</v>
      </c>
      <c r="AG150" s="70">
        <f>AF158-AF150</f>
        <v>6</v>
      </c>
    </row>
    <row r="151" spans="1:33" s="70" customFormat="1" ht="12.75" hidden="1" customHeight="1" x14ac:dyDescent="0.2">
      <c r="A151" s="70" t="s">
        <v>93</v>
      </c>
      <c r="B151" s="70">
        <f>IF(B109=3,SUMIF(B116:B120,"&gt;0"),0)</f>
        <v>0</v>
      </c>
      <c r="D151" s="74">
        <f>IF(D109=3,SUMIF(D116:D120,"&gt;0"),0)</f>
        <v>2</v>
      </c>
      <c r="E151" s="70">
        <f>IF(E109=3,SUMIF(E116:E120,"&gt;0"),0)</f>
        <v>0</v>
      </c>
      <c r="G151" s="74">
        <f>IF(G109=3,SUMIF(G116:G120,"&gt;0"),0)</f>
        <v>0</v>
      </c>
      <c r="H151" s="70">
        <f>IF(H109=3,SUMIF(H116:H120,"&gt;0"),0)</f>
        <v>0</v>
      </c>
      <c r="J151" s="74">
        <f>IF(J109=3,SUMIF(J116:J120,"&gt;0"),0)</f>
        <v>0</v>
      </c>
      <c r="K151" s="70">
        <f>IF(K109=3,SUMIF(K116:K120,"&gt;0"),0)</f>
        <v>0</v>
      </c>
      <c r="M151" s="74">
        <f>IF(M109=3,SUMIF(M116:M120,"&gt;0"),0)</f>
        <v>0</v>
      </c>
      <c r="N151" s="70">
        <f>IF(N109=3,SUMIF(N116:N120,"&gt;0"),0)</f>
        <v>0</v>
      </c>
      <c r="P151" s="74">
        <f>IF(P109=3,SUMIF(P116:P120,"&gt;0"),0)</f>
        <v>0</v>
      </c>
      <c r="Q151" s="70">
        <f>IF(Q109=3,SUMIF(Q116:Q120,"&gt;0"),0)</f>
        <v>0</v>
      </c>
      <c r="S151" s="74">
        <f>IF(S109=3,SUMIF(S116:S120,"&gt;0"),0)</f>
        <v>0</v>
      </c>
      <c r="T151" s="70">
        <f>IF(T109=3,SUMIF(T116:T120,"&gt;0"),0)</f>
        <v>0</v>
      </c>
      <c r="V151" s="74">
        <f>IF(V109=3,SUMIF(V116:V120,"&gt;0"),0)</f>
        <v>0</v>
      </c>
      <c r="W151" s="70">
        <f>IF(W109=3,SUMIF(W116:W120,"&gt;0"),0)</f>
        <v>0</v>
      </c>
      <c r="Y151" s="74">
        <f>IF(Y109=3,SUMIF(Y116:Y120,"&gt;0"),0)</f>
        <v>0</v>
      </c>
      <c r="Z151" s="70">
        <f>IF(Z109=3,SUMIF(Z116:Z120,"&gt;0"),0)</f>
        <v>0</v>
      </c>
      <c r="AB151" s="74">
        <f>IF(AB109=3,SUMIF(AB116:AB120,"&gt;0"),0)</f>
        <v>0</v>
      </c>
      <c r="AC151" s="70">
        <f>IF(AC109=3,SUMIF(AC116:AC120,"&gt;0"),0)</f>
        <v>0</v>
      </c>
      <c r="AE151" s="74">
        <f>IF(AE109=3,SUMIF(AE116:AE120,"&gt;0"),0)</f>
        <v>0</v>
      </c>
      <c r="AF151" s="70">
        <f>SUM(B151:AE151)</f>
        <v>2</v>
      </c>
      <c r="AG151" s="70">
        <f>AF159-AF151</f>
        <v>5</v>
      </c>
    </row>
    <row r="152" spans="1:33" s="70" customFormat="1" ht="12.75" hidden="1" customHeight="1" x14ac:dyDescent="0.2">
      <c r="A152" s="70" t="s">
        <v>94</v>
      </c>
      <c r="B152" s="70">
        <f>IF(B109=4,SUMIF(B116:B120,"&gt;0"),0)</f>
        <v>0</v>
      </c>
      <c r="D152" s="74">
        <f>IF(D109=4,SUMIF(D116:D120,"&gt;0"),0)</f>
        <v>0</v>
      </c>
      <c r="E152" s="70">
        <f>IF(E109=4,SUMIF(E116:E120,"&gt;0"),0)</f>
        <v>0</v>
      </c>
      <c r="G152" s="74">
        <f>IF(G109=4,SUMIF(G116:G120,"&gt;0"),0)</f>
        <v>0</v>
      </c>
      <c r="H152" s="70">
        <f>IF(H109=4,SUMIF(H116:H120,"&gt;0"),0)</f>
        <v>0</v>
      </c>
      <c r="J152" s="74">
        <f>IF(J109=4,SUMIF(J116:J120,"&gt;0"),0)</f>
        <v>2</v>
      </c>
      <c r="K152" s="70">
        <f>IF(K109=4,SUMIF(K116:K120,"&gt;0"),0)</f>
        <v>0</v>
      </c>
      <c r="M152" s="74">
        <f>IF(M109=4,SUMIF(M116:M120,"&gt;0"),0)</f>
        <v>0</v>
      </c>
      <c r="N152" s="70">
        <f>IF(N109=4,SUMIF(N116:N120,"&gt;0"),0)</f>
        <v>0</v>
      </c>
      <c r="P152" s="74">
        <f>IF(P109=4,SUMIF(P116:P120,"&gt;0"),0)</f>
        <v>2</v>
      </c>
      <c r="Q152" s="70">
        <f>IF(Q109=4,SUMIF(Q116:Q120,"&gt;0"),0)</f>
        <v>0</v>
      </c>
      <c r="S152" s="74">
        <f>IF(S109=4,SUMIF(S116:S120,"&gt;0"),0)</f>
        <v>0</v>
      </c>
      <c r="T152" s="70">
        <f>IF(T109=4,SUMIF(T116:T120,"&gt;0"),0)</f>
        <v>0</v>
      </c>
      <c r="V152" s="74">
        <f>IF(V109=4,SUMIF(V116:V120,"&gt;0"),0)</f>
        <v>0</v>
      </c>
      <c r="W152" s="70">
        <f>IF(W109=4,SUMIF(W116:W120,"&gt;0"),0)</f>
        <v>0</v>
      </c>
      <c r="Y152" s="74">
        <f>IF(Y109=4,SUMIF(Y116:Y120,"&gt;0"),0)</f>
        <v>0</v>
      </c>
      <c r="Z152" s="70">
        <f>IF(Z109=4,SUMIF(Z116:Z120,"&gt;0"),0)</f>
        <v>0</v>
      </c>
      <c r="AB152" s="74">
        <f>IF(AB109=4,SUMIF(AB116:AB120,"&gt;0"),0)</f>
        <v>0</v>
      </c>
      <c r="AC152" s="70">
        <f>IF(AC109=4,SUMIF(AC116:AC120,"&gt;0"),0)</f>
        <v>0</v>
      </c>
      <c r="AE152" s="74">
        <f>IF(AE109=4,SUMIF(AE116:AE120,"&gt;0"),0)</f>
        <v>0</v>
      </c>
      <c r="AF152" s="70">
        <f>SUM(B152:AE152)</f>
        <v>4</v>
      </c>
      <c r="AG152" s="70">
        <f>AF160-AF152</f>
        <v>3</v>
      </c>
    </row>
    <row r="153" spans="1:33" s="70" customFormat="1" ht="12.75" hidden="1" customHeight="1" x14ac:dyDescent="0.2">
      <c r="A153" s="70" t="s">
        <v>95</v>
      </c>
      <c r="B153" s="70">
        <f>IF(B109=5,SUMIF(B116:B120,"&gt;0"),0)</f>
        <v>0</v>
      </c>
      <c r="D153" s="74">
        <f>IF(D109=5,SUMIF(D116:D120,"&gt;0"),0)</f>
        <v>0</v>
      </c>
      <c r="E153" s="70">
        <f>IF(E109=5,SUMIF(E116:E120,"&gt;0"),0)</f>
        <v>0</v>
      </c>
      <c r="G153" s="74">
        <f>IF(G109=5,SUMIF(G116:G120,"&gt;0"),0)</f>
        <v>0</v>
      </c>
      <c r="H153" s="70">
        <f>IF(H109=5,SUMIF(H116:H120,"&gt;0"),0)</f>
        <v>0</v>
      </c>
      <c r="J153" s="74">
        <f>IF(J109=5,SUMIF(J116:J120,"&gt;0"),0)</f>
        <v>0</v>
      </c>
      <c r="K153" s="70">
        <f>IF(K109=5,SUMIF(K116:K120,"&gt;0"),0)</f>
        <v>0</v>
      </c>
      <c r="M153" s="74">
        <f>IF(M109=5,SUMIF(M116:M120,"&gt;0"),0)</f>
        <v>0</v>
      </c>
      <c r="N153" s="70">
        <f>IF(N109=5,SUMIF(N116:N120,"&gt;0"),0)</f>
        <v>0</v>
      </c>
      <c r="P153" s="74">
        <f>IF(P109=5,SUMIF(P116:P120,"&gt;0"),0)</f>
        <v>0</v>
      </c>
      <c r="Q153" s="70">
        <f>IF(Q109=5,SUMIF(Q116:Q120,"&gt;0"),0)</f>
        <v>0</v>
      </c>
      <c r="S153" s="74">
        <f>IF(S109=5,SUMIF(S116:S120,"&gt;0"),0)</f>
        <v>0</v>
      </c>
      <c r="T153" s="70">
        <f>IF(T109=5,SUMIF(T116:T120,"&gt;0"),0)</f>
        <v>0</v>
      </c>
      <c r="V153" s="74">
        <f>IF(V109=5,SUMIF(V116:V120,"&gt;0"),0)</f>
        <v>0</v>
      </c>
      <c r="W153" s="70">
        <f>IF(W109=5,SUMIF(W116:W120,"&gt;0"),0)</f>
        <v>0</v>
      </c>
      <c r="Y153" s="74">
        <f>IF(Y109=5,SUMIF(Y116:Y120,"&gt;0"),0)</f>
        <v>0</v>
      </c>
      <c r="Z153" s="70">
        <f>IF(Z109=5,SUMIF(Z116:Z120,"&gt;0"),0)</f>
        <v>0</v>
      </c>
      <c r="AB153" s="74">
        <f>IF(AB109=5,SUMIF(AB116:AB120,"&gt;0"),0)</f>
        <v>0</v>
      </c>
      <c r="AC153" s="70">
        <f>IF(AC109=5,SUMIF(AC116:AC120,"&gt;0"),0)</f>
        <v>0</v>
      </c>
      <c r="AE153" s="74">
        <f>IF(AE109=5,SUMIF(AE116:AE120,"&gt;0"),0)</f>
        <v>0</v>
      </c>
      <c r="AF153" s="70">
        <f>SUM(B153:AE153)</f>
        <v>0</v>
      </c>
      <c r="AG153" s="70">
        <f>AF161-AF153</f>
        <v>0</v>
      </c>
    </row>
    <row r="154" spans="1:33" s="70" customFormat="1" ht="12.75" hidden="1" customHeight="1" x14ac:dyDescent="0.2">
      <c r="D154" s="74"/>
      <c r="G154" s="74"/>
      <c r="J154" s="74"/>
      <c r="M154" s="74"/>
      <c r="P154" s="74"/>
      <c r="S154" s="74"/>
      <c r="V154" s="74"/>
      <c r="Y154" s="74"/>
      <c r="AB154" s="74"/>
      <c r="AE154" s="74"/>
    </row>
    <row r="155" spans="1:33" s="70" customFormat="1" ht="12.75" hidden="1" customHeight="1" x14ac:dyDescent="0.2">
      <c r="D155" s="74"/>
      <c r="G155" s="74"/>
      <c r="J155" s="74"/>
      <c r="M155" s="74"/>
      <c r="P155" s="74"/>
      <c r="S155" s="74"/>
      <c r="V155" s="74"/>
      <c r="Y155" s="74"/>
      <c r="AB155" s="74"/>
      <c r="AE155" s="74"/>
    </row>
    <row r="156" spans="1:33" s="70" customFormat="1" ht="51" hidden="1" customHeight="1" x14ac:dyDescent="0.2">
      <c r="A156" s="73" t="s">
        <v>106</v>
      </c>
      <c r="C156" s="70">
        <f>SUMIF(B149:D153,"&gt;0")</f>
        <v>3</v>
      </c>
      <c r="D156" s="74"/>
      <c r="F156" s="70">
        <f>SUMIF(E149:G153,"&gt;0")</f>
        <v>2</v>
      </c>
      <c r="G156" s="74"/>
      <c r="I156" s="70">
        <f>SUMIF(H149:J153,"&gt;0")</f>
        <v>3</v>
      </c>
      <c r="J156" s="74"/>
      <c r="L156" s="70">
        <f>SUMIF(K149:M153,"&gt;0")</f>
        <v>2</v>
      </c>
      <c r="M156" s="74"/>
      <c r="O156" s="70">
        <f>SUMIF(N149:P153,"&gt;0")</f>
        <v>2</v>
      </c>
      <c r="P156" s="74"/>
      <c r="R156" s="70">
        <f>SUMIF(Q149:S153,"&gt;0")</f>
        <v>3</v>
      </c>
      <c r="S156" s="74"/>
      <c r="U156" s="70">
        <f>SUMIF(T149:V153,"&gt;0")</f>
        <v>0</v>
      </c>
      <c r="V156" s="74"/>
      <c r="X156" s="70">
        <f>SUMIF(W149:Y153,"&gt;0")</f>
        <v>0</v>
      </c>
      <c r="Y156" s="74"/>
      <c r="AA156" s="70">
        <f>SUMIF(Z149:AB153,"&gt;0")</f>
        <v>0</v>
      </c>
      <c r="AB156" s="74"/>
      <c r="AD156" s="70">
        <f>SUMIF(AC149:AE153,"&gt;0")</f>
        <v>0</v>
      </c>
      <c r="AE156" s="74"/>
      <c r="AF156" s="73" t="s">
        <v>107</v>
      </c>
    </row>
    <row r="157" spans="1:33" s="70" customFormat="1" ht="12.75" hidden="1" customHeight="1" x14ac:dyDescent="0.2">
      <c r="A157" s="70" t="s">
        <v>97</v>
      </c>
      <c r="B157" s="70">
        <f>IF(B109=1,C156,0)</f>
        <v>0</v>
      </c>
      <c r="D157" s="74">
        <f>IF(D109=1,C156,0)</f>
        <v>0</v>
      </c>
      <c r="E157" s="70">
        <f>IF(E109=1,F156,0)</f>
        <v>2</v>
      </c>
      <c r="G157" s="74">
        <f>IF(G109=1,F156,0)</f>
        <v>0</v>
      </c>
      <c r="H157" s="70">
        <f>IF(H109=1,I156,0)</f>
        <v>0</v>
      </c>
      <c r="J157" s="74">
        <f>IF(J109=1,I156,0)</f>
        <v>0</v>
      </c>
      <c r="K157" s="70">
        <f>IF(K109=1,L156,0)</f>
        <v>2</v>
      </c>
      <c r="M157" s="74">
        <f>IF(M109=1,L156,0)</f>
        <v>0</v>
      </c>
      <c r="N157" s="70">
        <f>IF(N109=1,O156,0)</f>
        <v>0</v>
      </c>
      <c r="P157" s="74">
        <f>IF(P109=1,O156,0)</f>
        <v>0</v>
      </c>
      <c r="Q157" s="70">
        <f>IF(Q109=1,R156,0)</f>
        <v>3</v>
      </c>
      <c r="S157" s="74">
        <f>IF(S109=1,R156,0)</f>
        <v>0</v>
      </c>
      <c r="T157" s="70">
        <f>IF(T109=1,U156,0)</f>
        <v>0</v>
      </c>
      <c r="V157" s="74">
        <f>IF(V109=1,U156,0)</f>
        <v>0</v>
      </c>
      <c r="W157" s="70">
        <f>IF(W109=1,X156,0)</f>
        <v>0</v>
      </c>
      <c r="Y157" s="74">
        <f>IF(Y109=1,X156,0)</f>
        <v>0</v>
      </c>
      <c r="Z157" s="70">
        <f>IF(Z109=1,AA156,0)</f>
        <v>0</v>
      </c>
      <c r="AB157" s="74">
        <f>IF(AB109=1,AA156,0)</f>
        <v>0</v>
      </c>
      <c r="AC157" s="70">
        <f>IF(AC109=1,AD156,0)</f>
        <v>0</v>
      </c>
      <c r="AE157" s="74">
        <f>IF(AE109=1,AD156,0)</f>
        <v>0</v>
      </c>
      <c r="AF157" s="70">
        <f>SUM(B157:AE157)</f>
        <v>7</v>
      </c>
    </row>
    <row r="158" spans="1:33" s="70" customFormat="1" ht="12.75" hidden="1" customHeight="1" x14ac:dyDescent="0.2">
      <c r="A158" s="70" t="s">
        <v>98</v>
      </c>
      <c r="B158" s="70">
        <f>IF(B109=2,C156,0)</f>
        <v>3</v>
      </c>
      <c r="D158" s="74">
        <f>IF(D109=2,C156,0)</f>
        <v>0</v>
      </c>
      <c r="E158" s="70">
        <f>IF(E109=2,F156,0)</f>
        <v>0</v>
      </c>
      <c r="G158" s="74">
        <f>IF(G109=2,F156,0)</f>
        <v>0</v>
      </c>
      <c r="H158" s="70">
        <f>IF(H109=2,I156,0)</f>
        <v>3</v>
      </c>
      <c r="J158" s="74">
        <f>IF(J109=2,I156,0)</f>
        <v>0</v>
      </c>
      <c r="K158" s="70">
        <f>IF(K109=2,L156,0)</f>
        <v>0</v>
      </c>
      <c r="M158" s="74">
        <f>IF(M109=2,L156,0)</f>
        <v>0</v>
      </c>
      <c r="N158" s="70">
        <f>IF(N109=2,O156,0)</f>
        <v>0</v>
      </c>
      <c r="P158" s="74">
        <f>IF(P109=2,O156,0)</f>
        <v>0</v>
      </c>
      <c r="Q158" s="70">
        <f>IF(Q109=2,R156,0)</f>
        <v>0</v>
      </c>
      <c r="S158" s="74">
        <f>IF(S109=2,R156,0)</f>
        <v>3</v>
      </c>
      <c r="T158" s="70">
        <f>IF(T109=2,U156,0)</f>
        <v>0</v>
      </c>
      <c r="V158" s="74">
        <f>IF(V109=2,U156,0)</f>
        <v>0</v>
      </c>
      <c r="W158" s="70">
        <f>IF(W109=2,X156,0)</f>
        <v>0</v>
      </c>
      <c r="Y158" s="74">
        <f>IF(Y109=2,X156,0)</f>
        <v>0</v>
      </c>
      <c r="Z158" s="70">
        <f>IF(Z109=2,AA156,0)</f>
        <v>0</v>
      </c>
      <c r="AB158" s="74">
        <f>IF(AB109=2,AA156,0)</f>
        <v>0</v>
      </c>
      <c r="AC158" s="70">
        <f>IF(AC109=2,AD156,0)</f>
        <v>0</v>
      </c>
      <c r="AE158" s="74">
        <f>IF(AE109=2,AD156,0)</f>
        <v>0</v>
      </c>
      <c r="AF158" s="70">
        <f>SUM(B158:AE158)</f>
        <v>9</v>
      </c>
    </row>
    <row r="159" spans="1:33" s="70" customFormat="1" ht="12.75" hidden="1" customHeight="1" x14ac:dyDescent="0.2">
      <c r="A159" s="70" t="s">
        <v>99</v>
      </c>
      <c r="B159" s="70">
        <f>IF(B109=3,C156,0)</f>
        <v>0</v>
      </c>
      <c r="D159" s="74">
        <f>IF(D109=3,C156,0)</f>
        <v>3</v>
      </c>
      <c r="E159" s="70">
        <f>IF(E109=3,F156,0)</f>
        <v>0</v>
      </c>
      <c r="G159" s="74">
        <f>IF(G109=3,F156,0)</f>
        <v>0</v>
      </c>
      <c r="H159" s="70">
        <f>IF(H109=3,I156,0)</f>
        <v>0</v>
      </c>
      <c r="J159" s="74">
        <f>IF(J109=3,I156,0)</f>
        <v>0</v>
      </c>
      <c r="K159" s="70">
        <f>IF(K109=3,L156,0)</f>
        <v>0</v>
      </c>
      <c r="M159" s="74">
        <f>IF(M109=3,L156,0)</f>
        <v>2</v>
      </c>
      <c r="N159" s="70">
        <f>IF(N109=3,O156,0)</f>
        <v>2</v>
      </c>
      <c r="P159" s="74">
        <f>IF(P109=3,O156,0)</f>
        <v>0</v>
      </c>
      <c r="Q159" s="70">
        <f>IF(Q109=3,R156,0)</f>
        <v>0</v>
      </c>
      <c r="S159" s="74">
        <f>IF(S109=3,R156,0)</f>
        <v>0</v>
      </c>
      <c r="T159" s="70">
        <f>IF(T109=3,U156,0)</f>
        <v>0</v>
      </c>
      <c r="V159" s="74">
        <f>IF(V109=3,U156,0)</f>
        <v>0</v>
      </c>
      <c r="W159" s="70">
        <f>IF(W109=3,X156,0)</f>
        <v>0</v>
      </c>
      <c r="Y159" s="74">
        <f>IF(Y109=3,X156,0)</f>
        <v>0</v>
      </c>
      <c r="Z159" s="70">
        <f>IF(Z109=3,AA156,0)</f>
        <v>0</v>
      </c>
      <c r="AB159" s="74">
        <f>IF(AB109=3,AA156,0)</f>
        <v>0</v>
      </c>
      <c r="AC159" s="70">
        <f>IF(AC109=3,AD156,0)</f>
        <v>0</v>
      </c>
      <c r="AE159" s="74">
        <f>IF(AE109=3,AD156,0)</f>
        <v>0</v>
      </c>
      <c r="AF159" s="70">
        <f>SUM(B159:AE159)</f>
        <v>7</v>
      </c>
    </row>
    <row r="160" spans="1:33" s="70" customFormat="1" ht="12.75" hidden="1" customHeight="1" x14ac:dyDescent="0.2">
      <c r="A160" s="70" t="s">
        <v>100</v>
      </c>
      <c r="B160" s="70">
        <f>IF(B109=4,C156,0)</f>
        <v>0</v>
      </c>
      <c r="D160" s="74">
        <f>IF(D109=4,C156,0)</f>
        <v>0</v>
      </c>
      <c r="E160" s="70">
        <f>IF(E109=4,F156,0)</f>
        <v>0</v>
      </c>
      <c r="G160" s="74">
        <f>IF(G109=4,F156,0)</f>
        <v>2</v>
      </c>
      <c r="H160" s="70">
        <f>IF(H109=4,I156,0)</f>
        <v>0</v>
      </c>
      <c r="J160" s="74">
        <f>IF(J109=4,I156,0)</f>
        <v>3</v>
      </c>
      <c r="K160" s="70">
        <f>IF(K109=4,L156,0)</f>
        <v>0</v>
      </c>
      <c r="M160" s="74">
        <f>IF(M109=4,L156,0)</f>
        <v>0</v>
      </c>
      <c r="N160" s="70">
        <f>IF(N109=4,O156,0)</f>
        <v>0</v>
      </c>
      <c r="P160" s="74">
        <f>IF(P109=4,O156,0)</f>
        <v>2</v>
      </c>
      <c r="Q160" s="70">
        <f>IF(Q109=4,R156,0)</f>
        <v>0</v>
      </c>
      <c r="S160" s="74">
        <f>IF(S109=4,R156,0)</f>
        <v>0</v>
      </c>
      <c r="T160" s="70">
        <f>IF(T109=4,U156,0)</f>
        <v>0</v>
      </c>
      <c r="V160" s="74">
        <f>IF(V109=4,U156,0)</f>
        <v>0</v>
      </c>
      <c r="W160" s="70">
        <f>IF(W109=4,X156,0)</f>
        <v>0</v>
      </c>
      <c r="Y160" s="74">
        <f>IF(Y109=4,X156,0)</f>
        <v>0</v>
      </c>
      <c r="Z160" s="70">
        <f>IF(Z109=4,AA156,0)</f>
        <v>0</v>
      </c>
      <c r="AB160" s="74">
        <f>IF(AB109=4,AA156,0)</f>
        <v>0</v>
      </c>
      <c r="AC160" s="70">
        <f>IF(AC109=4,AD156,0)</f>
        <v>0</v>
      </c>
      <c r="AE160" s="74">
        <f>IF(AE109=4,AD156,0)</f>
        <v>0</v>
      </c>
      <c r="AF160" s="70">
        <f>SUM(B160:AE160)</f>
        <v>7</v>
      </c>
    </row>
    <row r="161" spans="1:54" s="70" customFormat="1" ht="12.75" hidden="1" customHeight="1" x14ac:dyDescent="0.2">
      <c r="A161" s="70" t="s">
        <v>101</v>
      </c>
      <c r="B161" s="70">
        <f>IF(B109=5,C156,0)</f>
        <v>0</v>
      </c>
      <c r="D161" s="74">
        <f>IF(D109=5,C156,0)</f>
        <v>0</v>
      </c>
      <c r="E161" s="70">
        <f>IF(E109=5,F156,0)</f>
        <v>0</v>
      </c>
      <c r="G161" s="74">
        <f>IF(G109=5,F156,0)</f>
        <v>0</v>
      </c>
      <c r="H161" s="70">
        <f>IF(H109=5,I156,0)</f>
        <v>0</v>
      </c>
      <c r="J161" s="74">
        <f>IF(J109=5,I156,0)</f>
        <v>0</v>
      </c>
      <c r="K161" s="70">
        <f>IF(K109=5,L156,0)</f>
        <v>0</v>
      </c>
      <c r="M161" s="74">
        <f>IF(M109=5,L156,0)</f>
        <v>0</v>
      </c>
      <c r="N161" s="70">
        <f>IF(N109=5,O156,0)</f>
        <v>0</v>
      </c>
      <c r="P161" s="74">
        <f>IF(P109=5,O156,0)</f>
        <v>0</v>
      </c>
      <c r="Q161" s="70">
        <f>IF(Q109=5,R156,0)</f>
        <v>0</v>
      </c>
      <c r="S161" s="74">
        <f>IF(S109=5,R156,0)</f>
        <v>0</v>
      </c>
      <c r="T161" s="70">
        <f>IF(T109=5,U156,0)</f>
        <v>0</v>
      </c>
      <c r="V161" s="74">
        <f>IF(V109=5,U156,0)</f>
        <v>0</v>
      </c>
      <c r="W161" s="70">
        <f>IF(W109=5,X156,0)</f>
        <v>0</v>
      </c>
      <c r="Y161" s="74">
        <f>IF(Y109=5,X156,0)</f>
        <v>0</v>
      </c>
      <c r="Z161" s="70">
        <f>IF(Z109=5,AA156,0)</f>
        <v>0</v>
      </c>
      <c r="AB161" s="74">
        <f>IF(AB109=5,AA156,0)</f>
        <v>0</v>
      </c>
      <c r="AC161" s="70">
        <f>IF(AC109=5,AD156,0)</f>
        <v>0</v>
      </c>
      <c r="AE161" s="74">
        <f>IF(AE109=5,AD156,0)</f>
        <v>0</v>
      </c>
      <c r="AF161" s="70">
        <f>SUM(B161:AE161)</f>
        <v>0</v>
      </c>
    </row>
    <row r="162" spans="1:54" hidden="1" x14ac:dyDescent="0.2">
      <c r="A162" s="95"/>
      <c r="B162" s="95"/>
      <c r="C162" s="95"/>
      <c r="D162" s="95"/>
      <c r="E162" s="95"/>
      <c r="F162" s="95"/>
      <c r="G162" s="95"/>
      <c r="H162" s="95"/>
      <c r="I162" s="95"/>
      <c r="J162" s="95"/>
      <c r="K162" s="95"/>
      <c r="L162" s="95"/>
      <c r="M162" s="95"/>
      <c r="N162" s="95"/>
      <c r="O162" s="95"/>
      <c r="P162" s="95"/>
      <c r="Q162" s="95"/>
      <c r="R162" s="95"/>
      <c r="S162" s="95"/>
      <c r="T162" s="95"/>
      <c r="U162" s="95"/>
      <c r="V162" s="95"/>
      <c r="W162" s="95"/>
      <c r="X162" s="95"/>
      <c r="Y162" s="95"/>
      <c r="Z162" s="95"/>
      <c r="AA162" s="95"/>
      <c r="AB162" s="95"/>
      <c r="AC162" s="95"/>
      <c r="AD162" s="95"/>
      <c r="AE162" s="95"/>
      <c r="AF162" s="95"/>
      <c r="AG162" s="95"/>
      <c r="AH162" s="95"/>
      <c r="AI162" s="95"/>
      <c r="AJ162" s="95"/>
      <c r="AK162" s="95"/>
      <c r="AL162" s="95"/>
      <c r="AM162" s="95"/>
      <c r="AN162" s="96"/>
      <c r="AO162" s="96"/>
      <c r="AP162" s="96"/>
      <c r="AQ162" s="96"/>
      <c r="AR162" s="77"/>
      <c r="AS162" s="77"/>
      <c r="AT162" s="77"/>
      <c r="AU162" s="77"/>
      <c r="AV162" s="77"/>
      <c r="AW162" s="156"/>
      <c r="BB162" s="156"/>
    </row>
    <row r="163" spans="1:54" s="77" customFormat="1" hidden="1" x14ac:dyDescent="0.2">
      <c r="A163" s="79"/>
      <c r="B163" s="79"/>
      <c r="C163" s="79" t="s">
        <v>108</v>
      </c>
      <c r="D163" s="79">
        <v>1</v>
      </c>
      <c r="E163" s="79"/>
      <c r="F163" s="79"/>
      <c r="G163" s="79">
        <v>2</v>
      </c>
      <c r="H163" s="79"/>
      <c r="I163" s="79"/>
      <c r="J163" s="79">
        <v>3</v>
      </c>
      <c r="K163" s="79"/>
      <c r="L163" s="79"/>
      <c r="M163" s="79">
        <v>4</v>
      </c>
      <c r="N163" s="79"/>
      <c r="O163" s="79"/>
      <c r="P163" s="79">
        <v>5</v>
      </c>
      <c r="Q163" s="79"/>
      <c r="R163" s="79"/>
      <c r="S163" s="79">
        <v>6</v>
      </c>
      <c r="T163" s="79"/>
      <c r="U163" s="79"/>
      <c r="V163" s="79">
        <v>7</v>
      </c>
      <c r="W163" s="79"/>
      <c r="X163" s="79"/>
      <c r="Y163" s="79">
        <v>8</v>
      </c>
      <c r="Z163" s="79"/>
      <c r="AA163" s="79"/>
      <c r="AB163" s="79">
        <v>9</v>
      </c>
      <c r="AC163" s="79"/>
      <c r="AD163" s="79"/>
      <c r="AE163" s="79">
        <v>10</v>
      </c>
      <c r="AF163" s="4"/>
      <c r="AG163" s="79"/>
      <c r="AI163" s="80"/>
      <c r="AJ163" s="4"/>
      <c r="AK163" s="4"/>
      <c r="AL163" s="4"/>
      <c r="AM163" s="4"/>
      <c r="AN163" s="4"/>
      <c r="AO163" s="4"/>
      <c r="AT163" s="80" t="s">
        <v>109</v>
      </c>
      <c r="AW163" s="81"/>
      <c r="BB163" s="81"/>
    </row>
    <row r="164" spans="1:54" s="77" customFormat="1" hidden="1" x14ac:dyDescent="0.2">
      <c r="A164" s="82">
        <v>1</v>
      </c>
      <c r="B164" s="82" t="str">
        <f>E93</f>
        <v>Magnum 18 Mizuno</v>
      </c>
      <c r="C164" s="82">
        <f>VLOOKUP(B164,AU$3:AY$12,3,FALSE)</f>
        <v>3000</v>
      </c>
      <c r="D164" s="82">
        <f>IF(B157,B172,IF(D157,D172,C164))</f>
        <v>3000</v>
      </c>
      <c r="E164" s="82"/>
      <c r="F164" s="82"/>
      <c r="G164" s="82">
        <f>IF(E157,E172,IF(G157,G172,D164))</f>
        <v>3018.1180358477641</v>
      </c>
      <c r="H164" s="82"/>
      <c r="I164" s="82"/>
      <c r="J164" s="82">
        <f>IF(H157,H172,IF(J157,J172,G164))</f>
        <v>3018.1180358477641</v>
      </c>
      <c r="K164" s="82"/>
      <c r="L164" s="82"/>
      <c r="M164" s="82">
        <f>IF(K157,K172,IF(M157,M172,J164))</f>
        <v>3038.4224470087888</v>
      </c>
      <c r="N164" s="82"/>
      <c r="O164" s="82"/>
      <c r="P164" s="82">
        <f>IF(N157,N172,IF(P157,P172,M164))</f>
        <v>3038.4224470087888</v>
      </c>
      <c r="Q164" s="82"/>
      <c r="R164" s="82"/>
      <c r="S164" s="82">
        <f>IF(Q157,Q172,IF(S157,S172,P164))</f>
        <v>3033.3596182547244</v>
      </c>
      <c r="T164" s="82"/>
      <c r="U164" s="82"/>
      <c r="V164" s="82">
        <f>IF(T157,T172,IF(V157,V172,S164))</f>
        <v>3033.3596182547244</v>
      </c>
      <c r="W164" s="82"/>
      <c r="X164" s="82"/>
      <c r="Y164" s="82">
        <f>IF(W157,W172,IF(Y157,Y172,V164))</f>
        <v>3033.3596182547244</v>
      </c>
      <c r="Z164" s="82"/>
      <c r="AA164" s="82"/>
      <c r="AB164" s="82">
        <f>IF(Z157,Z172,IF(AB157,AB172,Y164))</f>
        <v>3033.3596182547244</v>
      </c>
      <c r="AC164" s="82"/>
      <c r="AD164" s="82"/>
      <c r="AE164" s="82">
        <f>IF(AC157,AC172,IF(AE157,AE172,AB164))</f>
        <v>3033.3596182547244</v>
      </c>
      <c r="AF164" s="4"/>
      <c r="AG164" s="4"/>
      <c r="AJ164" s="4"/>
      <c r="AK164" s="4"/>
      <c r="AL164" s="4"/>
      <c r="AM164" s="4"/>
      <c r="AN164" s="4"/>
      <c r="AO164" s="4"/>
      <c r="AT164" s="77" t="str">
        <f>B164</f>
        <v>Magnum 18 Mizuno</v>
      </c>
      <c r="AU164" s="77">
        <f>AE164</f>
        <v>3033.3596182547244</v>
      </c>
      <c r="AW164" s="81"/>
      <c r="BB164" s="81"/>
    </row>
    <row r="165" spans="1:54" s="77" customFormat="1" hidden="1" x14ac:dyDescent="0.2">
      <c r="A165" s="82">
        <v>2</v>
      </c>
      <c r="B165" s="82" t="str">
        <f>E95</f>
        <v>Lake Murray 18 Red</v>
      </c>
      <c r="C165" s="82">
        <f>VLOOKUP(B165,AU$3:AY$12,3,FALSE)</f>
        <v>2927.0999448587754</v>
      </c>
      <c r="D165" s="82">
        <f>IF(B158,B172,IF(D158,D172,C165))</f>
        <v>2901.9160543025041</v>
      </c>
      <c r="E165" s="82"/>
      <c r="F165" s="82"/>
      <c r="G165" s="82">
        <f>IF(E158,E172,IF(G158,G172,D165))</f>
        <v>2901.9160543025041</v>
      </c>
      <c r="H165" s="82"/>
      <c r="I165" s="82"/>
      <c r="J165" s="82">
        <f>IF(H158,H172,IF(J158,J172,G165))</f>
        <v>2874.8654968065148</v>
      </c>
      <c r="K165" s="82"/>
      <c r="L165" s="82"/>
      <c r="M165" s="82">
        <f>IF(K158,K172,IF(M158,M172,J165))</f>
        <v>2874.8654968065148</v>
      </c>
      <c r="N165" s="82"/>
      <c r="O165" s="82"/>
      <c r="P165" s="82">
        <f>IF(N158,N172,IF(P158,P172,M165))</f>
        <v>2874.8654968065148</v>
      </c>
      <c r="Q165" s="82"/>
      <c r="R165" s="82"/>
      <c r="S165" s="82">
        <f>IF(Q158,Q172,IF(S158,S172,P165))</f>
        <v>2879.9283255605792</v>
      </c>
      <c r="T165" s="82"/>
      <c r="U165" s="82"/>
      <c r="V165" s="82">
        <f>IF(T158,T172,IF(V158,V172,S165))</f>
        <v>2879.9283255605792</v>
      </c>
      <c r="W165" s="82"/>
      <c r="X165" s="82"/>
      <c r="Y165" s="82">
        <f>IF(W158,W172,IF(Y158,Y172,V165))</f>
        <v>2879.9283255605792</v>
      </c>
      <c r="Z165" s="82"/>
      <c r="AA165" s="82"/>
      <c r="AB165" s="82">
        <f>IF(Z158,Z172,IF(AB158,AB172,Y165))</f>
        <v>2879.9283255605792</v>
      </c>
      <c r="AC165" s="82"/>
      <c r="AD165" s="82"/>
      <c r="AE165" s="82">
        <f>IF(AC158,AC172,IF(AE158,AE172,AB165))</f>
        <v>2879.9283255605792</v>
      </c>
      <c r="AF165" s="4"/>
      <c r="AG165" s="4"/>
      <c r="AJ165" s="4"/>
      <c r="AL165" s="4"/>
      <c r="AM165" s="4"/>
      <c r="AN165" s="4"/>
      <c r="AO165" s="4"/>
      <c r="AT165" s="77" t="str">
        <f>B165</f>
        <v>Lake Murray 18 Red</v>
      </c>
      <c r="AU165" s="77">
        <f>AE165</f>
        <v>2879.9283255605792</v>
      </c>
      <c r="AW165" s="81"/>
      <c r="BB165" s="81"/>
    </row>
    <row r="166" spans="1:54" s="77" customFormat="1" hidden="1" x14ac:dyDescent="0.2">
      <c r="A166" s="82">
        <v>3</v>
      </c>
      <c r="B166" s="82" t="str">
        <f>E97</f>
        <v>Hurricane VBC 18 Storm</v>
      </c>
      <c r="C166" s="82">
        <f>VLOOKUP(B166,AU$3:AY$12,3,FALSE)</f>
        <v>2859.795266485386</v>
      </c>
      <c r="D166" s="82">
        <f>IF(B159,B172,IF(D159,D172,C166))</f>
        <v>2884.9791570416573</v>
      </c>
      <c r="E166" s="82"/>
      <c r="F166" s="82"/>
      <c r="G166" s="82">
        <f>IF(E159,E172,IF(G159,G172,D166))</f>
        <v>2884.9791570416573</v>
      </c>
      <c r="H166" s="82"/>
      <c r="I166" s="82"/>
      <c r="J166" s="82">
        <f>IF(H159,H172,IF(J159,J172,G166))</f>
        <v>2884.9791570416573</v>
      </c>
      <c r="K166" s="82"/>
      <c r="L166" s="82"/>
      <c r="M166" s="82">
        <f>IF(K159,K172,IF(M159,M172,J166))</f>
        <v>2864.6747458806326</v>
      </c>
      <c r="N166" s="82"/>
      <c r="O166" s="82"/>
      <c r="P166" s="82">
        <f>IF(N159,N172,IF(P159,P172,M166))</f>
        <v>2831.0960334681517</v>
      </c>
      <c r="Q166" s="82"/>
      <c r="R166" s="82"/>
      <c r="S166" s="82">
        <f>IF(Q159,Q172,IF(S159,S172,P166))</f>
        <v>2831.0960334681517</v>
      </c>
      <c r="T166" s="82"/>
      <c r="U166" s="82"/>
      <c r="V166" s="82">
        <f>IF(T159,T172,IF(V159,V172,S166))</f>
        <v>2831.0960334681517</v>
      </c>
      <c r="W166" s="82"/>
      <c r="X166" s="82"/>
      <c r="Y166" s="82">
        <f>IF(W159,W172,IF(Y159,Y172,V166))</f>
        <v>2831.0960334681517</v>
      </c>
      <c r="Z166" s="82"/>
      <c r="AA166" s="82"/>
      <c r="AB166" s="82">
        <f>IF(Z159,Z172,IF(AB159,AB172,Y166))</f>
        <v>2831.0960334681517</v>
      </c>
      <c r="AC166" s="82"/>
      <c r="AD166" s="82"/>
      <c r="AE166" s="82">
        <f>IF(AC159,AC172,IF(AE159,AE172,AB166))</f>
        <v>2831.0960334681517</v>
      </c>
      <c r="AF166" s="4"/>
      <c r="AG166" s="4"/>
      <c r="AJ166" s="4"/>
      <c r="AL166" s="4"/>
      <c r="AM166" s="4"/>
      <c r="AN166" s="4"/>
      <c r="AO166" s="4"/>
      <c r="AT166" s="77" t="str">
        <f>B166</f>
        <v>Hurricane VBC 18 Storm</v>
      </c>
      <c r="AU166" s="77">
        <f>AE166</f>
        <v>2831.0960334681517</v>
      </c>
      <c r="AW166" s="81"/>
      <c r="BB166" s="81"/>
    </row>
    <row r="167" spans="1:54" s="77" customFormat="1" hidden="1" x14ac:dyDescent="0.2">
      <c r="A167" s="82">
        <v>4</v>
      </c>
      <c r="B167" s="82" t="str">
        <f>E99</f>
        <v>SC Midlands 18 Perf</v>
      </c>
      <c r="C167" s="82">
        <f>VLOOKUP(B167,AU$3:AY$12,3,FALSE)</f>
        <v>2838.5876453388701</v>
      </c>
      <c r="D167" s="82">
        <f>IF(B160,B172,IF(D160,D172,C167))</f>
        <v>2838.5876453388701</v>
      </c>
      <c r="E167" s="82"/>
      <c r="F167" s="82"/>
      <c r="G167" s="82">
        <f>IF(E160,E172,IF(G160,G172,D167))</f>
        <v>2820.469609491106</v>
      </c>
      <c r="H167" s="82"/>
      <c r="I167" s="82"/>
      <c r="J167" s="82">
        <f>IF(H160,H172,IF(J160,J172,G167))</f>
        <v>2847.5201669870953</v>
      </c>
      <c r="K167" s="82"/>
      <c r="L167" s="82"/>
      <c r="M167" s="82">
        <f>IF(K160,K172,IF(M160,M172,J167))</f>
        <v>2847.5201669870953</v>
      </c>
      <c r="N167" s="82"/>
      <c r="O167" s="82"/>
      <c r="P167" s="82">
        <f>IF(N160,N172,IF(P160,P172,M167))</f>
        <v>2881.0988793995762</v>
      </c>
      <c r="Q167" s="82"/>
      <c r="R167" s="82"/>
      <c r="S167" s="82">
        <f>IF(Q160,Q172,IF(S160,S172,P167))</f>
        <v>2881.0988793995762</v>
      </c>
      <c r="T167" s="82"/>
      <c r="U167" s="82"/>
      <c r="V167" s="82">
        <f>IF(T160,T172,IF(V160,V172,S167))</f>
        <v>2881.0988793995762</v>
      </c>
      <c r="W167" s="82"/>
      <c r="X167" s="82"/>
      <c r="Y167" s="82">
        <f>IF(W160,W172,IF(Y160,Y172,V167))</f>
        <v>2881.0988793995762</v>
      </c>
      <c r="Z167" s="82"/>
      <c r="AA167" s="82"/>
      <c r="AB167" s="82">
        <f>IF(Z160,Z172,IF(AB160,AB172,Y167))</f>
        <v>2881.0988793995762</v>
      </c>
      <c r="AC167" s="82"/>
      <c r="AD167" s="82"/>
      <c r="AE167" s="82">
        <f>IF(AC160,AC172,IF(AE160,AE172,AB167))</f>
        <v>2881.0988793995762</v>
      </c>
      <c r="AF167" s="4"/>
      <c r="AG167" s="4"/>
      <c r="AJ167" s="4"/>
      <c r="AL167" s="4"/>
      <c r="AM167" s="4"/>
      <c r="AN167" s="4"/>
      <c r="AO167" s="4"/>
      <c r="AT167" s="77" t="str">
        <f>B167</f>
        <v>SC Midlands 18 Perf</v>
      </c>
      <c r="AU167" s="77">
        <f>AE167</f>
        <v>2881.0988793995762</v>
      </c>
      <c r="AW167" s="81"/>
      <c r="BB167" s="81"/>
    </row>
    <row r="168" spans="1:54" s="77" customFormat="1" hidden="1" x14ac:dyDescent="0.2">
      <c r="A168" s="82">
        <v>5</v>
      </c>
      <c r="B168" s="82">
        <f>E101</f>
        <v>0</v>
      </c>
      <c r="C168" s="82" t="e">
        <f>VLOOKUP(B168,AU$3:AY$12,3,FALSE)</f>
        <v>#N/A</v>
      </c>
      <c r="D168" s="82" t="e">
        <f>IF(B161,B172,IF(D161,D172,C168))</f>
        <v>#N/A</v>
      </c>
      <c r="E168" s="82"/>
      <c r="F168" s="82"/>
      <c r="G168" s="82" t="e">
        <f>IF(E161,E172,IF(G161,G172,D168))</f>
        <v>#N/A</v>
      </c>
      <c r="H168" s="82"/>
      <c r="I168" s="82"/>
      <c r="J168" s="82" t="e">
        <f>IF(H161,H172,IF(J161,J172,G168))</f>
        <v>#N/A</v>
      </c>
      <c r="K168" s="82"/>
      <c r="L168" s="82"/>
      <c r="M168" s="82" t="e">
        <f>IF(K161,K172,IF(M161,M172,J168))</f>
        <v>#N/A</v>
      </c>
      <c r="N168" s="82"/>
      <c r="O168" s="82"/>
      <c r="P168" s="82" t="e">
        <f>IF(N161,N172,IF(P161,P172,M168))</f>
        <v>#N/A</v>
      </c>
      <c r="Q168" s="82"/>
      <c r="R168" s="82"/>
      <c r="S168" s="82" t="e">
        <f>IF(Q161,Q172,IF(S161,S172,P168))</f>
        <v>#N/A</v>
      </c>
      <c r="T168" s="82"/>
      <c r="U168" s="82"/>
      <c r="V168" s="82" t="e">
        <f>IF(T161,T172,IF(V161,V172,S168))</f>
        <v>#N/A</v>
      </c>
      <c r="W168" s="82"/>
      <c r="X168" s="82"/>
      <c r="Y168" s="82" t="e">
        <f>IF(W161,W172,IF(Y161,Y172,V168))</f>
        <v>#N/A</v>
      </c>
      <c r="Z168" s="82"/>
      <c r="AA168" s="82"/>
      <c r="AB168" s="82" t="e">
        <f>IF(Z161,Z172,IF(AB161,AB172,Y168))</f>
        <v>#N/A</v>
      </c>
      <c r="AC168" s="82"/>
      <c r="AD168" s="82"/>
      <c r="AE168" s="82" t="e">
        <f>IF(AC161,AC172,IF(AE161,AE172,AB168))</f>
        <v>#N/A</v>
      </c>
      <c r="AF168" s="4"/>
      <c r="AG168" s="4"/>
      <c r="AJ168" s="4"/>
      <c r="AL168" s="4"/>
      <c r="AM168" s="4"/>
      <c r="AN168" s="4"/>
      <c r="AO168" s="4"/>
      <c r="AT168" s="77">
        <f>B168</f>
        <v>0</v>
      </c>
      <c r="AU168" s="77" t="e">
        <f>AE168</f>
        <v>#N/A</v>
      </c>
      <c r="AW168" s="81"/>
      <c r="BB168" s="81"/>
    </row>
    <row r="169" spans="1:54" s="77" customFormat="1" hidden="1" x14ac:dyDescent="0.2">
      <c r="A169" s="82"/>
      <c r="B169" s="82"/>
      <c r="C169" s="82"/>
      <c r="D169" s="82"/>
      <c r="E169" s="82"/>
      <c r="F169" s="82"/>
      <c r="G169" s="82"/>
      <c r="H169" s="82"/>
      <c r="I169" s="82"/>
      <c r="J169" s="82"/>
      <c r="K169" s="82"/>
      <c r="L169" s="82"/>
      <c r="M169" s="82"/>
      <c r="N169" s="82"/>
      <c r="O169" s="82"/>
      <c r="P169" s="82"/>
      <c r="Q169" s="82"/>
      <c r="R169" s="82"/>
      <c r="S169" s="82"/>
      <c r="T169" s="82"/>
      <c r="U169" s="82"/>
      <c r="V169" s="82"/>
      <c r="W169" s="82"/>
      <c r="X169" s="82"/>
      <c r="Y169" s="82"/>
      <c r="Z169" s="82"/>
      <c r="AA169" s="82"/>
      <c r="AB169" s="82"/>
      <c r="AC169" s="82"/>
      <c r="AD169" s="82"/>
      <c r="AE169" s="82"/>
      <c r="AF169" s="4"/>
      <c r="AG169" s="4"/>
      <c r="AJ169" s="4"/>
      <c r="AL169" s="4"/>
      <c r="AM169" s="4"/>
      <c r="AN169" s="4"/>
      <c r="AO169" s="4"/>
      <c r="AW169" s="81"/>
      <c r="BB169" s="81"/>
    </row>
    <row r="170" spans="1:54" s="77" customFormat="1" hidden="1" x14ac:dyDescent="0.2">
      <c r="A170" s="82" t="s">
        <v>110</v>
      </c>
      <c r="B170" s="82">
        <f>VLOOKUP(B109,$A164:$AE168,3,FALSE)</f>
        <v>2927.0999448587754</v>
      </c>
      <c r="C170" s="82">
        <v>1</v>
      </c>
      <c r="D170" s="82">
        <f>VLOOKUP(D109,$A164:$AE168,3,FALSE)</f>
        <v>2859.795266485386</v>
      </c>
      <c r="E170" s="82">
        <f>VLOOKUP(E109,$A164:$AE168,4,FALSE)</f>
        <v>3000</v>
      </c>
      <c r="F170" s="82">
        <v>2</v>
      </c>
      <c r="G170" s="82">
        <f>VLOOKUP(G109,$A164:$AE168,4,FALSE)</f>
        <v>2838.5876453388701</v>
      </c>
      <c r="H170" s="82">
        <f>VLOOKUP(H109,$A164:$AE168,7,FALSE)</f>
        <v>2901.9160543025041</v>
      </c>
      <c r="I170" s="82">
        <v>3</v>
      </c>
      <c r="J170" s="82">
        <f>VLOOKUP(J109,$A164:$AE168,7,FALSE)</f>
        <v>2820.469609491106</v>
      </c>
      <c r="K170" s="82">
        <f>VLOOKUP(K109,$A164:$AE168,10,FALSE)</f>
        <v>3018.1180358477641</v>
      </c>
      <c r="L170" s="82">
        <v>4</v>
      </c>
      <c r="M170" s="82">
        <f>VLOOKUP(M109,$A164:$AE168,10,FALSE)</f>
        <v>2884.9791570416573</v>
      </c>
      <c r="N170" s="82">
        <f>VLOOKUP(N109,$A164:$AE168,13,FALSE)</f>
        <v>2864.6747458806326</v>
      </c>
      <c r="O170" s="82">
        <v>5</v>
      </c>
      <c r="P170" s="82">
        <f>VLOOKUP(P109,$A164:$AE168,13,FALSE)</f>
        <v>2847.5201669870953</v>
      </c>
      <c r="Q170" s="82">
        <f>VLOOKUP(Q109,$A164:$AE168,16,FALSE)</f>
        <v>3038.4224470087888</v>
      </c>
      <c r="R170" s="82">
        <v>6</v>
      </c>
      <c r="S170" s="82">
        <f>VLOOKUP(S109,$A164:$AE168,16,FALSE)</f>
        <v>2874.8654968065148</v>
      </c>
      <c r="T170" s="82">
        <f>VLOOKUP(T109,$A164:$AE168,19,FALSE)</f>
        <v>2879.9283255605792</v>
      </c>
      <c r="U170" s="82">
        <v>7</v>
      </c>
      <c r="V170" s="82">
        <f>VLOOKUP(V109,$A164:$AE168,19,FALSE)</f>
        <v>2831.0960334681517</v>
      </c>
      <c r="W170" s="82">
        <f>VLOOKUP(W109,$A164:$AE168,22,FALSE)</f>
        <v>3033.3596182547244</v>
      </c>
      <c r="X170" s="82">
        <v>8</v>
      </c>
      <c r="Y170" s="82" t="e">
        <f>VLOOKUP(Y109,$A164:$AE168,22,FALSE)</f>
        <v>#N/A</v>
      </c>
      <c r="Z170" s="82">
        <f>VLOOKUP(Z109,$A164:$AE168,25,FALSE)</f>
        <v>2831.0960334681517</v>
      </c>
      <c r="AA170" s="82">
        <v>9</v>
      </c>
      <c r="AB170" s="82">
        <f>VLOOKUP(AB109,$A164:$AE168,25,FALSE)</f>
        <v>2881.0988793995762</v>
      </c>
      <c r="AC170" s="82">
        <f>VLOOKUP(AC109,$A164:$AE168,28,FALSE)</f>
        <v>3033.3596182547244</v>
      </c>
      <c r="AD170" s="82">
        <v>10</v>
      </c>
      <c r="AE170" s="82">
        <f>VLOOKUP(AE109,$A164:$AE168,28,FALSE)</f>
        <v>2879.9283255605792</v>
      </c>
      <c r="AF170" s="4"/>
      <c r="AG170" s="95"/>
      <c r="AH170" s="95"/>
      <c r="AI170" s="95"/>
      <c r="AJ170" s="95"/>
      <c r="AK170" s="95"/>
      <c r="AL170" s="95"/>
      <c r="AM170" s="95"/>
      <c r="AN170" s="96"/>
      <c r="AO170" s="96"/>
      <c r="AP170" s="96"/>
      <c r="AQ170" s="96"/>
      <c r="AW170" s="81"/>
      <c r="BB170" s="81"/>
    </row>
    <row r="171" spans="1:54" s="87" customFormat="1" hidden="1" x14ac:dyDescent="0.2">
      <c r="A171" s="83" t="s">
        <v>111</v>
      </c>
      <c r="B171" s="83">
        <f>1/(1+(10^-((B170-D170)/400)))*(B121+D121)</f>
        <v>1.7869965798834784</v>
      </c>
      <c r="C171" s="83"/>
      <c r="D171" s="83">
        <f>1/(1+(10^-((D170-B170)/400)))*(B121+D121)</f>
        <v>1.2130034201165216</v>
      </c>
      <c r="E171" s="83">
        <f>1/(1+(10^-((E170-G170)/400)))*(E121+G121)</f>
        <v>1.4338113797573762</v>
      </c>
      <c r="F171" s="83"/>
      <c r="G171" s="83">
        <f>1/(1+(10^-((G170-E170)/400)))*(E121+G121)</f>
        <v>0.56618862024262384</v>
      </c>
      <c r="H171" s="83">
        <f>1/(1+(10^-((H170-J170)/400)))*(H121+J121)</f>
        <v>1.8453299217496668</v>
      </c>
      <c r="I171" s="83"/>
      <c r="J171" s="83">
        <f>1/(1+(10^-((J170-H170)/400)))*(H121+J121)</f>
        <v>1.154670078250333</v>
      </c>
      <c r="K171" s="83">
        <f>1/(1+(10^-((K170-M170)/400)))*(K121+M121)</f>
        <v>1.3654871512179729</v>
      </c>
      <c r="L171" s="83"/>
      <c r="M171" s="83">
        <f>1/(1+(10^-((M170-K170)/400)))*(K121+M121)</f>
        <v>0.63451284878202696</v>
      </c>
      <c r="N171" s="83">
        <f>1/(1+(10^-((N170-P170)/400)))*(N121+P121)</f>
        <v>1.0493347628900282</v>
      </c>
      <c r="O171" s="83"/>
      <c r="P171" s="83">
        <f>1/(1+(10^-((P170-N170)/400)))*(N121+P121)</f>
        <v>0.95066523710997175</v>
      </c>
      <c r="Q171" s="83">
        <f>1/(1+(10^-((Q170-S170)/400)))*(Q121+S121)</f>
        <v>2.1582133985645138</v>
      </c>
      <c r="R171" s="83"/>
      <c r="S171" s="83">
        <f>1/(1+(10^-((S170-Q170)/400)))*(Q121+S121)</f>
        <v>0.84178660143548623</v>
      </c>
      <c r="T171" s="83">
        <f>1/(1+(10^-((T170-V170)/400)))*(T121+V121)</f>
        <v>0</v>
      </c>
      <c r="U171" s="83"/>
      <c r="V171" s="83">
        <f>1/(1+(10^-((V170-T170)/400)))*(T121+V121)</f>
        <v>0</v>
      </c>
      <c r="W171" s="83" t="e">
        <f>1/(1+(10^-((W170-Y170)/400)))*(W121+Y121)</f>
        <v>#N/A</v>
      </c>
      <c r="X171" s="83"/>
      <c r="Y171" s="83" t="e">
        <f>1/(1+(10^-((Y170-W170)/400)))*(W121+Y121)</f>
        <v>#N/A</v>
      </c>
      <c r="Z171" s="83">
        <f>1/(1+(10^-((Z170-AB170)/400)))*(Z121+AB121)</f>
        <v>0</v>
      </c>
      <c r="AA171" s="83"/>
      <c r="AB171" s="83">
        <f>1/(1+(10^-((AB170-Z170)/400)))*(Z121+AB121)</f>
        <v>0</v>
      </c>
      <c r="AC171" s="83">
        <f>1/(1+(10^-((AC170-AE170)/400)))*(AC121+AE121)</f>
        <v>0</v>
      </c>
      <c r="AD171" s="83"/>
      <c r="AE171" s="83">
        <f>1/(1+(10^-((AE170-AC170)/400)))*(AC121+AE121)</f>
        <v>0</v>
      </c>
      <c r="AF171" s="84"/>
      <c r="AG171" s="85"/>
      <c r="AH171" s="85"/>
      <c r="AI171" s="85"/>
      <c r="AJ171" s="85"/>
      <c r="AK171" s="85"/>
      <c r="AL171" s="85"/>
      <c r="AM171" s="85"/>
      <c r="AN171" s="86"/>
      <c r="AO171" s="86"/>
      <c r="AP171" s="86"/>
      <c r="AQ171" s="86"/>
      <c r="AW171" s="88"/>
      <c r="BB171" s="88"/>
    </row>
    <row r="172" spans="1:54" s="93" customFormat="1" hidden="1" x14ac:dyDescent="0.2">
      <c r="A172" s="89" t="s">
        <v>112</v>
      </c>
      <c r="B172" s="89">
        <f>B170+(B121-B171)*$BA$1</f>
        <v>2901.9160543025041</v>
      </c>
      <c r="C172" s="89"/>
      <c r="D172" s="89">
        <f>D170+(D121-D171)*$BA$1</f>
        <v>2884.9791570416573</v>
      </c>
      <c r="E172" s="89">
        <f>E170+(E121-E171)*$BA$1</f>
        <v>3018.1180358477641</v>
      </c>
      <c r="F172" s="89"/>
      <c r="G172" s="89">
        <f>G170+(G121-G171)*$BA$1</f>
        <v>2820.469609491106</v>
      </c>
      <c r="H172" s="89">
        <f>H170+(H121-H171)*$BA$1</f>
        <v>2874.8654968065148</v>
      </c>
      <c r="I172" s="89"/>
      <c r="J172" s="89">
        <f>J170+(J121-J171)*$BA$1</f>
        <v>2847.5201669870953</v>
      </c>
      <c r="K172" s="89">
        <f>K170+(K121-K171)*$BA$1</f>
        <v>3038.4224470087888</v>
      </c>
      <c r="L172" s="89"/>
      <c r="M172" s="89">
        <f>M170+(M121-M171)*$BA$1</f>
        <v>2864.6747458806326</v>
      </c>
      <c r="N172" s="89">
        <f>N170+(N121-N171)*$BA$1</f>
        <v>2831.0960334681517</v>
      </c>
      <c r="O172" s="89"/>
      <c r="P172" s="89">
        <f>P170+(P121-P171)*$BA$1</f>
        <v>2881.0988793995762</v>
      </c>
      <c r="Q172" s="89">
        <f>Q170+(Q121-Q171)*$BA$1</f>
        <v>3033.3596182547244</v>
      </c>
      <c r="R172" s="89"/>
      <c r="S172" s="89">
        <f>S170+(S121-S171)*$BA$1</f>
        <v>2879.9283255605792</v>
      </c>
      <c r="T172" s="89">
        <f>T170+(T121-T171)*$BA$1</f>
        <v>2879.9283255605792</v>
      </c>
      <c r="U172" s="89"/>
      <c r="V172" s="89">
        <f>V170+(V121-V171)*$BA$1</f>
        <v>2831.0960334681517</v>
      </c>
      <c r="W172" s="89" t="e">
        <f>W170+(W121-W171)*$BA$1</f>
        <v>#N/A</v>
      </c>
      <c r="X172" s="89"/>
      <c r="Y172" s="89" t="e">
        <f>Y170+(Y121-Y171)*$BA$1</f>
        <v>#N/A</v>
      </c>
      <c r="Z172" s="89">
        <f>Z170+(Z121-Z171)*$BA$1</f>
        <v>2831.0960334681517</v>
      </c>
      <c r="AA172" s="89"/>
      <c r="AB172" s="89">
        <f>AB170+(AB121-AB171)*$BA$1</f>
        <v>2881.0988793995762</v>
      </c>
      <c r="AC172" s="89">
        <f>AC170+(AC121-AC171)*$BA$1</f>
        <v>3033.3596182547244</v>
      </c>
      <c r="AD172" s="89"/>
      <c r="AE172" s="89">
        <f>AE170+(AE121-AE171)*$BA$1</f>
        <v>2879.9283255605792</v>
      </c>
      <c r="AF172" s="90"/>
      <c r="AG172" s="91"/>
      <c r="AH172" s="91"/>
      <c r="AI172" s="91"/>
      <c r="AJ172" s="91"/>
      <c r="AK172" s="91"/>
      <c r="AL172" s="91"/>
      <c r="AM172" s="91"/>
      <c r="AN172" s="92"/>
      <c r="AO172" s="92"/>
      <c r="AP172" s="92"/>
      <c r="AQ172" s="92"/>
      <c r="AW172" s="94"/>
      <c r="BB172" s="94"/>
    </row>
    <row r="173" spans="1:54" s="93" customFormat="1" hidden="1" x14ac:dyDescent="0.2">
      <c r="A173" s="89"/>
      <c r="B173" s="89"/>
      <c r="C173" s="89"/>
      <c r="D173" s="89"/>
      <c r="E173" s="89"/>
      <c r="F173" s="89"/>
      <c r="G173" s="89"/>
      <c r="H173" s="89"/>
      <c r="I173" s="89"/>
      <c r="J173" s="89"/>
      <c r="K173" s="89"/>
      <c r="L173" s="89"/>
      <c r="M173" s="89"/>
      <c r="N173" s="89"/>
      <c r="O173" s="89"/>
      <c r="P173" s="89"/>
      <c r="Q173" s="89"/>
      <c r="R173" s="89"/>
      <c r="S173" s="89"/>
      <c r="T173" s="89"/>
      <c r="U173" s="89"/>
      <c r="V173" s="89"/>
      <c r="W173" s="89"/>
      <c r="X173" s="89"/>
      <c r="Y173" s="89"/>
      <c r="Z173" s="89"/>
      <c r="AA173" s="89"/>
      <c r="AB173" s="89"/>
      <c r="AC173" s="89"/>
      <c r="AD173" s="89"/>
      <c r="AE173" s="89"/>
      <c r="AF173" s="90"/>
      <c r="AG173" s="91"/>
      <c r="AH173" s="91"/>
      <c r="AI173" s="91"/>
      <c r="AJ173" s="91"/>
      <c r="AK173" s="91"/>
      <c r="AL173" s="91"/>
      <c r="AM173" s="91"/>
      <c r="AN173" s="92"/>
      <c r="AO173" s="92"/>
      <c r="AP173" s="92"/>
      <c r="AQ173" s="92"/>
      <c r="AW173" s="94"/>
      <c r="BB173" s="94"/>
    </row>
    <row r="174" spans="1:54" s="77" customFormat="1" x14ac:dyDescent="0.2">
      <c r="A174" s="281" t="str">
        <f>IF($AK95=1,"Pool Tiereaker : 1) Matches Won vs Lost (if 3 way tie then #4)  2) Head to Head  3) Game Win %  4) Total Pool Net Points  5) Flip a Coin","Pool Tiebreaker : 1) Games Won vs Lost (if 3 way tie then #5)  2) Head to Head  3) Head to Head Net Points  4) Game Win %  5) Total Pool Net Points  6) Flip a Coin")</f>
        <v>Pool Tiereaker : 1) Matches Won vs Lost (if 3 way tie then #4)  2) Head to Head  3) Game Win %  4) Total Pool Net Points  5) Flip a Coin</v>
      </c>
      <c r="B174" s="281"/>
      <c r="C174" s="281"/>
      <c r="D174" s="281"/>
      <c r="E174" s="281"/>
      <c r="F174" s="281"/>
      <c r="G174" s="281"/>
      <c r="H174" s="281"/>
      <c r="I174" s="281"/>
      <c r="J174" s="281"/>
      <c r="K174" s="281"/>
      <c r="L174" s="281"/>
      <c r="M174" s="281"/>
      <c r="N174" s="281"/>
      <c r="O174" s="281"/>
      <c r="P174" s="281"/>
      <c r="Q174" s="281"/>
      <c r="R174" s="281"/>
      <c r="S174" s="281"/>
      <c r="T174" s="281"/>
      <c r="U174" s="281"/>
      <c r="V174" s="281"/>
      <c r="W174" s="281"/>
      <c r="X174" s="281"/>
      <c r="Y174" s="281"/>
      <c r="Z174" s="281"/>
      <c r="AA174" s="281"/>
      <c r="AB174" s="281"/>
      <c r="AC174" s="281"/>
      <c r="AD174" s="281"/>
      <c r="AE174" s="281"/>
      <c r="AF174" s="281"/>
      <c r="AG174" s="281"/>
      <c r="AH174" s="281"/>
      <c r="AI174" s="281"/>
      <c r="AJ174" s="281"/>
      <c r="AK174" s="281"/>
      <c r="AL174" s="281"/>
      <c r="AM174" s="259"/>
      <c r="AN174" s="259"/>
      <c r="AO174" s="259"/>
      <c r="AP174" s="259"/>
    </row>
    <row r="175" spans="1:54" s="77" customFormat="1" x14ac:dyDescent="0.2">
      <c r="A175" s="282"/>
      <c r="B175" s="282"/>
      <c r="C175" s="282"/>
      <c r="D175" s="282"/>
      <c r="E175" s="282"/>
      <c r="F175" s="282"/>
      <c r="G175" s="282"/>
      <c r="H175" s="282"/>
      <c r="I175" s="282"/>
      <c r="J175" s="282"/>
      <c r="K175" s="282"/>
      <c r="L175" s="282"/>
      <c r="M175" s="282"/>
      <c r="N175" s="282"/>
      <c r="O175" s="282"/>
      <c r="P175" s="282"/>
      <c r="Q175" s="282"/>
      <c r="R175" s="282"/>
      <c r="S175" s="282"/>
      <c r="T175" s="282"/>
      <c r="U175" s="282"/>
      <c r="V175" s="282"/>
      <c r="W175" s="282"/>
      <c r="X175" s="282"/>
      <c r="Y175" s="282"/>
      <c r="Z175" s="282"/>
      <c r="AA175" s="282"/>
      <c r="AB175" s="282"/>
      <c r="AC175" s="282"/>
      <c r="AD175" s="282"/>
      <c r="AE175" s="282"/>
      <c r="AF175" s="282"/>
      <c r="AG175" s="282"/>
      <c r="AH175" s="282"/>
      <c r="AI175" s="282"/>
      <c r="AJ175" s="282"/>
      <c r="AK175" s="282"/>
      <c r="AL175" s="282"/>
      <c r="AM175" s="282"/>
      <c r="AN175" s="282"/>
      <c r="AO175" s="282"/>
      <c r="AP175" s="282"/>
      <c r="AQ175" s="282"/>
    </row>
    <row r="176" spans="1:54" ht="21" thickBot="1" x14ac:dyDescent="0.35">
      <c r="A176" s="271" t="s">
        <v>114</v>
      </c>
      <c r="B176" s="271"/>
      <c r="C176" s="271"/>
      <c r="D176" s="271"/>
      <c r="E176" s="271"/>
      <c r="F176" s="271"/>
      <c r="G176" s="271"/>
      <c r="H176" s="271"/>
      <c r="I176" s="271"/>
      <c r="J176" s="271"/>
      <c r="K176" s="271"/>
      <c r="L176" s="271"/>
      <c r="M176" s="271"/>
      <c r="N176" s="271"/>
      <c r="O176" s="271"/>
      <c r="P176" s="271"/>
      <c r="Q176" s="271"/>
      <c r="R176" s="271"/>
      <c r="S176" s="271"/>
      <c r="T176" s="271"/>
      <c r="U176" s="271"/>
      <c r="V176" s="271"/>
      <c r="W176" s="271"/>
      <c r="X176" s="271"/>
      <c r="Y176" s="271"/>
      <c r="Z176" s="271"/>
      <c r="AA176" s="271"/>
      <c r="AB176" s="271"/>
      <c r="AC176" s="271"/>
      <c r="AD176" s="271"/>
      <c r="AE176" s="271"/>
      <c r="AF176" s="271"/>
      <c r="AG176" s="271"/>
      <c r="AH176" s="271"/>
      <c r="AI176" s="271"/>
      <c r="AJ176" s="271"/>
      <c r="AK176" s="271"/>
      <c r="AL176" s="271"/>
      <c r="AM176" s="271"/>
      <c r="AN176" s="271"/>
      <c r="AO176" s="271"/>
      <c r="AP176" s="271"/>
      <c r="AQ176" s="271"/>
    </row>
    <row r="177" spans="1:53" ht="13.5" thickBot="1" x14ac:dyDescent="0.25">
      <c r="A177" s="272" t="s">
        <v>115</v>
      </c>
      <c r="B177" s="274" t="s">
        <v>116</v>
      </c>
      <c r="C177" s="275"/>
      <c r="D177" s="275"/>
      <c r="E177" s="275"/>
      <c r="F177" s="275"/>
      <c r="G177" s="275"/>
      <c r="H177" s="275"/>
      <c r="I177" s="275"/>
      <c r="J177" s="275"/>
      <c r="K177" s="276"/>
      <c r="L177" s="274" t="s">
        <v>117</v>
      </c>
      <c r="M177" s="275"/>
      <c r="N177" s="275"/>
      <c r="O177" s="275"/>
      <c r="P177" s="275"/>
      <c r="Q177" s="275"/>
      <c r="R177" s="275"/>
      <c r="S177" s="275"/>
      <c r="T177" s="275"/>
      <c r="U177" s="276"/>
      <c r="V177" s="274" t="s">
        <v>118</v>
      </c>
      <c r="W177" s="275"/>
      <c r="X177" s="275"/>
      <c r="Y177" s="275"/>
      <c r="Z177" s="275"/>
      <c r="AA177" s="275"/>
      <c r="AB177" s="275"/>
      <c r="AC177" s="275"/>
      <c r="AD177" s="275"/>
      <c r="AE177" s="276"/>
      <c r="AF177" s="274" t="s">
        <v>119</v>
      </c>
      <c r="AG177" s="275"/>
      <c r="AH177" s="275"/>
      <c r="AI177" s="275"/>
      <c r="AJ177" s="275"/>
      <c r="AK177" s="275"/>
      <c r="AL177" s="275"/>
      <c r="AM177" s="275"/>
      <c r="AN177" s="275"/>
      <c r="AO177" s="276"/>
    </row>
    <row r="178" spans="1:53" ht="13.5" thickBot="1" x14ac:dyDescent="0.25">
      <c r="A178" s="273"/>
      <c r="B178" s="268" t="s">
        <v>10</v>
      </c>
      <c r="C178" s="269"/>
      <c r="D178" s="269"/>
      <c r="E178" s="269"/>
      <c r="F178" s="269"/>
      <c r="G178" s="270"/>
      <c r="H178" s="268" t="s">
        <v>120</v>
      </c>
      <c r="I178" s="269"/>
      <c r="J178" s="269"/>
      <c r="K178" s="270"/>
      <c r="L178" s="268" t="s">
        <v>10</v>
      </c>
      <c r="M178" s="269"/>
      <c r="N178" s="269"/>
      <c r="O178" s="269"/>
      <c r="P178" s="269"/>
      <c r="Q178" s="270"/>
      <c r="R178" s="268" t="s">
        <v>120</v>
      </c>
      <c r="S178" s="269"/>
      <c r="T178" s="269"/>
      <c r="U178" s="270"/>
      <c r="V178" s="268" t="s">
        <v>10</v>
      </c>
      <c r="W178" s="269"/>
      <c r="X178" s="269"/>
      <c r="Y178" s="269"/>
      <c r="Z178" s="269"/>
      <c r="AA178" s="270"/>
      <c r="AB178" s="268" t="s">
        <v>120</v>
      </c>
      <c r="AC178" s="269"/>
      <c r="AD178" s="269"/>
      <c r="AE178" s="270"/>
      <c r="AF178" s="268" t="s">
        <v>10</v>
      </c>
      <c r="AG178" s="269"/>
      <c r="AH178" s="269"/>
      <c r="AI178" s="269"/>
      <c r="AJ178" s="269"/>
      <c r="AK178" s="270"/>
      <c r="AL178" s="268" t="s">
        <v>120</v>
      </c>
      <c r="AM178" s="269"/>
      <c r="AN178" s="269"/>
      <c r="AO178" s="270"/>
    </row>
    <row r="179" spans="1:53" x14ac:dyDescent="0.2">
      <c r="A179" s="97" t="s">
        <v>121</v>
      </c>
      <c r="B179" s="260" t="str">
        <f>IF($AF$8=1,$E$8,IF($AF$10=1,$E$10,IF($AF$12=1,$E$12,IF($AF$14=1,$E$14,IF($AF$16=1,$E$16,"1st Place "&amp;$A179)))))</f>
        <v>SC Midlands 17 National C</v>
      </c>
      <c r="C179" s="261"/>
      <c r="D179" s="261"/>
      <c r="E179" s="261"/>
      <c r="F179" s="261"/>
      <c r="G179" s="261"/>
      <c r="H179" s="262" t="str">
        <f>IF($AF$8=1,$E$9,IF($AF$10=1,$E$11,IF($AF$12=1,$E$13,IF($AF$14=1,$E$15,IF($AF$16=1,$E$17,"1st Place "&amp;$A179)))))</f>
        <v>fj7scmid1pm</v>
      </c>
      <c r="I179" s="262"/>
      <c r="J179" s="262"/>
      <c r="K179" s="263"/>
      <c r="L179" s="260" t="str">
        <f>IF($AF$8=2,$E$8,IF($AF$10=2,$E$10,IF($AF$12=2,$E$12,IF($AF$14=2,$E$14,IF($AF$16=2,$E$16,"2nd Place "&amp;$A179)))))</f>
        <v>SC Midlands 17 National G</v>
      </c>
      <c r="M179" s="261"/>
      <c r="N179" s="261"/>
      <c r="O179" s="261"/>
      <c r="P179" s="261"/>
      <c r="Q179" s="261"/>
      <c r="R179" s="262" t="str">
        <f>IF($AF$8=2,$E$9,IF($AF$10=2,$E$11,IF($AF$12=2,$E$13,IF($AF$14=2,$E$15,IF($AF$16=2,$E$17,"2nd Place "&amp;$A179)))))</f>
        <v>fj7scmid2pm</v>
      </c>
      <c r="S179" s="262"/>
      <c r="T179" s="262"/>
      <c r="U179" s="263"/>
      <c r="V179" s="260" t="str">
        <f>IF($AF$8=3,$E$8,IF($AF$10=3,$E$10,IF($AF$12=3,$E$12,IF($AF$14=3,$E$14,IF($AF$16=3,$E$16,"3rd Place "&amp;$A179)))))</f>
        <v>Magnum Aiken 18 Green</v>
      </c>
      <c r="W179" s="261"/>
      <c r="X179" s="261"/>
      <c r="Y179" s="261"/>
      <c r="Z179" s="261"/>
      <c r="AA179" s="261"/>
      <c r="AB179" s="262" t="str">
        <f>IF($AF$8=3,$E$9,IF($AF$10=3,$E$11,IF($AF$12=3,$E$13,IF($AF$14=3,$E$15,IF($AF$16=3,$E$17,"3rd Place "&amp;$A179)))))</f>
        <v>fj8magnm2pm</v>
      </c>
      <c r="AC179" s="262"/>
      <c r="AD179" s="262"/>
      <c r="AE179" s="263"/>
      <c r="AF179" s="260" t="str">
        <f>IF($AF$8=4,$E$8,IF($AF$10=4,$E$10,IF($AF$12=4,$E$12,IF($AF$14=4,$E$14,IF($AF$16=4,$E$16,"4th Place "&amp;$A179)))))</f>
        <v>OLC 18's Purple</v>
      </c>
      <c r="AG179" s="261"/>
      <c r="AH179" s="261"/>
      <c r="AI179" s="261"/>
      <c r="AJ179" s="261"/>
      <c r="AK179" s="261"/>
      <c r="AL179" s="262" t="str">
        <f>IF($AF$8=4,$E$9,IF($AF$10=4,$E$11,IF($AF$12=4,$E$13,IF($AF$14=4,$E$15,IF($AF$16=4,$E$17,"4th Place "&amp;$A179)))))</f>
        <v>fj8ladyc1pm</v>
      </c>
      <c r="AM179" s="262"/>
      <c r="AN179" s="262"/>
      <c r="AO179" s="263"/>
    </row>
    <row r="180" spans="1:53" ht="13.5" thickBot="1" x14ac:dyDescent="0.25">
      <c r="A180" s="98" t="s">
        <v>122</v>
      </c>
      <c r="B180" s="264" t="str">
        <f>IF($AF$93=1,$E$93,IF($AF$95=1,$E$95,IF($AF$97=1,$E$97,IF($AF$99=1,$E$99,IF($AF$101=1,$E$101,"1st Place "&amp;$A180)))))</f>
        <v>Magnum 18 Mizuno</v>
      </c>
      <c r="C180" s="265"/>
      <c r="D180" s="265"/>
      <c r="E180" s="265"/>
      <c r="F180" s="265"/>
      <c r="G180" s="265"/>
      <c r="H180" s="266" t="str">
        <f>IF($AF$93=1,$E$94,IF($AF$95=1,$E$96,IF($AF$97=1,$E$98,IF($AF$99=1,$E$100,IF($AF$101=1,$E$102,"1st Place "&amp;$A180)))))</f>
        <v>fj8magnm1pm</v>
      </c>
      <c r="I180" s="266"/>
      <c r="J180" s="266"/>
      <c r="K180" s="267"/>
      <c r="L180" s="264" t="str">
        <f>IF($AF$93=2,$E$93,IF($AF$95=2,$E$95,IF($AF$97=2,$E$97,IF($AF$99=2,$E$99,IF($AF$101=2,$E$101,"2nd Place "&amp;$A180)))))</f>
        <v>SC Midlands 18 Perf</v>
      </c>
      <c r="M180" s="265"/>
      <c r="N180" s="265"/>
      <c r="O180" s="265"/>
      <c r="P180" s="265"/>
      <c r="Q180" s="265"/>
      <c r="R180" s="266" t="str">
        <f>IF($AF$93=2,$E$94,IF($AF$95=2,$E$96,IF($AF$97=2,$E$98,IF($AF$99=2,$E$100,IF($AF$101=2,$E$102,"2nd Place "&amp;$A180)))))</f>
        <v>fj8scmid1pm</v>
      </c>
      <c r="S180" s="266"/>
      <c r="T180" s="266"/>
      <c r="U180" s="267"/>
      <c r="V180" s="264" t="str">
        <f>IF($AF$93=3,$E$93,IF($AF$95=3,$E$95,IF($AF$97=3,$E$97,IF($AF$99=3,$E$99,IF($AF$101=3,$E$101,"3rd Place "&amp;$A180)))))</f>
        <v>Hurricane VBC 18 Storm</v>
      </c>
      <c r="W180" s="265"/>
      <c r="X180" s="265"/>
      <c r="Y180" s="265"/>
      <c r="Z180" s="265"/>
      <c r="AA180" s="265"/>
      <c r="AB180" s="266" t="str">
        <f>IF($AF$93=3,$E$94,IF($AF$95=3,$E$96,IF($AF$97=3,$E$98,IF($AF$99=3,$E$100,IF($AF$101=3,$E$102,"3rd Place "&amp;$A180)))))</f>
        <v>fj8hurrc1pm</v>
      </c>
      <c r="AC180" s="266"/>
      <c r="AD180" s="266"/>
      <c r="AE180" s="267"/>
      <c r="AF180" s="264" t="str">
        <f>IF($AF$93=4,$E$93,IF($AF$95=4,$E$95,IF($AF$97=4,$E$97,IF($AF$99=4,$E$99,IF($AF$101=4,$E$101,"4th Place "&amp;$A180)))))</f>
        <v>Lake Murray 18 Red</v>
      </c>
      <c r="AG180" s="265"/>
      <c r="AH180" s="265"/>
      <c r="AI180" s="265"/>
      <c r="AJ180" s="265"/>
      <c r="AK180" s="265"/>
      <c r="AL180" s="266" t="str">
        <f>IF($AF$93=4,$E$94,IF($AF$95=4,$E$96,IF($AF$97=4,$E$98,IF($AF$99=4,$E$100,IF($AF$101=4,$E$102,"4th Place "&amp;$A180)))))</f>
        <v>fj8lakem1pm</v>
      </c>
      <c r="AM180" s="266"/>
      <c r="AN180" s="266"/>
      <c r="AO180" s="267"/>
    </row>
    <row r="181" spans="1:53" s="3" customFormat="1" x14ac:dyDescent="0.2">
      <c r="A181" s="99"/>
      <c r="B181" s="100"/>
      <c r="C181" s="100"/>
      <c r="D181" s="100"/>
      <c r="E181" s="100"/>
      <c r="F181" s="100"/>
      <c r="G181" s="100"/>
      <c r="H181" s="100"/>
      <c r="I181" s="100"/>
      <c r="J181" s="100"/>
      <c r="K181" s="100"/>
      <c r="L181" s="100"/>
      <c r="M181" s="100"/>
      <c r="N181" s="100"/>
      <c r="O181" s="100"/>
      <c r="P181" s="100"/>
      <c r="Q181" s="100"/>
      <c r="R181" s="100"/>
      <c r="S181" s="100"/>
      <c r="T181" s="100"/>
      <c r="U181" s="100"/>
      <c r="V181" s="100"/>
      <c r="W181" s="100"/>
      <c r="X181" s="100"/>
      <c r="Y181" s="100"/>
      <c r="Z181" s="100"/>
      <c r="AA181" s="100"/>
      <c r="AB181" s="100"/>
      <c r="AC181" s="100"/>
      <c r="AD181" s="100"/>
      <c r="AE181" s="100"/>
      <c r="AF181" s="100"/>
      <c r="AG181" s="100"/>
      <c r="AH181" s="100"/>
      <c r="AI181" s="100"/>
      <c r="AJ181" s="100"/>
      <c r="AK181" s="100"/>
      <c r="AL181" s="100"/>
      <c r="AM181" s="100"/>
      <c r="AN181" s="100"/>
      <c r="AO181" s="100"/>
      <c r="AZ181" s="4"/>
      <c r="BA181" s="4"/>
    </row>
    <row r="182" spans="1:53" ht="15.75" x14ac:dyDescent="0.25">
      <c r="A182" s="255" t="s">
        <v>123</v>
      </c>
      <c r="B182" s="255"/>
      <c r="C182" s="255"/>
      <c r="D182" s="255"/>
      <c r="E182" s="255"/>
      <c r="F182" s="255"/>
      <c r="G182" s="255"/>
      <c r="H182" s="255"/>
      <c r="I182" s="255"/>
      <c r="J182" s="255"/>
      <c r="K182" s="255"/>
      <c r="L182" s="255"/>
      <c r="M182" s="255"/>
      <c r="N182" s="255"/>
      <c r="O182" s="255"/>
      <c r="P182" s="255"/>
      <c r="Q182" s="255"/>
      <c r="R182" s="255"/>
      <c r="S182" s="255"/>
      <c r="T182" s="255"/>
      <c r="U182" s="255"/>
      <c r="V182" s="255"/>
      <c r="W182" s="255"/>
      <c r="X182" s="255"/>
      <c r="Y182" s="255"/>
      <c r="Z182" s="255"/>
      <c r="AA182" s="255"/>
      <c r="AB182" s="255"/>
      <c r="AC182" s="255"/>
      <c r="AD182" s="255"/>
      <c r="AE182" s="255"/>
      <c r="AF182" s="255"/>
      <c r="AG182" s="255"/>
      <c r="AH182" s="255"/>
      <c r="AI182" s="255"/>
      <c r="AJ182" s="255"/>
      <c r="AK182" s="255"/>
      <c r="AL182" s="255"/>
      <c r="AM182" s="255"/>
      <c r="AN182" s="255"/>
      <c r="AO182" s="255"/>
      <c r="AP182" s="255"/>
      <c r="AQ182" s="255"/>
      <c r="AT182" s="101"/>
      <c r="AU182" s="101"/>
      <c r="AV182" s="101"/>
    </row>
    <row r="183" spans="1:53" ht="18" x14ac:dyDescent="0.25">
      <c r="A183" s="256" t="s">
        <v>124</v>
      </c>
      <c r="B183" s="256"/>
      <c r="C183" s="256"/>
      <c r="D183" s="256"/>
      <c r="E183" s="256"/>
      <c r="F183" s="256"/>
      <c r="G183" s="256"/>
      <c r="H183" s="256"/>
      <c r="I183" s="256"/>
      <c r="J183" s="256"/>
      <c r="K183" s="256"/>
      <c r="L183" s="256"/>
      <c r="M183" s="256"/>
      <c r="N183" s="256"/>
      <c r="O183" s="256"/>
      <c r="P183" s="256"/>
      <c r="Q183" s="256"/>
      <c r="R183" s="256"/>
      <c r="S183" s="256"/>
      <c r="T183" s="256"/>
      <c r="U183" s="256"/>
      <c r="V183" s="256"/>
      <c r="W183" s="256"/>
      <c r="X183" s="256"/>
      <c r="Y183" s="256"/>
      <c r="Z183" s="256"/>
      <c r="AA183" s="256"/>
      <c r="AB183" s="256"/>
      <c r="AC183" s="256"/>
      <c r="AD183" s="256"/>
      <c r="AE183" s="256"/>
      <c r="AF183" s="256"/>
      <c r="AG183" s="256"/>
      <c r="AH183" s="256"/>
      <c r="AI183" s="256"/>
      <c r="AJ183" s="256"/>
      <c r="AK183" s="256"/>
      <c r="AL183" s="256"/>
      <c r="AM183" s="256"/>
      <c r="AN183" s="256"/>
      <c r="AO183" s="256"/>
      <c r="AP183" s="256"/>
      <c r="AQ183" s="256"/>
    </row>
    <row r="184" spans="1:53" x14ac:dyDescent="0.2">
      <c r="A184" s="257" t="s">
        <v>125</v>
      </c>
      <c r="B184" s="257"/>
      <c r="C184" s="257"/>
      <c r="D184" s="257"/>
      <c r="E184" s="257"/>
      <c r="F184" s="257"/>
      <c r="G184" s="257"/>
      <c r="H184" s="257"/>
      <c r="I184" s="257"/>
      <c r="J184" s="257"/>
      <c r="K184" s="257"/>
      <c r="L184" s="257"/>
      <c r="M184" s="257"/>
      <c r="N184" s="257"/>
      <c r="O184" s="257"/>
      <c r="P184" s="257"/>
      <c r="Q184" s="257"/>
      <c r="R184" s="257"/>
      <c r="S184" s="257"/>
      <c r="T184" s="257"/>
      <c r="U184" s="257"/>
      <c r="V184" s="257"/>
      <c r="W184" s="257"/>
      <c r="X184" s="257"/>
      <c r="Y184" s="257"/>
      <c r="Z184" s="257"/>
      <c r="AA184" s="257"/>
      <c r="AB184" s="257"/>
      <c r="AC184" s="257"/>
      <c r="AD184" s="257"/>
      <c r="AE184" s="257"/>
      <c r="AF184" s="257"/>
      <c r="AG184" s="257"/>
      <c r="AH184" s="257"/>
      <c r="AI184" s="257"/>
      <c r="AJ184" s="257"/>
      <c r="AK184" s="257"/>
      <c r="AL184" s="257"/>
      <c r="AM184" s="257"/>
      <c r="AN184" s="257"/>
      <c r="AO184" s="257"/>
      <c r="AP184" s="257"/>
      <c r="AQ184" s="257"/>
    </row>
    <row r="185" spans="1:53" x14ac:dyDescent="0.2">
      <c r="A185" s="257"/>
      <c r="B185" s="257"/>
      <c r="C185" s="257"/>
      <c r="D185" s="257"/>
      <c r="E185" s="257"/>
      <c r="F185" s="257"/>
      <c r="G185" s="257"/>
      <c r="H185" s="257"/>
      <c r="I185" s="257"/>
      <c r="J185" s="257"/>
      <c r="K185" s="257"/>
      <c r="L185" s="257"/>
      <c r="M185" s="257"/>
      <c r="N185" s="257"/>
      <c r="O185" s="257"/>
      <c r="P185" s="257"/>
      <c r="Q185" s="257"/>
      <c r="R185" s="257"/>
      <c r="S185" s="257"/>
      <c r="T185" s="257"/>
      <c r="U185" s="257"/>
      <c r="V185" s="257"/>
      <c r="W185" s="257"/>
      <c r="X185" s="257"/>
      <c r="Y185" s="257"/>
      <c r="Z185" s="257"/>
      <c r="AA185" s="257"/>
      <c r="AB185" s="257"/>
      <c r="AC185" s="257"/>
      <c r="AD185" s="257"/>
      <c r="AE185" s="257"/>
      <c r="AF185" s="257"/>
      <c r="AG185" s="257"/>
      <c r="AH185" s="257"/>
      <c r="AI185" s="257"/>
      <c r="AJ185" s="257"/>
      <c r="AK185" s="257"/>
      <c r="AL185" s="257"/>
      <c r="AM185" s="257"/>
      <c r="AN185" s="257"/>
      <c r="AO185" s="257"/>
      <c r="AP185" s="257"/>
      <c r="AQ185" s="257"/>
    </row>
    <row r="186" spans="1:53" x14ac:dyDescent="0.2">
      <c r="A186" s="258" t="s">
        <v>126</v>
      </c>
      <c r="B186" s="258"/>
      <c r="C186" s="258"/>
      <c r="D186" s="258"/>
      <c r="E186" s="258"/>
      <c r="F186" s="258"/>
      <c r="G186" s="258"/>
      <c r="H186" s="258"/>
      <c r="I186" s="258"/>
      <c r="J186" s="258"/>
      <c r="K186" s="258"/>
      <c r="L186" s="102"/>
    </row>
    <row r="187" spans="1:53" x14ac:dyDescent="0.2">
      <c r="C187" s="3"/>
      <c r="D187" s="3"/>
      <c r="E187" s="3"/>
      <c r="L187" s="102"/>
    </row>
    <row r="188" spans="1:53" x14ac:dyDescent="0.2">
      <c r="A188" s="259" t="s">
        <v>127</v>
      </c>
      <c r="B188" s="259"/>
      <c r="C188" s="259"/>
      <c r="D188" s="259"/>
      <c r="E188" s="259"/>
      <c r="F188" s="259"/>
      <c r="G188" s="259"/>
      <c r="H188" s="259"/>
      <c r="I188" s="259"/>
      <c r="J188" s="259"/>
      <c r="K188" s="259"/>
      <c r="L188" s="259"/>
      <c r="M188" s="259"/>
      <c r="N188" s="259"/>
      <c r="O188" s="259"/>
      <c r="P188" s="156"/>
      <c r="R188" s="259" t="s">
        <v>128</v>
      </c>
      <c r="S188" s="259"/>
      <c r="T188" s="259"/>
      <c r="U188" s="259"/>
      <c r="V188" s="259"/>
      <c r="W188" s="259"/>
      <c r="X188" s="259"/>
      <c r="Y188" s="259"/>
      <c r="Z188" s="259"/>
      <c r="AA188" s="259"/>
      <c r="AB188" s="259"/>
      <c r="AC188" s="259"/>
      <c r="AD188" s="259"/>
      <c r="AE188" s="259"/>
      <c r="AF188" s="259"/>
    </row>
    <row r="190" spans="1:53" ht="13.5" thickBot="1" x14ac:dyDescent="0.25">
      <c r="A190" s="225" t="str">
        <f>IF(B218=1,B210,IF(B218=2,B211,IF(B218=3,B212,IF(B218=4,B213,IF(OR(B218="B",B218="b"),"BYE","invalid")))))</f>
        <v>SC Midlands 17 National C</v>
      </c>
      <c r="B190" s="225"/>
      <c r="C190" s="225"/>
      <c r="D190" s="225"/>
      <c r="E190" s="225"/>
      <c r="F190" s="103"/>
      <c r="G190" s="103"/>
      <c r="H190" s="103"/>
      <c r="I190" s="103"/>
      <c r="J190" s="103"/>
      <c r="K190" s="103"/>
      <c r="L190" s="103"/>
      <c r="M190" s="103"/>
      <c r="N190" s="103"/>
      <c r="S190" s="157"/>
      <c r="T190" s="157"/>
      <c r="U190" s="225" t="str">
        <f>IF(W218=1,X210,IF(W218=2,X211,IF(W218=3,X212,IF(W218=4,X213,IF(OR(W218="B",W218="b"),"BYE","invalid")))))</f>
        <v>Magnum Aiken 18 Green</v>
      </c>
      <c r="V190" s="225"/>
      <c r="W190" s="225"/>
      <c r="X190" s="225"/>
      <c r="Y190" s="225"/>
      <c r="Z190" s="225"/>
      <c r="AA190" s="225"/>
      <c r="AB190" s="103"/>
      <c r="AC190" s="103"/>
      <c r="AD190" s="103"/>
      <c r="AE190" s="103"/>
    </row>
    <row r="191" spans="1:53" x14ac:dyDescent="0.2">
      <c r="A191" s="227" t="s">
        <v>129</v>
      </c>
      <c r="B191" s="227"/>
      <c r="C191" s="227"/>
      <c r="D191" s="227"/>
      <c r="E191" s="227"/>
      <c r="F191" s="105"/>
      <c r="G191" s="103"/>
      <c r="H191" s="103"/>
      <c r="I191" s="103"/>
      <c r="J191" s="103"/>
      <c r="K191" s="103"/>
      <c r="L191" s="103"/>
      <c r="M191" s="103"/>
      <c r="N191" s="103"/>
      <c r="S191" s="106"/>
      <c r="T191" s="106"/>
      <c r="U191" s="228" t="s">
        <v>130</v>
      </c>
      <c r="V191" s="228"/>
      <c r="W191" s="228"/>
      <c r="X191" s="228"/>
      <c r="Y191" s="228"/>
      <c r="Z191" s="228"/>
      <c r="AA191" s="242"/>
      <c r="AB191" s="103"/>
      <c r="AC191" s="103"/>
      <c r="AD191" s="103"/>
      <c r="AE191" s="103"/>
    </row>
    <row r="192" spans="1:53" x14ac:dyDescent="0.2">
      <c r="A192" s="103"/>
      <c r="B192" s="103"/>
      <c r="C192" s="103"/>
      <c r="D192" s="103"/>
      <c r="E192" s="103"/>
      <c r="F192" s="105"/>
      <c r="G192" s="103"/>
      <c r="H192" s="103"/>
      <c r="I192" s="103"/>
      <c r="J192" s="103"/>
      <c r="K192" s="103"/>
      <c r="L192" s="103"/>
      <c r="M192" s="103"/>
      <c r="N192" s="103"/>
      <c r="R192" s="103"/>
      <c r="S192" s="103"/>
      <c r="T192" s="103"/>
      <c r="U192" s="103"/>
      <c r="V192" s="103"/>
      <c r="W192" s="103"/>
      <c r="X192" s="103"/>
      <c r="Y192" s="103"/>
      <c r="Z192" s="103"/>
      <c r="AA192" s="107"/>
      <c r="AB192" s="103"/>
      <c r="AC192" s="103"/>
      <c r="AD192" s="103"/>
      <c r="AE192" s="103"/>
    </row>
    <row r="193" spans="1:53" ht="13.5" thickBot="1" x14ac:dyDescent="0.25">
      <c r="A193" s="228" t="str">
        <f>B212&amp;" ref"</f>
        <v>SC Midlands 17 National G ref</v>
      </c>
      <c r="B193" s="228"/>
      <c r="C193" s="228"/>
      <c r="D193" s="228"/>
      <c r="E193" s="242"/>
      <c r="F193" s="237" t="str">
        <f>IF(H218=1,B210,IF(H218=2,B211,IF(H218=3,B212,IF(H218=4,B213,"Winner Match 1"))))</f>
        <v>SC Midlands 17 National C</v>
      </c>
      <c r="G193" s="238"/>
      <c r="H193" s="238"/>
      <c r="I193" s="238"/>
      <c r="J193" s="238"/>
      <c r="K193" s="238"/>
      <c r="L193" s="238"/>
      <c r="M193" s="238"/>
      <c r="N193" s="103"/>
      <c r="P193" s="108"/>
      <c r="Q193" s="108"/>
      <c r="R193" s="108"/>
      <c r="S193" s="108"/>
      <c r="T193" s="228" t="str">
        <f>X212&amp;" ref"</f>
        <v>OLC 18's Purple ref</v>
      </c>
      <c r="U193" s="228"/>
      <c r="V193" s="228"/>
      <c r="W193" s="228"/>
      <c r="X193" s="228"/>
      <c r="Y193" s="228"/>
      <c r="Z193" s="228"/>
      <c r="AA193" s="242"/>
      <c r="AB193" s="237" t="str">
        <f>IF(AC218=1,X210,IF(AC218=2,X211,IF(AC218=3,X212,IF(AC218=4,X213,"Winner Match 1"))))</f>
        <v>Magnum Aiken 18 Green</v>
      </c>
      <c r="AC193" s="238"/>
      <c r="AD193" s="238"/>
      <c r="AE193" s="238"/>
      <c r="AF193" s="238"/>
      <c r="AG193" s="238"/>
      <c r="AH193" s="238"/>
    </row>
    <row r="194" spans="1:53" x14ac:dyDescent="0.2">
      <c r="A194" s="239" t="s">
        <v>131</v>
      </c>
      <c r="B194" s="239"/>
      <c r="C194" s="239"/>
      <c r="D194" s="239"/>
      <c r="E194" s="239"/>
      <c r="F194" s="251"/>
      <c r="G194" s="252"/>
      <c r="H194" s="252"/>
      <c r="I194" s="253"/>
      <c r="J194" s="233"/>
      <c r="K194" s="234"/>
      <c r="L194" s="234"/>
      <c r="M194" s="234"/>
      <c r="N194" s="103"/>
      <c r="O194" s="103"/>
      <c r="P194" s="114"/>
      <c r="Q194" s="7"/>
      <c r="R194" s="115"/>
      <c r="S194" s="115"/>
      <c r="T194" s="254" t="s">
        <v>132</v>
      </c>
      <c r="U194" s="254"/>
      <c r="V194" s="254"/>
      <c r="W194" s="254"/>
      <c r="X194" s="254"/>
      <c r="Y194" s="254"/>
      <c r="Z194" s="254"/>
      <c r="AA194" s="107"/>
      <c r="AB194" s="251"/>
      <c r="AC194" s="252"/>
      <c r="AD194" s="252"/>
      <c r="AE194" s="253"/>
      <c r="AF194" s="233"/>
      <c r="AG194" s="234"/>
      <c r="AH194" s="234"/>
    </row>
    <row r="195" spans="1:53" ht="13.5" thickBot="1" x14ac:dyDescent="0.25">
      <c r="A195" s="225" t="str">
        <f>IF(D218=1,B210,IF(D218=2,B211,IF(D218=3,B212,IF(D218=4,B213,IF(OR(D218="B",D218="b"),"BYE","invalid")))))</f>
        <v>SC Midlands 18 Perf</v>
      </c>
      <c r="B195" s="225"/>
      <c r="C195" s="225"/>
      <c r="D195" s="225"/>
      <c r="E195" s="226"/>
      <c r="F195" s="105"/>
      <c r="G195" s="103"/>
      <c r="H195" s="103"/>
      <c r="I195" s="103"/>
      <c r="J195" s="105"/>
      <c r="K195" s="103"/>
      <c r="L195" s="103"/>
      <c r="M195" s="103"/>
      <c r="N195" s="103"/>
      <c r="O195" s="103"/>
      <c r="P195" s="103"/>
      <c r="T195" s="103"/>
      <c r="U195" s="225" t="str">
        <f>IF(Y218=1,X210,IF(Y218=2,X211,IF(Y218=3,X212,IF(Y218=4,X213,IF(OR(Y218="B",Y218="b"),"BYE","invalid")))))</f>
        <v>Lake Murray 18 Red</v>
      </c>
      <c r="V195" s="225"/>
      <c r="W195" s="225"/>
      <c r="X195" s="225"/>
      <c r="Y195" s="225"/>
      <c r="Z195" s="225"/>
      <c r="AA195" s="226"/>
      <c r="AB195" s="103"/>
      <c r="AC195" s="103"/>
      <c r="AD195" s="103"/>
      <c r="AE195" s="107"/>
      <c r="AF195" s="103"/>
      <c r="AG195" s="103"/>
    </row>
    <row r="196" spans="1:53" x14ac:dyDescent="0.2">
      <c r="A196" s="227" t="s">
        <v>133</v>
      </c>
      <c r="B196" s="227"/>
      <c r="C196" s="227"/>
      <c r="D196" s="227"/>
      <c r="E196" s="227"/>
      <c r="F196" s="103"/>
      <c r="G196" s="103"/>
      <c r="H196" s="103"/>
      <c r="I196" s="103"/>
      <c r="J196" s="105"/>
      <c r="K196" s="103"/>
      <c r="L196" s="103"/>
      <c r="M196" s="103"/>
      <c r="N196" s="103"/>
      <c r="O196" s="103"/>
      <c r="P196" s="103"/>
      <c r="U196" s="249" t="s">
        <v>134</v>
      </c>
      <c r="V196" s="249"/>
      <c r="W196" s="249"/>
      <c r="X196" s="249"/>
      <c r="Y196" s="249"/>
      <c r="Z196" s="249"/>
      <c r="AA196" s="249"/>
      <c r="AB196" s="103"/>
      <c r="AC196" s="103"/>
      <c r="AD196" s="103"/>
      <c r="AE196" s="107"/>
      <c r="AF196" s="103"/>
      <c r="AG196" s="103"/>
      <c r="AQ196" s="116"/>
      <c r="AR196" s="116"/>
      <c r="AV196" s="116"/>
      <c r="AW196" s="116"/>
      <c r="AX196" s="116"/>
    </row>
    <row r="197" spans="1:53" x14ac:dyDescent="0.2">
      <c r="A197" s="103"/>
      <c r="B197" s="103"/>
      <c r="C197" s="103"/>
      <c r="D197" s="103"/>
      <c r="E197" s="103"/>
      <c r="F197" s="241" t="s">
        <v>135</v>
      </c>
      <c r="G197" s="241"/>
      <c r="H197" s="241"/>
      <c r="I197" s="250"/>
      <c r="J197" s="105"/>
      <c r="K197" s="103"/>
      <c r="L197" s="103"/>
      <c r="M197" s="103"/>
      <c r="N197" s="103"/>
      <c r="O197" s="103"/>
      <c r="P197" s="103"/>
      <c r="R197" s="103"/>
      <c r="S197" s="103"/>
      <c r="T197" s="103"/>
      <c r="U197" s="103"/>
      <c r="V197" s="103"/>
      <c r="W197" s="108"/>
      <c r="X197" s="108"/>
      <c r="Y197" s="108"/>
      <c r="AA197" s="108"/>
      <c r="AB197" s="241" t="s">
        <v>135</v>
      </c>
      <c r="AC197" s="241"/>
      <c r="AD197" s="241"/>
      <c r="AE197" s="250"/>
      <c r="AF197" s="103"/>
      <c r="AG197" s="103"/>
    </row>
    <row r="198" spans="1:53" ht="13.5" thickBot="1" x14ac:dyDescent="0.25">
      <c r="A198" s="103"/>
      <c r="B198" s="103"/>
      <c r="C198" s="103"/>
      <c r="D198" s="103"/>
      <c r="E198" s="103"/>
      <c r="F198" s="103"/>
      <c r="G198" s="103"/>
      <c r="H198" s="103"/>
      <c r="I198" s="103"/>
      <c r="J198" s="244" t="str">
        <f>IF(K223=1,B210,IF(K223=2,B211,IF(K223=3,B212,IF(K223=4,B213,"Division Winner"))))</f>
        <v>SC Midlands 17 National C</v>
      </c>
      <c r="K198" s="245"/>
      <c r="L198" s="245"/>
      <c r="M198" s="245"/>
      <c r="N198" s="245"/>
      <c r="O198" s="245"/>
      <c r="P198" s="245"/>
      <c r="Q198" s="157"/>
      <c r="R198" s="103"/>
      <c r="S198" s="103"/>
      <c r="T198" s="103"/>
      <c r="U198" s="103"/>
      <c r="V198" s="103"/>
      <c r="W198" s="103"/>
      <c r="X198" s="103"/>
      <c r="Y198" s="103"/>
      <c r="Z198" s="103"/>
      <c r="AA198" s="118"/>
      <c r="AB198" s="118"/>
      <c r="AC198" s="118"/>
      <c r="AD198" s="118"/>
      <c r="AE198" s="119"/>
      <c r="AF198" s="245" t="str">
        <f>IF(AF223=1,X210,IF(AF223=2,X211,IF(AF223=3,X212,IF(AF223=4,X213,"Division Winner"))))</f>
        <v>OLC 18's Purple</v>
      </c>
      <c r="AG198" s="245"/>
      <c r="AH198" s="245"/>
      <c r="AI198" s="245"/>
      <c r="AJ198" s="245"/>
      <c r="AK198" s="118"/>
    </row>
    <row r="199" spans="1:53" ht="13.5" thickBot="1" x14ac:dyDescent="0.25">
      <c r="A199" s="225" t="str">
        <f>IF(E218=1,B210,IF(E218=2,B211,IF(E218=3,B212,IF(E218=4,B213,IF(OR(E218="B",E218="b"),"BYE","invalid")))))</f>
        <v>Magnum 18 Mizuno</v>
      </c>
      <c r="B199" s="225"/>
      <c r="C199" s="225"/>
      <c r="D199" s="225"/>
      <c r="E199" s="225"/>
      <c r="F199" s="239" t="s">
        <v>136</v>
      </c>
      <c r="G199" s="239"/>
      <c r="H199" s="239"/>
      <c r="I199" s="239"/>
      <c r="J199" s="240" t="s">
        <v>137</v>
      </c>
      <c r="K199" s="241"/>
      <c r="L199" s="241"/>
      <c r="M199" s="241"/>
      <c r="N199" s="241"/>
      <c r="O199" s="241"/>
      <c r="P199" s="241"/>
      <c r="R199" s="118"/>
      <c r="S199" s="118"/>
      <c r="T199" s="118"/>
      <c r="U199" s="225" t="str">
        <f>IF(Z218=1,X210,IF(Z218=2,X211,IF(Z218=3,X212,IF(Z218=4,X213,IF(OR(Z218="B",Z218="b"),"BYE","invalid")))))</f>
        <v>Hurricane VBC 18 Storm</v>
      </c>
      <c r="V199" s="225"/>
      <c r="W199" s="225"/>
      <c r="X199" s="225"/>
      <c r="Y199" s="225"/>
      <c r="Z199" s="225"/>
      <c r="AA199" s="225"/>
      <c r="AB199" s="239" t="s">
        <v>138</v>
      </c>
      <c r="AC199" s="239"/>
      <c r="AD199" s="239"/>
      <c r="AE199" s="246"/>
      <c r="AF199" s="247" t="s">
        <v>139</v>
      </c>
      <c r="AG199" s="248"/>
      <c r="AH199" s="248"/>
      <c r="AI199" s="248"/>
      <c r="AJ199" s="248"/>
    </row>
    <row r="200" spans="1:53" x14ac:dyDescent="0.2">
      <c r="A200" s="227" t="s">
        <v>140</v>
      </c>
      <c r="B200" s="227"/>
      <c r="C200" s="227"/>
      <c r="D200" s="227"/>
      <c r="E200" s="227"/>
      <c r="F200" s="105"/>
      <c r="G200" s="103"/>
      <c r="H200" s="103"/>
      <c r="I200" s="103"/>
      <c r="J200" s="240"/>
      <c r="K200" s="241"/>
      <c r="L200" s="241"/>
      <c r="M200" s="241"/>
      <c r="N200" s="241"/>
      <c r="O200" s="241"/>
      <c r="P200" s="241"/>
      <c r="Q200" s="103"/>
      <c r="R200" s="116"/>
      <c r="S200" s="116"/>
      <c r="T200" s="116"/>
      <c r="U200" s="228" t="s">
        <v>141</v>
      </c>
      <c r="V200" s="228"/>
      <c r="W200" s="228"/>
      <c r="X200" s="228"/>
      <c r="Y200" s="228"/>
      <c r="Z200" s="228"/>
      <c r="AA200" s="242"/>
      <c r="AB200" s="103"/>
      <c r="AC200" s="103"/>
      <c r="AD200" s="103"/>
      <c r="AE200" s="107"/>
      <c r="AF200" s="103"/>
      <c r="AG200" s="103"/>
    </row>
    <row r="201" spans="1:53" x14ac:dyDescent="0.2">
      <c r="A201" s="103"/>
      <c r="B201" s="103"/>
      <c r="C201" s="103"/>
      <c r="D201" s="103"/>
      <c r="E201" s="103"/>
      <c r="F201" s="105"/>
      <c r="G201" s="103"/>
      <c r="H201" s="103"/>
      <c r="I201" s="103"/>
      <c r="J201" s="105"/>
      <c r="K201" s="103"/>
      <c r="L201" s="103"/>
      <c r="M201" s="103"/>
      <c r="N201" s="103"/>
      <c r="P201" s="103"/>
      <c r="Q201" s="103"/>
      <c r="R201" s="103"/>
      <c r="S201" s="103"/>
      <c r="T201" s="103"/>
      <c r="U201" s="103"/>
      <c r="V201" s="103"/>
      <c r="W201" s="103"/>
      <c r="X201" s="103"/>
      <c r="Y201" s="103"/>
      <c r="Z201" s="103"/>
      <c r="AA201" s="107"/>
      <c r="AB201" s="105"/>
      <c r="AC201" s="103"/>
      <c r="AD201" s="103"/>
      <c r="AE201" s="107"/>
      <c r="AF201" s="103"/>
      <c r="AG201" s="103"/>
      <c r="AZ201" s="70"/>
      <c r="BA201" s="70"/>
    </row>
    <row r="202" spans="1:53" ht="13.5" thickBot="1" x14ac:dyDescent="0.25">
      <c r="A202" s="243" t="s">
        <v>142</v>
      </c>
      <c r="B202" s="243"/>
      <c r="C202" s="243"/>
      <c r="D202" s="243"/>
      <c r="E202" s="114"/>
      <c r="F202" s="230"/>
      <c r="G202" s="231"/>
      <c r="H202" s="231"/>
      <c r="I202" s="232"/>
      <c r="J202" s="233"/>
      <c r="K202" s="234"/>
      <c r="L202" s="234"/>
      <c r="M202" s="234"/>
      <c r="N202" s="103"/>
      <c r="Q202" s="108"/>
      <c r="R202" s="108"/>
      <c r="S202" s="108"/>
      <c r="T202" s="243" t="s">
        <v>142</v>
      </c>
      <c r="U202" s="243"/>
      <c r="V202" s="243"/>
      <c r="W202" s="243"/>
      <c r="X202" s="243"/>
      <c r="Y202" s="243"/>
      <c r="Z202" s="243"/>
      <c r="AA202" s="103"/>
      <c r="AB202" s="230"/>
      <c r="AC202" s="231"/>
      <c r="AD202" s="231"/>
      <c r="AE202" s="232"/>
      <c r="AF202" s="233"/>
      <c r="AG202" s="234"/>
      <c r="AH202" s="234"/>
      <c r="AZ202" s="70"/>
      <c r="BA202" s="70"/>
    </row>
    <row r="203" spans="1:53" x14ac:dyDescent="0.2">
      <c r="A203" s="235" t="s">
        <v>131</v>
      </c>
      <c r="B203" s="235"/>
      <c r="C203" s="235"/>
      <c r="D203" s="235"/>
      <c r="E203" s="236"/>
      <c r="F203" s="237" t="str">
        <f>IF(J218=1,B210,IF(J218=2,B211,IF(J218=3,B212,IF(J218=4,B213,"Winner Match 2"))))</f>
        <v>Magnum 18 Mizuno</v>
      </c>
      <c r="G203" s="238"/>
      <c r="H203" s="238"/>
      <c r="I203" s="238"/>
      <c r="J203" s="238"/>
      <c r="K203" s="238"/>
      <c r="L203" s="238"/>
      <c r="M203" s="238"/>
      <c r="N203" s="103"/>
      <c r="P203" s="114"/>
      <c r="Q203" s="114"/>
      <c r="S203" s="115"/>
      <c r="T203" s="239" t="s">
        <v>132</v>
      </c>
      <c r="U203" s="239"/>
      <c r="V203" s="239"/>
      <c r="W203" s="239"/>
      <c r="X203" s="239"/>
      <c r="Y203" s="239"/>
      <c r="Z203" s="239"/>
      <c r="AA203" s="107"/>
      <c r="AB203" s="237" t="str">
        <f>IF(AE218=1,X210,IF(AE218=2,X211,IF(AE218=3,X212,IF(AE218=4,X213,"Winner Match 2"))))</f>
        <v>OLC 18's Purple</v>
      </c>
      <c r="AC203" s="238"/>
      <c r="AD203" s="238"/>
      <c r="AE203" s="238"/>
      <c r="AF203" s="238"/>
      <c r="AG203" s="238"/>
      <c r="AH203" s="238"/>
      <c r="AZ203" s="70"/>
      <c r="BA203" s="70"/>
    </row>
    <row r="204" spans="1:53" ht="13.5" thickBot="1" x14ac:dyDescent="0.25">
      <c r="A204" s="225" t="str">
        <f>IF(G218=1,B210,IF(G218=2,B211,IF(G218=3,B212,IF(G218=4,B213,IF(OR(G218="B",G218="b"),"BYE","invalid")))))</f>
        <v>SC Midlands 17 National G</v>
      </c>
      <c r="B204" s="225"/>
      <c r="C204" s="225"/>
      <c r="D204" s="225"/>
      <c r="E204" s="226"/>
      <c r="F204" s="105"/>
      <c r="G204" s="103"/>
      <c r="H204" s="103"/>
      <c r="I204" s="103"/>
      <c r="J204" s="103"/>
      <c r="K204" s="103"/>
      <c r="L204" s="103"/>
      <c r="M204" s="103"/>
      <c r="N204" s="103"/>
      <c r="P204" s="103"/>
      <c r="Q204" s="103"/>
      <c r="R204" s="103"/>
      <c r="S204" s="118"/>
      <c r="T204" s="118"/>
      <c r="U204" s="225" t="str">
        <f>IF(AB218=1,X210,IF(AB218=2,X211,IF(AB218=3,X212,IF(AB218=4,X213,IF(OR(AB218="B",AB218="b"),"BYE","invalid")))))</f>
        <v>OLC 18's Purple</v>
      </c>
      <c r="V204" s="225"/>
      <c r="W204" s="225"/>
      <c r="X204" s="225"/>
      <c r="Y204" s="225"/>
      <c r="Z204" s="225"/>
      <c r="AA204" s="226"/>
      <c r="AB204" s="103"/>
      <c r="AC204" s="103"/>
      <c r="AD204" s="103"/>
      <c r="AE204" s="103"/>
      <c r="AZ204" s="70"/>
      <c r="BA204" s="70"/>
    </row>
    <row r="205" spans="1:53" x14ac:dyDescent="0.2">
      <c r="A205" s="227" t="s">
        <v>143</v>
      </c>
      <c r="B205" s="227"/>
      <c r="C205" s="227"/>
      <c r="D205" s="227"/>
      <c r="E205" s="227"/>
      <c r="S205" s="116"/>
      <c r="T205" s="116"/>
      <c r="U205" s="228" t="s">
        <v>144</v>
      </c>
      <c r="V205" s="228"/>
      <c r="W205" s="228"/>
      <c r="X205" s="228"/>
      <c r="Y205" s="228"/>
      <c r="Z205" s="228"/>
      <c r="AA205" s="228"/>
      <c r="AZ205" s="70"/>
      <c r="BA205" s="70"/>
    </row>
    <row r="206" spans="1:53" x14ac:dyDescent="0.2">
      <c r="AS206" s="70"/>
      <c r="AT206" s="70"/>
      <c r="AU206" s="70"/>
      <c r="AZ206" s="70"/>
      <c r="BA206" s="70"/>
    </row>
    <row r="207" spans="1:53" x14ac:dyDescent="0.2">
      <c r="AS207" s="70"/>
      <c r="AT207" s="70"/>
      <c r="AU207" s="70"/>
      <c r="AZ207" s="70"/>
      <c r="BA207" s="70"/>
    </row>
    <row r="208" spans="1:53" ht="16.5" thickBot="1" x14ac:dyDescent="0.3">
      <c r="A208" s="229" t="s">
        <v>145</v>
      </c>
      <c r="B208" s="229"/>
      <c r="C208" s="229"/>
      <c r="D208" s="229"/>
      <c r="E208" s="229"/>
      <c r="F208" s="229"/>
      <c r="G208" s="229"/>
      <c r="H208" s="229"/>
      <c r="I208" s="229"/>
      <c r="J208" s="229"/>
      <c r="Q208" s="125"/>
      <c r="R208" s="125"/>
      <c r="S208" s="125"/>
      <c r="U208" s="229" t="s">
        <v>146</v>
      </c>
      <c r="V208" s="229"/>
      <c r="W208" s="229"/>
      <c r="X208" s="229"/>
      <c r="Y208" s="229"/>
      <c r="Z208" s="229"/>
      <c r="AA208" s="229"/>
      <c r="AB208" s="229"/>
      <c r="AC208" s="229"/>
      <c r="AD208" s="229"/>
      <c r="AE208" s="229"/>
      <c r="AF208" s="229"/>
      <c r="AS208" s="70"/>
      <c r="AT208" s="70"/>
      <c r="AU208" s="70"/>
      <c r="AZ208" s="70"/>
      <c r="BA208" s="70"/>
    </row>
    <row r="209" spans="1:53" ht="13.5" thickBot="1" x14ac:dyDescent="0.25">
      <c r="A209" s="126" t="s">
        <v>147</v>
      </c>
      <c r="B209" s="219" t="s">
        <v>148</v>
      </c>
      <c r="C209" s="220"/>
      <c r="D209" s="220"/>
      <c r="E209" s="220"/>
      <c r="F209" s="220"/>
      <c r="G209" s="220"/>
      <c r="H209" s="220"/>
      <c r="I209" s="220"/>
      <c r="J209" s="221"/>
      <c r="K209" s="222" t="s">
        <v>149</v>
      </c>
      <c r="L209" s="223"/>
      <c r="M209" s="223"/>
      <c r="N209" s="223"/>
      <c r="O209" s="223"/>
      <c r="P209" s="223"/>
      <c r="Q209" s="224"/>
      <c r="U209" s="207" t="s">
        <v>147</v>
      </c>
      <c r="V209" s="208"/>
      <c r="W209" s="209"/>
      <c r="X209" s="219" t="s">
        <v>148</v>
      </c>
      <c r="Y209" s="220"/>
      <c r="Z209" s="220"/>
      <c r="AA209" s="220"/>
      <c r="AB209" s="220"/>
      <c r="AC209" s="220"/>
      <c r="AD209" s="220"/>
      <c r="AE209" s="220"/>
      <c r="AF209" s="221"/>
      <c r="AG209" s="222" t="s">
        <v>149</v>
      </c>
      <c r="AH209" s="223"/>
      <c r="AI209" s="223"/>
      <c r="AJ209" s="223"/>
      <c r="AK209" s="223"/>
      <c r="AL209" s="223"/>
      <c r="AM209" s="224"/>
      <c r="AS209" s="70"/>
      <c r="AT209" s="70"/>
      <c r="AU209" s="70"/>
      <c r="AZ209" s="70"/>
      <c r="BA209" s="70"/>
    </row>
    <row r="210" spans="1:53" ht="13.5" thickBot="1" x14ac:dyDescent="0.25">
      <c r="A210" s="126">
        <v>1</v>
      </c>
      <c r="B210" s="201" t="str">
        <f>B179</f>
        <v>SC Midlands 17 National C</v>
      </c>
      <c r="C210" s="202"/>
      <c r="D210" s="202"/>
      <c r="E210" s="202"/>
      <c r="F210" s="202"/>
      <c r="G210" s="202"/>
      <c r="H210" s="202"/>
      <c r="I210" s="202"/>
      <c r="J210" s="203"/>
      <c r="K210" s="204" t="str">
        <f>H179</f>
        <v>fj7scmid1pm</v>
      </c>
      <c r="L210" s="205"/>
      <c r="M210" s="205"/>
      <c r="N210" s="205"/>
      <c r="O210" s="205"/>
      <c r="P210" s="205"/>
      <c r="Q210" s="206"/>
      <c r="U210" s="207">
        <v>1</v>
      </c>
      <c r="V210" s="208"/>
      <c r="W210" s="209"/>
      <c r="X210" s="201" t="str">
        <f>V179</f>
        <v>Magnum Aiken 18 Green</v>
      </c>
      <c r="Y210" s="202"/>
      <c r="Z210" s="202"/>
      <c r="AA210" s="202"/>
      <c r="AB210" s="202"/>
      <c r="AC210" s="202"/>
      <c r="AD210" s="202"/>
      <c r="AE210" s="202"/>
      <c r="AF210" s="203"/>
      <c r="AG210" s="204" t="str">
        <f>AB179</f>
        <v>fj8magnm2pm</v>
      </c>
      <c r="AH210" s="205"/>
      <c r="AI210" s="205"/>
      <c r="AJ210" s="205"/>
      <c r="AK210" s="205"/>
      <c r="AL210" s="205"/>
      <c r="AM210" s="206"/>
      <c r="AS210" s="70"/>
      <c r="AT210" s="70"/>
      <c r="AU210" s="70"/>
      <c r="AZ210" s="70"/>
      <c r="BA210" s="70"/>
    </row>
    <row r="211" spans="1:53" ht="13.5" thickBot="1" x14ac:dyDescent="0.25">
      <c r="A211" s="126">
        <v>2</v>
      </c>
      <c r="B211" s="201" t="str">
        <f>B180</f>
        <v>Magnum 18 Mizuno</v>
      </c>
      <c r="C211" s="202"/>
      <c r="D211" s="202"/>
      <c r="E211" s="202"/>
      <c r="F211" s="202"/>
      <c r="G211" s="202"/>
      <c r="H211" s="202"/>
      <c r="I211" s="202"/>
      <c r="J211" s="203"/>
      <c r="K211" s="204" t="str">
        <f>H180</f>
        <v>fj8magnm1pm</v>
      </c>
      <c r="L211" s="205"/>
      <c r="M211" s="205"/>
      <c r="N211" s="205"/>
      <c r="O211" s="205"/>
      <c r="P211" s="205"/>
      <c r="Q211" s="206"/>
      <c r="U211" s="207">
        <v>2</v>
      </c>
      <c r="V211" s="208"/>
      <c r="W211" s="209"/>
      <c r="X211" s="201" t="str">
        <f>V180</f>
        <v>Hurricane VBC 18 Storm</v>
      </c>
      <c r="Y211" s="202"/>
      <c r="Z211" s="202"/>
      <c r="AA211" s="202"/>
      <c r="AB211" s="202"/>
      <c r="AC211" s="202"/>
      <c r="AD211" s="202"/>
      <c r="AE211" s="202"/>
      <c r="AF211" s="203"/>
      <c r="AG211" s="204" t="str">
        <f>AB180</f>
        <v>fj8hurrc1pm</v>
      </c>
      <c r="AH211" s="205"/>
      <c r="AI211" s="205"/>
      <c r="AJ211" s="205"/>
      <c r="AK211" s="205"/>
      <c r="AL211" s="205"/>
      <c r="AM211" s="206"/>
      <c r="AS211" s="70"/>
      <c r="AT211" s="70"/>
      <c r="AU211" s="70"/>
      <c r="AZ211" s="70"/>
      <c r="BA211" s="70"/>
    </row>
    <row r="212" spans="1:53" ht="13.5" thickBot="1" x14ac:dyDescent="0.25">
      <c r="A212" s="126">
        <v>3</v>
      </c>
      <c r="B212" s="201" t="str">
        <f>L179</f>
        <v>SC Midlands 17 National G</v>
      </c>
      <c r="C212" s="202"/>
      <c r="D212" s="202"/>
      <c r="E212" s="202"/>
      <c r="F212" s="202"/>
      <c r="G212" s="202"/>
      <c r="H212" s="202"/>
      <c r="I212" s="202"/>
      <c r="J212" s="203"/>
      <c r="K212" s="204" t="str">
        <f>R179</f>
        <v>fj7scmid2pm</v>
      </c>
      <c r="L212" s="205"/>
      <c r="M212" s="205"/>
      <c r="N212" s="205"/>
      <c r="O212" s="205"/>
      <c r="P212" s="205"/>
      <c r="Q212" s="206"/>
      <c r="U212" s="207">
        <v>3</v>
      </c>
      <c r="V212" s="208"/>
      <c r="W212" s="209"/>
      <c r="X212" s="201" t="str">
        <f>AF179</f>
        <v>OLC 18's Purple</v>
      </c>
      <c r="Y212" s="202"/>
      <c r="Z212" s="202"/>
      <c r="AA212" s="202"/>
      <c r="AB212" s="202"/>
      <c r="AC212" s="202"/>
      <c r="AD212" s="202"/>
      <c r="AE212" s="202"/>
      <c r="AF212" s="203"/>
      <c r="AG212" s="204" t="str">
        <f>AL179</f>
        <v>fj8ladyc1pm</v>
      </c>
      <c r="AH212" s="205"/>
      <c r="AI212" s="205"/>
      <c r="AJ212" s="205"/>
      <c r="AK212" s="205"/>
      <c r="AL212" s="205"/>
      <c r="AM212" s="206"/>
      <c r="AS212" s="70"/>
      <c r="AT212" s="70"/>
      <c r="AU212" s="70"/>
      <c r="AZ212" s="70"/>
      <c r="BA212" s="70"/>
    </row>
    <row r="213" spans="1:53" ht="13.5" thickBot="1" x14ac:dyDescent="0.25">
      <c r="A213" s="126">
        <v>4</v>
      </c>
      <c r="B213" s="201" t="str">
        <f>L180</f>
        <v>SC Midlands 18 Perf</v>
      </c>
      <c r="C213" s="202"/>
      <c r="D213" s="202"/>
      <c r="E213" s="202"/>
      <c r="F213" s="202"/>
      <c r="G213" s="202"/>
      <c r="H213" s="202"/>
      <c r="I213" s="202"/>
      <c r="J213" s="203"/>
      <c r="K213" s="204" t="str">
        <f>R180</f>
        <v>fj8scmid1pm</v>
      </c>
      <c r="L213" s="205"/>
      <c r="M213" s="205"/>
      <c r="N213" s="205"/>
      <c r="O213" s="205"/>
      <c r="P213" s="205"/>
      <c r="Q213" s="206"/>
      <c r="U213" s="207">
        <v>4</v>
      </c>
      <c r="V213" s="208"/>
      <c r="W213" s="209"/>
      <c r="X213" s="201" t="str">
        <f>AF180</f>
        <v>Lake Murray 18 Red</v>
      </c>
      <c r="Y213" s="202"/>
      <c r="Z213" s="202"/>
      <c r="AA213" s="202"/>
      <c r="AB213" s="202"/>
      <c r="AC213" s="202"/>
      <c r="AD213" s="202"/>
      <c r="AE213" s="202"/>
      <c r="AF213" s="203"/>
      <c r="AG213" s="204" t="str">
        <f>AL180</f>
        <v>fj8lakem1pm</v>
      </c>
      <c r="AH213" s="205"/>
      <c r="AI213" s="205"/>
      <c r="AJ213" s="205"/>
      <c r="AK213" s="205"/>
      <c r="AL213" s="205"/>
      <c r="AM213" s="206"/>
      <c r="AS213" s="70"/>
      <c r="AT213" s="70"/>
      <c r="AU213" s="70"/>
      <c r="AZ213" s="70"/>
      <c r="BA213" s="70"/>
    </row>
    <row r="214" spans="1:53" ht="13.5" thickBot="1" x14ac:dyDescent="0.25">
      <c r="AS214" s="70"/>
      <c r="AT214" s="70"/>
      <c r="AU214" s="70"/>
      <c r="AZ214" s="70"/>
      <c r="BA214" s="70"/>
    </row>
    <row r="215" spans="1:53" x14ac:dyDescent="0.2">
      <c r="B215" s="210" t="s">
        <v>150</v>
      </c>
      <c r="C215" s="182"/>
      <c r="D215" s="183"/>
      <c r="E215" s="181" t="s">
        <v>150</v>
      </c>
      <c r="F215" s="182"/>
      <c r="G215" s="183"/>
      <c r="H215" s="181" t="s">
        <v>14</v>
      </c>
      <c r="I215" s="182"/>
      <c r="J215" s="184"/>
      <c r="K215" s="185" t="s">
        <v>151</v>
      </c>
      <c r="L215" s="211"/>
      <c r="M215" s="211"/>
      <c r="N215" s="211"/>
      <c r="O215" s="211"/>
      <c r="P215" s="211"/>
      <c r="Q215" s="212"/>
      <c r="R215" s="127"/>
      <c r="S215" s="127"/>
      <c r="T215" s="127"/>
      <c r="U215" s="127"/>
      <c r="W215" s="210" t="s">
        <v>150</v>
      </c>
      <c r="X215" s="182"/>
      <c r="Y215" s="183"/>
      <c r="Z215" s="181" t="s">
        <v>150</v>
      </c>
      <c r="AA215" s="182"/>
      <c r="AB215" s="183"/>
      <c r="AC215" s="181" t="s">
        <v>14</v>
      </c>
      <c r="AD215" s="182"/>
      <c r="AE215" s="184"/>
      <c r="AF215" s="185" t="s">
        <v>151</v>
      </c>
      <c r="AG215" s="186"/>
      <c r="AH215" s="186"/>
      <c r="AI215" s="186"/>
      <c r="AJ215" s="187"/>
      <c r="AZ215" s="70"/>
      <c r="BA215" s="70"/>
    </row>
    <row r="216" spans="1:53" x14ac:dyDescent="0.2">
      <c r="A216" s="56" t="s">
        <v>152</v>
      </c>
      <c r="B216" s="194">
        <v>3</v>
      </c>
      <c r="C216" s="195"/>
      <c r="D216" s="196"/>
      <c r="E216" s="197" t="s">
        <v>153</v>
      </c>
      <c r="F216" s="195"/>
      <c r="G216" s="196"/>
      <c r="H216" s="197" t="s">
        <v>154</v>
      </c>
      <c r="I216" s="195"/>
      <c r="J216" s="198"/>
      <c r="K216" s="213"/>
      <c r="L216" s="214"/>
      <c r="M216" s="214"/>
      <c r="N216" s="214"/>
      <c r="O216" s="214"/>
      <c r="P216" s="214"/>
      <c r="Q216" s="215"/>
      <c r="R216" s="127"/>
      <c r="S216" s="127"/>
      <c r="T216" s="199" t="s">
        <v>152</v>
      </c>
      <c r="U216" s="199"/>
      <c r="V216" s="200"/>
      <c r="W216" s="194">
        <v>3</v>
      </c>
      <c r="X216" s="195"/>
      <c r="Y216" s="196"/>
      <c r="Z216" s="197" t="s">
        <v>153</v>
      </c>
      <c r="AA216" s="195"/>
      <c r="AB216" s="196"/>
      <c r="AC216" s="197" t="s">
        <v>154</v>
      </c>
      <c r="AD216" s="195"/>
      <c r="AE216" s="198"/>
      <c r="AF216" s="188"/>
      <c r="AG216" s="189"/>
      <c r="AH216" s="189"/>
      <c r="AI216" s="189"/>
      <c r="AJ216" s="190"/>
      <c r="AZ216" s="70"/>
      <c r="BA216" s="70"/>
    </row>
    <row r="217" spans="1:53" ht="13.5" thickBot="1" x14ac:dyDescent="0.25">
      <c r="A217" s="8"/>
      <c r="B217" s="179" t="s">
        <v>64</v>
      </c>
      <c r="C217" s="174"/>
      <c r="D217" s="180"/>
      <c r="E217" s="173" t="s">
        <v>155</v>
      </c>
      <c r="F217" s="174"/>
      <c r="G217" s="180"/>
      <c r="H217" s="173" t="s">
        <v>156</v>
      </c>
      <c r="I217" s="174"/>
      <c r="J217" s="175"/>
      <c r="K217" s="216"/>
      <c r="L217" s="217"/>
      <c r="M217" s="217"/>
      <c r="N217" s="217"/>
      <c r="O217" s="217"/>
      <c r="P217" s="217"/>
      <c r="Q217" s="218"/>
      <c r="R217" s="127"/>
      <c r="S217" s="127"/>
      <c r="T217" s="160"/>
      <c r="U217" s="160"/>
      <c r="V217" s="161"/>
      <c r="W217" s="179" t="s">
        <v>64</v>
      </c>
      <c r="X217" s="174"/>
      <c r="Y217" s="180"/>
      <c r="Z217" s="173" t="s">
        <v>155</v>
      </c>
      <c r="AA217" s="174"/>
      <c r="AB217" s="180"/>
      <c r="AC217" s="173" t="s">
        <v>156</v>
      </c>
      <c r="AD217" s="174"/>
      <c r="AE217" s="175"/>
      <c r="AF217" s="191"/>
      <c r="AG217" s="192"/>
      <c r="AH217" s="192"/>
      <c r="AI217" s="192"/>
      <c r="AJ217" s="193"/>
      <c r="AZ217" s="70"/>
      <c r="BA217" s="70"/>
    </row>
    <row r="218" spans="1:53" ht="13.5" thickBot="1" x14ac:dyDescent="0.25">
      <c r="A218" s="8"/>
      <c r="B218" s="128">
        <v>1</v>
      </c>
      <c r="C218" s="129" t="s">
        <v>72</v>
      </c>
      <c r="D218" s="130">
        <v>4</v>
      </c>
      <c r="E218" s="131">
        <v>2</v>
      </c>
      <c r="F218" s="129" t="s">
        <v>72</v>
      </c>
      <c r="G218" s="130">
        <v>3</v>
      </c>
      <c r="H218" s="132">
        <f>IF(OR(AND(OR(B222&gt;0,D222&gt;0),B222&gt;D222),OR(D218="b",D218="B")),B218,IF(OR(AND(OR(B222&gt;0,D222&gt;0),D222&gt;B222),OR(B218="b",B218="B")),D218,"W1"))</f>
        <v>1</v>
      </c>
      <c r="I218" s="133" t="s">
        <v>72</v>
      </c>
      <c r="J218" s="134">
        <f>IF(OR(AND(OR(E222&gt;0,G222&gt;0),E222&gt;G222),OR(G218="b",G218="B")),E218,IF(OR(AND(OR(E222&gt;0,G222&gt;0),G222&gt;E222),OR(E218="b",E218="B")),G218,"W2"))</f>
        <v>2</v>
      </c>
      <c r="K218" s="176" t="s">
        <v>157</v>
      </c>
      <c r="L218" s="177"/>
      <c r="M218" s="177"/>
      <c r="N218" s="178"/>
      <c r="R218" s="127"/>
      <c r="S218" s="127"/>
      <c r="T218" s="160"/>
      <c r="U218" s="160"/>
      <c r="V218" s="161"/>
      <c r="W218" s="128">
        <v>1</v>
      </c>
      <c r="X218" s="129" t="s">
        <v>72</v>
      </c>
      <c r="Y218" s="130">
        <v>4</v>
      </c>
      <c r="Z218" s="131">
        <v>2</v>
      </c>
      <c r="AA218" s="129" t="s">
        <v>72</v>
      </c>
      <c r="AB218" s="130">
        <v>3</v>
      </c>
      <c r="AC218" s="132">
        <f>IF(OR(AND(OR(W222&gt;0,Y222&gt;0),W222&gt;Y222),OR(Y218="b",Y218="B")),W218,IF(OR(AND(OR(W222&gt;0,Y222&gt;0),Y222&gt;W222),OR(W218="b",W218="B")),Y218,"W1"))</f>
        <v>1</v>
      </c>
      <c r="AD218" s="133" t="s">
        <v>72</v>
      </c>
      <c r="AE218" s="134">
        <f>IF(OR(AND(OR(Z222&gt;0,AB222&gt;0),Z222&gt;AB222),OR(AB222="b",AB222="B")),Z218,IF(OR(AND(OR(Z222&gt;0,AB222&gt;0),AB222&gt;Z222),OR(Z222="b",Z222="B")),AB218,"W2"))</f>
        <v>3</v>
      </c>
      <c r="AF218" s="176" t="s">
        <v>157</v>
      </c>
      <c r="AG218" s="178"/>
      <c r="AH218" s="127"/>
      <c r="AI218" s="127"/>
      <c r="AJ218" s="127"/>
      <c r="AZ218" s="70"/>
      <c r="BA218" s="70"/>
    </row>
    <row r="219" spans="1:53" ht="13.5" hidden="1" customHeight="1" thickBot="1" x14ac:dyDescent="0.25">
      <c r="A219" s="8"/>
      <c r="B219" s="135">
        <f>IF(B223&gt;D223,1,0)</f>
        <v>1</v>
      </c>
      <c r="C219" s="136"/>
      <c r="D219" s="137">
        <f>IF(D223&gt;B223,1,0)</f>
        <v>0</v>
      </c>
      <c r="E219" s="135">
        <f>IF(E223&gt;G223,1,0)</f>
        <v>1</v>
      </c>
      <c r="F219" s="136"/>
      <c r="G219" s="137">
        <f>IF(G223&gt;E223,1,0)</f>
        <v>0</v>
      </c>
      <c r="H219" s="135">
        <f>IF(H223&gt;J223,1,0)</f>
        <v>1</v>
      </c>
      <c r="I219" s="136"/>
      <c r="J219" s="137">
        <f>IF(J223&gt;H223,1,0)</f>
        <v>0</v>
      </c>
      <c r="K219" s="138"/>
      <c r="L219" s="139"/>
      <c r="M219" s="139"/>
      <c r="N219" s="140"/>
      <c r="R219" s="127"/>
      <c r="S219" s="127"/>
      <c r="T219" s="160"/>
      <c r="U219" s="160"/>
      <c r="V219" s="161"/>
      <c r="W219" s="135">
        <f>IF(W223&gt;Y223,1,0)</f>
        <v>1</v>
      </c>
      <c r="X219" s="136"/>
      <c r="Y219" s="137">
        <f>IF(Y223&gt;W223,1,0)</f>
        <v>0</v>
      </c>
      <c r="Z219" s="135">
        <f>IF(Z223&gt;AB223,1,0)</f>
        <v>1</v>
      </c>
      <c r="AA219" s="136"/>
      <c r="AB219" s="137">
        <f>IF(AB223&gt;Z223,1,0)</f>
        <v>0</v>
      </c>
      <c r="AC219" s="135">
        <f>IF(AC223&gt;AE223,1,0)</f>
        <v>0</v>
      </c>
      <c r="AD219" s="136"/>
      <c r="AE219" s="137">
        <f>IF(AE223&gt;AC223,1,0)</f>
        <v>1</v>
      </c>
      <c r="AF219" s="141"/>
      <c r="AG219" s="142"/>
      <c r="AH219" s="127"/>
      <c r="AI219" s="127"/>
      <c r="AJ219" s="127"/>
      <c r="AZ219" s="70"/>
      <c r="BA219" s="70"/>
    </row>
    <row r="220" spans="1:53" ht="13.5" hidden="1" customHeight="1" thickBot="1" x14ac:dyDescent="0.25">
      <c r="A220" s="8"/>
      <c r="B220" s="135">
        <f>IF(B224&gt;D224,1,0)</f>
        <v>1</v>
      </c>
      <c r="C220" s="136"/>
      <c r="D220" s="137">
        <f>IF(D224&gt;B224,1,0)</f>
        <v>0</v>
      </c>
      <c r="E220" s="135">
        <f>IF(E224&gt;G224,1,0)</f>
        <v>1</v>
      </c>
      <c r="F220" s="136"/>
      <c r="G220" s="137">
        <f>IF(G224&gt;E224,1,0)</f>
        <v>0</v>
      </c>
      <c r="H220" s="135">
        <f>IF(H224&gt;J224,1,0)</f>
        <v>0</v>
      </c>
      <c r="I220" s="136"/>
      <c r="J220" s="137">
        <f>IF(J224&gt;H224,1,0)</f>
        <v>1</v>
      </c>
      <c r="K220" s="138"/>
      <c r="L220" s="139"/>
      <c r="M220" s="139"/>
      <c r="N220" s="140"/>
      <c r="R220" s="127"/>
      <c r="S220" s="127"/>
      <c r="T220" s="160"/>
      <c r="U220" s="160"/>
      <c r="V220" s="161"/>
      <c r="W220" s="135">
        <f>IF(W224&gt;Y224,1,0)</f>
        <v>1</v>
      </c>
      <c r="X220" s="136"/>
      <c r="Y220" s="137">
        <f>IF(Y224&gt;W224,1,0)</f>
        <v>0</v>
      </c>
      <c r="Z220" s="135">
        <f>IF(Z224&gt;AB224,1,0)</f>
        <v>0</v>
      </c>
      <c r="AA220" s="136"/>
      <c r="AB220" s="137">
        <f>IF(AB224&gt;Z224,1,0)</f>
        <v>1</v>
      </c>
      <c r="AC220" s="135">
        <f>IF(AC224&gt;AE224,1,0)</f>
        <v>0</v>
      </c>
      <c r="AD220" s="136"/>
      <c r="AE220" s="137">
        <f>IF(AE224&gt;AC224,1,0)</f>
        <v>1</v>
      </c>
      <c r="AF220" s="141"/>
      <c r="AG220" s="142"/>
      <c r="AH220" s="127"/>
      <c r="AI220" s="127"/>
      <c r="AJ220" s="127"/>
      <c r="AZ220" s="70"/>
      <c r="BA220" s="70"/>
    </row>
    <row r="221" spans="1:53" ht="13.5" hidden="1" customHeight="1" thickBot="1" x14ac:dyDescent="0.25">
      <c r="A221" s="8"/>
      <c r="B221" s="135">
        <f>IF(B225&gt;D225,1,0)</f>
        <v>0</v>
      </c>
      <c r="C221" s="136"/>
      <c r="D221" s="137">
        <f>IF(D225&gt;B225,1,0)</f>
        <v>0</v>
      </c>
      <c r="E221" s="135">
        <f>IF(E225&gt;G225,1,0)</f>
        <v>0</v>
      </c>
      <c r="F221" s="136"/>
      <c r="G221" s="137">
        <f>IF(G225&gt;E225,1,0)</f>
        <v>0</v>
      </c>
      <c r="H221" s="135">
        <f>IF(H225&gt;J225,1,0)</f>
        <v>1</v>
      </c>
      <c r="I221" s="136"/>
      <c r="J221" s="137">
        <f>IF(J225&gt;H225,1,0)</f>
        <v>0</v>
      </c>
      <c r="K221" s="138"/>
      <c r="L221" s="139"/>
      <c r="M221" s="139"/>
      <c r="N221" s="140"/>
      <c r="R221" s="127"/>
      <c r="S221" s="127"/>
      <c r="T221" s="160"/>
      <c r="U221" s="160"/>
      <c r="V221" s="161"/>
      <c r="W221" s="135">
        <f>IF(W225&gt;Y225,1,0)</f>
        <v>0</v>
      </c>
      <c r="X221" s="136"/>
      <c r="Y221" s="137">
        <f>IF(Y225&gt;W225,1,0)</f>
        <v>0</v>
      </c>
      <c r="Z221" s="135">
        <f>IF(Z225&gt;AB225,1,0)</f>
        <v>0</v>
      </c>
      <c r="AA221" s="136"/>
      <c r="AB221" s="137">
        <f>IF(AB225&gt;Z225,1,0)</f>
        <v>1</v>
      </c>
      <c r="AC221" s="135">
        <f>IF(AC225&gt;AE225,1,0)</f>
        <v>0</v>
      </c>
      <c r="AD221" s="136"/>
      <c r="AE221" s="137">
        <f>IF(AE225&gt;AC225,1,0)</f>
        <v>0</v>
      </c>
      <c r="AF221" s="141"/>
      <c r="AG221" s="142"/>
      <c r="AH221" s="127"/>
      <c r="AI221" s="127"/>
      <c r="AJ221" s="127"/>
      <c r="AZ221" s="70"/>
      <c r="BA221" s="70"/>
    </row>
    <row r="222" spans="1:53" ht="13.5" hidden="1" customHeight="1" thickBot="1" x14ac:dyDescent="0.25">
      <c r="A222" s="8"/>
      <c r="B222" s="135">
        <f>SUM(B219:B221)</f>
        <v>2</v>
      </c>
      <c r="C222" s="136"/>
      <c r="D222" s="135">
        <f>SUM(D219:D221)</f>
        <v>0</v>
      </c>
      <c r="E222" s="135">
        <f>SUM(E219:E221)</f>
        <v>2</v>
      </c>
      <c r="F222" s="136"/>
      <c r="G222" s="135">
        <f>SUM(G219:G221)</f>
        <v>0</v>
      </c>
      <c r="H222" s="135">
        <f>SUM(H219:H221)</f>
        <v>2</v>
      </c>
      <c r="I222" s="136"/>
      <c r="J222" s="135">
        <f>SUM(J219:J221)</f>
        <v>1</v>
      </c>
      <c r="K222" s="138"/>
      <c r="L222" s="139"/>
      <c r="M222" s="139"/>
      <c r="N222" s="140"/>
      <c r="R222" s="127"/>
      <c r="S222" s="127"/>
      <c r="T222" s="160"/>
      <c r="U222" s="160"/>
      <c r="V222" s="161"/>
      <c r="W222" s="135">
        <f>SUM(W219:W221)</f>
        <v>2</v>
      </c>
      <c r="X222" s="136"/>
      <c r="Y222" s="135">
        <f>SUM(Y219:Y221)</f>
        <v>0</v>
      </c>
      <c r="Z222" s="135">
        <f>SUM(Z219:Z221)</f>
        <v>1</v>
      </c>
      <c r="AA222" s="136"/>
      <c r="AB222" s="135">
        <f>SUM(AB219:AB221)</f>
        <v>2</v>
      </c>
      <c r="AC222" s="135">
        <f>SUM(AC219:AC221)</f>
        <v>0</v>
      </c>
      <c r="AD222" s="136"/>
      <c r="AE222" s="135">
        <f>SUM(AE219:AE221)</f>
        <v>2</v>
      </c>
      <c r="AF222" s="141"/>
      <c r="AG222" s="142"/>
      <c r="AH222" s="127"/>
      <c r="AI222" s="127"/>
      <c r="AJ222" s="127"/>
      <c r="AZ222" s="70"/>
      <c r="BA222" s="70"/>
    </row>
    <row r="223" spans="1:53" ht="12.75" customHeight="1" x14ac:dyDescent="0.2">
      <c r="A223" s="6" t="s">
        <v>73</v>
      </c>
      <c r="B223" s="143">
        <v>25</v>
      </c>
      <c r="C223" s="66" t="s">
        <v>74</v>
      </c>
      <c r="D223" s="144">
        <v>19</v>
      </c>
      <c r="E223" s="145">
        <v>25</v>
      </c>
      <c r="F223" s="66" t="s">
        <v>74</v>
      </c>
      <c r="G223" s="144">
        <v>20</v>
      </c>
      <c r="H223" s="145">
        <v>25</v>
      </c>
      <c r="I223" s="66" t="s">
        <v>74</v>
      </c>
      <c r="J223" s="146">
        <v>20</v>
      </c>
      <c r="K223" s="162">
        <f>IF(AND(OR(H222&gt;0,J222&gt;0),AND(1&lt;=H218,H218&lt;=4),AND(1&lt;=J218,J218&lt;=4)),IF(H222&gt;J222,H218,IF(J222&gt;H222,J218,"")),"")</f>
        <v>1</v>
      </c>
      <c r="L223" s="163"/>
      <c r="M223" s="163"/>
      <c r="N223" s="164"/>
      <c r="R223" s="127"/>
      <c r="S223" s="127"/>
      <c r="T223" s="147"/>
      <c r="U223" s="147"/>
      <c r="V223" s="6" t="s">
        <v>73</v>
      </c>
      <c r="W223" s="143">
        <v>25</v>
      </c>
      <c r="X223" s="66" t="s">
        <v>74</v>
      </c>
      <c r="Y223" s="144">
        <v>21</v>
      </c>
      <c r="Z223" s="145">
        <v>25</v>
      </c>
      <c r="AA223" s="66" t="s">
        <v>74</v>
      </c>
      <c r="AB223" s="144">
        <v>17</v>
      </c>
      <c r="AC223" s="145">
        <v>22</v>
      </c>
      <c r="AD223" s="66" t="s">
        <v>74</v>
      </c>
      <c r="AE223" s="146">
        <v>25</v>
      </c>
      <c r="AF223" s="162">
        <f>IF(AND(OR(AC222&gt;0,AE222&gt;0),AND(1&lt;=AC218,AC218&lt;=4),AND(1&lt;=AE218,AE218&lt;=4)),IF(AC222&gt;AE222,AC218,IF(AE222&gt;AC222,AE218,"")),"")</f>
        <v>3</v>
      </c>
      <c r="AG223" s="164"/>
      <c r="AH223" s="127"/>
      <c r="AI223" s="127"/>
      <c r="AJ223" s="127"/>
      <c r="AZ223" s="70"/>
      <c r="BA223" s="70"/>
    </row>
    <row r="224" spans="1:53" ht="12.75" customHeight="1" x14ac:dyDescent="0.2">
      <c r="A224" s="6" t="s">
        <v>158</v>
      </c>
      <c r="B224" s="143">
        <v>25</v>
      </c>
      <c r="C224" s="66" t="s">
        <v>74</v>
      </c>
      <c r="D224" s="144">
        <v>18</v>
      </c>
      <c r="E224" s="145">
        <v>25</v>
      </c>
      <c r="F224" s="66" t="s">
        <v>74</v>
      </c>
      <c r="G224" s="144">
        <v>21</v>
      </c>
      <c r="H224" s="145">
        <v>21</v>
      </c>
      <c r="I224" s="66" t="s">
        <v>74</v>
      </c>
      <c r="J224" s="146">
        <v>25</v>
      </c>
      <c r="K224" s="165"/>
      <c r="L224" s="166"/>
      <c r="M224" s="166"/>
      <c r="N224" s="167"/>
      <c r="R224" s="127"/>
      <c r="S224" s="127"/>
      <c r="T224" s="147"/>
      <c r="U224" s="147"/>
      <c r="V224" s="6" t="s">
        <v>158</v>
      </c>
      <c r="W224" s="143">
        <v>25</v>
      </c>
      <c r="X224" s="66" t="s">
        <v>74</v>
      </c>
      <c r="Y224" s="144">
        <v>23</v>
      </c>
      <c r="Z224" s="145">
        <v>23</v>
      </c>
      <c r="AA224" s="66" t="s">
        <v>74</v>
      </c>
      <c r="AB224" s="144">
        <v>25</v>
      </c>
      <c r="AC224" s="145">
        <v>21</v>
      </c>
      <c r="AD224" s="66" t="s">
        <v>74</v>
      </c>
      <c r="AE224" s="146">
        <v>25</v>
      </c>
      <c r="AF224" s="165"/>
      <c r="AG224" s="167"/>
      <c r="AH224" s="127"/>
      <c r="AI224" s="127"/>
      <c r="AJ224" s="127"/>
      <c r="AZ224" s="70"/>
      <c r="BA224" s="70"/>
    </row>
    <row r="225" spans="1:77" ht="13.5" customHeight="1" thickBot="1" x14ac:dyDescent="0.25">
      <c r="A225" s="6" t="s">
        <v>159</v>
      </c>
      <c r="B225" s="148"/>
      <c r="C225" s="149" t="s">
        <v>74</v>
      </c>
      <c r="D225" s="150"/>
      <c r="E225" s="151"/>
      <c r="F225" s="149" t="s">
        <v>74</v>
      </c>
      <c r="G225" s="150"/>
      <c r="H225" s="151">
        <v>15</v>
      </c>
      <c r="I225" s="149" t="s">
        <v>74</v>
      </c>
      <c r="J225" s="152">
        <v>13</v>
      </c>
      <c r="K225" s="168"/>
      <c r="L225" s="169"/>
      <c r="M225" s="169"/>
      <c r="N225" s="170"/>
      <c r="R225" s="127"/>
      <c r="S225" s="127"/>
      <c r="T225" s="147"/>
      <c r="U225" s="147"/>
      <c r="V225" s="6" t="s">
        <v>159</v>
      </c>
      <c r="W225" s="148"/>
      <c r="X225" s="149" t="s">
        <v>74</v>
      </c>
      <c r="Y225" s="150"/>
      <c r="Z225" s="151">
        <v>9</v>
      </c>
      <c r="AA225" s="149" t="s">
        <v>74</v>
      </c>
      <c r="AB225" s="150">
        <v>15</v>
      </c>
      <c r="AC225" s="151"/>
      <c r="AD225" s="149" t="s">
        <v>74</v>
      </c>
      <c r="AE225" s="152"/>
      <c r="AF225" s="168"/>
      <c r="AG225" s="170"/>
      <c r="AH225" s="127"/>
      <c r="AI225" s="127"/>
      <c r="AJ225" s="127"/>
      <c r="AZ225" s="70"/>
      <c r="BA225" s="70"/>
    </row>
    <row r="226" spans="1:77" hidden="1" x14ac:dyDescent="0.2">
      <c r="B226" s="3"/>
      <c r="C226" s="153" t="s">
        <v>108</v>
      </c>
      <c r="D226" s="3" t="s">
        <v>160</v>
      </c>
      <c r="E226" s="3"/>
      <c r="F226" s="153"/>
      <c r="G226" s="4" t="s">
        <v>161</v>
      </c>
      <c r="J226" s="4" t="s">
        <v>162</v>
      </c>
      <c r="W226" s="3"/>
      <c r="X226" s="153" t="s">
        <v>108</v>
      </c>
      <c r="Y226" s="3" t="s">
        <v>160</v>
      </c>
      <c r="Z226" s="3"/>
      <c r="AA226" s="153"/>
      <c r="AB226" s="4" t="s">
        <v>161</v>
      </c>
      <c r="AE226" s="4" t="s">
        <v>162</v>
      </c>
      <c r="AT226" s="4" t="str">
        <f>B227</f>
        <v>SC Midlands 17 National C</v>
      </c>
      <c r="AU226" s="4">
        <f>J227</f>
        <v>3091.706773131953</v>
      </c>
      <c r="AW226" s="154"/>
      <c r="AX226" s="70"/>
      <c r="AY226" s="70"/>
      <c r="AZ226" s="70"/>
      <c r="BA226" s="70"/>
      <c r="BB226" s="154"/>
      <c r="BC226" s="70"/>
      <c r="BD226" s="70"/>
      <c r="BE226" s="154"/>
      <c r="BF226" s="70"/>
      <c r="BG226" s="70"/>
      <c r="BH226" s="154"/>
      <c r="BI226" s="70"/>
      <c r="BJ226" s="70"/>
      <c r="BK226" s="154"/>
      <c r="BL226" s="70"/>
      <c r="BM226" s="70"/>
      <c r="BN226" s="154"/>
      <c r="BO226" s="70"/>
      <c r="BP226" s="70"/>
      <c r="BQ226" s="154"/>
      <c r="BR226" s="70"/>
      <c r="BS226" s="70"/>
      <c r="BT226" s="154"/>
      <c r="BU226" s="70"/>
      <c r="BV226" s="70"/>
      <c r="BW226" s="154"/>
      <c r="BX226" s="70"/>
      <c r="BY226" s="70"/>
    </row>
    <row r="227" spans="1:77" hidden="1" x14ac:dyDescent="0.2">
      <c r="A227" s="4">
        <v>1</v>
      </c>
      <c r="B227" s="4" t="str">
        <f>B210</f>
        <v>SC Midlands 17 National C</v>
      </c>
      <c r="C227" s="4">
        <f>VLOOKUP(B227,AU$2:AY$22,4,FALSE)</f>
        <v>3079.0206585720803</v>
      </c>
      <c r="D227" s="4">
        <f>IF(A227=B218,B233,IF(A227=D218,D233,C227))</f>
        <v>3086.7788510585219</v>
      </c>
      <c r="G227" s="4">
        <f>IF(A227=E218,E233,IF(A227=G218,G233,D227))</f>
        <v>3086.7788510585219</v>
      </c>
      <c r="J227" s="4">
        <f>IF(A227=H218,H233,IF(A227=J218,J233,G227))</f>
        <v>3091.706773131953</v>
      </c>
      <c r="U227" s="155"/>
      <c r="V227" s="155">
        <v>1</v>
      </c>
      <c r="W227" s="4" t="str">
        <f>X210</f>
        <v>Magnum Aiken 18 Green</v>
      </c>
      <c r="X227" s="4">
        <f>VLOOKUP(W227,AU$2:AY$22,4,FALSE)</f>
        <v>2905.4186139852773</v>
      </c>
      <c r="Y227" s="4">
        <f>IF(V227=W218,W233,IF(V227=Y218,Y233,X227))</f>
        <v>2920.2468444997453</v>
      </c>
      <c r="AB227" s="4">
        <f>IF(V227=Z218,Z233,IF(V227=AB218,AB233,Y227))</f>
        <v>2920.2468444997453</v>
      </c>
      <c r="AE227" s="4">
        <f>IF(V227=AC218,AC233,IF(V227=AE218,AE233,AB227))</f>
        <v>2901.6932579440013</v>
      </c>
      <c r="AT227" s="4" t="str">
        <f>B228</f>
        <v>Magnum 18 Mizuno</v>
      </c>
      <c r="AU227" s="4">
        <f>J228</f>
        <v>3037.1327362053721</v>
      </c>
      <c r="AW227" s="154"/>
      <c r="AX227" s="70"/>
      <c r="AY227" s="70"/>
      <c r="AZ227" s="70"/>
      <c r="BA227" s="70"/>
      <c r="BB227" s="154"/>
      <c r="BC227" s="70"/>
      <c r="BD227" s="70"/>
      <c r="BE227" s="154"/>
      <c r="BF227" s="70"/>
      <c r="BG227" s="70"/>
      <c r="BH227" s="154"/>
      <c r="BI227" s="70"/>
      <c r="BJ227" s="70"/>
      <c r="BK227" s="154"/>
      <c r="BL227" s="70"/>
      <c r="BM227" s="70"/>
      <c r="BN227" s="154"/>
      <c r="BO227" s="70"/>
      <c r="BP227" s="70"/>
      <c r="BQ227" s="154"/>
      <c r="BR227" s="70"/>
      <c r="BS227" s="70"/>
      <c r="BT227" s="154"/>
      <c r="BU227" s="70"/>
      <c r="BV227" s="70"/>
      <c r="BW227" s="154"/>
      <c r="BX227" s="70"/>
      <c r="BY227" s="70"/>
    </row>
    <row r="228" spans="1:77" hidden="1" x14ac:dyDescent="0.2">
      <c r="A228" s="4">
        <v>2</v>
      </c>
      <c r="B228" s="4" t="str">
        <f>B211</f>
        <v>Magnum 18 Mizuno</v>
      </c>
      <c r="C228" s="4">
        <f>VLOOKUP(B228,AU$2:AY$22,4,FALSE)</f>
        <v>3033.3596182547244</v>
      </c>
      <c r="D228" s="4">
        <f>IF(A228=B218,B233,IF(A228=D218,D233,C228))</f>
        <v>3033.3596182547244</v>
      </c>
      <c r="G228" s="4">
        <f>IF(A228=E218,E233,IF(A228=G218,G233,D228))</f>
        <v>3042.0606582788032</v>
      </c>
      <c r="J228" s="4">
        <f>IF(A228=H218,H233,IF(A228=J218,J233,G228))</f>
        <v>3037.1327362053721</v>
      </c>
      <c r="U228" s="155"/>
      <c r="V228" s="155">
        <v>2</v>
      </c>
      <c r="W228" s="4" t="str">
        <f>X211</f>
        <v>Hurricane VBC 18 Storm</v>
      </c>
      <c r="X228" s="4">
        <f>VLOOKUP(W228,AU$2:AY$22,4,FALSE)</f>
        <v>2831.0960334681517</v>
      </c>
      <c r="Y228" s="4">
        <f>IF(V228=W218,W233,IF(V228=Y218,Y233,X228))</f>
        <v>2831.0960334681517</v>
      </c>
      <c r="AB228" s="4">
        <f>IF(V228=Z218,Z233,IF(V228=AB218,AB233,Y228))</f>
        <v>2824.9635446349512</v>
      </c>
      <c r="AE228" s="4">
        <f>IF(V228=AC218,AC233,IF(V228=AE218,AE233,AB228))</f>
        <v>2824.9635446349512</v>
      </c>
      <c r="AT228" s="4" t="str">
        <f>B229</f>
        <v>SC Midlands 17 National G</v>
      </c>
      <c r="AU228" s="4">
        <f>J229</f>
        <v>2853.5524306520124</v>
      </c>
      <c r="AW228" s="154"/>
      <c r="AX228" s="70"/>
      <c r="AY228" s="70"/>
      <c r="AZ228" s="70"/>
      <c r="BA228" s="70"/>
      <c r="BB228" s="154"/>
      <c r="BC228" s="70"/>
      <c r="BD228" s="70"/>
      <c r="BE228" s="154"/>
      <c r="BF228" s="70"/>
      <c r="BG228" s="70"/>
      <c r="BH228" s="154"/>
      <c r="BI228" s="70"/>
      <c r="BJ228" s="70"/>
      <c r="BK228" s="154"/>
      <c r="BL228" s="70"/>
      <c r="BM228" s="70"/>
      <c r="BN228" s="154"/>
      <c r="BO228" s="70"/>
      <c r="BP228" s="70"/>
      <c r="BQ228" s="154"/>
      <c r="BR228" s="70"/>
      <c r="BS228" s="70"/>
      <c r="BT228" s="154"/>
      <c r="BU228" s="70"/>
      <c r="BV228" s="70"/>
      <c r="BW228" s="154"/>
      <c r="BX228" s="70"/>
      <c r="BY228" s="70"/>
    </row>
    <row r="229" spans="1:77" hidden="1" x14ac:dyDescent="0.2">
      <c r="A229" s="4">
        <v>3</v>
      </c>
      <c r="B229" s="4" t="str">
        <f>B212</f>
        <v>SC Midlands 17 National G</v>
      </c>
      <c r="C229" s="4">
        <f>VLOOKUP(B229,AU$2:AY$22,4,FALSE)</f>
        <v>2862.2534706760912</v>
      </c>
      <c r="D229" s="4">
        <f>IF(A229=B218,B233,IF(A229=D218,D233,C229))</f>
        <v>2862.2534706760912</v>
      </c>
      <c r="G229" s="4">
        <f>IF(A229=E218,E233,IF(A229=G218,G233,D229))</f>
        <v>2853.5524306520124</v>
      </c>
      <c r="J229" s="4">
        <f>IF(A229=H218,H233,IF(A229=J218,J233,G229))</f>
        <v>2853.5524306520124</v>
      </c>
      <c r="U229" s="155"/>
      <c r="V229" s="155">
        <v>3</v>
      </c>
      <c r="W229" s="4" t="str">
        <f>X212</f>
        <v>OLC 18's Purple</v>
      </c>
      <c r="X229" s="4">
        <f>VLOOKUP(W229,AU$2:AY$22,4,FALSE)</f>
        <v>2858.1857900558643</v>
      </c>
      <c r="Y229" s="4">
        <f>IF(V229=W218,W233,IF(V229=Y218,Y233,X229))</f>
        <v>2858.1857900558643</v>
      </c>
      <c r="AB229" s="4">
        <f>IF(V229=Z218,Z233,IF(V229=AB218,AB233,Y229))</f>
        <v>2864.3182788890649</v>
      </c>
      <c r="AE229" s="4">
        <f>IF(V229=AC218,AC233,IF(V229=AE218,AE233,AB229))</f>
        <v>2882.8718654448089</v>
      </c>
      <c r="AT229" s="4" t="str">
        <f>B230</f>
        <v>SC Midlands 18 Perf</v>
      </c>
      <c r="AU229" s="4">
        <f>J230</f>
        <v>2873.3406869131345</v>
      </c>
      <c r="AW229" s="154"/>
      <c r="AX229" s="70"/>
      <c r="AY229" s="70"/>
      <c r="AZ229" s="70"/>
      <c r="BA229" s="70"/>
      <c r="BB229" s="154"/>
      <c r="BC229" s="70"/>
      <c r="BD229" s="70"/>
      <c r="BE229" s="154"/>
      <c r="BF229" s="70"/>
      <c r="BG229" s="70"/>
      <c r="BH229" s="154"/>
      <c r="BI229" s="70"/>
      <c r="BJ229" s="70"/>
      <c r="BK229" s="154"/>
      <c r="BL229" s="70"/>
      <c r="BM229" s="70"/>
      <c r="BN229" s="154"/>
      <c r="BO229" s="70"/>
      <c r="BP229" s="70"/>
      <c r="BQ229" s="154"/>
      <c r="BR229" s="70"/>
      <c r="BS229" s="70"/>
      <c r="BT229" s="154"/>
      <c r="BU229" s="70"/>
      <c r="BV229" s="70"/>
      <c r="BW229" s="154"/>
      <c r="BX229" s="70"/>
      <c r="BY229" s="70"/>
    </row>
    <row r="230" spans="1:77" hidden="1" x14ac:dyDescent="0.2">
      <c r="A230" s="4">
        <v>4</v>
      </c>
      <c r="B230" s="4" t="str">
        <f>B213</f>
        <v>SC Midlands 18 Perf</v>
      </c>
      <c r="C230" s="4">
        <f>VLOOKUP(B230,AU$2:AY$22,4,FALSE)</f>
        <v>2881.0988793995762</v>
      </c>
      <c r="D230" s="4">
        <f>IF(A230=B218,B233,IF(A230=D218,D233,C230))</f>
        <v>2873.3406869131345</v>
      </c>
      <c r="G230" s="4">
        <f>IF(A230=E218,E233,IF(A230=G218,G233,D230))</f>
        <v>2873.3406869131345</v>
      </c>
      <c r="J230" s="4">
        <f>IF(A230=H218,H233,IF(A230=J218,J233,G230))</f>
        <v>2873.3406869131345</v>
      </c>
      <c r="U230" s="155"/>
      <c r="V230" s="155">
        <v>4</v>
      </c>
      <c r="W230" s="4" t="str">
        <f>X213</f>
        <v>Lake Murray 18 Red</v>
      </c>
      <c r="X230" s="4">
        <f>VLOOKUP(W230,AU$2:AY$22,4,FALSE)</f>
        <v>2879.9283255605792</v>
      </c>
      <c r="Y230" s="4">
        <f>IF(V230=W218,W233,IF(V230=Y218,Y233,X230))</f>
        <v>2865.1000950461112</v>
      </c>
      <c r="AB230" s="4">
        <f>IF(V230=Z218,Z233,IF(V230=AB218,AB233,Y230))</f>
        <v>2865.1000950461112</v>
      </c>
      <c r="AE230" s="4">
        <f>IF(V230=AC218,AC233,IF(V230=AE218,AE233,AB230))</f>
        <v>2865.1000950461112</v>
      </c>
      <c r="AT230" s="4" t="str">
        <f>W227</f>
        <v>Magnum Aiken 18 Green</v>
      </c>
      <c r="AU230" s="4">
        <f>AE227</f>
        <v>2901.6932579440013</v>
      </c>
      <c r="AW230" s="154"/>
      <c r="AX230" s="70"/>
      <c r="AY230" s="70"/>
      <c r="AZ230" s="70"/>
      <c r="BA230" s="70"/>
      <c r="BB230" s="154"/>
      <c r="BC230" s="70"/>
      <c r="BD230" s="70"/>
      <c r="BE230" s="154"/>
      <c r="BF230" s="70"/>
      <c r="BG230" s="70"/>
      <c r="BH230" s="154"/>
      <c r="BI230" s="70"/>
      <c r="BJ230" s="70"/>
      <c r="BK230" s="154"/>
      <c r="BL230" s="70"/>
      <c r="BM230" s="70"/>
      <c r="BN230" s="154"/>
      <c r="BO230" s="70"/>
      <c r="BP230" s="70"/>
      <c r="BQ230" s="154"/>
      <c r="BR230" s="70"/>
      <c r="BS230" s="70"/>
      <c r="BT230" s="154"/>
      <c r="BU230" s="70"/>
      <c r="BV230" s="70"/>
      <c r="BW230" s="154"/>
      <c r="BX230" s="70"/>
      <c r="BY230" s="70"/>
    </row>
    <row r="231" spans="1:77" hidden="1" x14ac:dyDescent="0.2">
      <c r="A231" s="4" t="s">
        <v>110</v>
      </c>
      <c r="B231" s="4">
        <f>VLOOKUP(B218,$A227:$J230,3,FALSE)</f>
        <v>3079.0206585720803</v>
      </c>
      <c r="D231" s="4">
        <f>VLOOKUP(D218,$A227:$J230,3,FALSE)</f>
        <v>2881.0988793995762</v>
      </c>
      <c r="E231" s="4">
        <f>VLOOKUP(E218,$A227:$J230,4,FALSE)</f>
        <v>3033.3596182547244</v>
      </c>
      <c r="G231" s="4">
        <f>VLOOKUP(G218,$A227:$J230,4,FALSE)</f>
        <v>2862.2534706760912</v>
      </c>
      <c r="H231" s="4">
        <f>VLOOKUP(H218,$A227:$J230,7,FALSE)</f>
        <v>3086.7788510585219</v>
      </c>
      <c r="J231" s="4">
        <f>VLOOKUP(J218,$A227:$J230,7,FALSE)</f>
        <v>3042.0606582788032</v>
      </c>
      <c r="T231" s="171" t="s">
        <v>110</v>
      </c>
      <c r="U231" s="171"/>
      <c r="V231" s="171"/>
      <c r="W231" s="4">
        <f>VLOOKUP(W218,$V227:$AE230,3,FALSE)</f>
        <v>2905.4186139852773</v>
      </c>
      <c r="Y231" s="4">
        <f>VLOOKUP(Y218,$V227:$AE230,3,FALSE)</f>
        <v>2879.9283255605792</v>
      </c>
      <c r="Z231" s="4">
        <f>VLOOKUP(Z218,$V227:$AE230,4,FALSE)</f>
        <v>2831.0960334681517</v>
      </c>
      <c r="AB231" s="4">
        <f>VLOOKUP(AB218,$V227:$AE230,4,FALSE)</f>
        <v>2858.1857900558643</v>
      </c>
      <c r="AC231" s="4">
        <f>VLOOKUP(AC218,$V227:$AE230,7,FALSE)</f>
        <v>2920.2468444997453</v>
      </c>
      <c r="AE231" s="4">
        <f>VLOOKUP(AE218,$V227:$AE230,7,FALSE)</f>
        <v>2864.3182788890649</v>
      </c>
      <c r="AT231" s="4" t="str">
        <f>W228</f>
        <v>Hurricane VBC 18 Storm</v>
      </c>
      <c r="AU231" s="4">
        <f>AE228</f>
        <v>2824.9635446349512</v>
      </c>
      <c r="AW231" s="154"/>
      <c r="AX231" s="70"/>
      <c r="AY231" s="70"/>
      <c r="AZ231" s="70"/>
      <c r="BA231" s="70"/>
      <c r="BB231" s="154"/>
      <c r="BC231" s="70"/>
      <c r="BD231" s="70"/>
      <c r="BE231" s="154"/>
      <c r="BF231" s="70"/>
      <c r="BG231" s="70"/>
      <c r="BH231" s="154"/>
      <c r="BI231" s="70"/>
      <c r="BJ231" s="70"/>
      <c r="BK231" s="154"/>
      <c r="BL231" s="70"/>
      <c r="BM231" s="70"/>
      <c r="BN231" s="154"/>
      <c r="BO231" s="70"/>
      <c r="BP231" s="70"/>
      <c r="BQ231" s="154"/>
      <c r="BR231" s="70"/>
      <c r="BS231" s="70"/>
      <c r="BT231" s="154"/>
      <c r="BU231" s="70"/>
      <c r="BV231" s="70"/>
      <c r="BW231" s="154"/>
      <c r="BX231" s="70"/>
      <c r="BY231" s="70"/>
    </row>
    <row r="232" spans="1:77" hidden="1" x14ac:dyDescent="0.2">
      <c r="A232" s="84" t="s">
        <v>111</v>
      </c>
      <c r="B232" s="84">
        <f>IF(OR(B222&gt;0,D222&gt;0),1/(1+(10^-((B231-D231)/400)))*(B222+D222),0)</f>
        <v>1.5151129695974046</v>
      </c>
      <c r="C232" s="84"/>
      <c r="D232" s="84">
        <f>IF(OR(B22&gt;0, D22&gt;0),1/(1+(10^-((D231-B231)/400)))*(B222+D222),0)</f>
        <v>0.48488703040259551</v>
      </c>
      <c r="E232" s="84">
        <f>IF(OR(E222&gt;0,G222&gt;0),1/(1+(10^-((E231-G231)/400)))*(E222+G222),0)</f>
        <v>1.4561849984950892</v>
      </c>
      <c r="F232" s="84"/>
      <c r="G232" s="84">
        <f>IF(OR(E22&gt;0, G22&gt;0),1/(1+(10^-((G231-E231)/400)))*(E222+G222),0)</f>
        <v>0.5438150015049108</v>
      </c>
      <c r="H232" s="84">
        <f>IF(OR(H222&gt;0,J222&gt;0),1/(1+(10^-((H231-J231)/400)))*(H222+J222),0)</f>
        <v>1.6920048704105666</v>
      </c>
      <c r="I232" s="84"/>
      <c r="J232" s="84">
        <f>IF(OR(H22&gt;0, J22&gt;0),1/(1+(10^-((J231-H231)/400)))*(H222+J222),0)</f>
        <v>1.3079951295894336</v>
      </c>
      <c r="T232" s="172" t="s">
        <v>111</v>
      </c>
      <c r="U232" s="172"/>
      <c r="V232" s="172"/>
      <c r="W232" s="84">
        <f>IF(OR(W222&gt;0,Y222&gt;0),1/(1+(10^-((W231-Y231)/400)))*(W222+Y222),0)</f>
        <v>1.0732355928457491</v>
      </c>
      <c r="X232" s="84"/>
      <c r="Y232" s="84">
        <f>IF(OR(W22&gt;0, Y22&gt;0),1/(1+(10^-((Y231-W231)/400)))*(W222+Y222),0)</f>
        <v>0.9267644071542509</v>
      </c>
      <c r="Z232" s="84">
        <f>IF(OR(Z222&gt;0,AB222&gt;0),1/(1+(10^-((Z231-AB231)/400)))*(Z222+AB222),0)</f>
        <v>1.3832805520750338</v>
      </c>
      <c r="AA232" s="84"/>
      <c r="AB232" s="84">
        <f>IF(OR(Z22&gt;0, AB22&gt;0),1/(1+(10^-((AB231-Z231)/400)))*(Z222+AB222),0)</f>
        <v>1.6167194479249662</v>
      </c>
      <c r="AC232" s="84">
        <f>IF(OR(AC222&gt;0,AE222&gt;0),1/(1+(10^-((AC231-AE231)/400)))*(AC222+AE222),0)</f>
        <v>1.1595991597339999</v>
      </c>
      <c r="AD232" s="84"/>
      <c r="AE232" s="84">
        <f>IF(OR(AC22&gt;0, AE22&gt;0),1/(1+(10^-((AE231-AC231)/400)))*(AC222+AE222),0)</f>
        <v>0.84040084026600026</v>
      </c>
      <c r="AT232" s="4" t="str">
        <f>W229</f>
        <v>OLC 18's Purple</v>
      </c>
      <c r="AU232" s="4">
        <f>AE229</f>
        <v>2882.8718654448089</v>
      </c>
      <c r="AW232" s="154"/>
      <c r="AX232" s="70"/>
      <c r="AY232" s="70"/>
      <c r="AZ232" s="70"/>
      <c r="BA232" s="70"/>
      <c r="BB232" s="154"/>
      <c r="BC232" s="70"/>
      <c r="BD232" s="70"/>
      <c r="BE232" s="154"/>
      <c r="BF232" s="70"/>
      <c r="BG232" s="70"/>
      <c r="BH232" s="154"/>
      <c r="BI232" s="70"/>
      <c r="BJ232" s="70"/>
      <c r="BK232" s="154"/>
      <c r="BL232" s="70"/>
      <c r="BM232" s="70"/>
      <c r="BN232" s="154"/>
      <c r="BO232" s="70"/>
      <c r="BP232" s="70"/>
      <c r="BQ232" s="154"/>
      <c r="BR232" s="70"/>
      <c r="BS232" s="70"/>
      <c r="BT232" s="154"/>
      <c r="BU232" s="70"/>
      <c r="BV232" s="70"/>
      <c r="BW232" s="154"/>
      <c r="BX232" s="70"/>
      <c r="BY232" s="70"/>
    </row>
    <row r="233" spans="1:77" hidden="1" x14ac:dyDescent="0.2">
      <c r="A233" s="90" t="s">
        <v>112</v>
      </c>
      <c r="B233" s="90">
        <f>B231+(B222-B232)*$BA$2</f>
        <v>3086.7788510585219</v>
      </c>
      <c r="C233" s="90"/>
      <c r="D233" s="90">
        <f>D231+(D222-D232)*$BA$2</f>
        <v>2873.3406869131345</v>
      </c>
      <c r="E233" s="90">
        <f>E231+(E222-E232)*$BA$2</f>
        <v>3042.0606582788032</v>
      </c>
      <c r="G233" s="90">
        <f>G231+(G222-G232)*$BA$2</f>
        <v>2853.5524306520124</v>
      </c>
      <c r="H233" s="90">
        <f>H231+(H222-H232)*$BA$2</f>
        <v>3091.706773131953</v>
      </c>
      <c r="J233" s="90">
        <f>J231+(J222-J232)*$BA$2</f>
        <v>3037.1327362053721</v>
      </c>
      <c r="T233" s="158" t="s">
        <v>112</v>
      </c>
      <c r="U233" s="158"/>
      <c r="V233" s="158"/>
      <c r="W233" s="90">
        <f>W231+(W222-W232)*$BA$2</f>
        <v>2920.2468444997453</v>
      </c>
      <c r="X233" s="90"/>
      <c r="Y233" s="90">
        <f>Y231+(Y222-Y232)*$BA$2</f>
        <v>2865.1000950461112</v>
      </c>
      <c r="Z233" s="90">
        <f>Z231+(Z222-Z232)*$BA$2</f>
        <v>2824.9635446349512</v>
      </c>
      <c r="AB233" s="90">
        <f>AB231+(AB222-AB232)*$BA$2</f>
        <v>2864.3182788890649</v>
      </c>
      <c r="AC233" s="90">
        <f>AC231+(AC222-AC232)*$BA$2</f>
        <v>2901.6932579440013</v>
      </c>
      <c r="AE233" s="90">
        <f>AE231+(AE222-AE232)*$BA$2</f>
        <v>2882.8718654448089</v>
      </c>
      <c r="AT233" s="4" t="str">
        <f>W230</f>
        <v>Lake Murray 18 Red</v>
      </c>
      <c r="AU233" s="4">
        <f>AE230</f>
        <v>2865.1000950461112</v>
      </c>
      <c r="AW233" s="154"/>
      <c r="AX233" s="70"/>
      <c r="AY233" s="70"/>
      <c r="AZ233" s="70"/>
      <c r="BA233" s="70"/>
      <c r="BB233" s="154"/>
      <c r="BC233" s="70"/>
      <c r="BD233" s="70"/>
      <c r="BE233" s="154"/>
      <c r="BF233" s="70"/>
      <c r="BG233" s="70"/>
      <c r="BH233" s="154"/>
      <c r="BI233" s="70"/>
      <c r="BJ233" s="70"/>
      <c r="BK233" s="154"/>
      <c r="BL233" s="70"/>
      <c r="BM233" s="70"/>
      <c r="BN233" s="154"/>
      <c r="BO233" s="70"/>
      <c r="BP233" s="70"/>
      <c r="BQ233" s="154"/>
      <c r="BR233" s="70"/>
      <c r="BS233" s="70"/>
      <c r="BT233" s="154"/>
      <c r="BU233" s="70"/>
      <c r="BV233" s="70"/>
      <c r="BW233" s="154"/>
      <c r="BX233" s="70"/>
      <c r="BY233" s="70"/>
    </row>
    <row r="234" spans="1:77" x14ac:dyDescent="0.2">
      <c r="A234" s="159" t="s">
        <v>163</v>
      </c>
      <c r="B234" s="159"/>
      <c r="C234" s="159"/>
      <c r="D234" s="159"/>
      <c r="E234" s="159"/>
      <c r="F234" s="159"/>
      <c r="G234" s="159"/>
      <c r="H234" s="159"/>
      <c r="I234" s="159"/>
      <c r="J234" s="159"/>
      <c r="K234" s="159"/>
      <c r="L234" s="159"/>
      <c r="M234" s="159"/>
      <c r="R234" s="127"/>
      <c r="S234" s="127"/>
      <c r="T234" s="147"/>
      <c r="U234" s="147"/>
      <c r="V234" s="159" t="s">
        <v>163</v>
      </c>
      <c r="W234" s="159"/>
      <c r="X234" s="159"/>
      <c r="Y234" s="159"/>
      <c r="Z234" s="159"/>
      <c r="AA234" s="159"/>
      <c r="AB234" s="159"/>
      <c r="AC234" s="159"/>
      <c r="AD234" s="159"/>
      <c r="AE234" s="159"/>
      <c r="AF234" s="159"/>
      <c r="AG234" s="159"/>
      <c r="AH234" s="127"/>
      <c r="AI234" s="127"/>
      <c r="AJ234" s="127"/>
      <c r="AZ234" s="70"/>
      <c r="BA234" s="70"/>
    </row>
    <row r="235" spans="1:77" x14ac:dyDescent="0.2">
      <c r="AS235" s="70"/>
      <c r="AT235" s="70"/>
      <c r="AU235" s="70"/>
      <c r="AZ235" s="70"/>
      <c r="BA235" s="70"/>
    </row>
    <row r="236" spans="1:77" x14ac:dyDescent="0.2">
      <c r="AS236" s="70"/>
      <c r="AT236" s="70"/>
      <c r="AU236" s="70"/>
      <c r="AZ236" s="70"/>
      <c r="BA236" s="70"/>
    </row>
    <row r="237" spans="1:77" x14ac:dyDescent="0.2">
      <c r="AS237" s="70"/>
      <c r="AT237" s="70"/>
      <c r="AU237" s="70"/>
      <c r="AZ237" s="70"/>
      <c r="BA237" s="70"/>
    </row>
    <row r="238" spans="1:77" x14ac:dyDescent="0.2">
      <c r="AS238" s="70"/>
      <c r="AT238" s="70"/>
      <c r="AU238" s="70"/>
      <c r="AZ238" s="70"/>
      <c r="BA238" s="70"/>
    </row>
    <row r="239" spans="1:77" x14ac:dyDescent="0.2">
      <c r="AS239" s="70"/>
      <c r="AT239" s="70"/>
      <c r="AU239" s="70"/>
      <c r="AZ239" s="70"/>
      <c r="BA239" s="70"/>
    </row>
    <row r="240" spans="1:77" x14ac:dyDescent="0.2">
      <c r="AS240" s="70"/>
      <c r="AT240" s="70"/>
      <c r="AU240" s="70"/>
      <c r="AZ240" s="70"/>
      <c r="BA240" s="70"/>
    </row>
    <row r="241" spans="45:53" x14ac:dyDescent="0.2">
      <c r="AS241" s="70"/>
      <c r="AT241" s="70"/>
      <c r="AU241" s="70"/>
      <c r="AZ241" s="70"/>
      <c r="BA241" s="70"/>
    </row>
    <row r="242" spans="45:53" x14ac:dyDescent="0.2">
      <c r="AS242" s="70"/>
      <c r="AT242" s="70"/>
      <c r="AU242" s="70"/>
      <c r="AZ242" s="70"/>
      <c r="BA242" s="70"/>
    </row>
    <row r="243" spans="45:53" x14ac:dyDescent="0.2">
      <c r="AS243" s="70"/>
      <c r="AT243" s="70"/>
      <c r="AU243" s="70"/>
      <c r="AZ243" s="70"/>
      <c r="BA243" s="70"/>
    </row>
    <row r="244" spans="45:53" x14ac:dyDescent="0.2">
      <c r="AS244" s="70"/>
      <c r="AT244" s="70"/>
      <c r="AU244" s="70"/>
      <c r="AZ244" s="70"/>
      <c r="BA244" s="70"/>
    </row>
    <row r="245" spans="45:53" x14ac:dyDescent="0.2">
      <c r="AS245" s="70"/>
      <c r="AT245" s="70"/>
      <c r="AU245" s="70"/>
      <c r="AZ245" s="70"/>
      <c r="BA245" s="70"/>
    </row>
    <row r="246" spans="45:53" x14ac:dyDescent="0.2">
      <c r="AS246" s="70"/>
      <c r="AT246" s="70"/>
      <c r="AU246" s="70"/>
      <c r="AZ246" s="70"/>
      <c r="BA246" s="70"/>
    </row>
    <row r="247" spans="45:53" x14ac:dyDescent="0.2">
      <c r="AS247" s="70"/>
      <c r="AT247" s="70"/>
      <c r="AU247" s="70"/>
    </row>
    <row r="248" spans="45:53" x14ac:dyDescent="0.2">
      <c r="AS248" s="70"/>
      <c r="AT248" s="70"/>
      <c r="AU248" s="70"/>
      <c r="AZ248" s="77"/>
      <c r="BA248" s="77"/>
    </row>
    <row r="249" spans="45:53" x14ac:dyDescent="0.2">
      <c r="AS249" s="70"/>
      <c r="AT249" s="70"/>
      <c r="AU249" s="70"/>
      <c r="AZ249" s="77"/>
      <c r="BA249" s="77"/>
    </row>
    <row r="250" spans="45:53" x14ac:dyDescent="0.2">
      <c r="AS250" s="70"/>
      <c r="AT250" s="70"/>
      <c r="AU250" s="70"/>
      <c r="AZ250" s="77"/>
      <c r="BA250" s="77"/>
    </row>
    <row r="251" spans="45:53" x14ac:dyDescent="0.2">
      <c r="AS251" s="70"/>
      <c r="AT251" s="70"/>
      <c r="AU251" s="70"/>
      <c r="AZ251" s="77"/>
      <c r="BA251" s="77"/>
    </row>
    <row r="252" spans="45:53" x14ac:dyDescent="0.2">
      <c r="AS252" s="70"/>
      <c r="AT252" s="70"/>
      <c r="AU252" s="70"/>
      <c r="AZ252" s="77"/>
      <c r="BA252" s="77"/>
    </row>
    <row r="253" spans="45:53" x14ac:dyDescent="0.2">
      <c r="AS253" s="70"/>
      <c r="AT253" s="70"/>
      <c r="AU253" s="70"/>
      <c r="AZ253" s="77"/>
      <c r="BA253" s="77"/>
    </row>
    <row r="254" spans="45:53" x14ac:dyDescent="0.2">
      <c r="AS254" s="70"/>
      <c r="AT254" s="70"/>
      <c r="AU254" s="70"/>
      <c r="AZ254" s="77"/>
      <c r="BA254" s="77"/>
    </row>
    <row r="255" spans="45:53" x14ac:dyDescent="0.2">
      <c r="AS255" s="70"/>
      <c r="AT255" s="70"/>
      <c r="AU255" s="70"/>
      <c r="AZ255" s="77"/>
      <c r="BA255" s="77"/>
    </row>
    <row r="256" spans="45:53" x14ac:dyDescent="0.2">
      <c r="AS256" s="70"/>
      <c r="AT256" s="70"/>
      <c r="AU256" s="70"/>
      <c r="AZ256" s="87"/>
      <c r="BA256" s="87"/>
    </row>
    <row r="257" spans="45:53" x14ac:dyDescent="0.2">
      <c r="AS257" s="70"/>
      <c r="AT257" s="70"/>
      <c r="AU257" s="70"/>
      <c r="AZ257" s="93"/>
      <c r="BA257" s="93"/>
    </row>
    <row r="258" spans="45:53" x14ac:dyDescent="0.2">
      <c r="AS258" s="70"/>
      <c r="AT258" s="70"/>
      <c r="AU258" s="70"/>
      <c r="AZ258" s="93"/>
      <c r="BA258" s="93"/>
    </row>
    <row r="259" spans="45:53" x14ac:dyDescent="0.2">
      <c r="AS259" s="70"/>
      <c r="AT259" s="70"/>
      <c r="AU259" s="70"/>
      <c r="AZ259" s="77"/>
      <c r="BA259" s="77"/>
    </row>
    <row r="260" spans="45:53" x14ac:dyDescent="0.2">
      <c r="AS260" s="77"/>
      <c r="AT260" s="77"/>
      <c r="AU260" s="77"/>
      <c r="AZ260" s="77"/>
      <c r="BA260" s="77"/>
    </row>
    <row r="261" spans="45:53" x14ac:dyDescent="0.2">
      <c r="AS261" s="77"/>
      <c r="AT261" s="77"/>
      <c r="AU261" s="77"/>
    </row>
    <row r="286" spans="45:53" x14ac:dyDescent="0.2">
      <c r="AS286" s="70"/>
      <c r="AT286" s="70"/>
      <c r="AU286" s="70"/>
      <c r="AZ286" s="70"/>
      <c r="BA286" s="70"/>
    </row>
    <row r="287" spans="45:53" x14ac:dyDescent="0.2">
      <c r="AS287" s="70"/>
      <c r="AT287" s="70"/>
      <c r="AU287" s="70"/>
      <c r="AZ287" s="70"/>
      <c r="BA287" s="70"/>
    </row>
    <row r="288" spans="45:53" x14ac:dyDescent="0.2">
      <c r="AS288" s="70"/>
      <c r="AT288" s="70"/>
      <c r="AU288" s="70"/>
      <c r="AZ288" s="70"/>
      <c r="BA288" s="70"/>
    </row>
    <row r="289" spans="45:53" x14ac:dyDescent="0.2">
      <c r="AS289" s="70"/>
      <c r="AT289" s="70"/>
      <c r="AU289" s="70"/>
      <c r="AZ289" s="70"/>
      <c r="BA289" s="70"/>
    </row>
    <row r="290" spans="45:53" x14ac:dyDescent="0.2">
      <c r="AS290" s="70"/>
      <c r="AT290" s="70"/>
      <c r="AU290" s="70"/>
      <c r="AZ290" s="70"/>
      <c r="BA290" s="70"/>
    </row>
    <row r="291" spans="45:53" x14ac:dyDescent="0.2">
      <c r="AS291" s="70"/>
      <c r="AT291" s="70"/>
      <c r="AU291" s="70"/>
      <c r="AZ291" s="70"/>
      <c r="BA291" s="70"/>
    </row>
    <row r="292" spans="45:53" x14ac:dyDescent="0.2">
      <c r="AS292" s="70"/>
      <c r="AT292" s="70"/>
      <c r="AU292" s="70"/>
      <c r="AZ292" s="70"/>
      <c r="BA292" s="70"/>
    </row>
    <row r="293" spans="45:53" x14ac:dyDescent="0.2">
      <c r="AS293" s="70"/>
      <c r="AT293" s="70"/>
      <c r="AU293" s="70"/>
      <c r="AZ293" s="70"/>
      <c r="BA293" s="70"/>
    </row>
    <row r="294" spans="45:53" x14ac:dyDescent="0.2">
      <c r="AS294" s="70"/>
      <c r="AT294" s="70"/>
      <c r="AU294" s="70"/>
      <c r="AZ294" s="70"/>
      <c r="BA294" s="70"/>
    </row>
    <row r="295" spans="45:53" x14ac:dyDescent="0.2">
      <c r="AS295" s="70"/>
      <c r="AT295" s="70"/>
      <c r="AU295" s="70"/>
      <c r="AZ295" s="70"/>
      <c r="BA295" s="70"/>
    </row>
    <row r="296" spans="45:53" x14ac:dyDescent="0.2">
      <c r="AS296" s="70"/>
      <c r="AT296" s="70"/>
      <c r="AU296" s="70"/>
      <c r="AZ296" s="70"/>
      <c r="BA296" s="70"/>
    </row>
    <row r="297" spans="45:53" x14ac:dyDescent="0.2">
      <c r="AS297" s="70"/>
      <c r="AT297" s="70"/>
      <c r="AU297" s="70"/>
      <c r="AZ297" s="70"/>
      <c r="BA297" s="70"/>
    </row>
    <row r="298" spans="45:53" x14ac:dyDescent="0.2">
      <c r="AS298" s="70"/>
      <c r="AT298" s="70"/>
      <c r="AU298" s="70"/>
      <c r="AZ298" s="70"/>
      <c r="BA298" s="70"/>
    </row>
    <row r="299" spans="45:53" x14ac:dyDescent="0.2">
      <c r="AS299" s="70"/>
      <c r="AT299" s="70"/>
      <c r="AU299" s="70"/>
      <c r="AZ299" s="70"/>
      <c r="BA299" s="70"/>
    </row>
    <row r="300" spans="45:53" x14ac:dyDescent="0.2">
      <c r="AS300" s="70"/>
      <c r="AT300" s="70"/>
      <c r="AU300" s="70"/>
      <c r="AZ300" s="70"/>
      <c r="BA300" s="70"/>
    </row>
    <row r="301" spans="45:53" x14ac:dyDescent="0.2">
      <c r="AS301" s="70"/>
      <c r="AT301" s="70"/>
      <c r="AU301" s="70"/>
      <c r="AZ301" s="70"/>
      <c r="BA301" s="70"/>
    </row>
    <row r="302" spans="45:53" x14ac:dyDescent="0.2">
      <c r="AS302" s="70"/>
      <c r="AT302" s="70"/>
      <c r="AU302" s="70"/>
      <c r="AZ302" s="70"/>
      <c r="BA302" s="70"/>
    </row>
    <row r="303" spans="45:53" x14ac:dyDescent="0.2">
      <c r="AS303" s="70"/>
      <c r="AT303" s="70"/>
      <c r="AU303" s="70"/>
      <c r="AZ303" s="70"/>
      <c r="BA303" s="70"/>
    </row>
    <row r="304" spans="45:53" x14ac:dyDescent="0.2">
      <c r="AS304" s="70"/>
      <c r="AT304" s="70"/>
      <c r="AU304" s="70"/>
      <c r="AZ304" s="70"/>
      <c r="BA304" s="70"/>
    </row>
    <row r="305" spans="45:53" x14ac:dyDescent="0.2">
      <c r="AS305" s="70"/>
      <c r="AT305" s="70"/>
      <c r="AU305" s="70"/>
      <c r="AZ305" s="70"/>
      <c r="BA305" s="70"/>
    </row>
    <row r="306" spans="45:53" x14ac:dyDescent="0.2">
      <c r="AS306" s="70"/>
      <c r="AT306" s="70"/>
      <c r="AU306" s="70"/>
      <c r="AZ306" s="70"/>
      <c r="BA306" s="70"/>
    </row>
    <row r="307" spans="45:53" x14ac:dyDescent="0.2">
      <c r="AS307" s="70"/>
      <c r="AT307" s="70"/>
      <c r="AU307" s="70"/>
      <c r="AZ307" s="70"/>
      <c r="BA307" s="70"/>
    </row>
    <row r="308" spans="45:53" x14ac:dyDescent="0.2">
      <c r="AS308" s="70"/>
      <c r="AT308" s="70"/>
      <c r="AU308" s="70"/>
      <c r="AZ308" s="70"/>
      <c r="BA308" s="70"/>
    </row>
    <row r="309" spans="45:53" x14ac:dyDescent="0.2">
      <c r="AS309" s="70"/>
      <c r="AT309" s="70"/>
      <c r="AU309" s="70"/>
      <c r="AZ309" s="70"/>
      <c r="BA309" s="70"/>
    </row>
    <row r="310" spans="45:53" x14ac:dyDescent="0.2">
      <c r="AS310" s="70"/>
      <c r="AT310" s="70"/>
      <c r="AU310" s="70"/>
      <c r="AZ310" s="70"/>
      <c r="BA310" s="70"/>
    </row>
    <row r="311" spans="45:53" x14ac:dyDescent="0.2">
      <c r="AS311" s="70"/>
      <c r="AT311" s="70"/>
      <c r="AU311" s="70"/>
      <c r="AZ311" s="70"/>
      <c r="BA311" s="70"/>
    </row>
    <row r="312" spans="45:53" x14ac:dyDescent="0.2">
      <c r="AS312" s="70"/>
      <c r="AT312" s="70"/>
      <c r="AU312" s="70"/>
      <c r="AZ312" s="70"/>
      <c r="BA312" s="70"/>
    </row>
    <row r="313" spans="45:53" x14ac:dyDescent="0.2">
      <c r="AS313" s="70"/>
      <c r="AT313" s="70"/>
      <c r="AU313" s="70"/>
      <c r="AZ313" s="70"/>
      <c r="BA313" s="70"/>
    </row>
    <row r="314" spans="45:53" x14ac:dyDescent="0.2">
      <c r="AS314" s="70"/>
      <c r="AT314" s="70"/>
      <c r="AU314" s="70"/>
      <c r="AZ314" s="70"/>
      <c r="BA314" s="70"/>
    </row>
    <row r="315" spans="45:53" x14ac:dyDescent="0.2">
      <c r="AS315" s="70"/>
      <c r="AT315" s="70"/>
      <c r="AU315" s="70"/>
      <c r="AZ315" s="70"/>
      <c r="BA315" s="70"/>
    </row>
    <row r="316" spans="45:53" x14ac:dyDescent="0.2">
      <c r="AS316" s="70"/>
      <c r="AT316" s="70"/>
      <c r="AU316" s="70"/>
      <c r="AZ316" s="70"/>
      <c r="BA316" s="70"/>
    </row>
    <row r="317" spans="45:53" x14ac:dyDescent="0.2">
      <c r="AS317" s="70"/>
      <c r="AT317" s="70"/>
      <c r="AU317" s="70"/>
      <c r="AZ317" s="70"/>
      <c r="BA317" s="70"/>
    </row>
    <row r="318" spans="45:53" x14ac:dyDescent="0.2">
      <c r="AS318" s="70"/>
      <c r="AT318" s="70"/>
      <c r="AU318" s="70"/>
      <c r="AZ318" s="70"/>
      <c r="BA318" s="70"/>
    </row>
    <row r="319" spans="45:53" x14ac:dyDescent="0.2">
      <c r="AS319" s="70"/>
      <c r="AT319" s="70"/>
      <c r="AU319" s="70"/>
      <c r="AZ319" s="70"/>
      <c r="BA319" s="70"/>
    </row>
    <row r="320" spans="45:53" x14ac:dyDescent="0.2">
      <c r="AS320" s="70"/>
      <c r="AT320" s="70"/>
      <c r="AU320" s="70"/>
      <c r="AZ320" s="70"/>
      <c r="BA320" s="70"/>
    </row>
    <row r="321" spans="45:53" x14ac:dyDescent="0.2">
      <c r="AS321" s="70"/>
      <c r="AT321" s="70"/>
      <c r="AU321" s="70"/>
      <c r="AZ321" s="70"/>
      <c r="BA321" s="70"/>
    </row>
    <row r="322" spans="45:53" x14ac:dyDescent="0.2">
      <c r="AS322" s="70"/>
      <c r="AT322" s="70"/>
      <c r="AU322" s="70"/>
      <c r="AZ322" s="70"/>
      <c r="BA322" s="70"/>
    </row>
    <row r="323" spans="45:53" x14ac:dyDescent="0.2">
      <c r="AS323" s="70"/>
      <c r="AT323" s="70"/>
      <c r="AU323" s="70"/>
      <c r="AZ323" s="70"/>
      <c r="BA323" s="70"/>
    </row>
    <row r="324" spans="45:53" x14ac:dyDescent="0.2">
      <c r="AS324" s="70"/>
      <c r="AT324" s="70"/>
      <c r="AU324" s="70"/>
      <c r="AZ324" s="70"/>
      <c r="BA324" s="70"/>
    </row>
    <row r="325" spans="45:53" x14ac:dyDescent="0.2">
      <c r="AS325" s="70"/>
      <c r="AT325" s="70"/>
      <c r="AU325" s="70"/>
      <c r="AZ325" s="70"/>
      <c r="BA325" s="70"/>
    </row>
    <row r="326" spans="45:53" x14ac:dyDescent="0.2">
      <c r="AS326" s="70"/>
      <c r="AT326" s="70"/>
      <c r="AU326" s="70"/>
      <c r="AZ326" s="70"/>
      <c r="BA326" s="70"/>
    </row>
    <row r="327" spans="45:53" x14ac:dyDescent="0.2">
      <c r="AS327" s="70"/>
      <c r="AT327" s="70"/>
      <c r="AU327" s="70"/>
      <c r="AZ327" s="70"/>
      <c r="BA327" s="70"/>
    </row>
    <row r="328" spans="45:53" x14ac:dyDescent="0.2">
      <c r="AS328" s="70"/>
      <c r="AT328" s="70"/>
      <c r="AU328" s="70"/>
      <c r="AZ328" s="70"/>
      <c r="BA328" s="70"/>
    </row>
    <row r="329" spans="45:53" x14ac:dyDescent="0.2">
      <c r="AS329" s="70"/>
      <c r="AT329" s="70"/>
      <c r="AU329" s="70"/>
      <c r="AZ329" s="70"/>
      <c r="BA329" s="70"/>
    </row>
    <row r="330" spans="45:53" x14ac:dyDescent="0.2">
      <c r="AS330" s="70"/>
      <c r="AT330" s="70"/>
      <c r="AU330" s="70"/>
      <c r="AZ330" s="70"/>
      <c r="BA330" s="70"/>
    </row>
    <row r="331" spans="45:53" x14ac:dyDescent="0.2">
      <c r="AS331" s="70"/>
      <c r="AT331" s="70"/>
      <c r="AU331" s="70"/>
      <c r="AZ331" s="70"/>
      <c r="BA331" s="70"/>
    </row>
    <row r="332" spans="45:53" x14ac:dyDescent="0.2">
      <c r="AS332" s="77"/>
      <c r="AT332" s="77"/>
      <c r="AU332" s="77"/>
    </row>
    <row r="333" spans="45:53" x14ac:dyDescent="0.2">
      <c r="AS333" s="77"/>
      <c r="AT333" s="77"/>
      <c r="AU333" s="77"/>
      <c r="AZ333" s="77"/>
      <c r="BA333" s="77"/>
    </row>
    <row r="334" spans="45:53" x14ac:dyDescent="0.2">
      <c r="AZ334" s="77"/>
      <c r="BA334" s="77"/>
    </row>
    <row r="335" spans="45:53" x14ac:dyDescent="0.2">
      <c r="AZ335" s="77"/>
      <c r="BA335" s="77"/>
    </row>
    <row r="336" spans="45:53" x14ac:dyDescent="0.2">
      <c r="AZ336" s="77"/>
      <c r="BA336" s="77"/>
    </row>
    <row r="337" spans="45:53" x14ac:dyDescent="0.2">
      <c r="AZ337" s="77"/>
      <c r="BA337" s="77"/>
    </row>
    <row r="338" spans="45:53" x14ac:dyDescent="0.2">
      <c r="AZ338" s="77"/>
      <c r="BA338" s="77"/>
    </row>
    <row r="339" spans="45:53" x14ac:dyDescent="0.2">
      <c r="AZ339" s="77"/>
      <c r="BA339" s="77"/>
    </row>
    <row r="340" spans="45:53" x14ac:dyDescent="0.2">
      <c r="AZ340" s="77"/>
      <c r="BA340" s="77"/>
    </row>
    <row r="341" spans="45:53" x14ac:dyDescent="0.2">
      <c r="AZ341" s="87"/>
      <c r="BA341" s="87"/>
    </row>
    <row r="342" spans="45:53" x14ac:dyDescent="0.2">
      <c r="AZ342" s="93"/>
      <c r="BA342" s="93"/>
    </row>
    <row r="343" spans="45:53" x14ac:dyDescent="0.2">
      <c r="AZ343" s="93"/>
      <c r="BA343" s="93"/>
    </row>
    <row r="344" spans="45:53" x14ac:dyDescent="0.2">
      <c r="AZ344" s="77"/>
      <c r="BA344" s="77"/>
    </row>
    <row r="345" spans="45:53" x14ac:dyDescent="0.2">
      <c r="AZ345" s="77"/>
      <c r="BA345" s="77"/>
    </row>
    <row r="348" spans="45:53" x14ac:dyDescent="0.2">
      <c r="AS348" s="116"/>
      <c r="AT348" s="116"/>
    </row>
    <row r="371" spans="45:53" x14ac:dyDescent="0.2">
      <c r="AZ371" s="70"/>
      <c r="BA371" s="70"/>
    </row>
    <row r="372" spans="45:53" x14ac:dyDescent="0.2">
      <c r="AZ372" s="70"/>
      <c r="BA372" s="70"/>
    </row>
    <row r="373" spans="45:53" x14ac:dyDescent="0.2">
      <c r="AZ373" s="70"/>
      <c r="BA373" s="70"/>
    </row>
    <row r="374" spans="45:53" x14ac:dyDescent="0.2">
      <c r="AZ374" s="70"/>
      <c r="BA374" s="70"/>
    </row>
    <row r="375" spans="45:53" x14ac:dyDescent="0.2">
      <c r="AZ375" s="70"/>
      <c r="BA375" s="70"/>
    </row>
    <row r="376" spans="45:53" x14ac:dyDescent="0.2">
      <c r="AZ376" s="70"/>
      <c r="BA376" s="70"/>
    </row>
    <row r="377" spans="45:53" x14ac:dyDescent="0.2">
      <c r="AZ377" s="70"/>
      <c r="BA377" s="70"/>
    </row>
    <row r="378" spans="45:53" x14ac:dyDescent="0.2">
      <c r="AZ378" s="70"/>
      <c r="BA378" s="70"/>
    </row>
    <row r="379" spans="45:53" x14ac:dyDescent="0.2">
      <c r="AZ379" s="70"/>
      <c r="BA379" s="70"/>
    </row>
    <row r="380" spans="45:53" x14ac:dyDescent="0.2">
      <c r="AZ380" s="70"/>
      <c r="BA380" s="70"/>
    </row>
    <row r="381" spans="45:53" x14ac:dyDescent="0.2">
      <c r="AZ381" s="70"/>
      <c r="BA381" s="70"/>
    </row>
    <row r="382" spans="45:53" x14ac:dyDescent="0.2">
      <c r="AZ382" s="70"/>
      <c r="BA382" s="70"/>
    </row>
    <row r="383" spans="45:53" x14ac:dyDescent="0.2">
      <c r="AZ383" s="70"/>
      <c r="BA383" s="70"/>
    </row>
    <row r="384" spans="45:53" x14ac:dyDescent="0.2">
      <c r="AS384" s="116"/>
      <c r="AT384" s="116"/>
      <c r="AZ384" s="70"/>
      <c r="BA384" s="70"/>
    </row>
    <row r="385" spans="52:53" x14ac:dyDescent="0.2">
      <c r="AZ385" s="70"/>
      <c r="BA385" s="70"/>
    </row>
    <row r="386" spans="52:53" x14ac:dyDescent="0.2">
      <c r="AZ386" s="70"/>
      <c r="BA386" s="70"/>
    </row>
    <row r="387" spans="52:53" x14ac:dyDescent="0.2">
      <c r="AZ387" s="70"/>
      <c r="BA387" s="70"/>
    </row>
    <row r="388" spans="52:53" x14ac:dyDescent="0.2">
      <c r="AZ388" s="70"/>
      <c r="BA388" s="70"/>
    </row>
    <row r="389" spans="52:53" x14ac:dyDescent="0.2">
      <c r="AZ389" s="70"/>
      <c r="BA389" s="70"/>
    </row>
    <row r="390" spans="52:53" x14ac:dyDescent="0.2">
      <c r="AZ390" s="70"/>
      <c r="BA390" s="70"/>
    </row>
    <row r="391" spans="52:53" x14ac:dyDescent="0.2">
      <c r="AZ391" s="70"/>
      <c r="BA391" s="70"/>
    </row>
    <row r="392" spans="52:53" x14ac:dyDescent="0.2">
      <c r="AZ392" s="70"/>
      <c r="BA392" s="70"/>
    </row>
    <row r="393" spans="52:53" x14ac:dyDescent="0.2">
      <c r="AZ393" s="70"/>
      <c r="BA393" s="70"/>
    </row>
    <row r="394" spans="52:53" x14ac:dyDescent="0.2">
      <c r="AZ394" s="70"/>
      <c r="BA394" s="70"/>
    </row>
    <row r="395" spans="52:53" x14ac:dyDescent="0.2">
      <c r="AZ395" s="70"/>
      <c r="BA395" s="70"/>
    </row>
    <row r="396" spans="52:53" x14ac:dyDescent="0.2">
      <c r="AZ396" s="70"/>
      <c r="BA396" s="70"/>
    </row>
    <row r="397" spans="52:53" x14ac:dyDescent="0.2">
      <c r="AZ397" s="70"/>
      <c r="BA397" s="70"/>
    </row>
    <row r="398" spans="52:53" x14ac:dyDescent="0.2">
      <c r="AZ398" s="70"/>
      <c r="BA398" s="70"/>
    </row>
    <row r="399" spans="52:53" x14ac:dyDescent="0.2">
      <c r="AZ399" s="70"/>
      <c r="BA399" s="70"/>
    </row>
    <row r="400" spans="52:53" x14ac:dyDescent="0.2">
      <c r="AZ400" s="70"/>
      <c r="BA400" s="70"/>
    </row>
    <row r="401" spans="52:53" x14ac:dyDescent="0.2">
      <c r="AZ401" s="70"/>
      <c r="BA401" s="70"/>
    </row>
    <row r="402" spans="52:53" x14ac:dyDescent="0.2">
      <c r="AZ402" s="70"/>
      <c r="BA402" s="70"/>
    </row>
    <row r="403" spans="52:53" x14ac:dyDescent="0.2">
      <c r="AZ403" s="70"/>
      <c r="BA403" s="70"/>
    </row>
    <row r="404" spans="52:53" x14ac:dyDescent="0.2">
      <c r="AZ404" s="70"/>
      <c r="BA404" s="70"/>
    </row>
    <row r="405" spans="52:53" x14ac:dyDescent="0.2">
      <c r="AZ405" s="70"/>
      <c r="BA405" s="70"/>
    </row>
    <row r="406" spans="52:53" x14ac:dyDescent="0.2">
      <c r="AZ406" s="70"/>
      <c r="BA406" s="70"/>
    </row>
    <row r="407" spans="52:53" x14ac:dyDescent="0.2">
      <c r="AZ407" s="70"/>
      <c r="BA407" s="70"/>
    </row>
    <row r="408" spans="52:53" x14ac:dyDescent="0.2">
      <c r="AZ408" s="70"/>
      <c r="BA408" s="70"/>
    </row>
    <row r="409" spans="52:53" x14ac:dyDescent="0.2">
      <c r="AZ409" s="70"/>
      <c r="BA409" s="70"/>
    </row>
    <row r="410" spans="52:53" x14ac:dyDescent="0.2">
      <c r="AZ410" s="70"/>
      <c r="BA410" s="70"/>
    </row>
    <row r="411" spans="52:53" x14ac:dyDescent="0.2">
      <c r="AZ411" s="70"/>
      <c r="BA411" s="70"/>
    </row>
    <row r="412" spans="52:53" x14ac:dyDescent="0.2">
      <c r="AZ412" s="70"/>
      <c r="BA412" s="70"/>
    </row>
    <row r="413" spans="52:53" x14ac:dyDescent="0.2">
      <c r="AZ413" s="70"/>
      <c r="BA413" s="70"/>
    </row>
    <row r="414" spans="52:53" x14ac:dyDescent="0.2">
      <c r="AZ414" s="70"/>
      <c r="BA414" s="70"/>
    </row>
    <row r="415" spans="52:53" x14ac:dyDescent="0.2">
      <c r="AZ415" s="70"/>
      <c r="BA415" s="70"/>
    </row>
    <row r="416" spans="52:53" x14ac:dyDescent="0.2">
      <c r="AZ416" s="70"/>
      <c r="BA416" s="70"/>
    </row>
    <row r="418" spans="52:53" x14ac:dyDescent="0.2">
      <c r="AZ418" s="77"/>
      <c r="BA418" s="77"/>
    </row>
    <row r="419" spans="52:53" x14ac:dyDescent="0.2">
      <c r="AZ419" s="77"/>
      <c r="BA419" s="77"/>
    </row>
    <row r="420" spans="52:53" x14ac:dyDescent="0.2">
      <c r="AZ420" s="77"/>
      <c r="BA420" s="77"/>
    </row>
    <row r="421" spans="52:53" x14ac:dyDescent="0.2">
      <c r="AZ421" s="77"/>
      <c r="BA421" s="77"/>
    </row>
    <row r="422" spans="52:53" x14ac:dyDescent="0.2">
      <c r="AZ422" s="77"/>
      <c r="BA422" s="77"/>
    </row>
    <row r="423" spans="52:53" x14ac:dyDescent="0.2">
      <c r="AZ423" s="77"/>
      <c r="BA423" s="77"/>
    </row>
    <row r="424" spans="52:53" x14ac:dyDescent="0.2">
      <c r="AZ424" s="77"/>
      <c r="BA424" s="77"/>
    </row>
    <row r="425" spans="52:53" x14ac:dyDescent="0.2">
      <c r="AZ425" s="77"/>
      <c r="BA425" s="77"/>
    </row>
    <row r="426" spans="52:53" x14ac:dyDescent="0.2">
      <c r="AZ426" s="87"/>
      <c r="BA426" s="87"/>
    </row>
    <row r="427" spans="52:53" x14ac:dyDescent="0.2">
      <c r="AZ427" s="93"/>
      <c r="BA427" s="93"/>
    </row>
    <row r="428" spans="52:53" x14ac:dyDescent="0.2">
      <c r="AZ428" s="93"/>
      <c r="BA428" s="93"/>
    </row>
    <row r="429" spans="52:53" x14ac:dyDescent="0.2">
      <c r="AZ429" s="77"/>
      <c r="BA429" s="77"/>
    </row>
    <row r="430" spans="52:53" x14ac:dyDescent="0.2">
      <c r="AZ430" s="77"/>
      <c r="BA430" s="77"/>
    </row>
  </sheetData>
  <sheetProtection formatCells="0" selectLockedCells="1"/>
  <mergeCells count="431">
    <mergeCell ref="T233:V233"/>
    <mergeCell ref="A234:M234"/>
    <mergeCell ref="V234:AG234"/>
    <mergeCell ref="T221:V221"/>
    <mergeCell ref="T222:V222"/>
    <mergeCell ref="K223:N225"/>
    <mergeCell ref="AF223:AG225"/>
    <mergeCell ref="T231:V231"/>
    <mergeCell ref="T232:V232"/>
    <mergeCell ref="AC217:AE217"/>
    <mergeCell ref="K218:N218"/>
    <mergeCell ref="T218:V218"/>
    <mergeCell ref="AF218:AG218"/>
    <mergeCell ref="T219:V219"/>
    <mergeCell ref="T220:V220"/>
    <mergeCell ref="B217:D217"/>
    <mergeCell ref="E217:G217"/>
    <mergeCell ref="H217:J217"/>
    <mergeCell ref="T217:V217"/>
    <mergeCell ref="W217:Y217"/>
    <mergeCell ref="Z217:AB217"/>
    <mergeCell ref="Z215:AB215"/>
    <mergeCell ref="AC215:AE215"/>
    <mergeCell ref="AF215:AJ217"/>
    <mergeCell ref="B216:D216"/>
    <mergeCell ref="E216:G216"/>
    <mergeCell ref="H216:J216"/>
    <mergeCell ref="T216:V216"/>
    <mergeCell ref="W216:Y216"/>
    <mergeCell ref="Z216:AB216"/>
    <mergeCell ref="AC216:AE216"/>
    <mergeCell ref="B213:J213"/>
    <mergeCell ref="K213:Q213"/>
    <mergeCell ref="U213:W213"/>
    <mergeCell ref="X213:AF213"/>
    <mergeCell ref="AG213:AM213"/>
    <mergeCell ref="B215:D215"/>
    <mergeCell ref="E215:G215"/>
    <mergeCell ref="H215:J215"/>
    <mergeCell ref="K215:Q217"/>
    <mergeCell ref="W215:Y215"/>
    <mergeCell ref="B211:J211"/>
    <mergeCell ref="K211:Q211"/>
    <mergeCell ref="U211:W211"/>
    <mergeCell ref="X211:AF211"/>
    <mergeCell ref="AG211:AM211"/>
    <mergeCell ref="B212:J212"/>
    <mergeCell ref="K212:Q212"/>
    <mergeCell ref="U212:W212"/>
    <mergeCell ref="X212:AF212"/>
    <mergeCell ref="AG212:AM212"/>
    <mergeCell ref="B209:J209"/>
    <mergeCell ref="K209:Q209"/>
    <mergeCell ref="U209:W209"/>
    <mergeCell ref="X209:AF209"/>
    <mergeCell ref="AG209:AM209"/>
    <mergeCell ref="B210:J210"/>
    <mergeCell ref="K210:Q210"/>
    <mergeCell ref="U210:W210"/>
    <mergeCell ref="X210:AF210"/>
    <mergeCell ref="AG210:AM210"/>
    <mergeCell ref="A204:E204"/>
    <mergeCell ref="U204:AA204"/>
    <mergeCell ref="A205:E205"/>
    <mergeCell ref="U205:AA205"/>
    <mergeCell ref="A208:J208"/>
    <mergeCell ref="U208:AF208"/>
    <mergeCell ref="AB202:AE202"/>
    <mergeCell ref="AF202:AH202"/>
    <mergeCell ref="A203:E203"/>
    <mergeCell ref="F203:M203"/>
    <mergeCell ref="T203:Z203"/>
    <mergeCell ref="AB203:AH203"/>
    <mergeCell ref="A200:E200"/>
    <mergeCell ref="J200:P200"/>
    <mergeCell ref="U200:AA200"/>
    <mergeCell ref="A202:D202"/>
    <mergeCell ref="F202:I202"/>
    <mergeCell ref="J202:M202"/>
    <mergeCell ref="T202:Z202"/>
    <mergeCell ref="J198:P198"/>
    <mergeCell ref="AF198:AJ198"/>
    <mergeCell ref="A199:E199"/>
    <mergeCell ref="F199:I199"/>
    <mergeCell ref="J199:P199"/>
    <mergeCell ref="U199:AA199"/>
    <mergeCell ref="AB199:AE199"/>
    <mergeCell ref="AF199:AJ199"/>
    <mergeCell ref="A195:E195"/>
    <mergeCell ref="U195:AA195"/>
    <mergeCell ref="A196:E196"/>
    <mergeCell ref="U196:AA196"/>
    <mergeCell ref="F197:I197"/>
    <mergeCell ref="AB197:AE197"/>
    <mergeCell ref="AB193:AH193"/>
    <mergeCell ref="A194:E194"/>
    <mergeCell ref="F194:I194"/>
    <mergeCell ref="J194:M194"/>
    <mergeCell ref="T194:Z194"/>
    <mergeCell ref="AB194:AE194"/>
    <mergeCell ref="AF194:AH194"/>
    <mergeCell ref="A190:E190"/>
    <mergeCell ref="U190:AA190"/>
    <mergeCell ref="A191:E191"/>
    <mergeCell ref="U191:AA191"/>
    <mergeCell ref="A193:E193"/>
    <mergeCell ref="F193:M193"/>
    <mergeCell ref="T193:AA193"/>
    <mergeCell ref="A182:AQ182"/>
    <mergeCell ref="A183:AQ183"/>
    <mergeCell ref="A184:AQ184"/>
    <mergeCell ref="A185:AQ185"/>
    <mergeCell ref="A186:K186"/>
    <mergeCell ref="A188:O188"/>
    <mergeCell ref="R188:AF188"/>
    <mergeCell ref="AF179:AK179"/>
    <mergeCell ref="AL179:AO179"/>
    <mergeCell ref="B180:G180"/>
    <mergeCell ref="H180:K180"/>
    <mergeCell ref="L180:Q180"/>
    <mergeCell ref="R180:U180"/>
    <mergeCell ref="V180:AA180"/>
    <mergeCell ref="AB180:AE180"/>
    <mergeCell ref="AF180:AK180"/>
    <mergeCell ref="AL180:AO180"/>
    <mergeCell ref="V178:AA178"/>
    <mergeCell ref="AB178:AE178"/>
    <mergeCell ref="AF178:AK178"/>
    <mergeCell ref="AL178:AO178"/>
    <mergeCell ref="B179:G179"/>
    <mergeCell ref="H179:K179"/>
    <mergeCell ref="L179:Q179"/>
    <mergeCell ref="R179:U179"/>
    <mergeCell ref="V179:AA179"/>
    <mergeCell ref="AB179:AE179"/>
    <mergeCell ref="A176:AQ176"/>
    <mergeCell ref="A177:A178"/>
    <mergeCell ref="B177:K177"/>
    <mergeCell ref="L177:U177"/>
    <mergeCell ref="V177:AE177"/>
    <mergeCell ref="AF177:AO177"/>
    <mergeCell ref="B178:G178"/>
    <mergeCell ref="H178:K178"/>
    <mergeCell ref="L178:Q178"/>
    <mergeCell ref="R178:U178"/>
    <mergeCell ref="Z108:AB108"/>
    <mergeCell ref="AC108:AE108"/>
    <mergeCell ref="AG142:AK142"/>
    <mergeCell ref="A174:AL174"/>
    <mergeCell ref="AM174:AP174"/>
    <mergeCell ref="A175:AQ175"/>
    <mergeCell ref="Z107:AB107"/>
    <mergeCell ref="AC107:AE107"/>
    <mergeCell ref="B108:D108"/>
    <mergeCell ref="E108:G108"/>
    <mergeCell ref="H108:J108"/>
    <mergeCell ref="K108:M108"/>
    <mergeCell ref="N108:P108"/>
    <mergeCell ref="Q108:S108"/>
    <mergeCell ref="T108:V108"/>
    <mergeCell ref="W108:Y108"/>
    <mergeCell ref="Z106:AB106"/>
    <mergeCell ref="AC106:AE106"/>
    <mergeCell ref="B107:D107"/>
    <mergeCell ref="E107:G107"/>
    <mergeCell ref="H107:J107"/>
    <mergeCell ref="K107:M107"/>
    <mergeCell ref="N107:P107"/>
    <mergeCell ref="Q107:S107"/>
    <mergeCell ref="T107:V107"/>
    <mergeCell ref="W107:Y107"/>
    <mergeCell ref="Z105:AB105"/>
    <mergeCell ref="AC105:AE105"/>
    <mergeCell ref="B106:D106"/>
    <mergeCell ref="E106:G106"/>
    <mergeCell ref="H106:J106"/>
    <mergeCell ref="K106:M106"/>
    <mergeCell ref="N106:P106"/>
    <mergeCell ref="Q106:S106"/>
    <mergeCell ref="T106:V106"/>
    <mergeCell ref="W106:Y106"/>
    <mergeCell ref="AC104:AE104"/>
    <mergeCell ref="AF104:AQ107"/>
    <mergeCell ref="B105:D105"/>
    <mergeCell ref="E105:G105"/>
    <mergeCell ref="H105:J105"/>
    <mergeCell ref="K105:M105"/>
    <mergeCell ref="N105:P105"/>
    <mergeCell ref="Q105:S105"/>
    <mergeCell ref="T105:V105"/>
    <mergeCell ref="W105:Y105"/>
    <mergeCell ref="B103:AI103"/>
    <mergeCell ref="B104:D104"/>
    <mergeCell ref="E104:G104"/>
    <mergeCell ref="H104:J104"/>
    <mergeCell ref="K104:M104"/>
    <mergeCell ref="N104:P104"/>
    <mergeCell ref="Q104:S104"/>
    <mergeCell ref="T104:V104"/>
    <mergeCell ref="W104:Y104"/>
    <mergeCell ref="Z104:AB104"/>
    <mergeCell ref="Z101:AB102"/>
    <mergeCell ref="AC101:AE102"/>
    <mergeCell ref="AF101:AF102"/>
    <mergeCell ref="AG101:AG102"/>
    <mergeCell ref="AH101:AI102"/>
    <mergeCell ref="B102:D102"/>
    <mergeCell ref="E102:K102"/>
    <mergeCell ref="A101:A102"/>
    <mergeCell ref="B101:D101"/>
    <mergeCell ref="E101:K101"/>
    <mergeCell ref="L101:P102"/>
    <mergeCell ref="R101:V102"/>
    <mergeCell ref="W101:Y102"/>
    <mergeCell ref="Z99:AB100"/>
    <mergeCell ref="AC99:AE100"/>
    <mergeCell ref="AF99:AF100"/>
    <mergeCell ref="AG99:AG100"/>
    <mergeCell ref="AH99:AI100"/>
    <mergeCell ref="B100:D100"/>
    <mergeCell ref="E100:K100"/>
    <mergeCell ref="A99:A100"/>
    <mergeCell ref="B99:D99"/>
    <mergeCell ref="E99:K99"/>
    <mergeCell ref="L99:P100"/>
    <mergeCell ref="R99:V100"/>
    <mergeCell ref="W99:Y100"/>
    <mergeCell ref="Z97:AB98"/>
    <mergeCell ref="AC97:AE98"/>
    <mergeCell ref="AF97:AF98"/>
    <mergeCell ref="AG97:AG98"/>
    <mergeCell ref="AH97:AI98"/>
    <mergeCell ref="B98:D98"/>
    <mergeCell ref="E98:K98"/>
    <mergeCell ref="A97:A98"/>
    <mergeCell ref="B97:D97"/>
    <mergeCell ref="E97:K97"/>
    <mergeCell ref="L97:P98"/>
    <mergeCell ref="R97:V98"/>
    <mergeCell ref="W97:Y98"/>
    <mergeCell ref="Z95:AB96"/>
    <mergeCell ref="AC95:AE96"/>
    <mergeCell ref="AF95:AF96"/>
    <mergeCell ref="AG95:AG96"/>
    <mergeCell ref="AH95:AI96"/>
    <mergeCell ref="B96:D96"/>
    <mergeCell ref="E96:K96"/>
    <mergeCell ref="AG93:AG94"/>
    <mergeCell ref="AH93:AI94"/>
    <mergeCell ref="B94:D94"/>
    <mergeCell ref="E94:K94"/>
    <mergeCell ref="A95:A96"/>
    <mergeCell ref="B95:D95"/>
    <mergeCell ref="E95:K95"/>
    <mergeCell ref="L95:P96"/>
    <mergeCell ref="R95:V96"/>
    <mergeCell ref="W95:Y96"/>
    <mergeCell ref="AH92:AI92"/>
    <mergeCell ref="A93:A94"/>
    <mergeCell ref="B93:D93"/>
    <mergeCell ref="E93:K93"/>
    <mergeCell ref="L93:P94"/>
    <mergeCell ref="R93:V94"/>
    <mergeCell ref="W93:Y94"/>
    <mergeCell ref="Z93:AB94"/>
    <mergeCell ref="AC93:AE94"/>
    <mergeCell ref="AF93:AF94"/>
    <mergeCell ref="C91:H91"/>
    <mergeCell ref="I91:J91"/>
    <mergeCell ref="K91:AI91"/>
    <mergeCell ref="B92:K92"/>
    <mergeCell ref="L92:P92"/>
    <mergeCell ref="Q92:Q102"/>
    <mergeCell ref="R92:V92"/>
    <mergeCell ref="W92:Y92"/>
    <mergeCell ref="Z92:AB92"/>
    <mergeCell ref="AC92:AE92"/>
    <mergeCell ref="Z23:AB23"/>
    <mergeCell ref="AC23:AE23"/>
    <mergeCell ref="AG57:AK57"/>
    <mergeCell ref="A89:AL89"/>
    <mergeCell ref="AM89:AP89"/>
    <mergeCell ref="A90:AQ90"/>
    <mergeCell ref="Z22:AB22"/>
    <mergeCell ref="AC22:AE22"/>
    <mergeCell ref="B23:D23"/>
    <mergeCell ref="E23:G23"/>
    <mergeCell ref="H23:J23"/>
    <mergeCell ref="K23:M23"/>
    <mergeCell ref="N23:P23"/>
    <mergeCell ref="Q23:S23"/>
    <mergeCell ref="T23:V23"/>
    <mergeCell ref="W23:Y23"/>
    <mergeCell ref="Z21:AB21"/>
    <mergeCell ref="AC21:AE21"/>
    <mergeCell ref="B22:D22"/>
    <mergeCell ref="E22:G22"/>
    <mergeCell ref="H22:J22"/>
    <mergeCell ref="K22:M22"/>
    <mergeCell ref="N22:P22"/>
    <mergeCell ref="Q22:S22"/>
    <mergeCell ref="T22:V22"/>
    <mergeCell ref="W22:Y22"/>
    <mergeCell ref="Z20:AB20"/>
    <mergeCell ref="AC20:AE20"/>
    <mergeCell ref="B21:D21"/>
    <mergeCell ref="E21:G21"/>
    <mergeCell ref="H21:J21"/>
    <mergeCell ref="K21:M21"/>
    <mergeCell ref="N21:P21"/>
    <mergeCell ref="Q21:S21"/>
    <mergeCell ref="T21:V21"/>
    <mergeCell ref="W21:Y21"/>
    <mergeCell ref="AC19:AE19"/>
    <mergeCell ref="AF19:AQ22"/>
    <mergeCell ref="B20:D20"/>
    <mergeCell ref="E20:G20"/>
    <mergeCell ref="H20:J20"/>
    <mergeCell ref="K20:M20"/>
    <mergeCell ref="N20:P20"/>
    <mergeCell ref="Q20:S20"/>
    <mergeCell ref="T20:V20"/>
    <mergeCell ref="W20:Y20"/>
    <mergeCell ref="B18:AI18"/>
    <mergeCell ref="B19:D19"/>
    <mergeCell ref="E19:G19"/>
    <mergeCell ref="H19:J19"/>
    <mergeCell ref="K19:M19"/>
    <mergeCell ref="N19:P19"/>
    <mergeCell ref="Q19:S19"/>
    <mergeCell ref="T19:V19"/>
    <mergeCell ref="W19:Y19"/>
    <mergeCell ref="Z19:AB19"/>
    <mergeCell ref="Z16:AB17"/>
    <mergeCell ref="AC16:AE17"/>
    <mergeCell ref="AF16:AF17"/>
    <mergeCell ref="AG16:AG17"/>
    <mergeCell ref="AH16:AI17"/>
    <mergeCell ref="B17:D17"/>
    <mergeCell ref="E17:K17"/>
    <mergeCell ref="AG14:AG15"/>
    <mergeCell ref="AH14:AI15"/>
    <mergeCell ref="B15:D15"/>
    <mergeCell ref="E15:K15"/>
    <mergeCell ref="A16:A17"/>
    <mergeCell ref="B16:D16"/>
    <mergeCell ref="E16:K16"/>
    <mergeCell ref="L16:P17"/>
    <mergeCell ref="R16:V17"/>
    <mergeCell ref="W16:Y17"/>
    <mergeCell ref="AT13:AY14"/>
    <mergeCell ref="A14:A15"/>
    <mergeCell ref="B14:D14"/>
    <mergeCell ref="E14:K14"/>
    <mergeCell ref="L14:P15"/>
    <mergeCell ref="R14:V15"/>
    <mergeCell ref="W14:Y15"/>
    <mergeCell ref="Z14:AB15"/>
    <mergeCell ref="AC14:AE15"/>
    <mergeCell ref="AF14:AF15"/>
    <mergeCell ref="Z12:AB13"/>
    <mergeCell ref="AC12:AE13"/>
    <mergeCell ref="AF12:AF13"/>
    <mergeCell ref="AG12:AG13"/>
    <mergeCell ref="AH12:AI13"/>
    <mergeCell ref="B13:D13"/>
    <mergeCell ref="E13:K13"/>
    <mergeCell ref="A12:A13"/>
    <mergeCell ref="B12:D12"/>
    <mergeCell ref="E12:K12"/>
    <mergeCell ref="L12:P13"/>
    <mergeCell ref="R12:V13"/>
    <mergeCell ref="W12:Y13"/>
    <mergeCell ref="Z10:AB11"/>
    <mergeCell ref="AC10:AE11"/>
    <mergeCell ref="AF10:AF11"/>
    <mergeCell ref="AG10:AG11"/>
    <mergeCell ref="AH10:AI11"/>
    <mergeCell ref="B11:D11"/>
    <mergeCell ref="E11:K11"/>
    <mergeCell ref="A10:A11"/>
    <mergeCell ref="B10:D10"/>
    <mergeCell ref="E10:K10"/>
    <mergeCell ref="L10:P11"/>
    <mergeCell ref="R10:V11"/>
    <mergeCell ref="W10:Y11"/>
    <mergeCell ref="AC8:AE9"/>
    <mergeCell ref="AF8:AF9"/>
    <mergeCell ref="AG8:AG9"/>
    <mergeCell ref="AH8:AI9"/>
    <mergeCell ref="B9:D9"/>
    <mergeCell ref="E9:K9"/>
    <mergeCell ref="Z7:AB7"/>
    <mergeCell ref="AC7:AE7"/>
    <mergeCell ref="AH7:AI7"/>
    <mergeCell ref="A8:A9"/>
    <mergeCell ref="B8:D8"/>
    <mergeCell ref="E8:K8"/>
    <mergeCell ref="L8:P9"/>
    <mergeCell ref="R8:V9"/>
    <mergeCell ref="W8:Y9"/>
    <mergeCell ref="Z8:AB9"/>
    <mergeCell ref="B5:J5"/>
    <mergeCell ref="K5:AE5"/>
    <mergeCell ref="C6:H6"/>
    <mergeCell ref="I6:J6"/>
    <mergeCell ref="K6:AI6"/>
    <mergeCell ref="B7:K7"/>
    <mergeCell ref="L7:P7"/>
    <mergeCell ref="Q7:Q17"/>
    <mergeCell ref="R7:V7"/>
    <mergeCell ref="W7:Y7"/>
    <mergeCell ref="A4:D4"/>
    <mergeCell ref="E4:M4"/>
    <mergeCell ref="N4:Q4"/>
    <mergeCell ref="R4:AA4"/>
    <mergeCell ref="AB4:AE4"/>
    <mergeCell ref="AF4:AI4"/>
    <mergeCell ref="B3:O3"/>
    <mergeCell ref="P3:R3"/>
    <mergeCell ref="S3:X3"/>
    <mergeCell ref="Y3:AD3"/>
    <mergeCell ref="AE3:AF3"/>
    <mergeCell ref="AG3:AI3"/>
    <mergeCell ref="A1:AI1"/>
    <mergeCell ref="AT1:AW1"/>
    <mergeCell ref="AX1:AY1"/>
    <mergeCell ref="A2:I2"/>
    <mergeCell ref="J2:X2"/>
    <mergeCell ref="Y2:AC2"/>
    <mergeCell ref="AD2:AI2"/>
  </mergeCells>
  <conditionalFormatting sqref="A8 A93">
    <cfRule type="expression" dxfId="3775" priority="4" stopIfTrue="1">
      <formula>IF(AK9&gt;0,0,1)</formula>
    </cfRule>
  </conditionalFormatting>
  <conditionalFormatting sqref="A10:A11 A95:A96">
    <cfRule type="expression" dxfId="3774" priority="5" stopIfTrue="1">
      <formula>IF(AK9&gt;1,0,1)</formula>
    </cfRule>
  </conditionalFormatting>
  <conditionalFormatting sqref="A12:A13 A97:A98">
    <cfRule type="expression" dxfId="3773" priority="6" stopIfTrue="1">
      <formula>IF(AK9&gt;2,0,1)</formula>
    </cfRule>
  </conditionalFormatting>
  <conditionalFormatting sqref="A14:A15 A99:A100">
    <cfRule type="expression" dxfId="3772" priority="7" stopIfTrue="1">
      <formula>IF(AK9&gt;3,0,1)</formula>
    </cfRule>
  </conditionalFormatting>
  <conditionalFormatting sqref="A16:A17 A101:A102">
    <cfRule type="expression" dxfId="3771" priority="8" stopIfTrue="1">
      <formula>IF(AK9&gt;4,0,1)</formula>
    </cfRule>
  </conditionalFormatting>
  <conditionalFormatting sqref="B8 B93">
    <cfRule type="expression" dxfId="3770" priority="9" stopIfTrue="1">
      <formula>IF(AK9&gt;0,0,1)</formula>
    </cfRule>
  </conditionalFormatting>
  <conditionalFormatting sqref="B9 B94">
    <cfRule type="expression" dxfId="3769" priority="10" stopIfTrue="1">
      <formula>IF(AK9&gt;0,0,1)</formula>
    </cfRule>
  </conditionalFormatting>
  <conditionalFormatting sqref="B10 B95">
    <cfRule type="expression" dxfId="3768" priority="11" stopIfTrue="1">
      <formula>IF(AK9&gt;1,0,1)</formula>
    </cfRule>
  </conditionalFormatting>
  <conditionalFormatting sqref="B11:D11 B96:D96">
    <cfRule type="expression" dxfId="3767" priority="12" stopIfTrue="1">
      <formula>IF(AK9&gt;1,0,1)</formula>
    </cfRule>
  </conditionalFormatting>
  <conditionalFormatting sqref="B12:D12 B97:D97">
    <cfRule type="expression" dxfId="3766" priority="13" stopIfTrue="1">
      <formula>IF(AK9&gt;2,0,1)</formula>
    </cfRule>
  </conditionalFormatting>
  <conditionalFormatting sqref="B13:D13 B98:D98">
    <cfRule type="expression" dxfId="3765" priority="14" stopIfTrue="1">
      <formula>IF(AK9&gt;2,0,1)</formula>
    </cfRule>
  </conditionalFormatting>
  <conditionalFormatting sqref="B14:D14 B99:D99">
    <cfRule type="expression" dxfId="3764" priority="15" stopIfTrue="1">
      <formula>IF(AK9&gt;3,0,1)</formula>
    </cfRule>
  </conditionalFormatting>
  <conditionalFormatting sqref="B15:D15 B100:D100">
    <cfRule type="expression" dxfId="3763" priority="16" stopIfTrue="1">
      <formula>IF(AK9&gt;3,0,1)</formula>
    </cfRule>
  </conditionalFormatting>
  <conditionalFormatting sqref="B16:D16 B101:D101">
    <cfRule type="expression" dxfId="3762" priority="17" stopIfTrue="1">
      <formula>IF(AK9&gt;4,0,1)</formula>
    </cfRule>
  </conditionalFormatting>
  <conditionalFormatting sqref="B17:D17 B102:D102">
    <cfRule type="expression" dxfId="3761" priority="18" stopIfTrue="1">
      <formula>IF(AK9&gt;4,0,1)</formula>
    </cfRule>
  </conditionalFormatting>
  <conditionalFormatting sqref="E8 E93">
    <cfRule type="expression" dxfId="3760" priority="19" stopIfTrue="1">
      <formula>IF(AK9&gt;0,0,1)</formula>
    </cfRule>
  </conditionalFormatting>
  <conditionalFormatting sqref="E9 E94">
    <cfRule type="expression" dxfId="3759" priority="20" stopIfTrue="1">
      <formula>IF(AK9&gt;0,0,1)</formula>
    </cfRule>
  </conditionalFormatting>
  <conditionalFormatting sqref="E10 E95">
    <cfRule type="expression" dxfId="3758" priority="21" stopIfTrue="1">
      <formula>IF(AK9&gt;1,0,1)</formula>
    </cfRule>
  </conditionalFormatting>
  <conditionalFormatting sqref="E11 E96">
    <cfRule type="expression" dxfId="3757" priority="22" stopIfTrue="1">
      <formula>IF(AK9&gt;1,0,1)</formula>
    </cfRule>
  </conditionalFormatting>
  <conditionalFormatting sqref="E12 E97">
    <cfRule type="expression" dxfId="3756" priority="23" stopIfTrue="1">
      <formula>IF(AK9&gt;2,0,1)</formula>
    </cfRule>
  </conditionalFormatting>
  <conditionalFormatting sqref="E13 E98">
    <cfRule type="expression" dxfId="3755" priority="24" stopIfTrue="1">
      <formula>IF(AK9&gt;2,0,1)</formula>
    </cfRule>
  </conditionalFormatting>
  <conditionalFormatting sqref="E14 E99">
    <cfRule type="expression" dxfId="3754" priority="25" stopIfTrue="1">
      <formula>IF(AK9&gt;3,0,1)</formula>
    </cfRule>
  </conditionalFormatting>
  <conditionalFormatting sqref="E15 E100">
    <cfRule type="expression" dxfId="3753" priority="26" stopIfTrue="1">
      <formula>IF(AK9&gt;3,0,1)</formula>
    </cfRule>
  </conditionalFormatting>
  <conditionalFormatting sqref="E16 E101">
    <cfRule type="expression" dxfId="3752" priority="27" stopIfTrue="1">
      <formula>IF(AK9&gt;4,0,1)</formula>
    </cfRule>
  </conditionalFormatting>
  <conditionalFormatting sqref="E17 E102">
    <cfRule type="expression" dxfId="3751" priority="28" stopIfTrue="1">
      <formula>IF(AK9&gt;4,0,1)</formula>
    </cfRule>
  </conditionalFormatting>
  <conditionalFormatting sqref="AC8 AC93">
    <cfRule type="expression" dxfId="3750" priority="29" stopIfTrue="1">
      <formula>IF(AK11=1,IF(AK9&gt;0,0,1),1)</formula>
    </cfRule>
  </conditionalFormatting>
  <conditionalFormatting sqref="AC10:AE11 AC95:AE96">
    <cfRule type="expression" dxfId="3749" priority="30" stopIfTrue="1">
      <formula>IF(AK11=1,IF(AK9&gt;1,0,1),1)</formula>
    </cfRule>
  </conditionalFormatting>
  <conditionalFormatting sqref="AC12:AE13 AC97:AE98">
    <cfRule type="expression" dxfId="3748" priority="31" stopIfTrue="1">
      <formula>IF(AK11=1,IF(AK9&gt;2,0,1),1)</formula>
    </cfRule>
  </conditionalFormatting>
  <conditionalFormatting sqref="AC14:AE15 AC99:AE100">
    <cfRule type="expression" dxfId="3747" priority="32" stopIfTrue="1">
      <formula>IF(AK11=1,IF(AK9&gt;3,0,1),1)</formula>
    </cfRule>
  </conditionalFormatting>
  <conditionalFormatting sqref="AC16:AE17 AC101:AE102">
    <cfRule type="expression" dxfId="3746" priority="33" stopIfTrue="1">
      <formula>IF(AK11=1,IF(AK9&gt;4,0,1),1)</formula>
    </cfRule>
  </conditionalFormatting>
  <conditionalFormatting sqref="AH8 AH93">
    <cfRule type="expression" dxfId="3745" priority="34" stopIfTrue="1">
      <formula>IF(AK9&gt;0,0,1)</formula>
    </cfRule>
  </conditionalFormatting>
  <conditionalFormatting sqref="AH10:AI11 AH95:AI96">
    <cfRule type="expression" dxfId="3744" priority="35" stopIfTrue="1">
      <formula>IF(AK9&gt;1,0,1)</formula>
    </cfRule>
  </conditionalFormatting>
  <conditionalFormatting sqref="AH12:AI13 AH97:AI98">
    <cfRule type="expression" dxfId="3743" priority="36" stopIfTrue="1">
      <formula>IF(AK9&gt;2,0,1)</formula>
    </cfRule>
  </conditionalFormatting>
  <conditionalFormatting sqref="AH14:AI15 AH99:AI100">
    <cfRule type="expression" dxfId="3742" priority="37" stopIfTrue="1">
      <formula>IF(AK9&gt;3,0,1)</formula>
    </cfRule>
  </conditionalFormatting>
  <conditionalFormatting sqref="AH16:AI17 AH101:AI102">
    <cfRule type="expression" dxfId="3741" priority="38" stopIfTrue="1">
      <formula>IF(AK9&gt;4,0,1)</formula>
    </cfRule>
  </conditionalFormatting>
  <conditionalFormatting sqref="B19:D19 B104:D104">
    <cfRule type="expression" dxfId="3740" priority="39" stopIfTrue="1">
      <formula>IF(AK8&gt;0,0,1)</formula>
    </cfRule>
  </conditionalFormatting>
  <conditionalFormatting sqref="E19:G19 E104:G104">
    <cfRule type="expression" dxfId="3739" priority="40" stopIfTrue="1">
      <formula>IF(AK8&gt;1,0,1)</formula>
    </cfRule>
  </conditionalFormatting>
  <conditionalFormatting sqref="H19:J19 H104:J104">
    <cfRule type="expression" dxfId="3738" priority="41" stopIfTrue="1">
      <formula>IF(AK8&gt;2,0,1)</formula>
    </cfRule>
  </conditionalFormatting>
  <conditionalFormatting sqref="K19:M19 K104:M104">
    <cfRule type="expression" dxfId="3737" priority="42" stopIfTrue="1">
      <formula>IF(AK8&gt;3,0,1)</formula>
    </cfRule>
  </conditionalFormatting>
  <conditionalFormatting sqref="N19:P19 N104:P104">
    <cfRule type="expression" dxfId="3736" priority="43" stopIfTrue="1">
      <formula>IF(AK8&gt;4,0,1)</formula>
    </cfRule>
  </conditionalFormatting>
  <conditionalFormatting sqref="Q19:S19 Q104:S104">
    <cfRule type="expression" dxfId="3735" priority="44" stopIfTrue="1">
      <formula>IF(AK8&gt;5,0,1)</formula>
    </cfRule>
  </conditionalFormatting>
  <conditionalFormatting sqref="T19:V19 T104:V104">
    <cfRule type="expression" dxfId="3734" priority="45" stopIfTrue="1">
      <formula>IF(AK8&gt;6,0,1)</formula>
    </cfRule>
  </conditionalFormatting>
  <conditionalFormatting sqref="W19:Y19 W104:Y104">
    <cfRule type="expression" dxfId="3733" priority="46" stopIfTrue="1">
      <formula>IF(AK8&gt;7,0,1)</formula>
    </cfRule>
  </conditionalFormatting>
  <conditionalFormatting sqref="Z19:AB19 Z104:AB104">
    <cfRule type="expression" dxfId="3732" priority="47" stopIfTrue="1">
      <formula>IF(AK8&gt;8,0,1)</formula>
    </cfRule>
  </conditionalFormatting>
  <conditionalFormatting sqref="AC19:AE19 AC104:AE104">
    <cfRule type="expression" dxfId="3731" priority="48" stopIfTrue="1">
      <formula>IF(AK8&gt;9,0,1)</formula>
    </cfRule>
  </conditionalFormatting>
  <conditionalFormatting sqref="B20:D20 B105:D105">
    <cfRule type="expression" dxfId="3730" priority="49" stopIfTrue="1">
      <formula>IF(AK8&gt;0,0,1)</formula>
    </cfRule>
  </conditionalFormatting>
  <conditionalFormatting sqref="E20:G20 E105:G105">
    <cfRule type="expression" dxfId="3729" priority="50" stopIfTrue="1">
      <formula>IF(AK8&gt;1,0,1)</formula>
    </cfRule>
  </conditionalFormatting>
  <conditionalFormatting sqref="H20:J20 H105:J105">
    <cfRule type="expression" dxfId="3728" priority="51" stopIfTrue="1">
      <formula>IF(AK8&gt;2,0,1)</formula>
    </cfRule>
  </conditionalFormatting>
  <conditionalFormatting sqref="K20:M20 K105:M105">
    <cfRule type="expression" dxfId="3727" priority="52" stopIfTrue="1">
      <formula>IF(AK8&gt;3,0,1)</formula>
    </cfRule>
  </conditionalFormatting>
  <conditionalFormatting sqref="N20:P20 N105:P105">
    <cfRule type="expression" dxfId="3726" priority="53" stopIfTrue="1">
      <formula>IF(AK8&gt;4,0,1)</formula>
    </cfRule>
  </conditionalFormatting>
  <conditionalFormatting sqref="Q20:S20 Q105:S105">
    <cfRule type="expression" dxfId="3725" priority="54" stopIfTrue="1">
      <formula>IF(AK8&gt;5,0,1)</formula>
    </cfRule>
  </conditionalFormatting>
  <conditionalFormatting sqref="T20:V20 T105:V105">
    <cfRule type="expression" dxfId="3724" priority="55" stopIfTrue="1">
      <formula>IF(AK8&gt;6,0,1)</formula>
    </cfRule>
  </conditionalFormatting>
  <conditionalFormatting sqref="W20:Y20 W105:Y105">
    <cfRule type="expression" dxfId="3723" priority="56" stopIfTrue="1">
      <formula>IF(AK8&gt;7,0,1)</formula>
    </cfRule>
  </conditionalFormatting>
  <conditionalFormatting sqref="Z20:AB20 Z105:AB105">
    <cfRule type="expression" dxfId="3722" priority="57" stopIfTrue="1">
      <formula>IF(AK8&gt;8,0,1)</formula>
    </cfRule>
  </conditionalFormatting>
  <conditionalFormatting sqref="AC20:AE20 AC105:AE105">
    <cfRule type="expression" dxfId="3721" priority="58" stopIfTrue="1">
      <formula>IF(AK8&gt;9,0,1)</formula>
    </cfRule>
  </conditionalFormatting>
  <conditionalFormatting sqref="E22:G22 E107:G107">
    <cfRule type="expression" dxfId="3720" priority="59" stopIfTrue="1">
      <formula>IF(AK8&gt;1,0,1)</formula>
    </cfRule>
  </conditionalFormatting>
  <conditionalFormatting sqref="H22:J22 H107:J107">
    <cfRule type="expression" dxfId="3719" priority="60" stopIfTrue="1">
      <formula>IF(AK8&gt;2,0,1)</formula>
    </cfRule>
  </conditionalFormatting>
  <conditionalFormatting sqref="K22:M22 K107:M107">
    <cfRule type="expression" dxfId="3718" priority="61" stopIfTrue="1">
      <formula>IF(AK8&gt;3,0,1)</formula>
    </cfRule>
  </conditionalFormatting>
  <conditionalFormatting sqref="N22:P22 N107:P107">
    <cfRule type="expression" dxfId="3717" priority="62" stopIfTrue="1">
      <formula>IF(AK8&gt;4,0,1)</formula>
    </cfRule>
  </conditionalFormatting>
  <conditionalFormatting sqref="Q22:S22 Q107:S107">
    <cfRule type="expression" dxfId="3716" priority="63" stopIfTrue="1">
      <formula>IF(AK8&gt;5,0,1)</formula>
    </cfRule>
  </conditionalFormatting>
  <conditionalFormatting sqref="T22:V22 T107:V107">
    <cfRule type="expression" dxfId="3715" priority="64" stopIfTrue="1">
      <formula>IF(AK8&gt;6,0,1)</formula>
    </cfRule>
  </conditionalFormatting>
  <conditionalFormatting sqref="W22:Y22 W107:Y107">
    <cfRule type="expression" dxfId="3714" priority="65" stopIfTrue="1">
      <formula>IF(AK8&gt;7,0,1)</formula>
    </cfRule>
  </conditionalFormatting>
  <conditionalFormatting sqref="Z22:AB22 Z107:AB107">
    <cfRule type="expression" dxfId="3713" priority="66" stopIfTrue="1">
      <formula>IF(AK8&gt;8,0,1)</formula>
    </cfRule>
  </conditionalFormatting>
  <conditionalFormatting sqref="AC22:AE22 AC107:AE107">
    <cfRule type="expression" dxfId="3712" priority="67" stopIfTrue="1">
      <formula>IF(AK8&gt;9,0,1)</formula>
    </cfRule>
  </conditionalFormatting>
  <conditionalFormatting sqref="B24 B109">
    <cfRule type="expression" dxfId="3711" priority="68" stopIfTrue="1">
      <formula>IF(AK8&gt;0,0,1)</formula>
    </cfRule>
  </conditionalFormatting>
  <conditionalFormatting sqref="C24 C109">
    <cfRule type="expression" dxfId="3710" priority="69" stopIfTrue="1">
      <formula>IF(AK8&gt;0,0,1)</formula>
    </cfRule>
  </conditionalFormatting>
  <conditionalFormatting sqref="D24 D109">
    <cfRule type="expression" dxfId="3709" priority="70" stopIfTrue="1">
      <formula>IF(AK8&gt;0,0,1)</formula>
    </cfRule>
  </conditionalFormatting>
  <conditionalFormatting sqref="E23:G23 E108:G108">
    <cfRule type="expression" dxfId="3708" priority="71" stopIfTrue="1">
      <formula>IF(AK8&gt;1,0,1)</formula>
    </cfRule>
  </conditionalFormatting>
  <conditionalFormatting sqref="F24 F109">
    <cfRule type="expression" dxfId="3707" priority="72" stopIfTrue="1">
      <formula>IF(AK8&gt;1,0,1)</formula>
    </cfRule>
  </conditionalFormatting>
  <conditionalFormatting sqref="G24 G109">
    <cfRule type="expression" dxfId="3706" priority="73" stopIfTrue="1">
      <formula>IF(AK8&gt;1,0,1)</formula>
    </cfRule>
  </conditionalFormatting>
  <conditionalFormatting sqref="H23:J23 H108:J108">
    <cfRule type="expression" dxfId="3705" priority="74" stopIfTrue="1">
      <formula>IF(AK8&gt;2,0,1)</formula>
    </cfRule>
  </conditionalFormatting>
  <conditionalFormatting sqref="I24 I109">
    <cfRule type="expression" dxfId="3704" priority="75" stopIfTrue="1">
      <formula>IF(AK8&gt;2,0,1)</formula>
    </cfRule>
  </conditionalFormatting>
  <conditionalFormatting sqref="J24 J109">
    <cfRule type="expression" dxfId="3703" priority="76" stopIfTrue="1">
      <formula>IF(AK8&gt;2,0,1)</formula>
    </cfRule>
  </conditionalFormatting>
  <conditionalFormatting sqref="K23:M23 K108:M108">
    <cfRule type="expression" dxfId="3702" priority="77" stopIfTrue="1">
      <formula>IF(AK8&gt;3,0,1)</formula>
    </cfRule>
  </conditionalFormatting>
  <conditionalFormatting sqref="L24 L109">
    <cfRule type="expression" dxfId="3701" priority="78" stopIfTrue="1">
      <formula>IF(AK8&gt;3,0,1)</formula>
    </cfRule>
  </conditionalFormatting>
  <conditionalFormatting sqref="M24 M109">
    <cfRule type="expression" dxfId="3700" priority="79" stopIfTrue="1">
      <formula>IF(AK8&gt;3,0,1)</formula>
    </cfRule>
  </conditionalFormatting>
  <conditionalFormatting sqref="N23:P23 N108:P108">
    <cfRule type="expression" dxfId="3699" priority="80" stopIfTrue="1">
      <formula>IF(AK8&gt;4,0,1)</formula>
    </cfRule>
  </conditionalFormatting>
  <conditionalFormatting sqref="O24 O109">
    <cfRule type="expression" dxfId="3698" priority="81" stopIfTrue="1">
      <formula>IF(AK8&gt;4,0,1)</formula>
    </cfRule>
  </conditionalFormatting>
  <conditionalFormatting sqref="P24 P109">
    <cfRule type="expression" dxfId="3697" priority="82" stopIfTrue="1">
      <formula>IF(AK8&gt;4,0,1)</formula>
    </cfRule>
  </conditionalFormatting>
  <conditionalFormatting sqref="Q23:S23 Q108:S108">
    <cfRule type="expression" dxfId="3696" priority="83" stopIfTrue="1">
      <formula>IF(AK8&gt;5,0,1)</formula>
    </cfRule>
  </conditionalFormatting>
  <conditionalFormatting sqref="R24 R109">
    <cfRule type="expression" dxfId="3695" priority="84" stopIfTrue="1">
      <formula>IF(AK8&gt;5,0,1)</formula>
    </cfRule>
  </conditionalFormatting>
  <conditionalFormatting sqref="S24 S109">
    <cfRule type="expression" dxfId="3694" priority="85" stopIfTrue="1">
      <formula>IF(AK8&gt;5,0,1)</formula>
    </cfRule>
  </conditionalFormatting>
  <conditionalFormatting sqref="T23:V23 T108:V108">
    <cfRule type="expression" dxfId="3693" priority="86" stopIfTrue="1">
      <formula>IF(AK8&gt;6,0,1)</formula>
    </cfRule>
  </conditionalFormatting>
  <conditionalFormatting sqref="U24 U109">
    <cfRule type="expression" dxfId="3692" priority="87" stopIfTrue="1">
      <formula>IF(AK8&gt;6,0,1)</formula>
    </cfRule>
  </conditionalFormatting>
  <conditionalFormatting sqref="V24 V109">
    <cfRule type="expression" dxfId="3691" priority="88" stopIfTrue="1">
      <formula>IF(AK8&gt;6,0,1)</formula>
    </cfRule>
  </conditionalFormatting>
  <conditionalFormatting sqref="W23:Y23 W108:Y108">
    <cfRule type="expression" dxfId="3690" priority="89" stopIfTrue="1">
      <formula>IF(AK8&gt;7,0,1)</formula>
    </cfRule>
  </conditionalFormatting>
  <conditionalFormatting sqref="X24 X109">
    <cfRule type="expression" dxfId="3689" priority="90" stopIfTrue="1">
      <formula>IF(AK8&gt;7,0,1)</formula>
    </cfRule>
  </conditionalFormatting>
  <conditionalFormatting sqref="Y24 Y109">
    <cfRule type="expression" dxfId="3688" priority="91" stopIfTrue="1">
      <formula>IF(AK8&gt;7,0,1)</formula>
    </cfRule>
  </conditionalFormatting>
  <conditionalFormatting sqref="Z23:AB23 Z108:AB108">
    <cfRule type="expression" dxfId="3687" priority="92" stopIfTrue="1">
      <formula>IF(AK8&gt;8,0,1)</formula>
    </cfRule>
  </conditionalFormatting>
  <conditionalFormatting sqref="AA24 AA109">
    <cfRule type="expression" dxfId="3686" priority="93" stopIfTrue="1">
      <formula>IF(AK8&gt;8,0,1)</formula>
    </cfRule>
  </conditionalFormatting>
  <conditionalFormatting sqref="AB24 AB109">
    <cfRule type="expression" dxfId="3685" priority="94" stopIfTrue="1">
      <formula>IF(AK8&gt;8,0,1)</formula>
    </cfRule>
  </conditionalFormatting>
  <conditionalFormatting sqref="AC23:AE23 AC108:AE108">
    <cfRule type="expression" dxfId="3684" priority="95" stopIfTrue="1">
      <formula>IF(AK8&gt;9,0,1)</formula>
    </cfRule>
  </conditionalFormatting>
  <conditionalFormatting sqref="AD24 AD109">
    <cfRule type="expression" dxfId="3683" priority="96" stopIfTrue="1">
      <formula>IF(AK8&gt;9,0,1)</formula>
    </cfRule>
  </conditionalFormatting>
  <conditionalFormatting sqref="AE24 AE109">
    <cfRule type="expression" dxfId="3682" priority="97" stopIfTrue="1">
      <formula>IF(AK8&gt;9,0,1)</formula>
    </cfRule>
  </conditionalFormatting>
  <conditionalFormatting sqref="A26 A111">
    <cfRule type="expression" dxfId="3681" priority="98" stopIfTrue="1">
      <formula>IF(AK7&gt;1,0,1)</formula>
    </cfRule>
  </conditionalFormatting>
  <conditionalFormatting sqref="A27 A112">
    <cfRule type="expression" dxfId="3680" priority="99" stopIfTrue="1">
      <formula>IF(AK7&gt;2,0,1)</formula>
    </cfRule>
  </conditionalFormatting>
  <conditionalFormatting sqref="A28 A113">
    <cfRule type="expression" dxfId="3679" priority="100" stopIfTrue="1">
      <formula>IF(AK7&gt;3,0,1)</formula>
    </cfRule>
  </conditionalFormatting>
  <conditionalFormatting sqref="A29 A114">
    <cfRule type="expression" dxfId="3678" priority="101" stopIfTrue="1">
      <formula>IF(AK7&gt;4,0,1)</formula>
    </cfRule>
  </conditionalFormatting>
  <conditionalFormatting sqref="B25:D25 B110:D110">
    <cfRule type="expression" dxfId="3677" priority="102" stopIfTrue="1">
      <formula>IF($AK8&gt;0,0,1)</formula>
    </cfRule>
  </conditionalFormatting>
  <conditionalFormatting sqref="B26:D26 B111:D111">
    <cfRule type="expression" dxfId="3676" priority="103" stopIfTrue="1">
      <formula>IF($AK8&lt;1,1,IF($AK7&lt;2,1,0))</formula>
    </cfRule>
  </conditionalFormatting>
  <conditionalFormatting sqref="B27:D27 B112:D112">
    <cfRule type="expression" dxfId="3675" priority="104" stopIfTrue="1">
      <formula>IF($AK8&lt;1,1,IF($AK7&lt;3,1,0))</formula>
    </cfRule>
  </conditionalFormatting>
  <conditionalFormatting sqref="B28:D28 B113:D113">
    <cfRule type="expression" dxfId="3674" priority="105" stopIfTrue="1">
      <formula>IF($AK8&lt;1,1,IF($AK7&lt;4,1,0))</formula>
    </cfRule>
  </conditionalFormatting>
  <conditionalFormatting sqref="B29:D29 B114:D114">
    <cfRule type="expression" dxfId="3673" priority="106" stopIfTrue="1">
      <formula>IF($AK8&lt;1,1,IF($AK7&lt;5,1,0))</formula>
    </cfRule>
  </conditionalFormatting>
  <conditionalFormatting sqref="AG23 AG108">
    <cfRule type="expression" dxfId="3672" priority="107" stopIfTrue="1">
      <formula>IF($AK8&lt;1,1,0)</formula>
    </cfRule>
  </conditionalFormatting>
  <conditionalFormatting sqref="AH23 AH108">
    <cfRule type="expression" dxfId="3671" priority="108" stopIfTrue="1">
      <formula>IF($AK8&lt;2,1,0)</formula>
    </cfRule>
  </conditionalFormatting>
  <conditionalFormatting sqref="AI23 AI108">
    <cfRule type="expression" dxfId="3670" priority="109" stopIfTrue="1">
      <formula>IF($AK8&lt;3,1,0)</formula>
    </cfRule>
  </conditionalFormatting>
  <conditionalFormatting sqref="AJ23 AJ108">
    <cfRule type="expression" dxfId="3669" priority="110" stopIfTrue="1">
      <formula>IF($AK8&lt;4,1,0)</formula>
    </cfRule>
  </conditionalFormatting>
  <conditionalFormatting sqref="AK23 AK108">
    <cfRule type="expression" dxfId="3668" priority="111" stopIfTrue="1">
      <formula>IF($AK8&lt;5,1,0)</formula>
    </cfRule>
  </conditionalFormatting>
  <conditionalFormatting sqref="AL23 AL108">
    <cfRule type="expression" dxfId="3667" priority="112" stopIfTrue="1">
      <formula>IF($AK8&lt;6,1,0)</formula>
    </cfRule>
  </conditionalFormatting>
  <conditionalFormatting sqref="AM23 AM108">
    <cfRule type="expression" dxfId="3666" priority="113" stopIfTrue="1">
      <formula>IF($AK8&lt;7,1,0)</formula>
    </cfRule>
  </conditionalFormatting>
  <conditionalFormatting sqref="AN23 AN108">
    <cfRule type="expression" dxfId="3665" priority="114" stopIfTrue="1">
      <formula>IF($AK8&lt;8,1,0)</formula>
    </cfRule>
  </conditionalFormatting>
  <conditionalFormatting sqref="AO23 AO108">
    <cfRule type="expression" dxfId="3664" priority="115" stopIfTrue="1">
      <formula>IF($AK8&lt;9,1,0)</formula>
    </cfRule>
  </conditionalFormatting>
  <conditionalFormatting sqref="AP23 AP108">
    <cfRule type="expression" dxfId="3663" priority="116" stopIfTrue="1">
      <formula>IF($AK8&lt;10,1,0)</formula>
    </cfRule>
  </conditionalFormatting>
  <conditionalFormatting sqref="AQ24 AQ109">
    <cfRule type="expression" dxfId="3662" priority="117" stopIfTrue="1">
      <formula>IF($AK9&gt;0,0,1)</formula>
    </cfRule>
  </conditionalFormatting>
  <conditionalFormatting sqref="AQ25 AQ110">
    <cfRule type="expression" dxfId="3661" priority="118" stopIfTrue="1">
      <formula>IF($AK9&gt;1,0,1)</formula>
    </cfRule>
  </conditionalFormatting>
  <conditionalFormatting sqref="AQ26 H25:J25 AQ111 H110:J110">
    <cfRule type="expression" dxfId="3660" priority="119" stopIfTrue="1">
      <formula>IF($AK8&gt;2,0,1)</formula>
    </cfRule>
  </conditionalFormatting>
  <conditionalFormatting sqref="K25:M25 K110:M110">
    <cfRule type="expression" dxfId="3659" priority="120" stopIfTrue="1">
      <formula>IF($AK8&gt;3,0,1)</formula>
    </cfRule>
  </conditionalFormatting>
  <conditionalFormatting sqref="AQ28 AQ113">
    <cfRule type="expression" dxfId="3658" priority="121" stopIfTrue="1">
      <formula>IF($AK9&gt;4,0,1)</formula>
    </cfRule>
  </conditionalFormatting>
  <conditionalFormatting sqref="E26:G26 E111:G111">
    <cfRule type="expression" dxfId="3657" priority="122" stopIfTrue="1">
      <formula>IF($AK8&lt;2,1,IF($AK7&lt;2,1,0))</formula>
    </cfRule>
  </conditionalFormatting>
  <conditionalFormatting sqref="E27:G27 E112:G112">
    <cfRule type="expression" dxfId="3656" priority="123" stopIfTrue="1">
      <formula>IF($AK8&lt;2,1,IF($AK7&lt;3,1,0))</formula>
    </cfRule>
  </conditionalFormatting>
  <conditionalFormatting sqref="E28:G28 E113:G113">
    <cfRule type="expression" dxfId="3655" priority="124" stopIfTrue="1">
      <formula>IF($AK8&lt;2,1,IF($AK7&lt;4,1,0))</formula>
    </cfRule>
  </conditionalFormatting>
  <conditionalFormatting sqref="E29:G29 E114:G114">
    <cfRule type="expression" dxfId="3654" priority="125" stopIfTrue="1">
      <formula>IF($AK8&lt;2,1,IF($AK7&lt;5,1,0))</formula>
    </cfRule>
  </conditionalFormatting>
  <conditionalFormatting sqref="N25:P25 N110:P110">
    <cfRule type="expression" dxfId="3653" priority="126" stopIfTrue="1">
      <formula>IF($AK8&gt;4,0,1)</formula>
    </cfRule>
  </conditionalFormatting>
  <conditionalFormatting sqref="Q25:S25 Q110:S110">
    <cfRule type="expression" dxfId="3652" priority="127" stopIfTrue="1">
      <formula>IF($AK8&gt;5,0,1)</formula>
    </cfRule>
  </conditionalFormatting>
  <conditionalFormatting sqref="T25:V25 T110:V110">
    <cfRule type="expression" dxfId="3651" priority="128" stopIfTrue="1">
      <formula>IF($AK8&gt;6,0,1)</formula>
    </cfRule>
  </conditionalFormatting>
  <conditionalFormatting sqref="W25:Y25 W110:Y110">
    <cfRule type="expression" dxfId="3650" priority="129" stopIfTrue="1">
      <formula>IF($AK8&gt;7,0,1)</formula>
    </cfRule>
  </conditionalFormatting>
  <conditionalFormatting sqref="Z25:AB25 Z110:AB110">
    <cfRule type="expression" dxfId="3649" priority="130" stopIfTrue="1">
      <formula>IF($AK8&gt;8,0,1)</formula>
    </cfRule>
  </conditionalFormatting>
  <conditionalFormatting sqref="AC25:AE25 AC110:AE110">
    <cfRule type="expression" dxfId="3648" priority="131" stopIfTrue="1">
      <formula>IF($AK8&gt;9,0,1)</formula>
    </cfRule>
  </conditionalFormatting>
  <conditionalFormatting sqref="H26:J26 H111:J111">
    <cfRule type="expression" dxfId="3647" priority="132" stopIfTrue="1">
      <formula>IF($AK8&lt;3,1,IF($AK7&lt;2,1,0))</formula>
    </cfRule>
  </conditionalFormatting>
  <conditionalFormatting sqref="K26:M26 K111:M111">
    <cfRule type="expression" dxfId="3646" priority="133" stopIfTrue="1">
      <formula>IF($AK8&lt;4,1,IF($AK7&lt;2,1,0))</formula>
    </cfRule>
  </conditionalFormatting>
  <conditionalFormatting sqref="N26:P26 N111:P111">
    <cfRule type="expression" dxfId="3645" priority="134" stopIfTrue="1">
      <formula>IF($AK8&lt;5,1,IF($AK7&lt;2,1,0))</formula>
    </cfRule>
  </conditionalFormatting>
  <conditionalFormatting sqref="Q26:S26 Q111:S111">
    <cfRule type="expression" dxfId="3644" priority="135" stopIfTrue="1">
      <formula>IF($AK8&lt;6,1,IF($AK7&lt;2,1,0))</formula>
    </cfRule>
  </conditionalFormatting>
  <conditionalFormatting sqref="T26:V26 T111:V111">
    <cfRule type="expression" dxfId="3643" priority="136" stopIfTrue="1">
      <formula>IF($AK8&lt;7,1,IF($AK7&lt;2,1,0))</formula>
    </cfRule>
  </conditionalFormatting>
  <conditionalFormatting sqref="W26:Y26 W111:Y111">
    <cfRule type="expression" dxfId="3642" priority="137" stopIfTrue="1">
      <formula>IF($AK8&lt;8,1,IF($AK7&lt;2,1,0))</formula>
    </cfRule>
  </conditionalFormatting>
  <conditionalFormatting sqref="Z26:AB26 Z111:AB111">
    <cfRule type="expression" dxfId="3641" priority="138" stopIfTrue="1">
      <formula>IF($AK8&lt;9,1,IF($AK7&lt;2,1,0))</formula>
    </cfRule>
  </conditionalFormatting>
  <conditionalFormatting sqref="AC26:AE26 AC111:AE111">
    <cfRule type="expression" dxfId="3640" priority="139" stopIfTrue="1">
      <formula>IF($AK8&lt;10,1,IF($AK7&lt;2,1,0))</formula>
    </cfRule>
  </conditionalFormatting>
  <conditionalFormatting sqref="H27:J27 H112:J112">
    <cfRule type="expression" dxfId="3639" priority="140" stopIfTrue="1">
      <formula>IF($AK8&lt;3,1,IF($AK7&lt;3,1,0))</formula>
    </cfRule>
  </conditionalFormatting>
  <conditionalFormatting sqref="K27:M27 K112:M112">
    <cfRule type="expression" dxfId="3638" priority="141" stopIfTrue="1">
      <formula>IF($AK8&lt;4,1,IF($AK7&lt;3,1,0))</formula>
    </cfRule>
  </conditionalFormatting>
  <conditionalFormatting sqref="N27:P27 N112:P112">
    <cfRule type="expression" dxfId="3637" priority="142" stopIfTrue="1">
      <formula>IF($AK8&lt;5,1,IF($AK7&lt;3,1,0))</formula>
    </cfRule>
  </conditionalFormatting>
  <conditionalFormatting sqref="Q27:S27 Q112:S112">
    <cfRule type="expression" dxfId="3636" priority="143" stopIfTrue="1">
      <formula>IF($AK8&lt;6,1,IF($AK7&lt;3,1,0))</formula>
    </cfRule>
  </conditionalFormatting>
  <conditionalFormatting sqref="T27:V27 T112:V112">
    <cfRule type="expression" dxfId="3635" priority="144" stopIfTrue="1">
      <formula>IF($AK8&lt;7,1,IF($AK7&lt;3,1,0))</formula>
    </cfRule>
  </conditionalFormatting>
  <conditionalFormatting sqref="W27:Y27 W112:Y112">
    <cfRule type="expression" dxfId="3634" priority="145" stopIfTrue="1">
      <formula>IF($AK8&lt;8,1,IF($AK7&lt;3,1,0))</formula>
    </cfRule>
  </conditionalFormatting>
  <conditionalFormatting sqref="Z27:AB27 Z112:AB112">
    <cfRule type="expression" dxfId="3633" priority="146" stopIfTrue="1">
      <formula>IF($AK8&lt;9,1,IF($AK7&lt;3,1,0))</formula>
    </cfRule>
  </conditionalFormatting>
  <conditionalFormatting sqref="AC27:AE27 AC112:AE112">
    <cfRule type="expression" dxfId="3632" priority="147" stopIfTrue="1">
      <formula>IF($AK8&lt;10,1,IF($AK7&lt;3,1,0))</formula>
    </cfRule>
  </conditionalFormatting>
  <conditionalFormatting sqref="H28:J28 H113:J113">
    <cfRule type="expression" dxfId="3631" priority="148" stopIfTrue="1">
      <formula>IF($AK8&lt;3,1,IF($AK7&lt;4,1,0))</formula>
    </cfRule>
  </conditionalFormatting>
  <conditionalFormatting sqref="K28:M28 K113:M113">
    <cfRule type="expression" dxfId="3630" priority="149" stopIfTrue="1">
      <formula>IF($AK8&lt;4,1,IF($AK7&lt;4,1,0))</formula>
    </cfRule>
  </conditionalFormatting>
  <conditionalFormatting sqref="N28:P28 N113:P113">
    <cfRule type="expression" dxfId="3629" priority="150" stopIfTrue="1">
      <formula>IF($AK8&lt;5,1,IF($AK7&lt;4,1,0))</formula>
    </cfRule>
  </conditionalFormatting>
  <conditionalFormatting sqref="Q28:S28 Q113:S113">
    <cfRule type="expression" dxfId="3628" priority="151" stopIfTrue="1">
      <formula>IF($AK8&lt;6,1,IF($AK7&lt;4,1,0))</formula>
    </cfRule>
  </conditionalFormatting>
  <conditionalFormatting sqref="T28:V28 T113:V113">
    <cfRule type="expression" dxfId="3627" priority="152" stopIfTrue="1">
      <formula>IF($AK8&lt;7,1,IF($AK7&lt;4,1,0))</formula>
    </cfRule>
  </conditionalFormatting>
  <conditionalFormatting sqref="W28:Y28 W113:Y113">
    <cfRule type="expression" dxfId="3626" priority="153" stopIfTrue="1">
      <formula>IF($AK8&lt;8,1,IF($AK7&lt;4,1,0))</formula>
    </cfRule>
  </conditionalFormatting>
  <conditionalFormatting sqref="Z28:AB28 Z113:AB113">
    <cfRule type="expression" dxfId="3625" priority="154" stopIfTrue="1">
      <formula>IF($AK8&lt;9,1,IF($AK7&lt;4,1,0))</formula>
    </cfRule>
  </conditionalFormatting>
  <conditionalFormatting sqref="AC28:AE28 AC113:AE113">
    <cfRule type="expression" dxfId="3624" priority="155" stopIfTrue="1">
      <formula>IF($AK8&lt;10,1,IF($AK7&lt;4,1,0))</formula>
    </cfRule>
  </conditionalFormatting>
  <conditionalFormatting sqref="H29:J29 H114:J114">
    <cfRule type="expression" dxfId="3623" priority="156" stopIfTrue="1">
      <formula>IF($AK8&lt;3,1,IF($AK7&lt;5,1,0))</formula>
    </cfRule>
  </conditionalFormatting>
  <conditionalFormatting sqref="K29:M29 K114:M114">
    <cfRule type="expression" dxfId="3622" priority="157" stopIfTrue="1">
      <formula>IF($AK8&lt;4,1,IF($AK7&lt;5,1,0))</formula>
    </cfRule>
  </conditionalFormatting>
  <conditionalFormatting sqref="N29:P29 N114:P114">
    <cfRule type="expression" dxfId="3621" priority="158" stopIfTrue="1">
      <formula>IF($AK8&lt;5,1,IF($AK7&lt;5,1,0))</formula>
    </cfRule>
  </conditionalFormatting>
  <conditionalFormatting sqref="Q29:S29 Q114:S114">
    <cfRule type="expression" dxfId="3620" priority="159" stopIfTrue="1">
      <formula>IF($AK8&lt;6,1,IF($AK7&lt;5,1,0))</formula>
    </cfRule>
  </conditionalFormatting>
  <conditionalFormatting sqref="T29:V29 T114:V114">
    <cfRule type="expression" dxfId="3619" priority="160" stopIfTrue="1">
      <formula>IF($AK8&lt;7,1,IF($AK7&lt;5,1,0))</formula>
    </cfRule>
  </conditionalFormatting>
  <conditionalFormatting sqref="W29:Y29 W114:Y114">
    <cfRule type="expression" dxfId="3618" priority="161" stopIfTrue="1">
      <formula>IF($AK8&lt;8,1,IF($AK7&lt;5,1,0))</formula>
    </cfRule>
  </conditionalFormatting>
  <conditionalFormatting sqref="Z29:AB29 Z114:AB114">
    <cfRule type="expression" dxfId="3617" priority="162" stopIfTrue="1">
      <formula>IF($AK8&lt;9,1,IF($AK7&lt;5,1,0))</formula>
    </cfRule>
  </conditionalFormatting>
  <conditionalFormatting sqref="AC29:AE29 AC114:AE114">
    <cfRule type="expression" dxfId="3616" priority="163" stopIfTrue="1">
      <formula>IF($AK8&lt;10,1,IF($AK7&lt;5,1,0))</formula>
    </cfRule>
  </conditionalFormatting>
  <conditionalFormatting sqref="R14:AB15 AF14:AF15 L14:P15 R99:AB100 AF99:AF100 L99:P100 AG14 AG99">
    <cfRule type="expression" dxfId="3615" priority="164" stopIfTrue="1">
      <formula>IF($AK9&gt;3,0,1)</formula>
    </cfRule>
  </conditionalFormatting>
  <conditionalFormatting sqref="R16:AB17 AF16:AF17 L16:P17 R101:AB102 AF101:AF102 L101:P102 AG16 AG101">
    <cfRule type="expression" dxfId="3614" priority="165" stopIfTrue="1">
      <formula>IF($AK9&gt;4,0,1)</formula>
    </cfRule>
  </conditionalFormatting>
  <conditionalFormatting sqref="R8:AB9 AF8:AF9 L8:P9 R93:AB94 AF93:AF94 L93:P94 AG8 AG93">
    <cfRule type="expression" dxfId="3613" priority="166" stopIfTrue="1">
      <formula>IF($AK9&gt;0,0,1)</formula>
    </cfRule>
  </conditionalFormatting>
  <conditionalFormatting sqref="R10:AB11 AF10:AF11 L10:P11 R95:AB96 AF95:AF96 L95:P96 AG10 AG95">
    <cfRule type="expression" dxfId="3612" priority="167" stopIfTrue="1">
      <formula>IF($AK9&gt;1,0,1)</formula>
    </cfRule>
  </conditionalFormatting>
  <conditionalFormatting sqref="R12:AB13 AF12:AF13 L12:P13 R97:AB98 AF97:AF98 L97:P98 AG12 AG97">
    <cfRule type="expression" dxfId="3611" priority="168" stopIfTrue="1">
      <formula>IF($AK9&gt;2,0,1)</formula>
    </cfRule>
  </conditionalFormatting>
  <conditionalFormatting sqref="E24 E109">
    <cfRule type="expression" dxfId="3610" priority="169" stopIfTrue="1">
      <formula>IF(AK8&gt;1,0,1)</formula>
    </cfRule>
  </conditionalFormatting>
  <conditionalFormatting sqref="H24 H109">
    <cfRule type="expression" dxfId="3609" priority="170" stopIfTrue="1">
      <formula>IF(AK8&gt;2,0,1)</formula>
    </cfRule>
  </conditionalFormatting>
  <conditionalFormatting sqref="K24 K109">
    <cfRule type="expression" dxfId="3608" priority="171" stopIfTrue="1">
      <formula>IF(AK8&gt;3,0,1)</formula>
    </cfRule>
  </conditionalFormatting>
  <conditionalFormatting sqref="N24 N109">
    <cfRule type="expression" dxfId="3607" priority="172" stopIfTrue="1">
      <formula>IF(AK8&gt;4,0,1)</formula>
    </cfRule>
  </conditionalFormatting>
  <conditionalFormatting sqref="Q24 Q109">
    <cfRule type="expression" dxfId="3606" priority="173" stopIfTrue="1">
      <formula>IF(AK8&gt;5,0,1)</formula>
    </cfRule>
  </conditionalFormatting>
  <conditionalFormatting sqref="T24 T109">
    <cfRule type="expression" dxfId="3605" priority="174" stopIfTrue="1">
      <formula>IF(AK8&gt;6,0,1)</formula>
    </cfRule>
  </conditionalFormatting>
  <conditionalFormatting sqref="W24 W109">
    <cfRule type="expression" dxfId="3604" priority="175" stopIfTrue="1">
      <formula>IF(AK8&gt;7,0,1)</formula>
    </cfRule>
  </conditionalFormatting>
  <conditionalFormatting sqref="Z24 Z109">
    <cfRule type="expression" dxfId="3603" priority="176" stopIfTrue="1">
      <formula>IF(AK8&gt;8,0,1)</formula>
    </cfRule>
  </conditionalFormatting>
  <conditionalFormatting sqref="AC24 AC109">
    <cfRule type="expression" dxfId="3602" priority="177" stopIfTrue="1">
      <formula>IF(AK8&gt;9,0,1)</formula>
    </cfRule>
  </conditionalFormatting>
  <conditionalFormatting sqref="AQ27 AQ112">
    <cfRule type="expression" dxfId="3601" priority="178" stopIfTrue="1">
      <formula>IF($AK9&gt;3,0,1)</formula>
    </cfRule>
  </conditionalFormatting>
  <conditionalFormatting sqref="E25:G25 E110:G110">
    <cfRule type="expression" dxfId="3600" priority="179" stopIfTrue="1">
      <formula>IF($AK8&gt;1,0,1)</formula>
    </cfRule>
  </conditionalFormatting>
  <conditionalFormatting sqref="B21:D21 B106:D106">
    <cfRule type="expression" dxfId="3599" priority="180" stopIfTrue="1">
      <formula>IF(AK8&gt;0,0,1)</formula>
    </cfRule>
  </conditionalFormatting>
  <conditionalFormatting sqref="E21:G21 E106:G106">
    <cfRule type="expression" dxfId="3598" priority="181" stopIfTrue="1">
      <formula>IF(AK8&gt;1,0,1)</formula>
    </cfRule>
  </conditionalFormatting>
  <conditionalFormatting sqref="H21:J21 H106:J106">
    <cfRule type="expression" dxfId="3597" priority="182" stopIfTrue="1">
      <formula>IF(AK8&gt;2,0,1)</formula>
    </cfRule>
  </conditionalFormatting>
  <conditionalFormatting sqref="K21:M21 K106:M106">
    <cfRule type="expression" dxfId="3596" priority="183" stopIfTrue="1">
      <formula>IF(AK8&gt;3,0,1)</formula>
    </cfRule>
  </conditionalFormatting>
  <conditionalFormatting sqref="N21:P21 N106:P106">
    <cfRule type="expression" dxfId="3595" priority="184" stopIfTrue="1">
      <formula>IF(AK8&gt;4,0,1)</formula>
    </cfRule>
  </conditionalFormatting>
  <conditionalFormatting sqref="Q21:S21 Q106:S106">
    <cfRule type="expression" dxfId="3594" priority="185" stopIfTrue="1">
      <formula>IF(AK8&gt;5,0,1)</formula>
    </cfRule>
  </conditionalFormatting>
  <conditionalFormatting sqref="T21:V21 T106:V106">
    <cfRule type="expression" dxfId="3593" priority="186" stopIfTrue="1">
      <formula>IF(AK8&gt;6,0,1)</formula>
    </cfRule>
  </conditionalFormatting>
  <conditionalFormatting sqref="W21:Y21 W106:Y106">
    <cfRule type="expression" dxfId="3592" priority="187" stopIfTrue="1">
      <formula>IF(AK8&gt;7,0,1)</formula>
    </cfRule>
  </conditionalFormatting>
  <conditionalFormatting sqref="Z21:AB21 Z106:AB106">
    <cfRule type="expression" dxfId="3591" priority="188" stopIfTrue="1">
      <formula>IF(AK8&gt;8,0,1)</formula>
    </cfRule>
  </conditionalFormatting>
  <conditionalFormatting sqref="AC21:AE21 AC106:AE106">
    <cfRule type="expression" dxfId="3590" priority="189" stopIfTrue="1">
      <formula>IF(AK8&gt;9,0,1)</formula>
    </cfRule>
  </conditionalFormatting>
  <conditionalFormatting sqref="X224:X225 W215:W216 X215:Y215 W218:Y223 Z219:AE222 AA223:AA225 F223:F225 B215:B216 C215:D215 B218:D223 C224:C225 I223:I225 E219:J222 AD223:AD225">
    <cfRule type="expression" dxfId="3589" priority="190" stopIfTrue="1">
      <formula>IF(#REF!&gt;0,0,1)</formula>
    </cfRule>
  </conditionalFormatting>
  <conditionalFormatting sqref="AA215:AB215 AB223 AA218:AB218 Z223 Z215:Z218 G223 F218:G218 E223 E215:E218 F215:G215">
    <cfRule type="expression" dxfId="3588" priority="191" stopIfTrue="1">
      <formula>IF(#REF!&gt;1,0,1)</formula>
    </cfRule>
  </conditionalFormatting>
  <conditionalFormatting sqref="AC215:AC218 AD215:AE215 AE223 AD218:AE218 AC223 H223 H215:H218 I215:J215 I218:J218 J223">
    <cfRule type="expression" dxfId="3587" priority="192" stopIfTrue="1">
      <formula>IF(#REF!&gt;2,0,1)</formula>
    </cfRule>
  </conditionalFormatting>
  <conditionalFormatting sqref="W224 Y224 B224 D224">
    <cfRule type="expression" dxfId="3586" priority="193" stopIfTrue="1">
      <formula>IF(#REF!&lt;1,1,IF(#REF!&lt;2,1,0))</formula>
    </cfRule>
  </conditionalFormatting>
  <conditionalFormatting sqref="Z224 AB224 E224 G224">
    <cfRule type="expression" dxfId="3585" priority="194" stopIfTrue="1">
      <formula>IF(#REF!&lt;2,1,IF(#REF!&lt;2,1,0))</formula>
    </cfRule>
  </conditionalFormatting>
  <conditionalFormatting sqref="AC224 AE224 H224 J224">
    <cfRule type="expression" dxfId="3584" priority="195" stopIfTrue="1">
      <formula>IF(#REF!&lt;3,1,IF(#REF!&lt;2,1,0))</formula>
    </cfRule>
  </conditionalFormatting>
  <conditionalFormatting sqref="Y225 B225 D225 W225">
    <cfRule type="expression" dxfId="3583" priority="196" stopIfTrue="1">
      <formula>IF(#REF!&lt;1,1,IF(#REF!&lt;3,1,0))</formula>
    </cfRule>
  </conditionalFormatting>
  <conditionalFormatting sqref="AB225 E225 G225 Z225">
    <cfRule type="expression" dxfId="3582" priority="197" stopIfTrue="1">
      <formula>IF(#REF!&lt;2,1,IF(#REF!&lt;3,1,0))</formula>
    </cfRule>
  </conditionalFormatting>
  <conditionalFormatting sqref="AE225 H225 J225 AC225">
    <cfRule type="expression" dxfId="3581" priority="198" stopIfTrue="1">
      <formula>IF(#REF!&lt;3,1,IF(#REF!&lt;3,1,0))</formula>
    </cfRule>
  </conditionalFormatting>
  <conditionalFormatting sqref="AG24:AP28 AG109:AP113">
    <cfRule type="cellIs" dxfId="3580" priority="199" stopIfTrue="1" operator="notBetween">
      <formula>-9999</formula>
      <formula>9999</formula>
    </cfRule>
  </conditionalFormatting>
  <conditionalFormatting sqref="AC7 AC92">
    <cfRule type="expression" dxfId="3579" priority="200" stopIfTrue="1">
      <formula>IF($AK$11=0,1,0)</formula>
    </cfRule>
  </conditionalFormatting>
  <conditionalFormatting sqref="B18 B103">
    <cfRule type="expression" dxfId="3578" priority="201" stopIfTrue="1">
      <formula>IF($AK$9&gt;0,0,1)</formula>
    </cfRule>
  </conditionalFormatting>
  <conditionalFormatting sqref="B22:D23 B107:D108">
    <cfRule type="cellIs" dxfId="3577" priority="202" stopIfTrue="1" operator="equal">
      <formula>99</formula>
    </cfRule>
  </conditionalFormatting>
  <conditionalFormatting sqref="X226 AA226 C226 F226">
    <cfRule type="expression" dxfId="3576" priority="203" stopIfTrue="1">
      <formula>IF(#REF!&gt;0,0,1)</formula>
    </cfRule>
  </conditionalFormatting>
  <conditionalFormatting sqref="K215">
    <cfRule type="expression" dxfId="3575" priority="3" stopIfTrue="1">
      <formula>IF(#REF!&gt;2,0,1)</formula>
    </cfRule>
  </conditionalFormatting>
  <conditionalFormatting sqref="K215">
    <cfRule type="expression" dxfId="3574" priority="2" stopIfTrue="1">
      <formula>IF(ISNUMBER(K223),0,1)</formula>
    </cfRule>
  </conditionalFormatting>
  <conditionalFormatting sqref="AF215">
    <cfRule type="expression" dxfId="3573" priority="1" stopIfTrue="1">
      <formula>IF(ISNUMBER(AF223),0,1)</formula>
    </cfRule>
  </conditionalFormatting>
  <pageMargins left="0.25" right="0.25" top="0.25" bottom="0.25" header="0" footer="0"/>
  <pageSetup scale="78" fitToHeight="4" orientation="landscape" r:id="rId1"/>
  <headerFooter alignWithMargins="0"/>
  <rowBreaks count="2" manualBreakCount="2">
    <brk id="90" max="43" man="1"/>
    <brk id="181" max="42" man="1"/>
  </rowBreaks>
  <drawing r:id="rId2"/>
  <legacyDrawing r:id="rId3"/>
  <controls>
    <mc:AlternateContent xmlns:mc="http://schemas.openxmlformats.org/markup-compatibility/2006">
      <mc:Choice Requires="x14">
        <control shapeId="12290" r:id="rId4" name="Pool2RecalcFinish">
          <controlPr defaultSize="0" autoLine="0" r:id="rId5">
            <anchor moveWithCells="1" sizeWithCells="1">
              <from>
                <xdr:col>36</xdr:col>
                <xdr:colOff>104775</xdr:colOff>
                <xdr:row>98</xdr:row>
                <xdr:rowOff>9525</xdr:rowOff>
              </from>
              <to>
                <xdr:col>41</xdr:col>
                <xdr:colOff>228600</xdr:colOff>
                <xdr:row>101</xdr:row>
                <xdr:rowOff>104775</xdr:rowOff>
              </to>
            </anchor>
          </controlPr>
        </control>
      </mc:Choice>
      <mc:Fallback>
        <control shapeId="12290" r:id="rId4" name="Pool2RecalcFinish"/>
      </mc:Fallback>
    </mc:AlternateContent>
    <mc:AlternateContent xmlns:mc="http://schemas.openxmlformats.org/markup-compatibility/2006">
      <mc:Choice Requires="x14">
        <control shapeId="12289" r:id="rId6" name="Pool1RecalcFinish">
          <controlPr defaultSize="0" autoLine="0" r:id="rId7">
            <anchor moveWithCells="1" sizeWithCells="1">
              <from>
                <xdr:col>36</xdr:col>
                <xdr:colOff>104775</xdr:colOff>
                <xdr:row>13</xdr:row>
                <xdr:rowOff>9525</xdr:rowOff>
              </from>
              <to>
                <xdr:col>41</xdr:col>
                <xdr:colOff>228600</xdr:colOff>
                <xdr:row>16</xdr:row>
                <xdr:rowOff>104775</xdr:rowOff>
              </to>
            </anchor>
          </controlPr>
        </control>
      </mc:Choice>
      <mc:Fallback>
        <control shapeId="12289" r:id="rId6" name="Pool1RecalcFinish"/>
      </mc:Fallback>
    </mc:AlternateContent>
  </control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45"/>
  <sheetViews>
    <sheetView workbookViewId="0"/>
  </sheetViews>
  <sheetFormatPr defaultRowHeight="15" x14ac:dyDescent="0.25"/>
  <cols>
    <col min="1" max="2" width="23.85546875" bestFit="1" customWidth="1"/>
    <col min="3" max="3" width="12.5703125" bestFit="1" customWidth="1"/>
    <col min="4" max="4" width="14.28515625" bestFit="1" customWidth="1"/>
    <col min="5" max="5" width="9.7109375" bestFit="1" customWidth="1"/>
    <col min="6" max="6" width="7.5703125" bestFit="1" customWidth="1"/>
    <col min="8" max="8" width="18" bestFit="1" customWidth="1"/>
  </cols>
  <sheetData>
    <row r="1" spans="1:8" ht="15.75" thickBot="1" x14ac:dyDescent="0.3">
      <c r="A1" s="9" t="s">
        <v>9</v>
      </c>
      <c r="B1" s="10" t="s">
        <v>10</v>
      </c>
      <c r="C1" s="11" t="s">
        <v>11</v>
      </c>
      <c r="D1" s="12" t="s">
        <v>12</v>
      </c>
      <c r="E1" s="13" t="s">
        <v>13</v>
      </c>
      <c r="F1" s="12" t="s">
        <v>14</v>
      </c>
      <c r="H1" t="s">
        <v>1067</v>
      </c>
    </row>
    <row r="2" spans="1:8" ht="15.75" thickBot="1" x14ac:dyDescent="0.3">
      <c r="A2" s="19">
        <v>1</v>
      </c>
      <c r="B2" s="20" t="s">
        <v>310</v>
      </c>
      <c r="C2" s="20" t="s">
        <v>308</v>
      </c>
      <c r="D2" s="21">
        <v>1765.8607290603154</v>
      </c>
      <c r="E2" s="22">
        <v>1795.9658583196606</v>
      </c>
      <c r="F2" s="23">
        <v>1806.1326638746696</v>
      </c>
      <c r="H2" t="s">
        <v>1067</v>
      </c>
    </row>
    <row r="3" spans="1:8" ht="15.75" thickBot="1" x14ac:dyDescent="0.3">
      <c r="A3" s="24">
        <v>2</v>
      </c>
      <c r="B3" s="20" t="s">
        <v>307</v>
      </c>
      <c r="C3" s="20" t="s">
        <v>305</v>
      </c>
      <c r="D3" s="21">
        <v>1599.5723816566881</v>
      </c>
      <c r="E3" s="25">
        <v>1516.9662693459616</v>
      </c>
      <c r="F3" s="26">
        <v>1511.6178648947346</v>
      </c>
      <c r="H3" t="s">
        <v>1067</v>
      </c>
    </row>
    <row r="4" spans="1:8" ht="15.75" thickBot="1" x14ac:dyDescent="0.3">
      <c r="A4" s="24">
        <v>3</v>
      </c>
      <c r="B4" s="20" t="s">
        <v>328</v>
      </c>
      <c r="C4" s="20" t="s">
        <v>326</v>
      </c>
      <c r="D4" s="21">
        <v>1449.5507700226187</v>
      </c>
      <c r="E4" s="25">
        <v>1440.8438775415427</v>
      </c>
      <c r="F4" s="26">
        <v>1426.951274684269</v>
      </c>
      <c r="H4" t="s">
        <v>1067</v>
      </c>
    </row>
    <row r="5" spans="1:8" ht="15.75" thickBot="1" x14ac:dyDescent="0.3">
      <c r="A5" s="24">
        <v>4</v>
      </c>
      <c r="B5" s="20" t="s">
        <v>339</v>
      </c>
      <c r="C5" s="20" t="s">
        <v>337</v>
      </c>
      <c r="D5" s="21">
        <v>1425.664964424519</v>
      </c>
      <c r="E5" s="25">
        <v>1486.8728399569763</v>
      </c>
      <c r="F5" s="26">
        <v>1495.9470417104681</v>
      </c>
      <c r="H5" t="s">
        <v>1067</v>
      </c>
    </row>
    <row r="6" spans="1:8" x14ac:dyDescent="0.25">
      <c r="A6" s="80" t="s">
        <v>109</v>
      </c>
      <c r="B6" s="77"/>
      <c r="C6" s="77"/>
      <c r="D6" s="81"/>
      <c r="E6" s="77"/>
      <c r="F6" s="77"/>
      <c r="H6" t="s">
        <v>1067</v>
      </c>
    </row>
    <row r="7" spans="1:8" x14ac:dyDescent="0.25">
      <c r="A7" s="77" t="s">
        <v>310</v>
      </c>
      <c r="B7" s="77">
        <v>1795.9658583196606</v>
      </c>
      <c r="C7" s="77"/>
      <c r="D7" s="81"/>
      <c r="E7" s="77"/>
      <c r="F7" s="77"/>
      <c r="H7" t="s">
        <v>1067</v>
      </c>
    </row>
    <row r="8" spans="1:8" x14ac:dyDescent="0.25">
      <c r="A8" s="77" t="s">
        <v>307</v>
      </c>
      <c r="B8" s="77">
        <v>1516.9662693459616</v>
      </c>
      <c r="C8" s="77"/>
      <c r="D8" s="81"/>
      <c r="E8" s="77"/>
      <c r="F8" s="77"/>
      <c r="H8" t="s">
        <v>1067</v>
      </c>
    </row>
    <row r="9" spans="1:8" x14ac:dyDescent="0.25">
      <c r="A9" s="77" t="s">
        <v>328</v>
      </c>
      <c r="B9" s="77">
        <v>1440.8438775415427</v>
      </c>
      <c r="C9" s="77"/>
      <c r="D9" s="81"/>
      <c r="E9" s="77"/>
      <c r="F9" s="77"/>
      <c r="H9" t="s">
        <v>1067</v>
      </c>
    </row>
    <row r="10" spans="1:8" x14ac:dyDescent="0.25">
      <c r="A10" s="77" t="s">
        <v>339</v>
      </c>
      <c r="B10" s="77">
        <v>1486.8728399569763</v>
      </c>
      <c r="C10" s="77"/>
      <c r="D10" s="81"/>
      <c r="E10" s="77"/>
      <c r="F10" s="77"/>
      <c r="H10" t="s">
        <v>1067</v>
      </c>
    </row>
    <row r="11" spans="1:8" ht="15.75" thickBot="1" x14ac:dyDescent="0.3">
      <c r="A11" s="77">
        <v>0</v>
      </c>
      <c r="B11" s="77" t="e">
        <v>#N/A</v>
      </c>
      <c r="C11" s="77"/>
      <c r="D11" s="81"/>
      <c r="E11" s="77"/>
      <c r="F11" s="77"/>
      <c r="H11" t="s">
        <v>1067</v>
      </c>
    </row>
    <row r="12" spans="1:8" ht="15.75" thickBot="1" x14ac:dyDescent="0.3">
      <c r="A12" s="9" t="s">
        <v>9</v>
      </c>
      <c r="B12" s="10" t="s">
        <v>10</v>
      </c>
      <c r="C12" s="11" t="s">
        <v>11</v>
      </c>
      <c r="D12" s="12" t="s">
        <v>12</v>
      </c>
      <c r="E12" s="13" t="s">
        <v>13</v>
      </c>
      <c r="F12" s="12" t="s">
        <v>14</v>
      </c>
      <c r="H12" t="s">
        <v>1030</v>
      </c>
    </row>
    <row r="13" spans="1:8" ht="15.75" thickBot="1" x14ac:dyDescent="0.3">
      <c r="A13" s="19">
        <v>1</v>
      </c>
      <c r="B13" s="20" t="s">
        <v>22</v>
      </c>
      <c r="C13" s="20" t="s">
        <v>23</v>
      </c>
      <c r="D13" s="21">
        <v>2157.74321750217</v>
      </c>
      <c r="E13" s="22">
        <v>2198.9082737681274</v>
      </c>
      <c r="F13" s="23">
        <v>2214.4906569405434</v>
      </c>
      <c r="H13" t="s">
        <v>1030</v>
      </c>
    </row>
    <row r="14" spans="1:8" ht="15.75" thickBot="1" x14ac:dyDescent="0.3">
      <c r="A14" s="24">
        <v>2</v>
      </c>
      <c r="B14" s="20" t="s">
        <v>29</v>
      </c>
      <c r="C14" s="20" t="s">
        <v>30</v>
      </c>
      <c r="D14" s="21">
        <v>1991.6720830602626</v>
      </c>
      <c r="E14" s="25">
        <v>2019.904371463555</v>
      </c>
      <c r="F14" s="26">
        <v>2017.703291174091</v>
      </c>
      <c r="H14" t="s">
        <v>1030</v>
      </c>
    </row>
    <row r="15" spans="1:8" ht="15.75" thickBot="1" x14ac:dyDescent="0.3">
      <c r="A15" s="24">
        <v>3</v>
      </c>
      <c r="B15" s="20" t="s">
        <v>32</v>
      </c>
      <c r="C15" s="20" t="s">
        <v>33</v>
      </c>
      <c r="D15" s="21">
        <v>1985.6455041357583</v>
      </c>
      <c r="E15" s="25">
        <v>1984.1503149267185</v>
      </c>
      <c r="F15" s="26">
        <v>1976.9474327790549</v>
      </c>
      <c r="H15" t="s">
        <v>1030</v>
      </c>
    </row>
    <row r="16" spans="1:8" ht="15.75" thickBot="1" x14ac:dyDescent="0.3">
      <c r="A16" s="24">
        <v>4</v>
      </c>
      <c r="B16" s="20" t="s">
        <v>37</v>
      </c>
      <c r="C16" s="20" t="s">
        <v>38</v>
      </c>
      <c r="D16" s="21">
        <v>1978.9631245417181</v>
      </c>
      <c r="E16" s="25">
        <v>1993.4834984689255</v>
      </c>
      <c r="F16" s="26">
        <v>1987.3050777336375</v>
      </c>
      <c r="H16" t="s">
        <v>1030</v>
      </c>
    </row>
    <row r="17" spans="1:8" ht="15.75" thickBot="1" x14ac:dyDescent="0.3">
      <c r="A17" s="24">
        <v>5</v>
      </c>
      <c r="B17" s="20" t="s">
        <v>46</v>
      </c>
      <c r="C17" s="20" t="s">
        <v>47</v>
      </c>
      <c r="D17" s="21">
        <v>1937.4919528089513</v>
      </c>
      <c r="E17" s="25">
        <v>1876.6771794532765</v>
      </c>
      <c r="F17" s="26">
        <v>1873.3196550996381</v>
      </c>
      <c r="H17" t="s">
        <v>1030</v>
      </c>
    </row>
    <row r="18" spans="1:8" ht="15.75" thickBot="1" x14ac:dyDescent="0.3">
      <c r="A18" s="24">
        <v>6</v>
      </c>
      <c r="B18" s="20" t="s">
        <v>49</v>
      </c>
      <c r="C18" s="20" t="s">
        <v>50</v>
      </c>
      <c r="D18" s="21">
        <v>1856.0832418209029</v>
      </c>
      <c r="E18" s="25">
        <v>1873.1026493351276</v>
      </c>
      <c r="F18" s="26">
        <v>1857.267256722582</v>
      </c>
      <c r="H18" t="s">
        <v>1030</v>
      </c>
    </row>
    <row r="19" spans="1:8" ht="15.75" thickBot="1" x14ac:dyDescent="0.3">
      <c r="A19" s="24">
        <v>7</v>
      </c>
      <c r="B19" s="20" t="s">
        <v>52</v>
      </c>
      <c r="C19" s="20" t="s">
        <v>53</v>
      </c>
      <c r="D19" s="21">
        <v>1846.0824249958619</v>
      </c>
      <c r="E19" s="25">
        <v>1802.3259182873846</v>
      </c>
      <c r="F19" s="26">
        <v>1841.4291853599461</v>
      </c>
      <c r="H19" t="s">
        <v>1030</v>
      </c>
    </row>
    <row r="20" spans="1:8" ht="15.75" thickBot="1" x14ac:dyDescent="0.3">
      <c r="A20" s="24">
        <v>8</v>
      </c>
      <c r="B20" s="36" t="s">
        <v>55</v>
      </c>
      <c r="C20" s="20" t="s">
        <v>578</v>
      </c>
      <c r="D20" s="21">
        <v>1883.8626441487413</v>
      </c>
      <c r="E20" s="25">
        <v>1888.9919873112519</v>
      </c>
      <c r="F20" s="26">
        <v>1869.0816372048744</v>
      </c>
      <c r="H20" t="s">
        <v>1030</v>
      </c>
    </row>
    <row r="21" spans="1:8" x14ac:dyDescent="0.25">
      <c r="A21" s="80" t="s">
        <v>109</v>
      </c>
      <c r="B21" s="77"/>
      <c r="C21" s="77"/>
      <c r="D21" s="81"/>
      <c r="E21" s="77"/>
      <c r="F21" s="77"/>
      <c r="H21" t="s">
        <v>1030</v>
      </c>
    </row>
    <row r="22" spans="1:8" x14ac:dyDescent="0.25">
      <c r="A22" s="77" t="s">
        <v>22</v>
      </c>
      <c r="B22" s="77">
        <v>2198.9082737681274</v>
      </c>
      <c r="C22" s="77"/>
      <c r="D22" s="81"/>
      <c r="E22" s="77"/>
      <c r="F22" s="77"/>
      <c r="H22" t="s">
        <v>1030</v>
      </c>
    </row>
    <row r="23" spans="1:8" x14ac:dyDescent="0.25">
      <c r="A23" s="77" t="s">
        <v>37</v>
      </c>
      <c r="B23" s="77">
        <v>1993.4834984689255</v>
      </c>
      <c r="C23" s="77"/>
      <c r="D23" s="81"/>
      <c r="E23" s="77"/>
      <c r="F23" s="77"/>
      <c r="H23" t="s">
        <v>1030</v>
      </c>
    </row>
    <row r="24" spans="1:8" x14ac:dyDescent="0.25">
      <c r="A24" s="77" t="s">
        <v>46</v>
      </c>
      <c r="B24" s="77">
        <v>1876.6771794532765</v>
      </c>
      <c r="C24" s="77"/>
      <c r="D24" s="81"/>
      <c r="E24" s="77"/>
      <c r="F24" s="77"/>
      <c r="H24" t="s">
        <v>1030</v>
      </c>
    </row>
    <row r="25" spans="1:8" x14ac:dyDescent="0.25">
      <c r="A25" s="77" t="s">
        <v>55</v>
      </c>
      <c r="B25" s="77">
        <v>1888.9919873112519</v>
      </c>
      <c r="C25" s="77"/>
      <c r="D25" s="81"/>
      <c r="E25" s="77"/>
      <c r="F25" s="77"/>
      <c r="H25" t="s">
        <v>1030</v>
      </c>
    </row>
    <row r="26" spans="1:8" ht="15.75" thickBot="1" x14ac:dyDescent="0.3">
      <c r="A26" s="77">
        <v>0</v>
      </c>
      <c r="B26" s="77" t="e">
        <v>#N/A</v>
      </c>
      <c r="C26" s="77"/>
      <c r="D26" s="81"/>
      <c r="E26" s="77"/>
      <c r="F26" s="77"/>
      <c r="H26" t="s">
        <v>1030</v>
      </c>
    </row>
    <row r="27" spans="1:8" ht="15.75" thickBot="1" x14ac:dyDescent="0.3">
      <c r="A27" s="9" t="s">
        <v>9</v>
      </c>
      <c r="B27" s="10" t="s">
        <v>10</v>
      </c>
      <c r="C27" s="11" t="s">
        <v>11</v>
      </c>
      <c r="D27" s="12" t="s">
        <v>12</v>
      </c>
      <c r="E27" s="5" t="s">
        <v>13</v>
      </c>
      <c r="F27" s="12" t="s">
        <v>14</v>
      </c>
      <c r="H27" t="s">
        <v>1031</v>
      </c>
    </row>
    <row r="28" spans="1:8" ht="15.75" thickBot="1" x14ac:dyDescent="0.3">
      <c r="A28" s="19">
        <v>1</v>
      </c>
      <c r="B28" s="20" t="s">
        <v>165</v>
      </c>
      <c r="C28" s="20" t="s">
        <v>166</v>
      </c>
      <c r="D28" s="21">
        <v>2278.9585369408887</v>
      </c>
      <c r="E28" s="22">
        <v>2333.3158352174805</v>
      </c>
      <c r="F28" s="23">
        <v>2355.8674998817319</v>
      </c>
      <c r="H28" t="s">
        <v>1031</v>
      </c>
    </row>
    <row r="29" spans="1:8" ht="15.75" thickBot="1" x14ac:dyDescent="0.3">
      <c r="A29" s="24">
        <v>2</v>
      </c>
      <c r="B29" s="20" t="s">
        <v>167</v>
      </c>
      <c r="C29" s="20" t="s">
        <v>168</v>
      </c>
      <c r="D29" s="21">
        <v>2267.1704673081986</v>
      </c>
      <c r="E29" s="25">
        <v>2296.2228435311754</v>
      </c>
      <c r="F29" s="26">
        <v>2289.1242881784647</v>
      </c>
      <c r="H29" t="s">
        <v>1031</v>
      </c>
    </row>
    <row r="30" spans="1:8" ht="15.75" thickBot="1" x14ac:dyDescent="0.3">
      <c r="A30" s="24">
        <v>3</v>
      </c>
      <c r="B30" s="20" t="s">
        <v>169</v>
      </c>
      <c r="C30" s="20" t="s">
        <v>170</v>
      </c>
      <c r="D30" s="21">
        <v>2220.2025999969192</v>
      </c>
      <c r="E30" s="25">
        <v>2259.0339325423315</v>
      </c>
      <c r="F30" s="26">
        <v>2251.8869834915113</v>
      </c>
      <c r="H30" t="s">
        <v>1031</v>
      </c>
    </row>
    <row r="31" spans="1:8" ht="15.75" thickBot="1" x14ac:dyDescent="0.3">
      <c r="A31" s="24">
        <v>4</v>
      </c>
      <c r="B31" s="20" t="s">
        <v>171</v>
      </c>
      <c r="C31" s="20" t="s">
        <v>172</v>
      </c>
      <c r="D31" s="21">
        <v>2197.2309027352453</v>
      </c>
      <c r="E31" s="25">
        <v>2171.4126025310011</v>
      </c>
      <c r="F31" s="26">
        <v>2184.2316563500076</v>
      </c>
      <c r="H31" t="s">
        <v>1031</v>
      </c>
    </row>
    <row r="32" spans="1:8" ht="15.75" thickBot="1" x14ac:dyDescent="0.3">
      <c r="A32" s="24">
        <v>5</v>
      </c>
      <c r="B32" s="20" t="s">
        <v>173</v>
      </c>
      <c r="C32" s="20" t="s">
        <v>174</v>
      </c>
      <c r="D32" s="21">
        <v>2192.5369343564885</v>
      </c>
      <c r="E32" s="25">
        <v>2163.2422577017483</v>
      </c>
      <c r="F32" s="26">
        <v>2146.3221088039863</v>
      </c>
      <c r="H32" t="s">
        <v>1031</v>
      </c>
    </row>
    <row r="33" spans="1:8" ht="15.75" thickBot="1" x14ac:dyDescent="0.3">
      <c r="A33" s="24">
        <v>6</v>
      </c>
      <c r="B33" s="20" t="s">
        <v>175</v>
      </c>
      <c r="C33" s="20" t="s">
        <v>176</v>
      </c>
      <c r="D33" s="21">
        <v>2186.8300605333634</v>
      </c>
      <c r="E33" s="25">
        <v>2099.0943824558949</v>
      </c>
      <c r="F33" s="26">
        <v>2107.8946708286217</v>
      </c>
      <c r="H33" t="s">
        <v>1031</v>
      </c>
    </row>
    <row r="34" spans="1:8" ht="15.75" thickBot="1" x14ac:dyDescent="0.3">
      <c r="A34" s="24">
        <v>7</v>
      </c>
      <c r="B34" s="20" t="s">
        <v>177</v>
      </c>
      <c r="C34" s="20" t="s">
        <v>178</v>
      </c>
      <c r="D34" s="21">
        <v>2183.6636711289457</v>
      </c>
      <c r="E34" s="25">
        <v>2212.7891027862961</v>
      </c>
      <c r="F34" s="26">
        <v>2225.1716306926123</v>
      </c>
      <c r="H34" t="s">
        <v>1031</v>
      </c>
    </row>
    <row r="35" spans="1:8" ht="15.75" thickBot="1" x14ac:dyDescent="0.3">
      <c r="A35" s="24">
        <v>8</v>
      </c>
      <c r="B35" s="20" t="s">
        <v>179</v>
      </c>
      <c r="C35" s="20" t="s">
        <v>180</v>
      </c>
      <c r="D35" s="21">
        <v>2169.631559284067</v>
      </c>
      <c r="E35" s="25">
        <v>2143.2394068330118</v>
      </c>
      <c r="F35" s="26">
        <v>2173.2017572431046</v>
      </c>
      <c r="H35" t="s">
        <v>1031</v>
      </c>
    </row>
    <row r="36" spans="1:8" ht="15.75" thickBot="1" x14ac:dyDescent="0.3">
      <c r="A36" s="24">
        <v>9</v>
      </c>
      <c r="B36" s="20" t="s">
        <v>181</v>
      </c>
      <c r="C36" s="20" t="s">
        <v>182</v>
      </c>
      <c r="D36" s="21">
        <v>2134.1731065083045</v>
      </c>
      <c r="E36" s="25">
        <v>2154.3925152218153</v>
      </c>
      <c r="F36" s="26">
        <v>2171.9219347845096</v>
      </c>
      <c r="H36" t="s">
        <v>1031</v>
      </c>
    </row>
    <row r="37" spans="1:8" ht="15.75" thickBot="1" x14ac:dyDescent="0.3">
      <c r="A37" s="24">
        <v>10</v>
      </c>
      <c r="B37" s="20" t="s">
        <v>183</v>
      </c>
      <c r="C37" s="20" t="s">
        <v>184</v>
      </c>
      <c r="D37" s="21">
        <v>2125.9014593645511</v>
      </c>
      <c r="E37" s="25">
        <v>2151.1244349589101</v>
      </c>
      <c r="F37" s="26">
        <v>2138.4450849967739</v>
      </c>
      <c r="H37" t="s">
        <v>1031</v>
      </c>
    </row>
    <row r="38" spans="1:8" ht="15.75" thickBot="1" x14ac:dyDescent="0.3">
      <c r="A38" s="24">
        <v>11</v>
      </c>
      <c r="B38" s="20" t="s">
        <v>185</v>
      </c>
      <c r="C38" s="20" t="s">
        <v>186</v>
      </c>
      <c r="D38" s="21">
        <v>2120.4974639095253</v>
      </c>
      <c r="E38" s="25">
        <v>2203.3829436435667</v>
      </c>
      <c r="F38" s="26">
        <v>2196.0325393983621</v>
      </c>
      <c r="H38" t="s">
        <v>1031</v>
      </c>
    </row>
    <row r="39" spans="1:8" ht="15.75" thickBot="1" x14ac:dyDescent="0.3">
      <c r="A39" s="24">
        <v>12</v>
      </c>
      <c r="B39" s="20" t="s">
        <v>187</v>
      </c>
      <c r="C39" s="20" t="s">
        <v>188</v>
      </c>
      <c r="D39" s="21">
        <v>2118.0809304980062</v>
      </c>
      <c r="E39" s="25">
        <v>2133.5437316379871</v>
      </c>
      <c r="F39" s="26">
        <v>2110.9821884141811</v>
      </c>
      <c r="H39" t="s">
        <v>1031</v>
      </c>
    </row>
    <row r="40" spans="1:8" ht="15.75" thickBot="1" x14ac:dyDescent="0.3">
      <c r="A40" s="24">
        <v>13</v>
      </c>
      <c r="B40" s="20" t="s">
        <v>189</v>
      </c>
      <c r="C40" s="20" t="s">
        <v>190</v>
      </c>
      <c r="D40" s="21">
        <v>2111.5716033290137</v>
      </c>
      <c r="E40" s="25">
        <v>2151.2217790480172</v>
      </c>
      <c r="F40" s="26">
        <v>2142.9156187872968</v>
      </c>
      <c r="H40" t="s">
        <v>1031</v>
      </c>
    </row>
    <row r="41" spans="1:8" ht="15.75" thickBot="1" x14ac:dyDescent="0.3">
      <c r="A41" s="24">
        <v>14</v>
      </c>
      <c r="B41" s="20" t="s">
        <v>191</v>
      </c>
      <c r="C41" s="20" t="s">
        <v>192</v>
      </c>
      <c r="D41" s="21">
        <v>2065.5934655640858</v>
      </c>
      <c r="E41" s="25">
        <v>2082.5054071699387</v>
      </c>
      <c r="F41" s="26">
        <v>2082.1425556197441</v>
      </c>
      <c r="H41" t="s">
        <v>1031</v>
      </c>
    </row>
    <row r="42" spans="1:8" ht="15.75" thickBot="1" x14ac:dyDescent="0.3">
      <c r="A42" s="24">
        <v>15</v>
      </c>
      <c r="B42" s="20" t="s">
        <v>193</v>
      </c>
      <c r="C42" s="20" t="s">
        <v>194</v>
      </c>
      <c r="D42" s="21">
        <v>2047.8105361849766</v>
      </c>
      <c r="E42" s="25">
        <v>2011.2459103995855</v>
      </c>
      <c r="F42" s="26">
        <v>1999.2074170421029</v>
      </c>
      <c r="H42" t="s">
        <v>1031</v>
      </c>
    </row>
    <row r="43" spans="1:8" ht="15.75" thickBot="1" x14ac:dyDescent="0.3">
      <c r="A43" s="24">
        <v>16</v>
      </c>
      <c r="B43" s="20" t="s">
        <v>196</v>
      </c>
      <c r="C43" s="20" t="s">
        <v>197</v>
      </c>
      <c r="D43" s="21">
        <v>2029.7385368406767</v>
      </c>
      <c r="E43" s="25">
        <v>2023.7265315933423</v>
      </c>
      <c r="F43" s="26">
        <v>2014.1456827590919</v>
      </c>
      <c r="H43" t="s">
        <v>1031</v>
      </c>
    </row>
    <row r="44" spans="1:8" ht="15.75" thickBot="1" x14ac:dyDescent="0.3">
      <c r="A44" s="24">
        <v>17</v>
      </c>
      <c r="B44" s="20" t="s">
        <v>198</v>
      </c>
      <c r="C44" s="20" t="s">
        <v>199</v>
      </c>
      <c r="D44" s="21">
        <v>1875.9252781891223</v>
      </c>
      <c r="E44" s="25">
        <v>1833.752728897409</v>
      </c>
      <c r="F44" s="26">
        <v>1833.752728897409</v>
      </c>
      <c r="H44" t="s">
        <v>1031</v>
      </c>
    </row>
    <row r="45" spans="1:8" ht="15.75" thickBot="1" x14ac:dyDescent="0.3">
      <c r="A45" s="24">
        <v>18</v>
      </c>
      <c r="B45" s="20" t="s">
        <v>200</v>
      </c>
      <c r="C45" s="20" t="s">
        <v>201</v>
      </c>
      <c r="D45" s="21">
        <v>1894.2272816119016</v>
      </c>
      <c r="E45" s="25">
        <v>1847.3911239226065</v>
      </c>
      <c r="F45" s="26">
        <v>1847.3911239226065</v>
      </c>
      <c r="H45" t="s">
        <v>1031</v>
      </c>
    </row>
    <row r="46" spans="1:8" ht="15.75" thickBot="1" x14ac:dyDescent="0.3">
      <c r="A46" s="24">
        <v>19</v>
      </c>
      <c r="B46" s="20" t="s">
        <v>202</v>
      </c>
      <c r="C46" s="20" t="s">
        <v>203</v>
      </c>
      <c r="D46" s="21">
        <v>1929.3910828969913</v>
      </c>
      <c r="E46" s="25">
        <v>1878.4980070891529</v>
      </c>
      <c r="F46" s="26">
        <v>1878.4980070891529</v>
      </c>
      <c r="H46" t="s">
        <v>1031</v>
      </c>
    </row>
    <row r="47" spans="1:8" x14ac:dyDescent="0.25">
      <c r="A47" s="80" t="s">
        <v>109</v>
      </c>
      <c r="B47" s="77"/>
      <c r="C47" s="77"/>
      <c r="D47" s="81"/>
      <c r="E47" s="77"/>
      <c r="F47" s="77"/>
      <c r="H47" t="s">
        <v>1031</v>
      </c>
    </row>
    <row r="48" spans="1:8" x14ac:dyDescent="0.25">
      <c r="A48" s="77" t="s">
        <v>165</v>
      </c>
      <c r="B48" s="77">
        <v>2333.3158352174805</v>
      </c>
      <c r="C48" s="77"/>
      <c r="D48" s="81"/>
      <c r="E48" s="77"/>
      <c r="F48" s="77"/>
      <c r="H48" t="s">
        <v>1031</v>
      </c>
    </row>
    <row r="49" spans="1:8" x14ac:dyDescent="0.25">
      <c r="A49" s="77" t="s">
        <v>179</v>
      </c>
      <c r="B49" s="77">
        <v>2143.2394068330118</v>
      </c>
      <c r="C49" s="77"/>
      <c r="D49" s="81"/>
      <c r="E49" s="77"/>
      <c r="F49" s="77"/>
      <c r="H49" t="s">
        <v>1031</v>
      </c>
    </row>
    <row r="50" spans="1:8" x14ac:dyDescent="0.25">
      <c r="A50" s="77" t="s">
        <v>181</v>
      </c>
      <c r="B50" s="77">
        <v>2154.3925152218153</v>
      </c>
      <c r="C50" s="77"/>
      <c r="D50" s="81"/>
      <c r="E50" s="77"/>
      <c r="F50" s="77"/>
      <c r="H50" t="s">
        <v>1031</v>
      </c>
    </row>
    <row r="51" spans="1:8" x14ac:dyDescent="0.25">
      <c r="A51" s="77" t="s">
        <v>196</v>
      </c>
      <c r="B51" s="77">
        <v>2023.7265315933423</v>
      </c>
      <c r="C51" s="77"/>
      <c r="D51" s="81"/>
      <c r="E51" s="77"/>
      <c r="F51" s="77"/>
      <c r="H51" t="s">
        <v>1031</v>
      </c>
    </row>
    <row r="52" spans="1:8" ht="15.75" thickBot="1" x14ac:dyDescent="0.3">
      <c r="A52" s="77" t="s">
        <v>198</v>
      </c>
      <c r="B52" s="77">
        <v>1833.752728897409</v>
      </c>
      <c r="C52" s="77"/>
      <c r="D52" s="81"/>
      <c r="E52" s="77"/>
      <c r="F52" s="77"/>
      <c r="H52" t="s">
        <v>1031</v>
      </c>
    </row>
    <row r="53" spans="1:8" ht="15.75" thickBot="1" x14ac:dyDescent="0.3">
      <c r="A53" s="9" t="s">
        <v>9</v>
      </c>
      <c r="B53" s="10" t="s">
        <v>10</v>
      </c>
      <c r="C53" s="11" t="s">
        <v>11</v>
      </c>
      <c r="D53" s="12" t="s">
        <v>12</v>
      </c>
      <c r="E53" s="13" t="s">
        <v>13</v>
      </c>
      <c r="F53" s="12" t="s">
        <v>14</v>
      </c>
      <c r="H53" t="s">
        <v>1032</v>
      </c>
    </row>
    <row r="54" spans="1:8" ht="15.75" thickBot="1" x14ac:dyDescent="0.3">
      <c r="A54" s="19">
        <v>1</v>
      </c>
      <c r="B54" s="20" t="s">
        <v>634</v>
      </c>
      <c r="C54" s="20" t="s">
        <v>633</v>
      </c>
      <c r="D54" s="21">
        <v>2537.8748707914665</v>
      </c>
      <c r="E54" s="22">
        <v>2504.9734736000346</v>
      </c>
      <c r="F54" s="23">
        <v>2494.7652302568054</v>
      </c>
      <c r="H54" t="s">
        <v>1032</v>
      </c>
    </row>
    <row r="55" spans="1:8" ht="15.75" thickBot="1" x14ac:dyDescent="0.3">
      <c r="A55" s="24">
        <v>2</v>
      </c>
      <c r="B55" s="20" t="s">
        <v>640</v>
      </c>
      <c r="C55" s="20" t="s">
        <v>639</v>
      </c>
      <c r="D55" s="21">
        <v>2521.1020498080788</v>
      </c>
      <c r="E55" s="25">
        <v>2566.5229275315605</v>
      </c>
      <c r="F55" s="26">
        <v>2576.6895575813751</v>
      </c>
      <c r="H55" t="s">
        <v>1032</v>
      </c>
    </row>
    <row r="56" spans="1:8" ht="15.75" thickBot="1" x14ac:dyDescent="0.3">
      <c r="A56" s="24">
        <v>3</v>
      </c>
      <c r="B56" s="20" t="s">
        <v>654</v>
      </c>
      <c r="C56" s="20" t="s">
        <v>653</v>
      </c>
      <c r="D56" s="21">
        <v>2413.7157394938272</v>
      </c>
      <c r="E56" s="25">
        <v>2434.1263930010114</v>
      </c>
      <c r="F56" s="26">
        <v>2423.6846092676101</v>
      </c>
      <c r="H56" t="s">
        <v>1032</v>
      </c>
    </row>
    <row r="57" spans="1:8" ht="15.75" thickBot="1" x14ac:dyDescent="0.3">
      <c r="A57" s="24">
        <v>4</v>
      </c>
      <c r="B57" s="20" t="s">
        <v>648</v>
      </c>
      <c r="C57" s="20" t="s">
        <v>647</v>
      </c>
      <c r="D57" s="21">
        <v>2413.5003812693762</v>
      </c>
      <c r="E57" s="25">
        <v>2386.7911983309832</v>
      </c>
      <c r="F57" s="26">
        <v>2407.1159789073695</v>
      </c>
      <c r="H57" t="s">
        <v>1032</v>
      </c>
    </row>
    <row r="58" spans="1:8" ht="15.75" thickBot="1" x14ac:dyDescent="0.3">
      <c r="A58" s="24">
        <v>5</v>
      </c>
      <c r="B58" s="20" t="s">
        <v>626</v>
      </c>
      <c r="C58" s="20" t="s">
        <v>625</v>
      </c>
      <c r="D58" s="21">
        <v>2411.3980889405284</v>
      </c>
      <c r="E58" s="25">
        <v>2435.7789674322366</v>
      </c>
      <c r="F58" s="26">
        <v>2432.4965464774205</v>
      </c>
      <c r="H58" t="s">
        <v>1032</v>
      </c>
    </row>
    <row r="59" spans="1:8" ht="15.75" thickBot="1" x14ac:dyDescent="0.3">
      <c r="A59" s="24">
        <v>6</v>
      </c>
      <c r="B59" s="20" t="s">
        <v>652</v>
      </c>
      <c r="C59" s="20" t="s">
        <v>651</v>
      </c>
      <c r="D59" s="21">
        <v>2375.053097155987</v>
      </c>
      <c r="E59" s="25">
        <v>2330.2298733196999</v>
      </c>
      <c r="F59" s="26">
        <v>2311.8485055913134</v>
      </c>
      <c r="H59" t="s">
        <v>1032</v>
      </c>
    </row>
    <row r="60" spans="1:8" ht="15.75" thickBot="1" x14ac:dyDescent="0.3">
      <c r="A60" s="24">
        <v>7</v>
      </c>
      <c r="B60" s="20" t="s">
        <v>658</v>
      </c>
      <c r="C60" s="20" t="s">
        <v>657</v>
      </c>
      <c r="D60" s="21">
        <v>2373.4548553972368</v>
      </c>
      <c r="E60" s="25">
        <v>2398.6552232079011</v>
      </c>
      <c r="F60" s="26">
        <v>2424.3251569122449</v>
      </c>
      <c r="H60" t="s">
        <v>1032</v>
      </c>
    </row>
    <row r="61" spans="1:8" ht="15.75" thickBot="1" x14ac:dyDescent="0.3">
      <c r="A61" s="24">
        <v>8</v>
      </c>
      <c r="B61" s="20" t="s">
        <v>616</v>
      </c>
      <c r="C61" s="20" t="s">
        <v>614</v>
      </c>
      <c r="D61" s="21">
        <v>2366.7411744211154</v>
      </c>
      <c r="E61" s="25">
        <v>2394.0636859517681</v>
      </c>
      <c r="F61" s="26">
        <v>2377.208136429545</v>
      </c>
      <c r="H61" t="s">
        <v>1032</v>
      </c>
    </row>
    <row r="62" spans="1:8" ht="15.75" thickBot="1" x14ac:dyDescent="0.3">
      <c r="A62" s="24">
        <v>9</v>
      </c>
      <c r="B62" s="20" t="s">
        <v>642</v>
      </c>
      <c r="C62" s="20" t="s">
        <v>641</v>
      </c>
      <c r="D62" s="21">
        <v>2345.1430549012343</v>
      </c>
      <c r="E62" s="25">
        <v>2389.5607908815518</v>
      </c>
      <c r="F62" s="26">
        <v>2373.4332491326863</v>
      </c>
      <c r="H62" t="s">
        <v>1032</v>
      </c>
    </row>
    <row r="63" spans="1:8" ht="15.75" thickBot="1" x14ac:dyDescent="0.3">
      <c r="A63" s="24">
        <v>10</v>
      </c>
      <c r="B63" s="20" t="s">
        <v>618</v>
      </c>
      <c r="C63" s="20" t="s">
        <v>617</v>
      </c>
      <c r="D63" s="21">
        <v>2357.6838122545587</v>
      </c>
      <c r="E63" s="25">
        <v>2333.2390839598011</v>
      </c>
      <c r="F63" s="26">
        <v>2343.2031299867836</v>
      </c>
      <c r="H63" t="s">
        <v>1032</v>
      </c>
    </row>
    <row r="64" spans="1:8" ht="15.75" thickBot="1" x14ac:dyDescent="0.3">
      <c r="A64" s="24">
        <v>11</v>
      </c>
      <c r="B64" s="20" t="s">
        <v>636</v>
      </c>
      <c r="C64" s="20" t="s">
        <v>635</v>
      </c>
      <c r="D64" s="21">
        <v>2340.9367997858221</v>
      </c>
      <c r="E64" s="25">
        <v>2388.4872315198268</v>
      </c>
      <c r="F64" s="26">
        <v>2391.8112657680576</v>
      </c>
      <c r="H64" t="s">
        <v>1032</v>
      </c>
    </row>
    <row r="65" spans="1:8" ht="15.75" thickBot="1" x14ac:dyDescent="0.3">
      <c r="A65" s="24">
        <v>12</v>
      </c>
      <c r="B65" s="20" t="s">
        <v>638</v>
      </c>
      <c r="C65" s="20" t="s">
        <v>637</v>
      </c>
      <c r="D65" s="21">
        <v>2319.1430928811537</v>
      </c>
      <c r="E65" s="25">
        <v>2262.3004433771312</v>
      </c>
      <c r="F65" s="26">
        <v>2275.7602767241924</v>
      </c>
      <c r="H65" t="s">
        <v>1032</v>
      </c>
    </row>
    <row r="66" spans="1:8" ht="15.75" thickBot="1" x14ac:dyDescent="0.3">
      <c r="A66" s="24">
        <v>13</v>
      </c>
      <c r="B66" s="20" t="s">
        <v>517</v>
      </c>
      <c r="C66" s="20" t="s">
        <v>516</v>
      </c>
      <c r="D66" s="21">
        <v>2316.2969734080621</v>
      </c>
      <c r="E66" s="25">
        <v>2375.4679273587694</v>
      </c>
      <c r="F66" s="26">
        <v>2377.0953269100501</v>
      </c>
      <c r="H66" t="s">
        <v>1032</v>
      </c>
    </row>
    <row r="67" spans="1:8" ht="15.75" thickBot="1" x14ac:dyDescent="0.3">
      <c r="A67" s="24">
        <v>14</v>
      </c>
      <c r="B67" s="20" t="s">
        <v>650</v>
      </c>
      <c r="C67" s="20" t="s">
        <v>649</v>
      </c>
      <c r="D67" s="21">
        <v>2316.272580612786</v>
      </c>
      <c r="E67" s="25">
        <v>2293.1347192078842</v>
      </c>
      <c r="F67" s="26">
        <v>2278.973434353381</v>
      </c>
      <c r="H67" t="s">
        <v>1032</v>
      </c>
    </row>
    <row r="68" spans="1:8" ht="15.75" thickBot="1" x14ac:dyDescent="0.3">
      <c r="A68" s="24">
        <v>15</v>
      </c>
      <c r="B68" s="20" t="s">
        <v>664</v>
      </c>
      <c r="C68" s="20" t="s">
        <v>663</v>
      </c>
      <c r="D68" s="21">
        <v>2215.5305281096694</v>
      </c>
      <c r="E68" s="25">
        <v>2169.3540108702814</v>
      </c>
      <c r="F68" s="26">
        <v>2175.1561813868898</v>
      </c>
      <c r="H68" t="s">
        <v>1032</v>
      </c>
    </row>
    <row r="69" spans="1:8" ht="15.75" thickBot="1" x14ac:dyDescent="0.3">
      <c r="A69" s="24">
        <v>16</v>
      </c>
      <c r="B69" s="20" t="s">
        <v>671</v>
      </c>
      <c r="C69" s="20" t="s">
        <v>670</v>
      </c>
      <c r="D69" s="21">
        <v>2194.8825329107262</v>
      </c>
      <c r="E69" s="25">
        <v>2156.0436825911879</v>
      </c>
      <c r="F69" s="26">
        <v>2155.1630464559048</v>
      </c>
      <c r="H69" t="s">
        <v>1032</v>
      </c>
    </row>
    <row r="70" spans="1:8" x14ac:dyDescent="0.25">
      <c r="A70" s="80" t="s">
        <v>109</v>
      </c>
      <c r="B70" s="77"/>
      <c r="C70" s="77"/>
      <c r="D70" s="81"/>
      <c r="E70" s="77"/>
      <c r="F70" s="77"/>
      <c r="H70" t="s">
        <v>1032</v>
      </c>
    </row>
    <row r="71" spans="1:8" x14ac:dyDescent="0.25">
      <c r="A71" s="77" t="s">
        <v>634</v>
      </c>
      <c r="B71" s="77">
        <v>2504.9734736000346</v>
      </c>
      <c r="C71" s="77"/>
      <c r="D71" s="81"/>
      <c r="E71" s="77"/>
      <c r="F71" s="77"/>
      <c r="H71" t="s">
        <v>1032</v>
      </c>
    </row>
    <row r="72" spans="1:8" x14ac:dyDescent="0.25">
      <c r="A72" s="77" t="s">
        <v>616</v>
      </c>
      <c r="B72" s="77">
        <v>2394.0636859517681</v>
      </c>
      <c r="C72" s="77"/>
      <c r="D72" s="81"/>
      <c r="E72" s="77"/>
      <c r="F72" s="77"/>
      <c r="H72" t="s">
        <v>1032</v>
      </c>
    </row>
    <row r="73" spans="1:8" x14ac:dyDescent="0.25">
      <c r="A73" s="77" t="s">
        <v>642</v>
      </c>
      <c r="B73" s="77">
        <v>2389.5607908815518</v>
      </c>
      <c r="C73" s="77"/>
      <c r="D73" s="81"/>
      <c r="E73" s="77"/>
      <c r="F73" s="77"/>
      <c r="H73" t="s">
        <v>1032</v>
      </c>
    </row>
    <row r="74" spans="1:8" x14ac:dyDescent="0.25">
      <c r="A74" s="77" t="s">
        <v>671</v>
      </c>
      <c r="B74" s="77">
        <v>2156.0436825911879</v>
      </c>
      <c r="C74" s="77"/>
      <c r="D74" s="81"/>
      <c r="E74" s="77"/>
      <c r="F74" s="77"/>
      <c r="H74" t="s">
        <v>1032</v>
      </c>
    </row>
    <row r="75" spans="1:8" ht="15.75" thickBot="1" x14ac:dyDescent="0.3">
      <c r="A75" s="77">
        <v>0</v>
      </c>
      <c r="B75" s="77" t="e">
        <v>#N/A</v>
      </c>
      <c r="C75" s="77"/>
      <c r="D75" s="81"/>
      <c r="E75" s="77"/>
      <c r="F75" s="77"/>
      <c r="H75" t="s">
        <v>1032</v>
      </c>
    </row>
    <row r="76" spans="1:8" ht="15.75" thickBot="1" x14ac:dyDescent="0.3">
      <c r="A76" s="9" t="s">
        <v>9</v>
      </c>
      <c r="B76" s="10" t="s">
        <v>10</v>
      </c>
      <c r="C76" s="11" t="s">
        <v>11</v>
      </c>
      <c r="D76" s="12" t="s">
        <v>12</v>
      </c>
      <c r="E76" s="13" t="s">
        <v>13</v>
      </c>
      <c r="F76" s="12" t="s">
        <v>14</v>
      </c>
      <c r="H76" t="s">
        <v>1033</v>
      </c>
    </row>
    <row r="77" spans="1:8" ht="15.75" thickBot="1" x14ac:dyDescent="0.3">
      <c r="A77" s="19">
        <v>1</v>
      </c>
      <c r="B77" s="20" t="s">
        <v>238</v>
      </c>
      <c r="C77" s="20" t="s">
        <v>239</v>
      </c>
      <c r="D77" s="21">
        <v>2646.8788938853718</v>
      </c>
      <c r="E77" s="22">
        <v>2678.8837604353203</v>
      </c>
      <c r="F77" s="23">
        <v>2667.1933549809742</v>
      </c>
      <c r="H77" t="s">
        <v>1033</v>
      </c>
    </row>
    <row r="78" spans="1:8" ht="15.75" thickBot="1" x14ac:dyDescent="0.3">
      <c r="A78" s="24">
        <v>2</v>
      </c>
      <c r="B78" s="20" t="s">
        <v>240</v>
      </c>
      <c r="C78" s="20" t="s">
        <v>241</v>
      </c>
      <c r="D78" s="21">
        <v>2624.0258612014063</v>
      </c>
      <c r="E78" s="25">
        <v>2635.6330001351084</v>
      </c>
      <c r="F78" s="26">
        <v>2628.6237730741791</v>
      </c>
      <c r="H78" t="s">
        <v>1033</v>
      </c>
    </row>
    <row r="79" spans="1:8" ht="15.75" thickBot="1" x14ac:dyDescent="0.3">
      <c r="A79" s="24">
        <v>3</v>
      </c>
      <c r="B79" s="20" t="s">
        <v>242</v>
      </c>
      <c r="C79" s="20" t="s">
        <v>243</v>
      </c>
      <c r="D79" s="21">
        <v>2622.3839182783236</v>
      </c>
      <c r="E79" s="25">
        <v>2599.1295252601681</v>
      </c>
      <c r="F79" s="26">
        <v>2590.2182334242057</v>
      </c>
      <c r="H79" t="s">
        <v>1033</v>
      </c>
    </row>
    <row r="80" spans="1:8" ht="15.75" thickBot="1" x14ac:dyDescent="0.3">
      <c r="A80" s="24">
        <v>4</v>
      </c>
      <c r="B80" s="20" t="s">
        <v>244</v>
      </c>
      <c r="C80" s="20" t="s">
        <v>245</v>
      </c>
      <c r="D80" s="21">
        <v>2602.0670906930518</v>
      </c>
      <c r="E80" s="25">
        <v>2559.3800974918427</v>
      </c>
      <c r="F80" s="26">
        <v>2553.29021214473</v>
      </c>
      <c r="H80" t="s">
        <v>1033</v>
      </c>
    </row>
    <row r="81" spans="1:8" ht="15.75" thickBot="1" x14ac:dyDescent="0.3">
      <c r="A81" s="24">
        <v>5</v>
      </c>
      <c r="B81" s="20" t="s">
        <v>246</v>
      </c>
      <c r="C81" s="20" t="s">
        <v>247</v>
      </c>
      <c r="D81" s="21">
        <v>2566.2013148883184</v>
      </c>
      <c r="E81" s="25">
        <v>2489.3402214348453</v>
      </c>
      <c r="F81" s="26">
        <v>2489.3402214348453</v>
      </c>
      <c r="H81" t="s">
        <v>1033</v>
      </c>
    </row>
    <row r="82" spans="1:8" ht="15.75" thickBot="1" x14ac:dyDescent="0.3">
      <c r="A82" s="24">
        <v>6</v>
      </c>
      <c r="B82" s="20" t="s">
        <v>248</v>
      </c>
      <c r="C82" s="20" t="s">
        <v>249</v>
      </c>
      <c r="D82" s="21">
        <v>2557.9878915283052</v>
      </c>
      <c r="E82" s="25">
        <v>2481.3209735373598</v>
      </c>
      <c r="F82" s="26">
        <v>2481.3209735373598</v>
      </c>
      <c r="H82" t="s">
        <v>1033</v>
      </c>
    </row>
    <row r="83" spans="1:8" ht="15.75" thickBot="1" x14ac:dyDescent="0.3">
      <c r="A83" s="24">
        <v>7</v>
      </c>
      <c r="B83" s="20" t="s">
        <v>250</v>
      </c>
      <c r="C83" s="20" t="s">
        <v>251</v>
      </c>
      <c r="D83" s="21">
        <v>2554.3553976514154</v>
      </c>
      <c r="E83" s="25">
        <v>2619.3278714711464</v>
      </c>
      <c r="F83" s="26">
        <v>2645.4048474791375</v>
      </c>
      <c r="H83" t="s">
        <v>1033</v>
      </c>
    </row>
    <row r="84" spans="1:8" ht="15.75" thickBot="1" x14ac:dyDescent="0.3">
      <c r="A84" s="24">
        <v>8</v>
      </c>
      <c r="B84" s="20" t="s">
        <v>252</v>
      </c>
      <c r="C84" s="20" t="s">
        <v>253</v>
      </c>
      <c r="D84" s="21">
        <v>2551.571394209886</v>
      </c>
      <c r="E84" s="25">
        <v>2592.2314390834831</v>
      </c>
      <c r="F84" s="26">
        <v>2584.8540955907674</v>
      </c>
      <c r="H84" t="s">
        <v>1033</v>
      </c>
    </row>
    <row r="85" spans="1:8" ht="15.75" thickBot="1" x14ac:dyDescent="0.3">
      <c r="A85" s="24">
        <v>9</v>
      </c>
      <c r="B85" s="20" t="s">
        <v>254</v>
      </c>
      <c r="C85" s="20" t="s">
        <v>255</v>
      </c>
      <c r="D85" s="21">
        <v>2535.7339513621905</v>
      </c>
      <c r="E85" s="25">
        <v>2582.6171265933272</v>
      </c>
      <c r="F85" s="26">
        <v>2605.0099691087071</v>
      </c>
      <c r="H85" t="s">
        <v>1033</v>
      </c>
    </row>
    <row r="86" spans="1:8" ht="15.75" thickBot="1" x14ac:dyDescent="0.3">
      <c r="A86" s="440">
        <v>10</v>
      </c>
      <c r="B86" s="20" t="s">
        <v>256</v>
      </c>
      <c r="C86" s="20" t="s">
        <v>257</v>
      </c>
      <c r="D86" s="21">
        <v>2532.8046893748628</v>
      </c>
      <c r="E86" s="441">
        <v>2556.1463876305306</v>
      </c>
      <c r="F86" s="442">
        <v>2548.7547222982257</v>
      </c>
      <c r="H86" t="s">
        <v>1033</v>
      </c>
    </row>
    <row r="87" spans="1:8" x14ac:dyDescent="0.25">
      <c r="A87" s="80" t="s">
        <v>109</v>
      </c>
      <c r="B87" s="77"/>
      <c r="C87" s="77"/>
      <c r="D87" s="81"/>
      <c r="E87" s="77"/>
      <c r="F87" s="77"/>
      <c r="H87" t="s">
        <v>1033</v>
      </c>
    </row>
    <row r="88" spans="1:8" x14ac:dyDescent="0.25">
      <c r="A88" s="77" t="s">
        <v>238</v>
      </c>
      <c r="B88" s="77">
        <v>2678.8837604353203</v>
      </c>
      <c r="C88" s="77"/>
      <c r="D88" s="81"/>
      <c r="E88" s="77"/>
      <c r="F88" s="77"/>
      <c r="H88" t="s">
        <v>1033</v>
      </c>
    </row>
    <row r="89" spans="1:8" x14ac:dyDescent="0.25">
      <c r="A89" s="77" t="s">
        <v>244</v>
      </c>
      <c r="B89" s="77">
        <v>2559.3800974918427</v>
      </c>
      <c r="C89" s="77"/>
      <c r="D89" s="81"/>
      <c r="E89" s="77"/>
      <c r="F89" s="77"/>
      <c r="H89" t="s">
        <v>1033</v>
      </c>
    </row>
    <row r="90" spans="1:8" x14ac:dyDescent="0.25">
      <c r="A90" s="77" t="s">
        <v>246</v>
      </c>
      <c r="B90" s="77">
        <v>2489.3402214348453</v>
      </c>
      <c r="C90" s="77"/>
      <c r="D90" s="81"/>
      <c r="E90" s="77"/>
      <c r="F90" s="77"/>
      <c r="H90" t="s">
        <v>1033</v>
      </c>
    </row>
    <row r="91" spans="1:8" x14ac:dyDescent="0.25">
      <c r="A91" s="77" t="s">
        <v>252</v>
      </c>
      <c r="B91" s="77">
        <v>2592.2314390834831</v>
      </c>
      <c r="C91" s="77"/>
      <c r="D91" s="81"/>
      <c r="E91" s="77"/>
      <c r="F91" s="77"/>
      <c r="H91" t="s">
        <v>1033</v>
      </c>
    </row>
    <row r="92" spans="1:8" ht="15.75" thickBot="1" x14ac:dyDescent="0.3">
      <c r="A92" s="77" t="s">
        <v>254</v>
      </c>
      <c r="B92" s="77">
        <v>2582.6171265933272</v>
      </c>
      <c r="C92" s="77"/>
      <c r="D92" s="81"/>
      <c r="E92" s="77"/>
      <c r="F92" s="77"/>
      <c r="H92" t="s">
        <v>1033</v>
      </c>
    </row>
    <row r="93" spans="1:8" ht="15.75" thickBot="1" x14ac:dyDescent="0.3">
      <c r="A93" s="9" t="s">
        <v>9</v>
      </c>
      <c r="B93" s="10" t="s">
        <v>10</v>
      </c>
      <c r="C93" s="11" t="s">
        <v>11</v>
      </c>
      <c r="D93" s="12" t="s">
        <v>12</v>
      </c>
      <c r="E93" s="13" t="s">
        <v>13</v>
      </c>
      <c r="F93" s="12" t="s">
        <v>14</v>
      </c>
      <c r="H93" t="s">
        <v>1034</v>
      </c>
    </row>
    <row r="94" spans="1:8" ht="15.75" thickBot="1" x14ac:dyDescent="0.3">
      <c r="A94" s="19">
        <v>1</v>
      </c>
      <c r="B94" s="20" t="s">
        <v>262</v>
      </c>
      <c r="C94" s="20" t="s">
        <v>263</v>
      </c>
      <c r="D94" s="21">
        <v>2531.9153909770039</v>
      </c>
      <c r="E94" s="22">
        <v>2610.403755270524</v>
      </c>
      <c r="F94" s="23">
        <v>2616.9676096987464</v>
      </c>
      <c r="H94" t="s">
        <v>1034</v>
      </c>
    </row>
    <row r="95" spans="1:8" ht="15.75" thickBot="1" x14ac:dyDescent="0.3">
      <c r="A95" s="24">
        <v>2</v>
      </c>
      <c r="B95" s="20" t="s">
        <v>264</v>
      </c>
      <c r="C95" s="20" t="s">
        <v>265</v>
      </c>
      <c r="D95" s="21">
        <v>2520.0583393752127</v>
      </c>
      <c r="E95" s="25">
        <v>2517.4666315372106</v>
      </c>
      <c r="F95" s="26">
        <v>2509.1248068497748</v>
      </c>
      <c r="H95" t="s">
        <v>1034</v>
      </c>
    </row>
    <row r="96" spans="1:8" ht="15.75" thickBot="1" x14ac:dyDescent="0.3">
      <c r="A96" s="24">
        <v>3</v>
      </c>
      <c r="B96" s="20" t="s">
        <v>266</v>
      </c>
      <c r="C96" s="20" t="s">
        <v>267</v>
      </c>
      <c r="D96" s="21">
        <v>2501.7317909930653</v>
      </c>
      <c r="E96" s="25">
        <v>2503.2266960748084</v>
      </c>
      <c r="F96" s="26">
        <v>2497.6191281186948</v>
      </c>
      <c r="H96" t="s">
        <v>1034</v>
      </c>
    </row>
    <row r="97" spans="1:8" ht="15.75" thickBot="1" x14ac:dyDescent="0.3">
      <c r="A97" s="24">
        <v>4</v>
      </c>
      <c r="B97" s="20" t="s">
        <v>268</v>
      </c>
      <c r="C97" s="20" t="s">
        <v>269</v>
      </c>
      <c r="D97" s="21">
        <v>2464.3992066653695</v>
      </c>
      <c r="E97" s="25">
        <v>2502.6123297987565</v>
      </c>
      <c r="F97" s="26">
        <v>2509.9978680140835</v>
      </c>
      <c r="H97" t="s">
        <v>1034</v>
      </c>
    </row>
    <row r="98" spans="1:8" ht="15.75" thickBot="1" x14ac:dyDescent="0.3">
      <c r="A98" s="24">
        <v>5</v>
      </c>
      <c r="B98" s="20" t="s">
        <v>270</v>
      </c>
      <c r="C98" s="20" t="s">
        <v>271</v>
      </c>
      <c r="D98" s="21">
        <v>2450.9074358683274</v>
      </c>
      <c r="E98" s="25">
        <v>2422.5577357365946</v>
      </c>
      <c r="F98" s="26">
        <v>2439.393995156976</v>
      </c>
      <c r="H98" t="s">
        <v>1034</v>
      </c>
    </row>
    <row r="99" spans="1:8" ht="15.75" thickBot="1" x14ac:dyDescent="0.3">
      <c r="A99" s="24">
        <v>6</v>
      </c>
      <c r="B99" s="20" t="s">
        <v>272</v>
      </c>
      <c r="C99" s="20" t="s">
        <v>273</v>
      </c>
      <c r="D99" s="21">
        <v>2438.9560736569474</v>
      </c>
      <c r="E99" s="25">
        <v>2382.5180283075724</v>
      </c>
      <c r="F99" s="26">
        <v>2382.5180283075724</v>
      </c>
      <c r="H99" t="s">
        <v>1034</v>
      </c>
    </row>
    <row r="100" spans="1:8" ht="15.75" thickBot="1" x14ac:dyDescent="0.3">
      <c r="A100" s="24">
        <v>7</v>
      </c>
      <c r="B100" s="20" t="s">
        <v>274</v>
      </c>
      <c r="C100" s="20" t="s">
        <v>275</v>
      </c>
      <c r="D100" s="21">
        <v>2421.5536280299398</v>
      </c>
      <c r="E100" s="25">
        <v>2458.9621720165987</v>
      </c>
      <c r="F100" s="26">
        <v>2453.8591054747999</v>
      </c>
      <c r="H100" t="s">
        <v>1034</v>
      </c>
    </row>
    <row r="101" spans="1:8" ht="15.75" thickBot="1" x14ac:dyDescent="0.3">
      <c r="A101" s="24">
        <v>8</v>
      </c>
      <c r="B101" s="20" t="s">
        <v>276</v>
      </c>
      <c r="C101" s="20" t="s">
        <v>277</v>
      </c>
      <c r="D101" s="21">
        <v>2376.4825129198039</v>
      </c>
      <c r="E101" s="25">
        <v>2338.3392242946156</v>
      </c>
      <c r="F101" s="26">
        <v>2333.0102076788698</v>
      </c>
      <c r="H101" t="s">
        <v>1034</v>
      </c>
    </row>
    <row r="102" spans="1:8" ht="15.75" thickBot="1" x14ac:dyDescent="0.3">
      <c r="A102" s="24">
        <v>9</v>
      </c>
      <c r="B102" s="20" t="s">
        <v>278</v>
      </c>
      <c r="C102" s="20" t="s">
        <v>279</v>
      </c>
      <c r="D102" s="21">
        <v>2334.1471641922385</v>
      </c>
      <c r="E102" s="25">
        <v>2283.9386655222524</v>
      </c>
      <c r="F102" s="26">
        <v>2283.9386655222524</v>
      </c>
      <c r="H102" t="s">
        <v>1034</v>
      </c>
    </row>
    <row r="103" spans="1:8" ht="15.75" thickBot="1" x14ac:dyDescent="0.3">
      <c r="A103" s="440">
        <v>10</v>
      </c>
      <c r="B103" s="20" t="s">
        <v>280</v>
      </c>
      <c r="C103" s="20" t="s">
        <v>281</v>
      </c>
      <c r="D103" s="21">
        <v>2332.1838374588774</v>
      </c>
      <c r="E103" s="441">
        <v>2352.3101415778524</v>
      </c>
      <c r="F103" s="442">
        <v>2345.9059653150157</v>
      </c>
      <c r="H103" t="s">
        <v>1034</v>
      </c>
    </row>
    <row r="104" spans="1:8" x14ac:dyDescent="0.25">
      <c r="A104" s="80" t="s">
        <v>109</v>
      </c>
      <c r="B104" s="77"/>
      <c r="C104" s="77"/>
      <c r="D104" s="81"/>
      <c r="E104" s="77"/>
      <c r="F104" s="77"/>
      <c r="H104" t="s">
        <v>1034</v>
      </c>
    </row>
    <row r="105" spans="1:8" x14ac:dyDescent="0.25">
      <c r="A105" s="77" t="s">
        <v>262</v>
      </c>
      <c r="B105" s="77">
        <v>2610.403755270524</v>
      </c>
      <c r="C105" s="77"/>
      <c r="D105" s="81"/>
      <c r="E105" s="77"/>
      <c r="F105" s="77"/>
      <c r="H105" t="s">
        <v>1034</v>
      </c>
    </row>
    <row r="106" spans="1:8" x14ac:dyDescent="0.25">
      <c r="A106" s="77" t="s">
        <v>268</v>
      </c>
      <c r="B106" s="77">
        <v>2502.6123297987565</v>
      </c>
      <c r="C106" s="77"/>
      <c r="D106" s="81"/>
      <c r="E106" s="77"/>
      <c r="F106" s="77"/>
      <c r="H106" t="s">
        <v>1034</v>
      </c>
    </row>
    <row r="107" spans="1:8" x14ac:dyDescent="0.25">
      <c r="A107" s="77" t="s">
        <v>270</v>
      </c>
      <c r="B107" s="77">
        <v>2422.5577357365946</v>
      </c>
      <c r="C107" s="77"/>
      <c r="D107" s="81"/>
      <c r="E107" s="77"/>
      <c r="F107" s="77"/>
      <c r="H107" t="s">
        <v>1034</v>
      </c>
    </row>
    <row r="108" spans="1:8" x14ac:dyDescent="0.25">
      <c r="A108" s="77" t="s">
        <v>276</v>
      </c>
      <c r="B108" s="77">
        <v>2338.3392242946156</v>
      </c>
      <c r="C108" s="77"/>
      <c r="D108" s="81"/>
      <c r="E108" s="77"/>
      <c r="F108" s="77"/>
      <c r="H108" t="s">
        <v>1034</v>
      </c>
    </row>
    <row r="109" spans="1:8" ht="15.75" thickBot="1" x14ac:dyDescent="0.3">
      <c r="A109" s="77" t="s">
        <v>278</v>
      </c>
      <c r="B109" s="77">
        <v>2283.9386655222524</v>
      </c>
      <c r="C109" s="77"/>
      <c r="D109" s="81"/>
      <c r="E109" s="77"/>
      <c r="F109" s="77"/>
      <c r="H109" t="s">
        <v>1034</v>
      </c>
    </row>
    <row r="110" spans="1:8" ht="15.75" thickBot="1" x14ac:dyDescent="0.3">
      <c r="A110" s="9" t="s">
        <v>9</v>
      </c>
      <c r="B110" s="10" t="s">
        <v>10</v>
      </c>
      <c r="C110" s="11" t="s">
        <v>11</v>
      </c>
      <c r="D110" s="12" t="s">
        <v>12</v>
      </c>
      <c r="E110" s="13" t="s">
        <v>13</v>
      </c>
      <c r="F110" s="12" t="s">
        <v>14</v>
      </c>
      <c r="H110" t="s">
        <v>1068</v>
      </c>
    </row>
    <row r="111" spans="1:8" ht="15.75" thickBot="1" x14ac:dyDescent="0.3">
      <c r="A111" s="19">
        <v>1</v>
      </c>
      <c r="B111" s="494" t="s">
        <v>826</v>
      </c>
      <c r="C111" s="494" t="s">
        <v>825</v>
      </c>
      <c r="D111" s="21">
        <v>2836.8425057223294</v>
      </c>
      <c r="E111" s="22">
        <v>2854.7054565454782</v>
      </c>
      <c r="F111" s="23">
        <v>2845.3373726293012</v>
      </c>
      <c r="H111" t="s">
        <v>1068</v>
      </c>
    </row>
    <row r="112" spans="1:8" ht="15.75" thickBot="1" x14ac:dyDescent="0.3">
      <c r="A112" s="24">
        <v>2</v>
      </c>
      <c r="B112" s="494" t="s">
        <v>852</v>
      </c>
      <c r="C112" s="494" t="s">
        <v>851</v>
      </c>
      <c r="D112" s="21">
        <v>2816.3858469383913</v>
      </c>
      <c r="E112" s="25">
        <v>2869.7862396861933</v>
      </c>
      <c r="F112" s="26">
        <v>2889.2790620817036</v>
      </c>
      <c r="H112" t="s">
        <v>1068</v>
      </c>
    </row>
    <row r="113" spans="1:8" ht="15.75" thickBot="1" x14ac:dyDescent="0.3">
      <c r="A113" s="24">
        <v>3</v>
      </c>
      <c r="B113" s="494" t="s">
        <v>816</v>
      </c>
      <c r="C113" s="494" t="s">
        <v>815</v>
      </c>
      <c r="D113" s="21">
        <v>2802.8310835691345</v>
      </c>
      <c r="E113" s="25">
        <v>2797.1956520699605</v>
      </c>
      <c r="F113" s="26">
        <v>2786.3593972617896</v>
      </c>
      <c r="H113" t="s">
        <v>1068</v>
      </c>
    </row>
    <row r="114" spans="1:8" ht="15.75" thickBot="1" x14ac:dyDescent="0.3">
      <c r="A114" s="24">
        <v>4</v>
      </c>
      <c r="B114" s="494" t="s">
        <v>1041</v>
      </c>
      <c r="C114" s="494" t="s">
        <v>1042</v>
      </c>
      <c r="D114" s="558">
        <v>2819.9863427632545</v>
      </c>
      <c r="E114" s="25">
        <v>2794.7007565195777</v>
      </c>
      <c r="F114" s="26">
        <v>2819.9863181063984</v>
      </c>
      <c r="H114" t="s">
        <v>1068</v>
      </c>
    </row>
    <row r="115" spans="1:8" ht="15.75" thickBot="1" x14ac:dyDescent="0.3">
      <c r="A115" s="24">
        <v>5</v>
      </c>
      <c r="B115" s="494" t="s">
        <v>1043</v>
      </c>
      <c r="C115" s="494" t="s">
        <v>1044</v>
      </c>
      <c r="D115" s="558">
        <v>2507.1074796480848</v>
      </c>
      <c r="E115" s="25">
        <v>2507.1077245231231</v>
      </c>
      <c r="F115" s="26">
        <v>2507.1077245231231</v>
      </c>
      <c r="H115" t="s">
        <v>1068</v>
      </c>
    </row>
    <row r="116" spans="1:8" ht="15.75" thickBot="1" x14ac:dyDescent="0.3">
      <c r="A116" s="24">
        <v>6</v>
      </c>
      <c r="B116" s="494" t="s">
        <v>844</v>
      </c>
      <c r="C116" s="494" t="s">
        <v>843</v>
      </c>
      <c r="D116" s="21">
        <v>2797.3454256156274</v>
      </c>
      <c r="E116" s="25">
        <v>2851.7523628360227</v>
      </c>
      <c r="F116" s="26">
        <v>2840.9033196255391</v>
      </c>
      <c r="H116" t="s">
        <v>1068</v>
      </c>
    </row>
    <row r="117" spans="1:8" ht="15.75" thickBot="1" x14ac:dyDescent="0.3">
      <c r="A117" s="24">
        <v>7</v>
      </c>
      <c r="B117" s="494" t="s">
        <v>836</v>
      </c>
      <c r="C117" s="494" t="s">
        <v>835</v>
      </c>
      <c r="D117" s="21">
        <v>2737.7307164150166</v>
      </c>
      <c r="E117" s="25">
        <v>2729.0854077651702</v>
      </c>
      <c r="F117" s="26">
        <v>2713.2827458163829</v>
      </c>
      <c r="H117" t="s">
        <v>1068</v>
      </c>
    </row>
    <row r="118" spans="1:8" ht="15.75" thickBot="1" x14ac:dyDescent="0.3">
      <c r="A118" s="24">
        <v>8</v>
      </c>
      <c r="B118" s="494" t="s">
        <v>830</v>
      </c>
      <c r="C118" s="494" t="s">
        <v>829</v>
      </c>
      <c r="D118" s="21">
        <v>2719.4303773869187</v>
      </c>
      <c r="E118" s="25">
        <v>2664.3133487753348</v>
      </c>
      <c r="F118" s="26">
        <v>2659.2321259128621</v>
      </c>
      <c r="H118" t="s">
        <v>1068</v>
      </c>
    </row>
    <row r="119" spans="1:8" ht="15.75" thickBot="1" x14ac:dyDescent="0.3">
      <c r="A119" s="24">
        <v>9</v>
      </c>
      <c r="B119" s="494" t="s">
        <v>814</v>
      </c>
      <c r="C119" s="494" t="s">
        <v>813</v>
      </c>
      <c r="D119" s="21">
        <v>2697.9075045714135</v>
      </c>
      <c r="E119" s="25">
        <v>2659.9381995788667</v>
      </c>
      <c r="F119" s="26">
        <v>2653.5096789028289</v>
      </c>
      <c r="H119" t="s">
        <v>1068</v>
      </c>
    </row>
    <row r="120" spans="1:8" ht="15.75" thickBot="1" x14ac:dyDescent="0.3">
      <c r="A120" s="24">
        <v>10</v>
      </c>
      <c r="B120" s="494" t="s">
        <v>740</v>
      </c>
      <c r="C120" s="494" t="s">
        <v>739</v>
      </c>
      <c r="D120" s="21">
        <v>2628.2574952617479</v>
      </c>
      <c r="E120" s="25">
        <v>2697.1478179971455</v>
      </c>
      <c r="F120" s="26">
        <v>2692.8251812873254</v>
      </c>
      <c r="H120" t="s">
        <v>1068</v>
      </c>
    </row>
    <row r="121" spans="1:8" ht="15.75" thickBot="1" x14ac:dyDescent="0.3">
      <c r="A121" s="24">
        <v>11</v>
      </c>
      <c r="B121" s="495" t="s">
        <v>745</v>
      </c>
      <c r="C121" s="495" t="s">
        <v>744</v>
      </c>
      <c r="D121" s="21">
        <v>2642.4197784613143</v>
      </c>
      <c r="E121" s="25">
        <v>2679.0316530846248</v>
      </c>
      <c r="F121" s="26">
        <v>2674.7105106094182</v>
      </c>
      <c r="H121" t="s">
        <v>1068</v>
      </c>
    </row>
    <row r="122" spans="1:8" ht="15.75" thickBot="1" x14ac:dyDescent="0.3">
      <c r="A122" s="24">
        <v>12</v>
      </c>
      <c r="B122" s="494" t="s">
        <v>1045</v>
      </c>
      <c r="C122" s="494" t="s">
        <v>1046</v>
      </c>
      <c r="D122" s="558">
        <v>2614.8962576234244</v>
      </c>
      <c r="E122" s="25">
        <v>2586.4161586862947</v>
      </c>
      <c r="F122" s="26">
        <v>2614.8968808076843</v>
      </c>
      <c r="H122" t="s">
        <v>1068</v>
      </c>
    </row>
    <row r="123" spans="1:8" ht="15.75" thickBot="1" x14ac:dyDescent="0.3">
      <c r="A123" s="24">
        <v>13</v>
      </c>
      <c r="B123" s="494" t="s">
        <v>818</v>
      </c>
      <c r="C123" s="494" t="s">
        <v>817</v>
      </c>
      <c r="D123" s="21">
        <v>2578.3608914325077</v>
      </c>
      <c r="E123" s="25">
        <v>2543.2164109759397</v>
      </c>
      <c r="F123" s="26">
        <v>2543.2164109759397</v>
      </c>
      <c r="H123" t="s">
        <v>1068</v>
      </c>
    </row>
    <row r="124" spans="1:8" ht="15.75" thickBot="1" x14ac:dyDescent="0.3">
      <c r="A124" s="24">
        <v>14</v>
      </c>
      <c r="B124" s="494" t="s">
        <v>828</v>
      </c>
      <c r="C124" s="494" t="s">
        <v>827</v>
      </c>
      <c r="D124" s="21">
        <v>2544.0407981926219</v>
      </c>
      <c r="E124" s="25">
        <v>2509.1453145580549</v>
      </c>
      <c r="F124" s="26">
        <v>2502.8957750614904</v>
      </c>
      <c r="H124" t="s">
        <v>1068</v>
      </c>
    </row>
    <row r="125" spans="1:8" x14ac:dyDescent="0.25">
      <c r="A125" s="80" t="s">
        <v>109</v>
      </c>
      <c r="B125" s="77"/>
      <c r="C125" s="77"/>
      <c r="D125" s="81"/>
      <c r="E125" s="77"/>
      <c r="F125" s="77"/>
      <c r="H125" t="s">
        <v>1068</v>
      </c>
    </row>
    <row r="126" spans="1:8" x14ac:dyDescent="0.25">
      <c r="A126" s="77" t="s">
        <v>826</v>
      </c>
      <c r="B126" s="77">
        <v>2854.7054565454782</v>
      </c>
      <c r="C126" s="77"/>
      <c r="D126" s="81"/>
      <c r="E126" s="77"/>
      <c r="F126" s="77"/>
      <c r="H126" t="s">
        <v>1068</v>
      </c>
    </row>
    <row r="127" spans="1:8" x14ac:dyDescent="0.25">
      <c r="A127" s="77" t="s">
        <v>844</v>
      </c>
      <c r="B127" s="77">
        <v>2851.7523628360227</v>
      </c>
      <c r="C127" s="77"/>
      <c r="D127" s="81"/>
      <c r="E127" s="77"/>
      <c r="F127" s="77"/>
      <c r="H127" t="s">
        <v>1068</v>
      </c>
    </row>
    <row r="128" spans="1:8" x14ac:dyDescent="0.25">
      <c r="A128" s="77" t="s">
        <v>836</v>
      </c>
      <c r="B128" s="77">
        <v>2729.0854077651702</v>
      </c>
      <c r="C128" s="77"/>
      <c r="D128" s="81"/>
      <c r="E128" s="77"/>
      <c r="F128" s="77"/>
      <c r="H128" t="s">
        <v>1068</v>
      </c>
    </row>
    <row r="129" spans="1:8" x14ac:dyDescent="0.25">
      <c r="A129" s="77" t="s">
        <v>1045</v>
      </c>
      <c r="B129" s="77">
        <v>2586.4161586862947</v>
      </c>
      <c r="C129" s="77"/>
      <c r="D129" s="81"/>
      <c r="E129" s="77"/>
      <c r="F129" s="77"/>
      <c r="H129" t="s">
        <v>1068</v>
      </c>
    </row>
    <row r="130" spans="1:8" ht="15.75" thickBot="1" x14ac:dyDescent="0.3">
      <c r="A130" s="77" t="s">
        <v>818</v>
      </c>
      <c r="B130" s="77">
        <v>2543.2164109759397</v>
      </c>
      <c r="C130" s="77"/>
      <c r="D130" s="81"/>
      <c r="E130" s="77"/>
      <c r="F130" s="77"/>
      <c r="H130" t="s">
        <v>1068</v>
      </c>
    </row>
    <row r="131" spans="1:8" ht="15.75" thickBot="1" x14ac:dyDescent="0.3">
      <c r="A131" s="9" t="s">
        <v>9</v>
      </c>
      <c r="B131" s="10" t="s">
        <v>10</v>
      </c>
      <c r="C131" s="11" t="s">
        <v>11</v>
      </c>
      <c r="D131" s="12" t="s">
        <v>12</v>
      </c>
      <c r="E131" s="13" t="s">
        <v>13</v>
      </c>
      <c r="F131" s="12" t="s">
        <v>14</v>
      </c>
      <c r="H131" t="s">
        <v>1069</v>
      </c>
    </row>
    <row r="132" spans="1:8" ht="15.75" thickBot="1" x14ac:dyDescent="0.3">
      <c r="A132" s="19">
        <v>1</v>
      </c>
      <c r="B132" s="495" t="s">
        <v>840</v>
      </c>
      <c r="C132" s="495" t="s">
        <v>839</v>
      </c>
      <c r="D132" s="21">
        <v>3023.8142201815831</v>
      </c>
      <c r="E132" s="22">
        <v>3079.0206585720803</v>
      </c>
      <c r="F132" s="23">
        <v>3091.706773131953</v>
      </c>
      <c r="H132" t="s">
        <v>1069</v>
      </c>
    </row>
    <row r="133" spans="1:8" ht="15.75" thickBot="1" x14ac:dyDescent="0.3">
      <c r="A133" s="24">
        <v>2</v>
      </c>
      <c r="B133" s="494" t="s">
        <v>891</v>
      </c>
      <c r="C133" s="494" t="s">
        <v>890</v>
      </c>
      <c r="D133" s="21">
        <v>3000</v>
      </c>
      <c r="E133" s="25">
        <v>3033.3596182547244</v>
      </c>
      <c r="F133" s="26">
        <v>3037.1327362053721</v>
      </c>
      <c r="H133" t="s">
        <v>1069</v>
      </c>
    </row>
    <row r="134" spans="1:8" ht="15.75" thickBot="1" x14ac:dyDescent="0.3">
      <c r="A134" s="24">
        <v>3</v>
      </c>
      <c r="B134" s="494" t="s">
        <v>887</v>
      </c>
      <c r="C134" s="494" t="s">
        <v>886</v>
      </c>
      <c r="D134" s="21">
        <v>2927.0999448587754</v>
      </c>
      <c r="E134" s="25">
        <v>2879.9283255605792</v>
      </c>
      <c r="F134" s="26">
        <v>2865.1000950461112</v>
      </c>
      <c r="H134" t="s">
        <v>1069</v>
      </c>
    </row>
    <row r="135" spans="1:8" ht="15.75" thickBot="1" x14ac:dyDescent="0.3">
      <c r="A135" s="24">
        <v>4</v>
      </c>
      <c r="B135" s="494" t="s">
        <v>893</v>
      </c>
      <c r="C135" s="494" t="s">
        <v>892</v>
      </c>
      <c r="D135" s="21">
        <v>2951.9748898787816</v>
      </c>
      <c r="E135" s="25">
        <v>2905.4186139852773</v>
      </c>
      <c r="F135" s="26">
        <v>2901.6932579440013</v>
      </c>
      <c r="H135" t="s">
        <v>1069</v>
      </c>
    </row>
    <row r="136" spans="1:8" ht="15.75" thickBot="1" x14ac:dyDescent="0.3">
      <c r="A136" s="24">
        <v>5</v>
      </c>
      <c r="B136" s="494" t="s">
        <v>907</v>
      </c>
      <c r="C136" s="494" t="s">
        <v>906</v>
      </c>
      <c r="D136" s="21">
        <v>2909.4290210334657</v>
      </c>
      <c r="E136" s="25">
        <v>2858.1857900558643</v>
      </c>
      <c r="F136" s="26">
        <v>2882.8718654448089</v>
      </c>
      <c r="H136" t="s">
        <v>1069</v>
      </c>
    </row>
    <row r="137" spans="1:8" ht="15.75" thickBot="1" x14ac:dyDescent="0.3">
      <c r="A137" s="24">
        <v>6</v>
      </c>
      <c r="B137" s="494" t="s">
        <v>882</v>
      </c>
      <c r="C137" s="494" t="s">
        <v>881</v>
      </c>
      <c r="D137" s="21">
        <v>2859.795266485386</v>
      </c>
      <c r="E137" s="25">
        <v>2831.0960334681517</v>
      </c>
      <c r="F137" s="26">
        <v>2824.9635446349512</v>
      </c>
      <c r="H137" t="s">
        <v>1069</v>
      </c>
    </row>
    <row r="138" spans="1:8" ht="15.75" thickBot="1" x14ac:dyDescent="0.3">
      <c r="A138" s="24">
        <v>7</v>
      </c>
      <c r="B138" s="494" t="s">
        <v>905</v>
      </c>
      <c r="C138" s="494" t="s">
        <v>904</v>
      </c>
      <c r="D138" s="21">
        <v>2838.5876453388701</v>
      </c>
      <c r="E138" s="25">
        <v>2881.0988793995762</v>
      </c>
      <c r="F138" s="26">
        <v>2873.3406869131345</v>
      </c>
      <c r="H138" t="s">
        <v>1069</v>
      </c>
    </row>
    <row r="139" spans="1:8" ht="15.75" thickBot="1" x14ac:dyDescent="0.3">
      <c r="A139" s="24">
        <v>8</v>
      </c>
      <c r="B139" s="495" t="s">
        <v>842</v>
      </c>
      <c r="C139" s="495" t="s">
        <v>841</v>
      </c>
      <c r="D139" s="21">
        <v>2819.6604021954827</v>
      </c>
      <c r="E139" s="25">
        <v>2862.2534706760912</v>
      </c>
      <c r="F139" s="26">
        <v>2853.5524306520124</v>
      </c>
      <c r="H139" t="s">
        <v>1069</v>
      </c>
    </row>
    <row r="140" spans="1:8" x14ac:dyDescent="0.25">
      <c r="A140" s="80" t="s">
        <v>109</v>
      </c>
      <c r="B140" s="77"/>
      <c r="C140" s="77"/>
      <c r="D140" s="81"/>
      <c r="E140" s="77"/>
      <c r="F140" s="77"/>
      <c r="H140" t="s">
        <v>1069</v>
      </c>
    </row>
    <row r="141" spans="1:8" x14ac:dyDescent="0.25">
      <c r="A141" s="77" t="s">
        <v>840</v>
      </c>
      <c r="B141" s="77">
        <v>3079.0206585720803</v>
      </c>
      <c r="C141" s="77"/>
      <c r="D141" s="81"/>
      <c r="E141" s="77"/>
      <c r="F141" s="77"/>
      <c r="H141" t="s">
        <v>1069</v>
      </c>
    </row>
    <row r="142" spans="1:8" x14ac:dyDescent="0.25">
      <c r="A142" s="77" t="s">
        <v>893</v>
      </c>
      <c r="B142" s="77">
        <v>2905.4186139852773</v>
      </c>
      <c r="C142" s="77"/>
      <c r="D142" s="81"/>
      <c r="E142" s="77"/>
      <c r="F142" s="77"/>
      <c r="H142" t="s">
        <v>1069</v>
      </c>
    </row>
    <row r="143" spans="1:8" x14ac:dyDescent="0.25">
      <c r="A143" s="77" t="s">
        <v>907</v>
      </c>
      <c r="B143" s="77">
        <v>2858.1857900558643</v>
      </c>
      <c r="C143" s="77"/>
      <c r="D143" s="81"/>
      <c r="E143" s="77"/>
      <c r="F143" s="77"/>
      <c r="H143" t="s">
        <v>1069</v>
      </c>
    </row>
    <row r="144" spans="1:8" x14ac:dyDescent="0.25">
      <c r="A144" s="77" t="s">
        <v>842</v>
      </c>
      <c r="B144" s="77">
        <v>2862.2534706760912</v>
      </c>
      <c r="C144" s="77"/>
      <c r="D144" s="81"/>
      <c r="E144" s="77"/>
      <c r="F144" s="77"/>
      <c r="H144" t="s">
        <v>1069</v>
      </c>
    </row>
    <row r="145" spans="1:8" x14ac:dyDescent="0.25">
      <c r="A145" s="77">
        <v>0</v>
      </c>
      <c r="B145" s="77" t="e">
        <v>#N/A</v>
      </c>
      <c r="C145" s="77"/>
      <c r="D145" s="81"/>
      <c r="E145" s="77"/>
      <c r="F145" s="77"/>
      <c r="H145" t="s">
        <v>1069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12</vt:i4>
      </vt:variant>
      <vt:variant>
        <vt:lpstr>Named Ranges</vt:lpstr>
      </vt:variant>
      <vt:variant>
        <vt:i4>8</vt:i4>
      </vt:variant>
    </vt:vector>
  </HeadingPairs>
  <TitlesOfParts>
    <vt:vector size="20" baseType="lpstr">
      <vt:lpstr>12Power 4 tms</vt:lpstr>
      <vt:lpstr>13 Power  8 tms</vt:lpstr>
      <vt:lpstr>14 Power 19 tms</vt:lpstr>
      <vt:lpstr>15 Power 16 tms</vt:lpstr>
      <vt:lpstr>16 Open  10 Tms</vt:lpstr>
      <vt:lpstr>16 Power  10 tms</vt:lpstr>
      <vt:lpstr>17 Power 14 Teams</vt:lpstr>
      <vt:lpstr>18 Power 8 tms</vt:lpstr>
      <vt:lpstr>RatingResultsSummary</vt:lpstr>
      <vt:lpstr>Initial</vt:lpstr>
      <vt:lpstr>Final</vt:lpstr>
      <vt:lpstr>Final-PM</vt:lpstr>
      <vt:lpstr>'12Power 4 tms'!Print_Area</vt:lpstr>
      <vt:lpstr>'13 Power  8 tms'!Print_Area</vt:lpstr>
      <vt:lpstr>'14 Power 19 tms'!Print_Area</vt:lpstr>
      <vt:lpstr>'15 Power 16 tms'!Print_Area</vt:lpstr>
      <vt:lpstr>'16 Open  10 Tms'!Print_Area</vt:lpstr>
      <vt:lpstr>'16 Power  10 tms'!Print_Area</vt:lpstr>
      <vt:lpstr>'17 Power 14 Teams'!Print_Area</vt:lpstr>
      <vt:lpstr>'18 Power 8 tms'!Print_Area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Lance</dc:creator>
  <cp:lastModifiedBy>Lance</cp:lastModifiedBy>
  <dcterms:created xsi:type="dcterms:W3CDTF">2017-02-26T13:14:56Z</dcterms:created>
  <dcterms:modified xsi:type="dcterms:W3CDTF">2017-02-27T13:26:31Z</dcterms:modified>
</cp:coreProperties>
</file>